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ukeenergy-my.sharepoint.com/personal/minna_sunderman_duke-energy_com/Documents/Desktop/2024-00354 Electric Rate Case Application/STAFF 1st Set/Excels/"/>
    </mc:Choice>
  </mc:AlternateContent>
  <xr:revisionPtr revIDLastSave="0" documentId="8_{BF8A0F37-33FF-4392-A790-45354F07CBBA}" xr6:coauthVersionLast="47" xr6:coauthVersionMax="47" xr10:uidLastSave="{00000000-0000-0000-0000-000000000000}"/>
  <bookViews>
    <workbookView xWindow="-108" yWindow="-108" windowWidth="23256" windowHeight="13896" tabRatio="599" activeTab="3" xr2:uid="{00000000-000D-0000-FFFF-FFFF00000000}"/>
  </bookViews>
  <sheets>
    <sheet name="INPUT" sheetId="1" r:id="rId1"/>
    <sheet name="PRINT" sheetId="2" r:id="rId2"/>
    <sheet name="Revenue Check" sheetId="40" r:id="rId3"/>
    <sheet name="SCH M" sheetId="3" r:id="rId4"/>
    <sheet name="SCH M-2.1" sheetId="4" r:id="rId5"/>
    <sheet name="SCH M-2.2" sheetId="5" r:id="rId6"/>
    <sheet name="SCH M-2.3" sheetId="6" r:id="rId7"/>
    <sheet name="Rate RS" sheetId="7" r:id="rId8"/>
    <sheet name="Rate DS" sheetId="8" r:id="rId9"/>
    <sheet name="Rate DT-Pri" sheetId="9" r:id="rId10"/>
    <sheet name="Rate DT-Sec" sheetId="10" r:id="rId11"/>
    <sheet name="Rate EH" sheetId="11" r:id="rId12"/>
    <sheet name="Rate SP GSFL" sheetId="12" r:id="rId13"/>
    <sheet name="Rate DP" sheetId="13" r:id="rId14"/>
    <sheet name="Rate TT" sheetId="14" r:id="rId15"/>
    <sheet name="Rate DT RTP-P" sheetId="29" r:id="rId16"/>
    <sheet name="Rate DT RTP-S" sheetId="30" r:id="rId17"/>
    <sheet name="Rate DS RTP" sheetId="31" r:id="rId18"/>
    <sheet name="Rate TT RTP" sheetId="33" r:id="rId19"/>
    <sheet name="Rate SL" sheetId="19" r:id="rId20"/>
    <sheet name="Rate TL" sheetId="20" r:id="rId21"/>
    <sheet name="Rate UOLS" sheetId="28" r:id="rId22"/>
    <sheet name="Rate NSU" sheetId="22" r:id="rId23"/>
    <sheet name="Rate SC" sheetId="24" r:id="rId24"/>
    <sheet name="Rate SE" sheetId="25" r:id="rId25"/>
    <sheet name="Rate LED" sheetId="38" r:id="rId26"/>
    <sheet name="SCH N" sheetId="26" r:id="rId27"/>
    <sheet name="BILL CALC" sheetId="27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Fill" localSheetId="13" hidden="1">'Rate DP'!$AS$913:$AS$930</definedName>
    <definedName name="_Fill" localSheetId="8" hidden="1">'Rate DS'!$AS$926:$AS$943</definedName>
    <definedName name="_Fill" localSheetId="17" hidden="1">'Rate DS RTP'!$AS$903:$AS$920</definedName>
    <definedName name="_Fill" localSheetId="15" hidden="1">'Rate DT RTP-P'!$AS$831:$AS$848</definedName>
    <definedName name="_Fill" localSheetId="16" hidden="1">'Rate DT RTP-S'!$AS$897:$AS$914</definedName>
    <definedName name="_Fill" localSheetId="9" hidden="1">'Rate DT-Pri'!$AS$887:$AS$904</definedName>
    <definedName name="_Fill" localSheetId="10" hidden="1">'Rate DT-Sec'!$AS$883:$AS$900</definedName>
    <definedName name="_Fill" localSheetId="11" hidden="1">'Rate EH'!$AS$895:$AS$912</definedName>
    <definedName name="_Fill" localSheetId="25" hidden="1">'Rate LED'!$AU$1324:$AU$1341</definedName>
    <definedName name="_Fill" localSheetId="22" hidden="1">'Rate NSU'!$AS$849:$AS$866</definedName>
    <definedName name="_Fill" localSheetId="7" hidden="1">'Rate RS'!#REF!</definedName>
    <definedName name="_Fill" localSheetId="23" hidden="1">'Rate SC'!$AS$827:$AS$844</definedName>
    <definedName name="_Fill" localSheetId="24" hidden="1">'Rate SE'!$AS$865:$AS$882</definedName>
    <definedName name="_Fill" localSheetId="19" hidden="1">'Rate SL'!$AU$853:$AU$870</definedName>
    <definedName name="_Fill" localSheetId="12" hidden="1">'Rate SP GSFL'!$AS$926:$AS$943</definedName>
    <definedName name="_Fill" localSheetId="20" hidden="1">'Rate TL'!$AS$849:$AS$866</definedName>
    <definedName name="_Fill" localSheetId="14" hidden="1">'Rate TT'!$AS$881:$AS$898</definedName>
    <definedName name="_Fill" localSheetId="18" hidden="1">'Rate TT RTP'!$AS$845:$AS$862</definedName>
    <definedName name="_Fill" localSheetId="21" hidden="1">'Rate UOLS'!$AS$838:$AS$855</definedName>
    <definedName name="_Fill" localSheetId="3" hidden="1">'SCH M'!#REF!</definedName>
    <definedName name="_Fill" localSheetId="4" hidden="1">'SCH M-2.1'!#REF!</definedName>
    <definedName name="_Fill" localSheetId="5" hidden="1">'SCH M-2.2'!#REF!</definedName>
    <definedName name="_Fill" localSheetId="6" hidden="1">'SCH M-2.3'!#REF!</definedName>
    <definedName name="_Fill" hidden="1">'SCH N'!$A$221:$A$238</definedName>
    <definedName name="_Regression_Int" localSheetId="13" hidden="1">1</definedName>
    <definedName name="_Regression_Int" localSheetId="8" hidden="1">1</definedName>
    <definedName name="_Regression_Int" localSheetId="17" hidden="1">1</definedName>
    <definedName name="_Regression_Int" localSheetId="15" hidden="1">1</definedName>
    <definedName name="_Regression_Int" localSheetId="16" hidden="1">1</definedName>
    <definedName name="_Regression_Int" localSheetId="9" hidden="1">1</definedName>
    <definedName name="_Regression_Int" localSheetId="10" hidden="1">1</definedName>
    <definedName name="_Regression_Int" localSheetId="11" hidden="1">1</definedName>
    <definedName name="_Regression_Int" localSheetId="25" hidden="1">1</definedName>
    <definedName name="_Regression_Int" localSheetId="22" hidden="1">1</definedName>
    <definedName name="_Regression_Int" localSheetId="7" hidden="1">1</definedName>
    <definedName name="_Regression_Int" localSheetId="23" hidden="1">1</definedName>
    <definedName name="_Regression_Int" localSheetId="24" hidden="1">1</definedName>
    <definedName name="_Regression_Int" localSheetId="19" hidden="1">1</definedName>
    <definedName name="_Regression_Int" localSheetId="12" hidden="1">1</definedName>
    <definedName name="_Regression_Int" localSheetId="20" hidden="1">1</definedName>
    <definedName name="_Regression_Int" localSheetId="14" hidden="1">1</definedName>
    <definedName name="_Regression_Int" localSheetId="18" hidden="1">1</definedName>
    <definedName name="_Regression_Int" localSheetId="21" hidden="1">1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CASE_NO">INPUT!$B$11</definedName>
    <definedName name="CUR_BASE_FUEL">INPUT!$C$20</definedName>
    <definedName name="CUR_DCI">INPUT!$C$169</definedName>
    <definedName name="CUR_DCI_DIST">INPUT!$C$170</definedName>
    <definedName name="CUR_DCI_DP">INPUT!$C$176</definedName>
    <definedName name="CUR_DCI_DTP">INPUT!$C$171</definedName>
    <definedName name="CUR_DCI_DTS">INPUT!$C$172</definedName>
    <definedName name="CUR_DCI_EH">INPUT!$C$173</definedName>
    <definedName name="CUR_DCI_GSFL">INPUT!$C$175</definedName>
    <definedName name="CUR_DCI_SL">INPUT!$C$178</definedName>
    <definedName name="CUR_DCI_SP">INPUT!$C$174</definedName>
    <definedName name="CUR_DP_CST">'Rate DP'!$AC$77</definedName>
    <definedName name="CUR_DP_DEMAND">'Rate DP'!$AC$81</definedName>
    <definedName name="CUR_DP_KWH1">'Rate DP'!$AC$85</definedName>
    <definedName name="CUR_DP_KWH2">'Rate DP'!$AC$86</definedName>
    <definedName name="CUR_DP_LMR">'Rate DP'!$AC$76</definedName>
    <definedName name="CUR_DP_RTP_COM" localSheetId="16">'Rate DT RTP-S'!$AC$73</definedName>
    <definedName name="CUR_DP_RTP_COM" localSheetId="25">#REF!</definedName>
    <definedName name="CUR_DP_RTP_COM">#REF!</definedName>
    <definedName name="CUR_DP_RTP_CUST" localSheetId="16">'Rate DT RTP-S'!$AC$68</definedName>
    <definedName name="CUR_DP_RTP_CUST" localSheetId="25">#REF!</definedName>
    <definedName name="CUR_DP_RTP_CUST">#REF!</definedName>
    <definedName name="CUR_DP_RTP_KWH1" localSheetId="16">'Rate DT RTP-S'!$AC$72</definedName>
    <definedName name="CUR_DP_RTP_KWH1" localSheetId="25">#REF!</definedName>
    <definedName name="CUR_DP_RTP_KWH1">#REF!</definedName>
    <definedName name="CUR_DP_RTP_KWH2" localSheetId="16">'Rate DT RTP-S'!#REF!</definedName>
    <definedName name="CUR_DP_RTP_KWH2" localSheetId="25">#REF!</definedName>
    <definedName name="CUR_DP_RTP_KWH2">#REF!</definedName>
    <definedName name="CUR_DS_CST_1">'Rate DS'!$AC$81</definedName>
    <definedName name="CUR_DS_CST_2">'Rate DS'!$AC$82</definedName>
    <definedName name="CUR_DS_DEM_1">'Rate DS'!$AC$86</definedName>
    <definedName name="CUR_DS_DEM_3">'Rate DS'!$AC$87</definedName>
    <definedName name="CUR_DS_KWH_1">'Rate DS'!$AC$91</definedName>
    <definedName name="CUR_DS_KWH_2">'Rate DS'!$AC$92</definedName>
    <definedName name="CUR_DS_KWH_3">'Rate DS'!$AC$93</definedName>
    <definedName name="CUR_DS_LMR">'Rate DS'!#REF!</definedName>
    <definedName name="CUR_DS_RTP" localSheetId="17">'Rate DS RTP'!$T$45:$AQ$86</definedName>
    <definedName name="CUR_DS_RTP" localSheetId="25">#REF!</definedName>
    <definedName name="CUR_DS_RTP">#REF!</definedName>
    <definedName name="CUR_DS_RTP_COM" localSheetId="17">'Rate DS RTP'!$AC$73</definedName>
    <definedName name="CUR_DS_RTP_COM" localSheetId="25">#REF!</definedName>
    <definedName name="CUR_DS_RTP_COM">#REF!</definedName>
    <definedName name="CUR_DS_RTP_CUST" localSheetId="17">'Rate DS RTP'!$AC$68</definedName>
    <definedName name="CUR_DS_RTP_CUST" localSheetId="25">#REF!</definedName>
    <definedName name="CUR_DS_RTP_CUST">#REF!</definedName>
    <definedName name="CUR_DS_RTP_KWH1" localSheetId="17">'Rate DS RTP'!$AC$72</definedName>
    <definedName name="CUR_DS_RTP_KWH1" localSheetId="25">#REF!</definedName>
    <definedName name="CUR_DS_RTP_KWH1">#REF!</definedName>
    <definedName name="CUR_DS_RTP_KWH2" localSheetId="17">'Rate DS RTP'!#REF!</definedName>
    <definedName name="CUR_DS_RTP_KWH2" localSheetId="25">#REF!</definedName>
    <definedName name="CUR_DS_RTP_KWH2">#REF!</definedName>
    <definedName name="CUR_DT_DISC">'Rate DT-Pri'!$AC$103</definedName>
    <definedName name="CUR_DT_DISC1">'Rate DT-Pri'!$AC$104</definedName>
    <definedName name="CUR_DT_PRI">'Rate DT-Pri'!$AC$95</definedName>
    <definedName name="CUR_DT_RTP_COM" localSheetId="15">'Rate DT RTP-P'!$AC$73</definedName>
    <definedName name="CUR_DT_RTP_COM" localSheetId="25">#REF!</definedName>
    <definedName name="CUR_DT_RTP_COM">#REF!</definedName>
    <definedName name="CUR_DT_RTP_CUST" localSheetId="15">'Rate DT RTP-P'!$AC$68</definedName>
    <definedName name="CUR_DT_RTP_CUST" localSheetId="25">#REF!</definedName>
    <definedName name="CUR_DT_RTP_CUST">#REF!</definedName>
    <definedName name="CUR_DT_RTP_KWH1" localSheetId="15">'Rate DT RTP-P'!$AC$72</definedName>
    <definedName name="CUR_DT_RTP_KWH1" localSheetId="25">#REF!</definedName>
    <definedName name="CUR_DT_RTP_KWH1">#REF!</definedName>
    <definedName name="CUR_DT_RTP_KWH2" localSheetId="15">'Rate DT RTP-P'!#REF!</definedName>
    <definedName name="CUR_DT_RTP_KWH2" localSheetId="25">#REF!</definedName>
    <definedName name="CUR_DT_RTP_KWH2">#REF!</definedName>
    <definedName name="CUR_DT_RTP_P" localSheetId="15">'Rate DT RTP-P'!$T$45:$AQ$85</definedName>
    <definedName name="CUR_DT_RTP_P" localSheetId="25">#REF!</definedName>
    <definedName name="CUR_DT_RTP_P">#REF!</definedName>
    <definedName name="CUR_DT_RTP_S" localSheetId="16">'Rate DT RTP-S'!$T$45:$AQ$86</definedName>
    <definedName name="CUR_DT_RTP_S" localSheetId="25">#REF!</definedName>
    <definedName name="CUR_DT_RTP_S">#REF!</definedName>
    <definedName name="CUR_DT_SEC">'Rate DT-Sec'!$T$71:$AQ$137</definedName>
    <definedName name="CUR_DT_SEC_CST1">'Rate DT-Sec'!$AC$93</definedName>
    <definedName name="CUR_DT_SEC_CST3">'Rate DT-Sec'!$AC$94</definedName>
    <definedName name="CUR_DT_SEC_DEMOFF">'Rate DT-Sec'!$AC$99</definedName>
    <definedName name="CUR_DT_SEC_DEMON">'Rate DT-Sec'!$AC$98</definedName>
    <definedName name="CUR_DT_SEC_SUMKWH">'Rate DT-Sec'!$AC$105</definedName>
    <definedName name="CUR_DT_SEC_WINKWH">'Rate DT-Sec'!$AC$122</definedName>
    <definedName name="CUR_DT_SEC_WINOFF">'Rate DT-Sec'!$AC$116</definedName>
    <definedName name="CUR_DT_SEC_WINON">'Rate DT-Sec'!$AC$115</definedName>
    <definedName name="CUR_DT_SUM_E_OFF">'Rate DT-Pri'!$AC$108</definedName>
    <definedName name="CUR_DT_SUM_E_ON">'Rate DT-Pri'!$AC$107</definedName>
    <definedName name="CUR_DT_SUM_PEAK_ON">'Rate DT-Pri'!$AC$98</definedName>
    <definedName name="CUR_DT_SUM_PK_OFF">'Rate DT-Pri'!$AC$99</definedName>
    <definedName name="CUR_DT_WIN_E_ON">'Rate DT-Pri'!$AC$125</definedName>
    <definedName name="CUR_DT_WIN_PEAK_ON">'Rate DT-Pri'!$AC$116</definedName>
    <definedName name="CUR_DT_WIN_PK_OFF">'Rate DT-Pri'!$AC$117</definedName>
    <definedName name="CUR_EH_CST_1">'Rate EH'!$AC$72</definedName>
    <definedName name="CUR_EH_CST_2">'Rate EH'!$AC$73</definedName>
    <definedName name="CUR_EH_CST_3">'Rate EH'!$AC$74</definedName>
    <definedName name="CUR_EH_KWH_1">'Rate EH'!$AC$81</definedName>
    <definedName name="CUR_ESM">INPUT!$C$165</definedName>
    <definedName name="CUR_ESM_NonRes">INPUT!$C$166</definedName>
    <definedName name="CUR_FAC">INPUT!$C$19</definedName>
    <definedName name="CUR_FTR_DIST">INPUT!$C$184</definedName>
    <definedName name="CUR_FTR_DP">INPUT!$C$190</definedName>
    <definedName name="CUR_FTR_DTP">INPUT!$C$185</definedName>
    <definedName name="CUR_FTR_DTS">INPUT!$C$186</definedName>
    <definedName name="CUR_FTR_EH">INPUT!$C$187</definedName>
    <definedName name="CUR_FTR_GSFL">INPUT!$C$189</definedName>
    <definedName name="CUR_FTR_RES">INPUT!$C$183</definedName>
    <definedName name="CUR_FTR_SL">INPUT!$C$192</definedName>
    <definedName name="CUR_FTR_SP">INPUT!$C$188</definedName>
    <definedName name="CUR_FTR_TT">INPUT!$C$191</definedName>
    <definedName name="CUR_RS_CUST">'Rate RS'!$AB$64</definedName>
    <definedName name="CUR_RS_ENERGY">'Rate RS'!$AB$67</definedName>
    <definedName name="CUR_SUM_TT_ON_KWH">INPUT!$C$125</definedName>
    <definedName name="CUR_TT_KWH">INPUT!$C$125</definedName>
    <definedName name="CUR_TT_OFF">INPUT!$C$127</definedName>
    <definedName name="CUR_TT_RTP" localSheetId="25">#REF!</definedName>
    <definedName name="CUR_TT_RTP" localSheetId="18">'Rate TT RTP'!$T$47:$AQ$88</definedName>
    <definedName name="CUR_TT_RTP">#REF!</definedName>
    <definedName name="CUR_TT_RTP_COM" localSheetId="25">#REF!</definedName>
    <definedName name="CUR_TT_RTP_COM" localSheetId="18">'Rate TT RTP'!$AC$75</definedName>
    <definedName name="CUR_TT_RTP_COM">#REF!</definedName>
    <definedName name="CUR_TT_RTP_CUST" localSheetId="25">#REF!</definedName>
    <definedName name="CUR_TT_RTP_CUST" localSheetId="18">'Rate TT RTP'!$AC$70</definedName>
    <definedName name="CUR_TT_RTP_CUST">#REF!</definedName>
    <definedName name="CUR_TT_RTP_KWH1" localSheetId="25">#REF!</definedName>
    <definedName name="CUR_TT_RTP_KWH1" localSheetId="18">'Rate TT RTP'!$AC$74</definedName>
    <definedName name="CUR_TT_RTP_KWH1">#REF!</definedName>
    <definedName name="CUR_TT_RTP_KWH2" localSheetId="25">#REF!</definedName>
    <definedName name="CUR_TT_RTP_KWH2" localSheetId="18">'Rate TT RTP'!#REF!</definedName>
    <definedName name="CUR_TT_RTP_KWH2">#REF!</definedName>
    <definedName name="CUR_TT_SUM_CST">'Rate TT'!$AC$85</definedName>
    <definedName name="CUR_TT_SUM_PEAK">'Rate TT'!$AC$88</definedName>
    <definedName name="CUR_TT_SUM_PK_OFF">'Rate TT'!$AC$89</definedName>
    <definedName name="CUR_TT_WIN_CST">'Rate TT'!$AC$99</definedName>
    <definedName name="CUR_TT_WIN_PEAK">'Rate TT'!$AC$102</definedName>
    <definedName name="CUR_TT_WIN_PK_OFF">'Rate TT'!$AC$103</definedName>
    <definedName name="CUR_WIN_TT_ON_KWH">INPUT!$C$126</definedName>
    <definedName name="DATA_PERIOD">INPUT!$B$13</definedName>
    <definedName name="DATE">INPUT!$B$10</definedName>
    <definedName name="DCI_Name">INPUT!$B$201</definedName>
    <definedName name="DS_MSRE">INPUT!$C$24</definedName>
    <definedName name="DSM_DIST">INPUT!$C$30</definedName>
    <definedName name="DSM_RES">INPUT!$C$29</definedName>
    <definedName name="DSM_RS_CUST">INPUT!$J$29</definedName>
    <definedName name="DSM_TRANS">INPUT!$C$31</definedName>
    <definedName name="DSMR_Name">INPUT!$B$196</definedName>
    <definedName name="ESM_Name">INPUT!$B$197</definedName>
    <definedName name="FAC_Name">INPUT!$B$198</definedName>
    <definedName name="FTR_Name">INPUT!$B$200</definedName>
    <definedName name="HEA_Name">INPUT!$B$195</definedName>
    <definedName name="LT_COS_RATE" localSheetId="25">'Rate LED'!$AG$1</definedName>
    <definedName name="LT_COS_RATE">'Rate SL'!$AG$1</definedName>
    <definedName name="LT_MSRE">INPUT!$C$26</definedName>
    <definedName name="Migration_CC">#REF!</definedName>
    <definedName name="NAME">INPUT!$B$8</definedName>
    <definedName name="Page_Num_2.2">INPUT!$J$14</definedName>
    <definedName name="Page_Num_2.3">INPUT!$J$15</definedName>
    <definedName name="_xlnm.Print_Area" localSheetId="13">'Rate DP'!$A$1:$R$50</definedName>
    <definedName name="_xlnm.Print_Area" localSheetId="8">'Rate DS'!$A$1:$R$56</definedName>
    <definedName name="_xlnm.Print_Area" localSheetId="17">'Rate DS RTP'!$T$45:$AQ$85</definedName>
    <definedName name="_xlnm.Print_Area" localSheetId="15">'Rate DT RTP-P'!$A$1:$R$41</definedName>
    <definedName name="_xlnm.Print_Area" localSheetId="16">'Rate DT RTP-S'!$T$45:$AQ$85</definedName>
    <definedName name="_xlnm.Print_Area" localSheetId="9">'Rate DT-Pri'!$A$1:$R$69</definedName>
    <definedName name="_xlnm.Print_Area" localSheetId="10">'Rate DT-Sec'!$A$1:$R$67</definedName>
    <definedName name="_xlnm.Print_Area" localSheetId="11">'Rate EH'!$A$1:$R$47</definedName>
    <definedName name="_xlnm.Print_Area" localSheetId="25">'Rate LED'!$T$622:$AQ$696</definedName>
    <definedName name="_xlnm.Print_Area" localSheetId="22">'Rate NSU'!$A$1:$R$51</definedName>
    <definedName name="_xlnm.Print_Area" localSheetId="7">'Rate RS'!$A$1:$R$45</definedName>
    <definedName name="_xlnm.Print_Area" localSheetId="23">'Rate SC'!$A$1:$R$77</definedName>
    <definedName name="_xlnm.Print_Area" localSheetId="24">'Rate SE'!$A$1:$R$56</definedName>
    <definedName name="_xlnm.Print_Area" localSheetId="19">'Rate SL'!$A$70:$R$145</definedName>
    <definedName name="_xlnm.Print_Area" localSheetId="12">'Rate SP GSFL'!$A$1:$R$64</definedName>
    <definedName name="_xlnm.Print_Area" localSheetId="20">'Rate TL'!$A$1:$R$38</definedName>
    <definedName name="_xlnm.Print_Area" localSheetId="14">'Rate TT'!$A$1:$R$62</definedName>
    <definedName name="_xlnm.Print_Area" localSheetId="18">'Rate TT RTP'!$T$47:$AQ$87</definedName>
    <definedName name="_xlnm.Print_Area" localSheetId="21">'Rate UOLS'!$A$1:$R$32</definedName>
    <definedName name="_xlnm.Print_Area" localSheetId="3">'SCH M'!$A$1:$K$75</definedName>
    <definedName name="_xlnm.Print_Area" localSheetId="4">'SCH M-2.1'!$A$1:$T$56</definedName>
    <definedName name="_xlnm.Print_Area" localSheetId="5">'SCH M-2.2'!$A$1:$X$70</definedName>
    <definedName name="_xlnm.Print_Area" localSheetId="6">'SCH M-2.3'!$A$1:$R$72</definedName>
    <definedName name="_xlnm.Print_Area" localSheetId="26">'SCH N'!$A$184:$R$247</definedName>
    <definedName name="PRO_BASE_FUEL">INPUT!$D$20</definedName>
    <definedName name="PRO_DCI">INPUT!$D$169</definedName>
    <definedName name="PRO_DCI_DIST">INPUT!$D$170</definedName>
    <definedName name="PRO_DCI_DP">INPUT!$D$176</definedName>
    <definedName name="PRO_DCI_DTP">INPUT!$D$171</definedName>
    <definedName name="PRO_DCI_DTS">INPUT!$D$172</definedName>
    <definedName name="PRO_DCI_EH">INPUT!$D$173</definedName>
    <definedName name="PRO_DCI_GSFL">INPUT!$D$175</definedName>
    <definedName name="PRO_DCI_SL">INPUT!$D$178</definedName>
    <definedName name="PRO_DCI_SP">INPUT!$D$174</definedName>
    <definedName name="PRO_DP_CST">'Rate DP'!$J$25</definedName>
    <definedName name="PRO_DP_DEMAND">'Rate DP'!$J$29</definedName>
    <definedName name="PRO_DP_KWH1">'Rate DP'!$J$33</definedName>
    <definedName name="PRO_DP_KWH2">'Rate DP'!$J$34</definedName>
    <definedName name="PRO_DP_LMR">'Rate DP'!$J$24</definedName>
    <definedName name="PRO_DP_RTP_COM" localSheetId="16">'Rate DT RTP-S'!$J$29</definedName>
    <definedName name="PRO_DP_RTP_COM" localSheetId="25">#REF!</definedName>
    <definedName name="PRO_DP_RTP_COM">#REF!</definedName>
    <definedName name="PRO_DP_RTP_CUST" localSheetId="16">'Rate DT RTP-S'!$J$24</definedName>
    <definedName name="PRO_DP_RTP_CUST" localSheetId="25">#REF!</definedName>
    <definedName name="PRO_DP_RTP_CUST">#REF!</definedName>
    <definedName name="PRO_DP_RTP_KWH1" localSheetId="16">'Rate DT RTP-S'!$J$28</definedName>
    <definedName name="PRO_DP_RTP_KWH1" localSheetId="25">#REF!</definedName>
    <definedName name="PRO_DP_RTP_KWH1">#REF!</definedName>
    <definedName name="PRO_DP_RTP_KWH2" localSheetId="16">'Rate DT RTP-S'!#REF!</definedName>
    <definedName name="PRO_DP_RTP_KWH2" localSheetId="25">#REF!</definedName>
    <definedName name="PRO_DP_RTP_KWH2">#REF!</definedName>
    <definedName name="PRO_DS_CST_1">'Rate DS'!$J$25</definedName>
    <definedName name="PRO_DS_CST_2">'Rate DS'!$J$26</definedName>
    <definedName name="PRO_DS_DEM_1">'Rate DS'!$J$30</definedName>
    <definedName name="PRO_DS_DEM_3">'Rate DS'!$J$31</definedName>
    <definedName name="PRO_DS_KWH_1">'Rate DS'!$J$35</definedName>
    <definedName name="PRO_DS_KWH_2">'Rate DS'!$J$36</definedName>
    <definedName name="PRO_DS_KWH_3">'Rate DS'!$J$37</definedName>
    <definedName name="PRO_DS_LMR">'Rate DS'!#REF!</definedName>
    <definedName name="PRO_DS_MSRE">INPUT!$D$24</definedName>
    <definedName name="PRO_DS_RTP_COM" localSheetId="17">'Rate DS RTP'!$J$29</definedName>
    <definedName name="PRO_DS_RTP_COM" localSheetId="25">#REF!</definedName>
    <definedName name="PRO_DS_RTP_COM">#REF!</definedName>
    <definedName name="PRO_DS_RTP_CUST" localSheetId="17">'Rate DS RTP'!$J$24</definedName>
    <definedName name="PRO_DS_RTP_CUST" localSheetId="25">#REF!</definedName>
    <definedName name="PRO_DS_RTP_CUST">#REF!</definedName>
    <definedName name="PRO_DS_RTP_KWH1" localSheetId="17">'Rate DS RTP'!$J$28</definedName>
    <definedName name="PRO_DS_RTP_KWH1" localSheetId="25">#REF!</definedName>
    <definedName name="PRO_DS_RTP_KWH1">#REF!</definedName>
    <definedName name="PRO_DS_RTP_KWH2" localSheetId="17">'Rate DS RTP'!#REF!</definedName>
    <definedName name="PRO_DS_RTP_KWH2" localSheetId="25">#REF!</definedName>
    <definedName name="PRO_DS_RTP_KWH2">#REF!</definedName>
    <definedName name="PRO_DSM_DIST">INPUT!$D$30</definedName>
    <definedName name="PRO_DSM_RES">INPUT!$D$29</definedName>
    <definedName name="PRO_DSM_TRANS">INPUT!$D$31</definedName>
    <definedName name="PRO_DT_DEMOFF">'Rate DT-Sec'!$J$29</definedName>
    <definedName name="PRO_DT_DEMON">'Rate DT-Sec'!$J$28</definedName>
    <definedName name="PRO_DT_DISC">'Rate DT-Pri'!$J$31</definedName>
    <definedName name="PRO_DT_DISC1">'Rate DT-Pri'!$J$32</definedName>
    <definedName name="PRO_DT_PRI">'Rate DT-Pri'!$J$23</definedName>
    <definedName name="PRO_DT_RTP_COM" localSheetId="15">'Rate DT RTP-P'!$J$29</definedName>
    <definedName name="PRO_DT_RTP_COM" localSheetId="25">#REF!</definedName>
    <definedName name="PRO_DT_RTP_COM">#REF!</definedName>
    <definedName name="PRO_DT_RTP_CUST" localSheetId="15">'Rate DT RTP-P'!$J$24</definedName>
    <definedName name="PRO_DT_RTP_CUST" localSheetId="25">#REF!</definedName>
    <definedName name="PRO_DT_RTP_CUST">#REF!</definedName>
    <definedName name="PRO_DT_RTP_KWH1" localSheetId="15">'Rate DT RTP-P'!$J$28</definedName>
    <definedName name="PRO_DT_RTP_KWH1" localSheetId="25">#REF!</definedName>
    <definedName name="PRO_DT_RTP_KWH1">#REF!</definedName>
    <definedName name="PRO_DT_RTP_KWH2" localSheetId="15">'Rate DT RTP-P'!#REF!</definedName>
    <definedName name="PRO_DT_RTP_KWH2" localSheetId="25">#REF!</definedName>
    <definedName name="PRO_DT_RTP_KWH2">#REF!</definedName>
    <definedName name="PRO_DT_SEC_CST">'Rate DT-Sec'!$J$23</definedName>
    <definedName name="PRO_DT_SEC_CST3">'Rate DT-Sec'!$J$24</definedName>
    <definedName name="PRO_DT_SEC_DEMWINON">'Rate DT-Sec'!$J$45</definedName>
    <definedName name="PRO_DT_SEC_SUMKWH">'Rate DT-Sec'!$J$35</definedName>
    <definedName name="PRO_DT_SEC_WINKWH">'Rate DT-Sec'!$J$52</definedName>
    <definedName name="PRO_DT_SEC_WINOFF">'Rate DT-Sec'!$J$46</definedName>
    <definedName name="PRO_DT_SUM_E_OFF">'Rate DT-Pri'!$J$36</definedName>
    <definedName name="PRO_DT_SUM_E_ON">'Rate DT-Pri'!$J$35</definedName>
    <definedName name="PRO_DT_SUM_PEAK">'Rate DT-Pri'!$J$26</definedName>
    <definedName name="PRO_DT_SUM_PK_OFF">'Rate DT-Pri'!$J$27</definedName>
    <definedName name="PRO_DT_WIN_E_OFF">'Rate DT-Pri'!$J$54</definedName>
    <definedName name="PRO_DT_WIN_E_ON">'Rate DT-Pri'!$J$53</definedName>
    <definedName name="PRO_DT_WIN_PEAK">'Rate DT-Pri'!$J$44</definedName>
    <definedName name="PRO_DT_WIN_PK_OFF">'Rate DT-Pri'!$J$45</definedName>
    <definedName name="PRO_EH_CST_1">'Rate EH'!$J$24</definedName>
    <definedName name="PRO_EH_CST_2">'Rate EH'!$J$25</definedName>
    <definedName name="PRO_EH_CST_3">'Rate EH'!$J$26</definedName>
    <definedName name="PRO_EH_KWH_1">'Rate EH'!$J$33</definedName>
    <definedName name="PRO_ESM">INPUT!$D$165</definedName>
    <definedName name="PRO_ESM_NONRES">INPUT!$D$166</definedName>
    <definedName name="PRO_FAC">INPUT!$D$19</definedName>
    <definedName name="PRO_FTR_DIST">INPUT!$D$184</definedName>
    <definedName name="PRO_FTR_DP">INPUT!$D$190</definedName>
    <definedName name="PRO_FTR_DTP">INPUT!$D$185</definedName>
    <definedName name="PRO_FTR_DTS">INPUT!$D$186</definedName>
    <definedName name="PRO_FTR_EH">INPUT!$D$187</definedName>
    <definedName name="PRO_FTR_GSFL">INPUT!$D$189</definedName>
    <definedName name="PRO_FTR_RES">INPUT!$D$183</definedName>
    <definedName name="PRO_FTR_SL">INPUT!$D$192</definedName>
    <definedName name="PRO_FTR_SP">INPUT!$D$188</definedName>
    <definedName name="PRO_FTR_TT">INPUT!$D$191</definedName>
    <definedName name="PRO_LT_MSRE">INPUT!$D$26</definedName>
    <definedName name="PRO_PSM">INPUT!$D$34</definedName>
    <definedName name="PRO_RS_CUST">'Rate RS'!$J$23</definedName>
    <definedName name="PRO_RS_ENERGY">'Rate RS'!$J$26</definedName>
    <definedName name="PRO_RS_MSRE">INPUT!$D$23</definedName>
    <definedName name="PRO_SUM_TT_ON_KWH">INPUT!$D$125</definedName>
    <definedName name="PRO_TT_MSRE">INPUT!$D$25</definedName>
    <definedName name="PRO_TT_OFF">INPUT!$D$127</definedName>
    <definedName name="PRO_TT_RTP_COM" localSheetId="25">#REF!</definedName>
    <definedName name="PRO_TT_RTP_COM" localSheetId="18">'Rate TT RTP'!$J$29</definedName>
    <definedName name="PRO_TT_RTP_COM">#REF!</definedName>
    <definedName name="PRO_TT_RTP_CUST" localSheetId="25">#REF!</definedName>
    <definedName name="PRO_TT_RTP_CUST" localSheetId="18">'Rate TT RTP'!$J$24</definedName>
    <definedName name="PRO_TT_RTP_CUST">#REF!</definedName>
    <definedName name="PRO_TT_RTP_KWH1" localSheetId="25">#REF!</definedName>
    <definedName name="PRO_TT_RTP_KWH1" localSheetId="18">'Rate TT RTP'!$J$28</definedName>
    <definedName name="PRO_TT_RTP_KWH1">#REF!</definedName>
    <definedName name="PRO_TT_RTP_KWH2" localSheetId="25">#REF!</definedName>
    <definedName name="PRO_TT_RTP_KWH2" localSheetId="18">'Rate TT RTP'!#REF!</definedName>
    <definedName name="PRO_TT_RTP_KWH2">#REF!</definedName>
    <definedName name="PRO_TT_SUM_CST">'Rate TT'!$J$21</definedName>
    <definedName name="PRO_TT_SUM_PEAK">'Rate TT'!$J$24</definedName>
    <definedName name="PRO_TT_SUM_PK_OFF">'Rate TT'!$J$25</definedName>
    <definedName name="PRO_TT_WIN_CST">'Rate TT'!$J$35</definedName>
    <definedName name="PRO_TT_WIN_PEAK">'Rate TT'!$J$38</definedName>
    <definedName name="PRO_TT_WIN_PK_OFF">'Rate TT'!$J$39</definedName>
    <definedName name="PRO_WIN_TT_ON_KWH">INPUT!$D$126</definedName>
    <definedName name="PSM_Name">INPUT!$B$199</definedName>
    <definedName name="RS_MSRE">INPUT!$C$23</definedName>
    <definedName name="RS_PSM">INPUT!$C$34</definedName>
    <definedName name="SCH_M">'SCH M'!$A$1:$K$75</definedName>
    <definedName name="SCH_M_2.1">'SCH M-2.1'!$A$1:$T$56</definedName>
    <definedName name="SCH_M_2.2PG1">'SCH M-2.2'!$A$1:$X$70</definedName>
    <definedName name="SCH_M_2.2PG10">'Rate DT RTP-S'!$T$45:$AQ$85</definedName>
    <definedName name="SCH_M_2.2PG11">'Rate DS RTP'!$T$45:$AQ$85</definedName>
    <definedName name="SCH_M_2.2PG12">'Rate TT RTP'!$T$47:$AQ$87</definedName>
    <definedName name="SCH_M_2.2PG13">'Rate SL'!$T$155:$AQ$221</definedName>
    <definedName name="SCH_M_2.2PG14">'Rate SL'!$T$224:$AQ$298</definedName>
    <definedName name="SCH_M_2.2PG15">'Rate TL'!$T$39:$AQ$76</definedName>
    <definedName name="SCH_M_2.2PG16">'Rate UOLS'!$T$36:$AQ$67</definedName>
    <definedName name="SCH_M_2.2PG17">'Rate NSU'!$T$51:$AQ$99</definedName>
    <definedName name="SCH_M_2.2PG18">'Rate SC'!$T$74:$AQ$150</definedName>
    <definedName name="SCH_M_2.2PG19">'Rate SE'!$T$57:$AQ$112</definedName>
    <definedName name="SCH_M_2.2PG2">'Rate RS'!$T$42:$AP$83</definedName>
    <definedName name="SCH_M_2.2PG20">'Rate LED'!$T$352:$AQ$416</definedName>
    <definedName name="SCH_M_2.2PG21">'Rate LED'!$T$418:$AQ$487</definedName>
    <definedName name="SCH_M_2.2PG22">'Rate LED'!$T$489:$AQ$553</definedName>
    <definedName name="SCH_M_2.2PG23">'Rate LED'!$T$555:$AQ$620</definedName>
    <definedName name="SCH_M_2.2PG24">'Rate LED'!$T$622:$AQ$696</definedName>
    <definedName name="SCH_M_2.2PG3">'Rate DS'!$T$57:$AQ$110</definedName>
    <definedName name="SCH_M_2.2PG4">'Rate DT-Pri'!$T$73:$AQ$142</definedName>
    <definedName name="SCH_M_2.2PG5">'Rate DT-Sec'!$T$71:$AQ$137</definedName>
    <definedName name="SCH_M_2.2PG6">'Rate EH'!$T$49:$AQ$95</definedName>
    <definedName name="SCH_M_2.2PG7">'Rate SP GSFL'!$T$65:$AQ$127</definedName>
    <definedName name="SCH_M_2.2PG8">'Rate DP'!$T$53:$AQ$102</definedName>
    <definedName name="SCH_M_2.2PG9">'Rate TT'!$T$65:$AQ$125</definedName>
    <definedName name="SCH_M_2.3PG1">'SCH M-2.3'!$A$1:$R$72</definedName>
    <definedName name="SCH_M_2.3PG10">'Rate DT RTP-S'!$A$1:$R$41</definedName>
    <definedName name="SCH_M_2.3PG11">'Rate DS RTP'!$A$1:$R$41</definedName>
    <definedName name="SCH_M_2.3PG12">'Rate TT RTP'!$A$1:$R$41</definedName>
    <definedName name="SCH_M_2.3PG13">'Rate SL'!$A$1:$R$67</definedName>
    <definedName name="SCH_M_2.3PG14">'Rate SL'!$A$70:$R$145</definedName>
    <definedName name="SCH_M_2.3PG15">'Rate TL'!$A$1:$R$38</definedName>
    <definedName name="SCH_M_2.3PG16">'Rate UOLS'!$A$1:$R$32</definedName>
    <definedName name="SCH_M_2.3PG17">'Rate NSU'!$A$1:$R$51</definedName>
    <definedName name="SCH_M_2.3PG18">'Rate SC'!$A$1:$R$77</definedName>
    <definedName name="SCH_M_2.3PG19">'Rate SE'!$A$1:$R$56</definedName>
    <definedName name="SCH_M_2.3PG2">'Rate RS'!$A$1:$R$45</definedName>
    <definedName name="SCH_M_2.3PG20">'Rate LED'!$A$1:$R$65</definedName>
    <definedName name="SCH_M_2.3PG21">'Rate LED'!$A$67:$R$135</definedName>
    <definedName name="SCH_M_2.3PG22">'Rate LED'!$A$137:$R$201</definedName>
    <definedName name="SCH_M_2.3PG23">'Rate LED'!$A$203:$R$268</definedName>
    <definedName name="SCH_M_2.3PG24">'Rate LED'!$A$270:$R$344</definedName>
    <definedName name="SCH_M_2.3PG3">'Rate DS'!$A$1:$R$56</definedName>
    <definedName name="SCH_M_2.3PG4">'Rate DT-Pri'!$A$1:$R$69</definedName>
    <definedName name="SCH_M_2.3PG5">'Rate DT-Sec'!$A$1:$R$67</definedName>
    <definedName name="SCH_M_2.3PG6">'Rate EH'!$A$1:$R$47</definedName>
    <definedName name="SCH_M_2.3PG7">'Rate SP GSFL'!$A$1:$R$64</definedName>
    <definedName name="SCH_M_2.3PG8">'Rate DP'!$A$1:$R$50</definedName>
    <definedName name="SCH_M_2.3PG9">'Rate TT'!$A$1:$R$62</definedName>
    <definedName name="SCH_N_1">'SCH N'!$A$1:$R$34</definedName>
    <definedName name="SCH_N_2">'SCH N'!$A$35:$R$86</definedName>
    <definedName name="SCH_N_3">'SCH N'!$A$87:$R$133</definedName>
    <definedName name="SCH_N_4">'SCH N'!$A$134:$R$183</definedName>
    <definedName name="SCH_N_5">'SCH N'!$A$184:$R$247</definedName>
    <definedName name="SERVICE">INPUT!$D$12</definedName>
    <definedName name="TIME">INPUT!$B$6</definedName>
    <definedName name="TITLE">INPUT!$B$15</definedName>
    <definedName name="TT_MSRE">INPUT!$C$25</definedName>
    <definedName name="TYPE">INPUT!$B$14</definedName>
    <definedName name="WIT">INPUT!$D$38</definedName>
    <definedName name="Z_0BC1F393_8A13_47D5_BC6C_0C99615B5AB9_.wvu.PrintArea" localSheetId="13" hidden="1">'Rate DP'!$A$1:$R$50</definedName>
    <definedName name="Z_0BC1F393_8A13_47D5_BC6C_0C99615B5AB9_.wvu.PrintArea" localSheetId="8" hidden="1">'Rate DS'!$A$1:$R$56</definedName>
    <definedName name="Z_0BC1F393_8A13_47D5_BC6C_0C99615B5AB9_.wvu.PrintArea" localSheetId="17" hidden="1">'Rate DS RTP'!$A$1:$R$43</definedName>
    <definedName name="Z_0BC1F393_8A13_47D5_BC6C_0C99615B5AB9_.wvu.PrintArea" localSheetId="15" hidden="1">'Rate DT RTP-P'!$A$1:$R$41</definedName>
    <definedName name="Z_0BC1F393_8A13_47D5_BC6C_0C99615B5AB9_.wvu.PrintArea" localSheetId="16" hidden="1">'Rate DT RTP-S'!$A$1:$R$42</definedName>
    <definedName name="Z_0BC1F393_8A13_47D5_BC6C_0C99615B5AB9_.wvu.PrintArea" localSheetId="9" hidden="1">'Rate DT-Pri'!$A$1:$R$67</definedName>
    <definedName name="Z_0BC1F393_8A13_47D5_BC6C_0C99615B5AB9_.wvu.PrintArea" localSheetId="10" hidden="1">'Rate DT-Sec'!$A$1:$R$67</definedName>
    <definedName name="Z_0BC1F393_8A13_47D5_BC6C_0C99615B5AB9_.wvu.PrintArea" localSheetId="11" hidden="1">'Rate EH'!$A$1:$R$47</definedName>
    <definedName name="Z_0BC1F393_8A13_47D5_BC6C_0C99615B5AB9_.wvu.PrintArea" localSheetId="25" hidden="1">'Rate LED'!$A$112:$R$348</definedName>
    <definedName name="Z_0BC1F393_8A13_47D5_BC6C_0C99615B5AB9_.wvu.PrintArea" localSheetId="22" hidden="1">'Rate NSU'!$A$1:$R$49</definedName>
    <definedName name="Z_0BC1F393_8A13_47D5_BC6C_0C99615B5AB9_.wvu.PrintArea" localSheetId="7" hidden="1">'Rate RS'!$A$1:$R$45</definedName>
    <definedName name="Z_0BC1F393_8A13_47D5_BC6C_0C99615B5AB9_.wvu.PrintArea" localSheetId="23" hidden="1">'Rate SC'!$A$1:$R$77</definedName>
    <definedName name="Z_0BC1F393_8A13_47D5_BC6C_0C99615B5AB9_.wvu.PrintArea" localSheetId="24" hidden="1">'Rate SE'!$A$1:$R$56</definedName>
    <definedName name="Z_0BC1F393_8A13_47D5_BC6C_0C99615B5AB9_.wvu.PrintArea" localSheetId="19" hidden="1">'Rate SL'!$A$70:$R$151</definedName>
    <definedName name="Z_0BC1F393_8A13_47D5_BC6C_0C99615B5AB9_.wvu.PrintArea" localSheetId="12" hidden="1">'Rate SP GSFL'!$A$1:$R$64</definedName>
    <definedName name="Z_0BC1F393_8A13_47D5_BC6C_0C99615B5AB9_.wvu.PrintArea" localSheetId="20" hidden="1">'Rate TL'!$A$1:$R$38</definedName>
    <definedName name="Z_0BC1F393_8A13_47D5_BC6C_0C99615B5AB9_.wvu.PrintArea" localSheetId="14" hidden="1">'Rate TT'!$A$1:$R$62</definedName>
    <definedName name="Z_0BC1F393_8A13_47D5_BC6C_0C99615B5AB9_.wvu.PrintArea" localSheetId="18" hidden="1">'Rate TT RTP'!$A$1:$R$42</definedName>
    <definedName name="Z_0BC1F393_8A13_47D5_BC6C_0C99615B5AB9_.wvu.PrintArea" localSheetId="21" hidden="1">'Rate UOLS'!$A$1:$R$32</definedName>
    <definedName name="Z_0BC1F393_8A13_47D5_BC6C_0C99615B5AB9_.wvu.PrintArea" localSheetId="3" hidden="1">'SCH M'!$A$1:$O$69</definedName>
    <definedName name="Z_0BC1F393_8A13_47D5_BC6C_0C99615B5AB9_.wvu.PrintArea" localSheetId="4" hidden="1">'SCH M-2.1'!$A$1:$T$56</definedName>
    <definedName name="Z_0BC1F393_8A13_47D5_BC6C_0C99615B5AB9_.wvu.PrintArea" localSheetId="5" hidden="1">'SCH M-2.2'!$A$1:$X$77</definedName>
    <definedName name="Z_0BC1F393_8A13_47D5_BC6C_0C99615B5AB9_.wvu.PrintArea" localSheetId="6" hidden="1">'SCH M-2.3'!$A$1:$R$72</definedName>
    <definedName name="Z_0BC1F393_8A13_47D5_BC6C_0C99615B5AB9_.wvu.PrintArea" localSheetId="26" hidden="1">'SCH N'!$A$184:$R$247</definedName>
    <definedName name="Z_0C49E549_011E_46F4_A82E_2CC8951A9C1E_.wvu.PrintArea" localSheetId="13" hidden="1">'Rate DP'!$A$1:$R$50</definedName>
    <definedName name="Z_0C49E549_011E_46F4_A82E_2CC8951A9C1E_.wvu.PrintArea" localSheetId="8" hidden="1">'Rate DS'!$A$1:$R$56</definedName>
    <definedName name="Z_0C49E549_011E_46F4_A82E_2CC8951A9C1E_.wvu.PrintArea" localSheetId="17" hidden="1">'Rate DS RTP'!$A$1:$R$43</definedName>
    <definedName name="Z_0C49E549_011E_46F4_A82E_2CC8951A9C1E_.wvu.PrintArea" localSheetId="15" hidden="1">'Rate DT RTP-P'!$A$1:$R$41</definedName>
    <definedName name="Z_0C49E549_011E_46F4_A82E_2CC8951A9C1E_.wvu.PrintArea" localSheetId="16" hidden="1">'Rate DT RTP-S'!$A$1:$R$42</definedName>
    <definedName name="Z_0C49E549_011E_46F4_A82E_2CC8951A9C1E_.wvu.PrintArea" localSheetId="9" hidden="1">'Rate DT-Pri'!$A$1:$R$67</definedName>
    <definedName name="Z_0C49E549_011E_46F4_A82E_2CC8951A9C1E_.wvu.PrintArea" localSheetId="10" hidden="1">'Rate DT-Sec'!$A$1:$R$67</definedName>
    <definedName name="Z_0C49E549_011E_46F4_A82E_2CC8951A9C1E_.wvu.PrintArea" localSheetId="11" hidden="1">'Rate EH'!$A$1:$R$47</definedName>
    <definedName name="Z_0C49E549_011E_46F4_A82E_2CC8951A9C1E_.wvu.PrintArea" localSheetId="25" hidden="1">'Rate LED'!$T$464:$AQ$602</definedName>
    <definedName name="Z_0C49E549_011E_46F4_A82E_2CC8951A9C1E_.wvu.PrintArea" localSheetId="22" hidden="1">'Rate NSU'!$A$1:$R$49</definedName>
    <definedName name="Z_0C49E549_011E_46F4_A82E_2CC8951A9C1E_.wvu.PrintArea" localSheetId="7" hidden="1">'Rate RS'!$A$1:$R$45</definedName>
    <definedName name="Z_0C49E549_011E_46F4_A82E_2CC8951A9C1E_.wvu.PrintArea" localSheetId="23" hidden="1">'Rate SC'!$A$1:$R$77</definedName>
    <definedName name="Z_0C49E549_011E_46F4_A82E_2CC8951A9C1E_.wvu.PrintArea" localSheetId="24" hidden="1">'Rate SE'!$A$1:$R$56</definedName>
    <definedName name="Z_0C49E549_011E_46F4_A82E_2CC8951A9C1E_.wvu.PrintArea" localSheetId="19" hidden="1">'Rate SL'!$T$224:$AQ$298</definedName>
    <definedName name="Z_0C49E549_011E_46F4_A82E_2CC8951A9C1E_.wvu.PrintArea" localSheetId="12" hidden="1">'Rate SP GSFL'!$A$1:$R$64</definedName>
    <definedName name="Z_0C49E549_011E_46F4_A82E_2CC8951A9C1E_.wvu.PrintArea" localSheetId="20" hidden="1">'Rate TL'!$A$1:$R$38</definedName>
    <definedName name="Z_0C49E549_011E_46F4_A82E_2CC8951A9C1E_.wvu.PrintArea" localSheetId="14" hidden="1">'Rate TT'!$A$1:$R$62</definedName>
    <definedName name="Z_0C49E549_011E_46F4_A82E_2CC8951A9C1E_.wvu.PrintArea" localSheetId="18" hidden="1">'Rate TT RTP'!$A$1:$R$42</definedName>
    <definedName name="Z_0C49E549_011E_46F4_A82E_2CC8951A9C1E_.wvu.PrintArea" localSheetId="21" hidden="1">'Rate UOLS'!$A$1:$R$32</definedName>
    <definedName name="Z_0C49E549_011E_46F4_A82E_2CC8951A9C1E_.wvu.PrintArea" localSheetId="3" hidden="1">'SCH M'!$A$1:$K$75</definedName>
    <definedName name="Z_0C49E549_011E_46F4_A82E_2CC8951A9C1E_.wvu.PrintArea" localSheetId="4" hidden="1">'SCH M-2.1'!$A$1:$T$56</definedName>
    <definedName name="Z_0C49E549_011E_46F4_A82E_2CC8951A9C1E_.wvu.PrintArea" localSheetId="5" hidden="1">'SCH M-2.2'!$A$1:$X$77</definedName>
    <definedName name="Z_0C49E549_011E_46F4_A82E_2CC8951A9C1E_.wvu.PrintArea" localSheetId="6" hidden="1">'SCH M-2.3'!$A$1:$R$72</definedName>
    <definedName name="Z_0C49E549_011E_46F4_A82E_2CC8951A9C1E_.wvu.PrintArea" localSheetId="26" hidden="1">'SCH N'!$A$184:$R$247</definedName>
    <definedName name="Z_18BDED73_BFA0_442E_87EC_CED86EE4CF94_.wvu.PrintArea" localSheetId="13" hidden="1">'Rate DP'!$A$1:$R$50</definedName>
    <definedName name="Z_18BDED73_BFA0_442E_87EC_CED86EE4CF94_.wvu.PrintArea" localSheetId="8" hidden="1">'Rate DS'!$A$1:$R$56</definedName>
    <definedName name="Z_18BDED73_BFA0_442E_87EC_CED86EE4CF94_.wvu.PrintArea" localSheetId="17" hidden="1">'Rate DS RTP'!$A$1:$R$43</definedName>
    <definedName name="Z_18BDED73_BFA0_442E_87EC_CED86EE4CF94_.wvu.PrintArea" localSheetId="15" hidden="1">'Rate DT RTP-P'!$A$1:$R$41</definedName>
    <definedName name="Z_18BDED73_BFA0_442E_87EC_CED86EE4CF94_.wvu.PrintArea" localSheetId="16" hidden="1">'Rate DT RTP-S'!$A$1:$R$42</definedName>
    <definedName name="Z_18BDED73_BFA0_442E_87EC_CED86EE4CF94_.wvu.PrintArea" localSheetId="9" hidden="1">'Rate DT-Pri'!$A$1:$R$67</definedName>
    <definedName name="Z_18BDED73_BFA0_442E_87EC_CED86EE4CF94_.wvu.PrintArea" localSheetId="10" hidden="1">'Rate DT-Sec'!$A$1:$R$67</definedName>
    <definedName name="Z_18BDED73_BFA0_442E_87EC_CED86EE4CF94_.wvu.PrintArea" localSheetId="11" hidden="1">'Rate EH'!$A$1:$R$47</definedName>
    <definedName name="Z_18BDED73_BFA0_442E_87EC_CED86EE4CF94_.wvu.PrintArea" localSheetId="25" hidden="1">'Rate LED'!$A$112:$R$348</definedName>
    <definedName name="Z_18BDED73_BFA0_442E_87EC_CED86EE4CF94_.wvu.PrintArea" localSheetId="22" hidden="1">'Rate NSU'!$A$1:$R$49</definedName>
    <definedName name="Z_18BDED73_BFA0_442E_87EC_CED86EE4CF94_.wvu.PrintArea" localSheetId="7" hidden="1">'Rate RS'!$A$1:$R$45</definedName>
    <definedName name="Z_18BDED73_BFA0_442E_87EC_CED86EE4CF94_.wvu.PrintArea" localSheetId="23" hidden="1">'Rate SC'!$A$1:$R$77</definedName>
    <definedName name="Z_18BDED73_BFA0_442E_87EC_CED86EE4CF94_.wvu.PrintArea" localSheetId="24" hidden="1">'Rate SE'!$A$1:$R$56</definedName>
    <definedName name="Z_18BDED73_BFA0_442E_87EC_CED86EE4CF94_.wvu.PrintArea" localSheetId="19" hidden="1">'Rate SL'!$A$70:$R$151</definedName>
    <definedName name="Z_18BDED73_BFA0_442E_87EC_CED86EE4CF94_.wvu.PrintArea" localSheetId="12" hidden="1">'Rate SP GSFL'!$A$1:$R$64</definedName>
    <definedName name="Z_18BDED73_BFA0_442E_87EC_CED86EE4CF94_.wvu.PrintArea" localSheetId="20" hidden="1">'Rate TL'!$A$1:$R$38</definedName>
    <definedName name="Z_18BDED73_BFA0_442E_87EC_CED86EE4CF94_.wvu.PrintArea" localSheetId="14" hidden="1">'Rate TT'!$A$1:$R$62</definedName>
    <definedName name="Z_18BDED73_BFA0_442E_87EC_CED86EE4CF94_.wvu.PrintArea" localSheetId="18" hidden="1">'Rate TT RTP'!$A$1:$R$42</definedName>
    <definedName name="Z_18BDED73_BFA0_442E_87EC_CED86EE4CF94_.wvu.PrintArea" localSheetId="21" hidden="1">'Rate UOLS'!$A$1:$R$32</definedName>
    <definedName name="Z_18BDED73_BFA0_442E_87EC_CED86EE4CF94_.wvu.PrintArea" localSheetId="3" hidden="1">'SCH M'!$A$1:$O$69</definedName>
    <definedName name="Z_18BDED73_BFA0_442E_87EC_CED86EE4CF94_.wvu.PrintArea" localSheetId="4" hidden="1">'SCH M-2.1'!$A$1:$T$56</definedName>
    <definedName name="Z_18BDED73_BFA0_442E_87EC_CED86EE4CF94_.wvu.PrintArea" localSheetId="5" hidden="1">'SCH M-2.2'!$A$1:$X$77</definedName>
    <definedName name="Z_18BDED73_BFA0_442E_87EC_CED86EE4CF94_.wvu.PrintArea" localSheetId="6" hidden="1">'SCH M-2.3'!$A$1:$R$72</definedName>
    <definedName name="Z_18BDED73_BFA0_442E_87EC_CED86EE4CF94_.wvu.PrintArea" localSheetId="26" hidden="1">'SCH N'!$A$184:$R$247</definedName>
    <definedName name="Z_195DF303_1BBD_4236_94B5_47432850B006_.wvu.PrintArea" localSheetId="13" hidden="1">'Rate DP'!$A$1:$R$50</definedName>
    <definedName name="Z_195DF303_1BBD_4236_94B5_47432850B006_.wvu.PrintArea" localSheetId="8" hidden="1">'Rate DS'!$A$1:$R$56</definedName>
    <definedName name="Z_195DF303_1BBD_4236_94B5_47432850B006_.wvu.PrintArea" localSheetId="17" hidden="1">'Rate DS RTP'!$A$1:$R$43</definedName>
    <definedName name="Z_195DF303_1BBD_4236_94B5_47432850B006_.wvu.PrintArea" localSheetId="15" hidden="1">'Rate DT RTP-P'!$A$1:$R$41</definedName>
    <definedName name="Z_195DF303_1BBD_4236_94B5_47432850B006_.wvu.PrintArea" localSheetId="16" hidden="1">'Rate DT RTP-S'!$A$1:$R$42</definedName>
    <definedName name="Z_195DF303_1BBD_4236_94B5_47432850B006_.wvu.PrintArea" localSheetId="9" hidden="1">'Rate DT-Pri'!$A$1:$R$67</definedName>
    <definedName name="Z_195DF303_1BBD_4236_94B5_47432850B006_.wvu.PrintArea" localSheetId="10" hidden="1">'Rate DT-Sec'!$A$1:$R$67</definedName>
    <definedName name="Z_195DF303_1BBD_4236_94B5_47432850B006_.wvu.PrintArea" localSheetId="11" hidden="1">'Rate EH'!$A$1:$R$47</definedName>
    <definedName name="Z_195DF303_1BBD_4236_94B5_47432850B006_.wvu.PrintArea" localSheetId="25" hidden="1">'Rate LED'!$T$464:$AQ$602</definedName>
    <definedName name="Z_195DF303_1BBD_4236_94B5_47432850B006_.wvu.PrintArea" localSheetId="22" hidden="1">'Rate NSU'!$A$1:$R$49</definedName>
    <definedName name="Z_195DF303_1BBD_4236_94B5_47432850B006_.wvu.PrintArea" localSheetId="7" hidden="1">'Rate RS'!$A$1:$R$45</definedName>
    <definedName name="Z_195DF303_1BBD_4236_94B5_47432850B006_.wvu.PrintArea" localSheetId="23" hidden="1">'Rate SC'!$A$1:$R$77</definedName>
    <definedName name="Z_195DF303_1BBD_4236_94B5_47432850B006_.wvu.PrintArea" localSheetId="24" hidden="1">'Rate SE'!$A$1:$R$56</definedName>
    <definedName name="Z_195DF303_1BBD_4236_94B5_47432850B006_.wvu.PrintArea" localSheetId="19" hidden="1">'Rate SL'!$T$224:$AQ$298</definedName>
    <definedName name="Z_195DF303_1BBD_4236_94B5_47432850B006_.wvu.PrintArea" localSheetId="12" hidden="1">'Rate SP GSFL'!$A$1:$R$64</definedName>
    <definedName name="Z_195DF303_1BBD_4236_94B5_47432850B006_.wvu.PrintArea" localSheetId="20" hidden="1">'Rate TL'!$A$1:$R$38</definedName>
    <definedName name="Z_195DF303_1BBD_4236_94B5_47432850B006_.wvu.PrintArea" localSheetId="14" hidden="1">'Rate TT'!$A$1:$R$62</definedName>
    <definedName name="Z_195DF303_1BBD_4236_94B5_47432850B006_.wvu.PrintArea" localSheetId="18" hidden="1">'Rate TT RTP'!$A$1:$R$42</definedName>
    <definedName name="Z_195DF303_1BBD_4236_94B5_47432850B006_.wvu.PrintArea" localSheetId="21" hidden="1">'Rate UOLS'!$A$1:$R$32</definedName>
    <definedName name="Z_195DF303_1BBD_4236_94B5_47432850B006_.wvu.PrintArea" localSheetId="3" hidden="1">'SCH M'!$A$1:$K$75</definedName>
    <definedName name="Z_195DF303_1BBD_4236_94B5_47432850B006_.wvu.PrintArea" localSheetId="4" hidden="1">'SCH M-2.1'!$A$1:$T$56</definedName>
    <definedName name="Z_195DF303_1BBD_4236_94B5_47432850B006_.wvu.PrintArea" localSheetId="5" hidden="1">'SCH M-2.2'!$A$1:$X$77</definedName>
    <definedName name="Z_195DF303_1BBD_4236_94B5_47432850B006_.wvu.PrintArea" localSheetId="6" hidden="1">'SCH M-2.3'!$A$1:$R$72</definedName>
    <definedName name="Z_195DF303_1BBD_4236_94B5_47432850B006_.wvu.PrintArea" localSheetId="26" hidden="1">'SCH N'!$A$184:$R$247</definedName>
    <definedName name="Z_2431C9E5_7CC2_4B8D_99C3_962247B1DBF5_.wvu.PrintArea" localSheetId="9" hidden="1">'Rate DT-Pri'!$T$73:$AQ$142</definedName>
    <definedName name="Z_2431C9E5_7CC2_4B8D_99C3_962247B1DBF5_.wvu.PrintArea" localSheetId="10" hidden="1">'Rate DT-Sec'!$T$71:$AQ$137</definedName>
    <definedName name="Z_2431C9E5_7CC2_4B8D_99C3_962247B1DBF5_.wvu.PrintArea" localSheetId="25" hidden="1">'Rate LED'!$T$464:$AQ$602</definedName>
    <definedName name="Z_2431C9E5_7CC2_4B8D_99C3_962247B1DBF5_.wvu.PrintArea" localSheetId="19" hidden="1">'Rate SL'!$T$224:$AQ$298</definedName>
    <definedName name="Z_2EA35095_1ADC_4CC7_8C3C_B487D65FA247_.wvu.PrintArea" localSheetId="13" hidden="1">'Rate DP'!$A$1:$R$50</definedName>
    <definedName name="Z_2EA35095_1ADC_4CC7_8C3C_B487D65FA247_.wvu.PrintArea" localSheetId="8" hidden="1">'Rate DS'!$A$1:$R$56</definedName>
    <definedName name="Z_2EA35095_1ADC_4CC7_8C3C_B487D65FA247_.wvu.PrintArea" localSheetId="17" hidden="1">'Rate DS RTP'!$A$1:$R$43</definedName>
    <definedName name="Z_2EA35095_1ADC_4CC7_8C3C_B487D65FA247_.wvu.PrintArea" localSheetId="15" hidden="1">'Rate DT RTP-P'!$A$1:$R$41</definedName>
    <definedName name="Z_2EA35095_1ADC_4CC7_8C3C_B487D65FA247_.wvu.PrintArea" localSheetId="16" hidden="1">'Rate DT RTP-S'!$A$1:$R$42</definedName>
    <definedName name="Z_2EA35095_1ADC_4CC7_8C3C_B487D65FA247_.wvu.PrintArea" localSheetId="9" hidden="1">'Rate DT-Pri'!$A$1:$R$67</definedName>
    <definedName name="Z_2EA35095_1ADC_4CC7_8C3C_B487D65FA247_.wvu.PrintArea" localSheetId="10" hidden="1">'Rate DT-Sec'!$A$1:$R$67</definedName>
    <definedName name="Z_2EA35095_1ADC_4CC7_8C3C_B487D65FA247_.wvu.PrintArea" localSheetId="11" hidden="1">'Rate EH'!$A$1:$R$47</definedName>
    <definedName name="Z_2EA35095_1ADC_4CC7_8C3C_B487D65FA247_.wvu.PrintArea" localSheetId="25" hidden="1">'Rate LED'!$T$464:$AQ$602</definedName>
    <definedName name="Z_2EA35095_1ADC_4CC7_8C3C_B487D65FA247_.wvu.PrintArea" localSheetId="22" hidden="1">'Rate NSU'!$A$1:$R$49</definedName>
    <definedName name="Z_2EA35095_1ADC_4CC7_8C3C_B487D65FA247_.wvu.PrintArea" localSheetId="7" hidden="1">'Rate RS'!$A$1:$R$45</definedName>
    <definedName name="Z_2EA35095_1ADC_4CC7_8C3C_B487D65FA247_.wvu.PrintArea" localSheetId="23" hidden="1">'Rate SC'!$A$1:$R$77</definedName>
    <definedName name="Z_2EA35095_1ADC_4CC7_8C3C_B487D65FA247_.wvu.PrintArea" localSheetId="24" hidden="1">'Rate SE'!$A$1:$R$56</definedName>
    <definedName name="Z_2EA35095_1ADC_4CC7_8C3C_B487D65FA247_.wvu.PrintArea" localSheetId="19" hidden="1">'Rate SL'!$T$224:$AQ$298</definedName>
    <definedName name="Z_2EA35095_1ADC_4CC7_8C3C_B487D65FA247_.wvu.PrintArea" localSheetId="12" hidden="1">'Rate SP GSFL'!$A$1:$R$64</definedName>
    <definedName name="Z_2EA35095_1ADC_4CC7_8C3C_B487D65FA247_.wvu.PrintArea" localSheetId="20" hidden="1">'Rate TL'!$A$1:$R$38</definedName>
    <definedName name="Z_2EA35095_1ADC_4CC7_8C3C_B487D65FA247_.wvu.PrintArea" localSheetId="14" hidden="1">'Rate TT'!$A$1:$R$62</definedName>
    <definedName name="Z_2EA35095_1ADC_4CC7_8C3C_B487D65FA247_.wvu.PrintArea" localSheetId="18" hidden="1">'Rate TT RTP'!$A$1:$R$42</definedName>
    <definedName name="Z_2EA35095_1ADC_4CC7_8C3C_B487D65FA247_.wvu.PrintArea" localSheetId="21" hidden="1">'Rate UOLS'!$A$1:$R$32</definedName>
    <definedName name="Z_2EA35095_1ADC_4CC7_8C3C_B487D65FA247_.wvu.PrintArea" localSheetId="3" hidden="1">'SCH M'!$A$1:$K$75</definedName>
    <definedName name="Z_2EA35095_1ADC_4CC7_8C3C_B487D65FA247_.wvu.PrintArea" localSheetId="4" hidden="1">'SCH M-2.1'!$A$1:$T$56</definedName>
    <definedName name="Z_2EA35095_1ADC_4CC7_8C3C_B487D65FA247_.wvu.PrintArea" localSheetId="5" hidden="1">'SCH M-2.2'!$A$1:$X$77</definedName>
    <definedName name="Z_2EA35095_1ADC_4CC7_8C3C_B487D65FA247_.wvu.PrintArea" localSheetId="6" hidden="1">'SCH M-2.3'!$A$1:$R$72</definedName>
    <definedName name="Z_2EA35095_1ADC_4CC7_8C3C_B487D65FA247_.wvu.PrintArea" localSheetId="26" hidden="1">'SCH N'!$A$184:$R$247</definedName>
    <definedName name="Z_35F19056_2E6F_4935_B863_78836FE990BF_.wvu.PrintArea" localSheetId="13" hidden="1">'Rate DP'!$A$1:$R$50</definedName>
    <definedName name="Z_35F19056_2E6F_4935_B863_78836FE990BF_.wvu.PrintArea" localSheetId="8" hidden="1">'Rate DS'!$A$1:$R$56</definedName>
    <definedName name="Z_35F19056_2E6F_4935_B863_78836FE990BF_.wvu.PrintArea" localSheetId="17" hidden="1">'Rate DS RTP'!$A$1:$R$43</definedName>
    <definedName name="Z_35F19056_2E6F_4935_B863_78836FE990BF_.wvu.PrintArea" localSheetId="15" hidden="1">'Rate DT RTP-P'!$A$1:$R$41</definedName>
    <definedName name="Z_35F19056_2E6F_4935_B863_78836FE990BF_.wvu.PrintArea" localSheetId="16" hidden="1">'Rate DT RTP-S'!$A$1:$R$42</definedName>
    <definedName name="Z_35F19056_2E6F_4935_B863_78836FE990BF_.wvu.PrintArea" localSheetId="9" hidden="1">'Rate DT-Pri'!$A$1:$R$67</definedName>
    <definedName name="Z_35F19056_2E6F_4935_B863_78836FE990BF_.wvu.PrintArea" localSheetId="10" hidden="1">'Rate DT-Sec'!$A$1:$R$67</definedName>
    <definedName name="Z_35F19056_2E6F_4935_B863_78836FE990BF_.wvu.PrintArea" localSheetId="11" hidden="1">'Rate EH'!$A$1:$R$47</definedName>
    <definedName name="Z_35F19056_2E6F_4935_B863_78836FE990BF_.wvu.PrintArea" localSheetId="25" hidden="1">'Rate LED'!$A$112:$R$348</definedName>
    <definedName name="Z_35F19056_2E6F_4935_B863_78836FE990BF_.wvu.PrintArea" localSheetId="22" hidden="1">'Rate NSU'!$A$1:$R$49</definedName>
    <definedName name="Z_35F19056_2E6F_4935_B863_78836FE990BF_.wvu.PrintArea" localSheetId="7" hidden="1">'Rate RS'!$A$1:$R$45</definedName>
    <definedName name="Z_35F19056_2E6F_4935_B863_78836FE990BF_.wvu.PrintArea" localSheetId="23" hidden="1">'Rate SC'!$A$1:$R$77</definedName>
    <definedName name="Z_35F19056_2E6F_4935_B863_78836FE990BF_.wvu.PrintArea" localSheetId="24" hidden="1">'Rate SE'!$A$1:$R$56</definedName>
    <definedName name="Z_35F19056_2E6F_4935_B863_78836FE990BF_.wvu.PrintArea" localSheetId="19" hidden="1">'Rate SL'!$A$70:$R$151</definedName>
    <definedName name="Z_35F19056_2E6F_4935_B863_78836FE990BF_.wvu.PrintArea" localSheetId="12" hidden="1">'Rate SP GSFL'!$A$1:$R$64</definedName>
    <definedName name="Z_35F19056_2E6F_4935_B863_78836FE990BF_.wvu.PrintArea" localSheetId="20" hidden="1">'Rate TL'!$A$1:$R$38</definedName>
    <definedName name="Z_35F19056_2E6F_4935_B863_78836FE990BF_.wvu.PrintArea" localSheetId="14" hidden="1">'Rate TT'!$A$1:$R$62</definedName>
    <definedName name="Z_35F19056_2E6F_4935_B863_78836FE990BF_.wvu.PrintArea" localSheetId="18" hidden="1">'Rate TT RTP'!$A$1:$R$42</definedName>
    <definedName name="Z_35F19056_2E6F_4935_B863_78836FE990BF_.wvu.PrintArea" localSheetId="21" hidden="1">'Rate UOLS'!$A$1:$R$32</definedName>
    <definedName name="Z_35F19056_2E6F_4935_B863_78836FE990BF_.wvu.PrintArea" localSheetId="3" hidden="1">'SCH M'!$A$1:$O$71</definedName>
    <definedName name="Z_35F19056_2E6F_4935_B863_78836FE990BF_.wvu.PrintArea" localSheetId="4" hidden="1">'SCH M-2.1'!$A$1:$T$56</definedName>
    <definedName name="Z_35F19056_2E6F_4935_B863_78836FE990BF_.wvu.PrintArea" localSheetId="5" hidden="1">'SCH M-2.2'!$A$1:$X$77</definedName>
    <definedName name="Z_35F19056_2E6F_4935_B863_78836FE990BF_.wvu.PrintArea" localSheetId="6" hidden="1">'SCH M-2.3'!$A$1:$R$72</definedName>
    <definedName name="Z_35F19056_2E6F_4935_B863_78836FE990BF_.wvu.PrintArea" localSheetId="26" hidden="1">'SCH N'!$A$184:$R$247</definedName>
    <definedName name="Z_4BC93440_BA85_4935_A8C9_66DC6AE5DE5E_.wvu.PrintArea" localSheetId="13" hidden="1">'Rate DP'!$A$1:$R$50</definedName>
    <definedName name="Z_4BC93440_BA85_4935_A8C9_66DC6AE5DE5E_.wvu.PrintArea" localSheetId="8" hidden="1">'Rate DS'!$A$1:$R$56</definedName>
    <definedName name="Z_4BC93440_BA85_4935_A8C9_66DC6AE5DE5E_.wvu.PrintArea" localSheetId="17" hidden="1">'Rate DS RTP'!$A$1:$R$43</definedName>
    <definedName name="Z_4BC93440_BA85_4935_A8C9_66DC6AE5DE5E_.wvu.PrintArea" localSheetId="15" hidden="1">'Rate DT RTP-P'!$A$1:$R$41</definedName>
    <definedName name="Z_4BC93440_BA85_4935_A8C9_66DC6AE5DE5E_.wvu.PrintArea" localSheetId="16" hidden="1">'Rate DT RTP-S'!$A$1:$R$42</definedName>
    <definedName name="Z_4BC93440_BA85_4935_A8C9_66DC6AE5DE5E_.wvu.PrintArea" localSheetId="9" hidden="1">'Rate DT-Pri'!$T$73:$AQ$142</definedName>
    <definedName name="Z_4BC93440_BA85_4935_A8C9_66DC6AE5DE5E_.wvu.PrintArea" localSheetId="10" hidden="1">'Rate DT-Sec'!$T$71:$AQ$137</definedName>
    <definedName name="Z_4BC93440_BA85_4935_A8C9_66DC6AE5DE5E_.wvu.PrintArea" localSheetId="11" hidden="1">'Rate EH'!$A$1:$R$47</definedName>
    <definedName name="Z_4BC93440_BA85_4935_A8C9_66DC6AE5DE5E_.wvu.PrintArea" localSheetId="25" hidden="1">'Rate LED'!$T$464:$AQ$602</definedName>
    <definedName name="Z_4BC93440_BA85_4935_A8C9_66DC6AE5DE5E_.wvu.PrintArea" localSheetId="22" hidden="1">'Rate NSU'!$A$1:$R$49</definedName>
    <definedName name="Z_4BC93440_BA85_4935_A8C9_66DC6AE5DE5E_.wvu.PrintArea" localSheetId="7" hidden="1">'Rate RS'!$A$1:$R$45</definedName>
    <definedName name="Z_4BC93440_BA85_4935_A8C9_66DC6AE5DE5E_.wvu.PrintArea" localSheetId="23" hidden="1">'Rate SC'!$A$1:$R$77</definedName>
    <definedName name="Z_4BC93440_BA85_4935_A8C9_66DC6AE5DE5E_.wvu.PrintArea" localSheetId="24" hidden="1">'Rate SE'!$A$1:$R$56</definedName>
    <definedName name="Z_4BC93440_BA85_4935_A8C9_66DC6AE5DE5E_.wvu.PrintArea" localSheetId="19" hidden="1">'Rate SL'!$T$224:$AQ$298</definedName>
    <definedName name="Z_4BC93440_BA85_4935_A8C9_66DC6AE5DE5E_.wvu.PrintArea" localSheetId="12" hidden="1">'Rate SP GSFL'!$A$1:$R$64</definedName>
    <definedName name="Z_4BC93440_BA85_4935_A8C9_66DC6AE5DE5E_.wvu.PrintArea" localSheetId="20" hidden="1">'Rate TL'!$A$1:$R$38</definedName>
    <definedName name="Z_4BC93440_BA85_4935_A8C9_66DC6AE5DE5E_.wvu.PrintArea" localSheetId="14" hidden="1">'Rate TT'!$A$1:$R$62</definedName>
    <definedName name="Z_4BC93440_BA85_4935_A8C9_66DC6AE5DE5E_.wvu.PrintArea" localSheetId="18" hidden="1">'Rate TT RTP'!$A$1:$R$42</definedName>
    <definedName name="Z_4BC93440_BA85_4935_A8C9_66DC6AE5DE5E_.wvu.PrintArea" localSheetId="21" hidden="1">'Rate UOLS'!$A$1:$R$32</definedName>
    <definedName name="Z_4BC93440_BA85_4935_A8C9_66DC6AE5DE5E_.wvu.PrintArea" localSheetId="3" hidden="1">'SCH M'!$A$1:$K$75</definedName>
    <definedName name="Z_4BC93440_BA85_4935_A8C9_66DC6AE5DE5E_.wvu.PrintArea" localSheetId="4" hidden="1">'SCH M-2.1'!$A$1:$T$56</definedName>
    <definedName name="Z_4BC93440_BA85_4935_A8C9_66DC6AE5DE5E_.wvu.PrintArea" localSheetId="5" hidden="1">'SCH M-2.2'!$A$1:$X$77</definedName>
    <definedName name="Z_4BC93440_BA85_4935_A8C9_66DC6AE5DE5E_.wvu.PrintArea" localSheetId="6" hidden="1">'SCH M-2.3'!$A$1:$R$72</definedName>
    <definedName name="Z_4BC93440_BA85_4935_A8C9_66DC6AE5DE5E_.wvu.PrintArea" localSheetId="26" hidden="1">'SCH N'!$A$184:$R$247</definedName>
    <definedName name="Z_6B3D5C27_2FDE_4561_9575_1E98BFB869D0_.wvu.PrintArea" localSheetId="13" hidden="1">'Rate DP'!$A$1:$R$50</definedName>
    <definedName name="Z_6B3D5C27_2FDE_4561_9575_1E98BFB869D0_.wvu.PrintArea" localSheetId="8" hidden="1">'Rate DS'!$A$1:$R$56</definedName>
    <definedName name="Z_6B3D5C27_2FDE_4561_9575_1E98BFB869D0_.wvu.PrintArea" localSheetId="17" hidden="1">'Rate DS RTP'!$A$1:$R$43</definedName>
    <definedName name="Z_6B3D5C27_2FDE_4561_9575_1E98BFB869D0_.wvu.PrintArea" localSheetId="15" hidden="1">'Rate DT RTP-P'!$A$1:$R$41</definedName>
    <definedName name="Z_6B3D5C27_2FDE_4561_9575_1E98BFB869D0_.wvu.PrintArea" localSheetId="16" hidden="1">'Rate DT RTP-S'!$A$1:$R$42</definedName>
    <definedName name="Z_6B3D5C27_2FDE_4561_9575_1E98BFB869D0_.wvu.PrintArea" localSheetId="9" hidden="1">'Rate DT-Pri'!$A$1:$R$67</definedName>
    <definedName name="Z_6B3D5C27_2FDE_4561_9575_1E98BFB869D0_.wvu.PrintArea" localSheetId="10" hidden="1">'Rate DT-Sec'!$A$1:$R$67</definedName>
    <definedName name="Z_6B3D5C27_2FDE_4561_9575_1E98BFB869D0_.wvu.PrintArea" localSheetId="11" hidden="1">'Rate EH'!$A$1:$R$47</definedName>
    <definedName name="Z_6B3D5C27_2FDE_4561_9575_1E98BFB869D0_.wvu.PrintArea" localSheetId="25" hidden="1">'Rate LED'!$T$464:$AQ$602</definedName>
    <definedName name="Z_6B3D5C27_2FDE_4561_9575_1E98BFB869D0_.wvu.PrintArea" localSheetId="22" hidden="1">'Rate NSU'!$A$1:$R$49</definedName>
    <definedName name="Z_6B3D5C27_2FDE_4561_9575_1E98BFB869D0_.wvu.PrintArea" localSheetId="7" hidden="1">'Rate RS'!$A$1:$R$45</definedName>
    <definedName name="Z_6B3D5C27_2FDE_4561_9575_1E98BFB869D0_.wvu.PrintArea" localSheetId="23" hidden="1">'Rate SC'!$A$1:$R$77</definedName>
    <definedName name="Z_6B3D5C27_2FDE_4561_9575_1E98BFB869D0_.wvu.PrintArea" localSheetId="24" hidden="1">'Rate SE'!$A$1:$R$56</definedName>
    <definedName name="Z_6B3D5C27_2FDE_4561_9575_1E98BFB869D0_.wvu.PrintArea" localSheetId="19" hidden="1">'Rate SL'!$T$224:$AQ$298</definedName>
    <definedName name="Z_6B3D5C27_2FDE_4561_9575_1E98BFB869D0_.wvu.PrintArea" localSheetId="12" hidden="1">'Rate SP GSFL'!$A$1:$R$64</definedName>
    <definedName name="Z_6B3D5C27_2FDE_4561_9575_1E98BFB869D0_.wvu.PrintArea" localSheetId="20" hidden="1">'Rate TL'!$A$1:$R$38</definedName>
    <definedName name="Z_6B3D5C27_2FDE_4561_9575_1E98BFB869D0_.wvu.PrintArea" localSheetId="14" hidden="1">'Rate TT'!$A$1:$R$62</definedName>
    <definedName name="Z_6B3D5C27_2FDE_4561_9575_1E98BFB869D0_.wvu.PrintArea" localSheetId="18" hidden="1">'Rate TT RTP'!$A$1:$R$42</definedName>
    <definedName name="Z_6B3D5C27_2FDE_4561_9575_1E98BFB869D0_.wvu.PrintArea" localSheetId="21" hidden="1">'Rate UOLS'!$A$1:$R$32</definedName>
    <definedName name="Z_6B3D5C27_2FDE_4561_9575_1E98BFB869D0_.wvu.PrintArea" localSheetId="3" hidden="1">'SCH M'!$A$1:$O$69</definedName>
    <definedName name="Z_6B3D5C27_2FDE_4561_9575_1E98BFB869D0_.wvu.PrintArea" localSheetId="4" hidden="1">'SCH M-2.1'!$A$1:$T$56</definedName>
    <definedName name="Z_6B3D5C27_2FDE_4561_9575_1E98BFB869D0_.wvu.PrintArea" localSheetId="5" hidden="1">'SCH M-2.2'!$A$1:$X$77</definedName>
    <definedName name="Z_6B3D5C27_2FDE_4561_9575_1E98BFB869D0_.wvu.PrintArea" localSheetId="6" hidden="1">'SCH M-2.3'!$A$1:$R$72</definedName>
    <definedName name="Z_6B3D5C27_2FDE_4561_9575_1E98BFB869D0_.wvu.PrintArea" localSheetId="26" hidden="1">'SCH N'!$A$184:$R$247</definedName>
    <definedName name="Z_8FB94551_8874_4095_B8FB_5316E0D2FD2C_.wvu.PrintArea" localSheetId="13" hidden="1">'Rate DP'!$A$1:$R$50</definedName>
    <definedName name="Z_8FB94551_8874_4095_B8FB_5316E0D2FD2C_.wvu.PrintArea" localSheetId="8" hidden="1">'Rate DS'!$A$1:$R$56</definedName>
    <definedName name="Z_8FB94551_8874_4095_B8FB_5316E0D2FD2C_.wvu.PrintArea" localSheetId="17" hidden="1">'Rate DS RTP'!$A$1:$R$43</definedName>
    <definedName name="Z_8FB94551_8874_4095_B8FB_5316E0D2FD2C_.wvu.PrintArea" localSheetId="15" hidden="1">'Rate DT RTP-P'!$A$1:$R$41</definedName>
    <definedName name="Z_8FB94551_8874_4095_B8FB_5316E0D2FD2C_.wvu.PrintArea" localSheetId="16" hidden="1">'Rate DT RTP-S'!$A$1:$R$42</definedName>
    <definedName name="Z_8FB94551_8874_4095_B8FB_5316E0D2FD2C_.wvu.PrintArea" localSheetId="9" hidden="1">'Rate DT-Pri'!$A$1:$R$67</definedName>
    <definedName name="Z_8FB94551_8874_4095_B8FB_5316E0D2FD2C_.wvu.PrintArea" localSheetId="10" hidden="1">'Rate DT-Sec'!$A$1:$R$67</definedName>
    <definedName name="Z_8FB94551_8874_4095_B8FB_5316E0D2FD2C_.wvu.PrintArea" localSheetId="11" hidden="1">'Rate EH'!$A$1:$R$47</definedName>
    <definedName name="Z_8FB94551_8874_4095_B8FB_5316E0D2FD2C_.wvu.PrintArea" localSheetId="25" hidden="1">'Rate LED'!$T$464:$AQ$602</definedName>
    <definedName name="Z_8FB94551_8874_4095_B8FB_5316E0D2FD2C_.wvu.PrintArea" localSheetId="22" hidden="1">'Rate NSU'!$A$1:$R$49</definedName>
    <definedName name="Z_8FB94551_8874_4095_B8FB_5316E0D2FD2C_.wvu.PrintArea" localSheetId="7" hidden="1">'Rate RS'!$A$1:$R$45</definedName>
    <definedName name="Z_8FB94551_8874_4095_B8FB_5316E0D2FD2C_.wvu.PrintArea" localSheetId="23" hidden="1">'Rate SC'!$A$1:$R$77</definedName>
    <definedName name="Z_8FB94551_8874_4095_B8FB_5316E0D2FD2C_.wvu.PrintArea" localSheetId="24" hidden="1">'Rate SE'!$A$1:$R$56</definedName>
    <definedName name="Z_8FB94551_8874_4095_B8FB_5316E0D2FD2C_.wvu.PrintArea" localSheetId="19" hidden="1">'Rate SL'!$T$224:$AQ$298</definedName>
    <definedName name="Z_8FB94551_8874_4095_B8FB_5316E0D2FD2C_.wvu.PrintArea" localSheetId="12" hidden="1">'Rate SP GSFL'!$A$1:$R$64</definedName>
    <definedName name="Z_8FB94551_8874_4095_B8FB_5316E0D2FD2C_.wvu.PrintArea" localSheetId="20" hidden="1">'Rate TL'!$A$1:$R$38</definedName>
    <definedName name="Z_8FB94551_8874_4095_B8FB_5316E0D2FD2C_.wvu.PrintArea" localSheetId="14" hidden="1">'Rate TT'!$A$1:$R$62</definedName>
    <definedName name="Z_8FB94551_8874_4095_B8FB_5316E0D2FD2C_.wvu.PrintArea" localSheetId="18" hidden="1">'Rate TT RTP'!$A$1:$R$42</definedName>
    <definedName name="Z_8FB94551_8874_4095_B8FB_5316E0D2FD2C_.wvu.PrintArea" localSheetId="21" hidden="1">'Rate UOLS'!$A$1:$R$32</definedName>
    <definedName name="Z_8FB94551_8874_4095_B8FB_5316E0D2FD2C_.wvu.PrintArea" localSheetId="3" hidden="1">'SCH M'!$A$1:$K$75</definedName>
    <definedName name="Z_8FB94551_8874_4095_B8FB_5316E0D2FD2C_.wvu.PrintArea" localSheetId="4" hidden="1">'SCH M-2.1'!$A$1:$T$56</definedName>
    <definedName name="Z_8FB94551_8874_4095_B8FB_5316E0D2FD2C_.wvu.PrintArea" localSheetId="5" hidden="1">'SCH M-2.2'!$A$1:$X$77</definedName>
    <definedName name="Z_8FB94551_8874_4095_B8FB_5316E0D2FD2C_.wvu.PrintArea" localSheetId="6" hidden="1">'SCH M-2.3'!$A$1:$R$72</definedName>
    <definedName name="Z_8FB94551_8874_4095_B8FB_5316E0D2FD2C_.wvu.PrintArea" localSheetId="26" hidden="1">'SCH N'!$A$184:$R$247</definedName>
    <definedName name="Z_8FC77C99_DBF7_40B8_99B8_01B75826CDCB_.wvu.PrintArea" localSheetId="13" hidden="1">'Rate DP'!$A$1:$R$50</definedName>
    <definedName name="Z_8FC77C99_DBF7_40B8_99B8_01B75826CDCB_.wvu.PrintArea" localSheetId="8" hidden="1">'Rate DS'!$A$1:$R$56</definedName>
    <definedName name="Z_8FC77C99_DBF7_40B8_99B8_01B75826CDCB_.wvu.PrintArea" localSheetId="17" hidden="1">'Rate DS RTP'!$A$1:$R$43</definedName>
    <definedName name="Z_8FC77C99_DBF7_40B8_99B8_01B75826CDCB_.wvu.PrintArea" localSheetId="15" hidden="1">'Rate DT RTP-P'!$A$1:$R$41</definedName>
    <definedName name="Z_8FC77C99_DBF7_40B8_99B8_01B75826CDCB_.wvu.PrintArea" localSheetId="16" hidden="1">'Rate DT RTP-S'!$A$1:$R$42</definedName>
    <definedName name="Z_8FC77C99_DBF7_40B8_99B8_01B75826CDCB_.wvu.PrintArea" localSheetId="9" hidden="1">'Rate DT-Pri'!$A$1:$R$67</definedName>
    <definedName name="Z_8FC77C99_DBF7_40B8_99B8_01B75826CDCB_.wvu.PrintArea" localSheetId="10" hidden="1">'Rate DT-Sec'!$A$1:$R$67</definedName>
    <definedName name="Z_8FC77C99_DBF7_40B8_99B8_01B75826CDCB_.wvu.PrintArea" localSheetId="11" hidden="1">'Rate EH'!$A$1:$R$47</definedName>
    <definedName name="Z_8FC77C99_DBF7_40B8_99B8_01B75826CDCB_.wvu.PrintArea" localSheetId="25" hidden="1">'Rate LED'!$T$464:$AQ$602</definedName>
    <definedName name="Z_8FC77C99_DBF7_40B8_99B8_01B75826CDCB_.wvu.PrintArea" localSheetId="22" hidden="1">'Rate NSU'!$A$1:$R$49</definedName>
    <definedName name="Z_8FC77C99_DBF7_40B8_99B8_01B75826CDCB_.wvu.PrintArea" localSheetId="7" hidden="1">'Rate RS'!$A$1:$R$45</definedName>
    <definedName name="Z_8FC77C99_DBF7_40B8_99B8_01B75826CDCB_.wvu.PrintArea" localSheetId="23" hidden="1">'Rate SC'!$A$1:$R$77</definedName>
    <definedName name="Z_8FC77C99_DBF7_40B8_99B8_01B75826CDCB_.wvu.PrintArea" localSheetId="24" hidden="1">'Rate SE'!$A$1:$R$56</definedName>
    <definedName name="Z_8FC77C99_DBF7_40B8_99B8_01B75826CDCB_.wvu.PrintArea" localSheetId="19" hidden="1">'Rate SL'!$T$224:$AQ$298</definedName>
    <definedName name="Z_8FC77C99_DBF7_40B8_99B8_01B75826CDCB_.wvu.PrintArea" localSheetId="12" hidden="1">'Rate SP GSFL'!$A$1:$R$64</definedName>
    <definedName name="Z_8FC77C99_DBF7_40B8_99B8_01B75826CDCB_.wvu.PrintArea" localSheetId="20" hidden="1">'Rate TL'!$A$1:$R$38</definedName>
    <definedName name="Z_8FC77C99_DBF7_40B8_99B8_01B75826CDCB_.wvu.PrintArea" localSheetId="14" hidden="1">'Rate TT'!$A$1:$R$62</definedName>
    <definedName name="Z_8FC77C99_DBF7_40B8_99B8_01B75826CDCB_.wvu.PrintArea" localSheetId="18" hidden="1">'Rate TT RTP'!$A$1:$R$42</definedName>
    <definedName name="Z_8FC77C99_DBF7_40B8_99B8_01B75826CDCB_.wvu.PrintArea" localSheetId="21" hidden="1">'Rate UOLS'!$A$1:$R$32</definedName>
    <definedName name="Z_8FC77C99_DBF7_40B8_99B8_01B75826CDCB_.wvu.PrintArea" localSheetId="3" hidden="1">'SCH M'!$A$1:$K$75</definedName>
    <definedName name="Z_8FC77C99_DBF7_40B8_99B8_01B75826CDCB_.wvu.PrintArea" localSheetId="4" hidden="1">'SCH M-2.1'!$A$1:$T$56</definedName>
    <definedName name="Z_8FC77C99_DBF7_40B8_99B8_01B75826CDCB_.wvu.PrintArea" localSheetId="5" hidden="1">'SCH M-2.2'!$A$1:$X$77</definedName>
    <definedName name="Z_8FC77C99_DBF7_40B8_99B8_01B75826CDCB_.wvu.PrintArea" localSheetId="6" hidden="1">'SCH M-2.3'!$A$1:$R$72</definedName>
    <definedName name="Z_8FC77C99_DBF7_40B8_99B8_01B75826CDCB_.wvu.PrintArea" localSheetId="26" hidden="1">'SCH N'!$A$184:$R$247</definedName>
    <definedName name="Z_F562D92E_120C_4AE9_9663_89E64D41DC53_.wvu.PrintArea" localSheetId="13" hidden="1">'Rate DP'!$A$1:$R$50</definedName>
    <definedName name="Z_F562D92E_120C_4AE9_9663_89E64D41DC53_.wvu.PrintArea" localSheetId="8" hidden="1">'Rate DS'!$A$1:$R$56</definedName>
    <definedName name="Z_F562D92E_120C_4AE9_9663_89E64D41DC53_.wvu.PrintArea" localSheetId="17" hidden="1">'Rate DS RTP'!$A$1:$R$43</definedName>
    <definedName name="Z_F562D92E_120C_4AE9_9663_89E64D41DC53_.wvu.PrintArea" localSheetId="15" hidden="1">'Rate DT RTP-P'!$A$1:$R$41</definedName>
    <definedName name="Z_F562D92E_120C_4AE9_9663_89E64D41DC53_.wvu.PrintArea" localSheetId="16" hidden="1">'Rate DT RTP-S'!$A$1:$R$42</definedName>
    <definedName name="Z_F562D92E_120C_4AE9_9663_89E64D41DC53_.wvu.PrintArea" localSheetId="9" hidden="1">'Rate DT-Pri'!$A$1:$R$67</definedName>
    <definedName name="Z_F562D92E_120C_4AE9_9663_89E64D41DC53_.wvu.PrintArea" localSheetId="10" hidden="1">'Rate DT-Sec'!$A$1:$R$67</definedName>
    <definedName name="Z_F562D92E_120C_4AE9_9663_89E64D41DC53_.wvu.PrintArea" localSheetId="11" hidden="1">'Rate EH'!$A$1:$R$47</definedName>
    <definedName name="Z_F562D92E_120C_4AE9_9663_89E64D41DC53_.wvu.PrintArea" localSheetId="25" hidden="1">'Rate LED'!$A$112:$R$348</definedName>
    <definedName name="Z_F562D92E_120C_4AE9_9663_89E64D41DC53_.wvu.PrintArea" localSheetId="22" hidden="1">'Rate NSU'!$A$1:$R$49</definedName>
    <definedName name="Z_F562D92E_120C_4AE9_9663_89E64D41DC53_.wvu.PrintArea" localSheetId="7" hidden="1">'Rate RS'!$A$1:$R$45</definedName>
    <definedName name="Z_F562D92E_120C_4AE9_9663_89E64D41DC53_.wvu.PrintArea" localSheetId="23" hidden="1">'Rate SC'!$A$1:$R$77</definedName>
    <definedName name="Z_F562D92E_120C_4AE9_9663_89E64D41DC53_.wvu.PrintArea" localSheetId="24" hidden="1">'Rate SE'!$A$1:$R$56</definedName>
    <definedName name="Z_F562D92E_120C_4AE9_9663_89E64D41DC53_.wvu.PrintArea" localSheetId="19" hidden="1">'Rate SL'!$A$70:$R$151</definedName>
    <definedName name="Z_F562D92E_120C_4AE9_9663_89E64D41DC53_.wvu.PrintArea" localSheetId="12" hidden="1">'Rate SP GSFL'!$A$1:$R$64</definedName>
    <definedName name="Z_F562D92E_120C_4AE9_9663_89E64D41DC53_.wvu.PrintArea" localSheetId="20" hidden="1">'Rate TL'!$A$1:$R$38</definedName>
    <definedName name="Z_F562D92E_120C_4AE9_9663_89E64D41DC53_.wvu.PrintArea" localSheetId="14" hidden="1">'Rate TT'!$A$1:$R$62</definedName>
    <definedName name="Z_F562D92E_120C_4AE9_9663_89E64D41DC53_.wvu.PrintArea" localSheetId="18" hidden="1">'Rate TT RTP'!$A$1:$R$42</definedName>
    <definedName name="Z_F562D92E_120C_4AE9_9663_89E64D41DC53_.wvu.PrintArea" localSheetId="21" hidden="1">'Rate UOLS'!$A$1:$R$32</definedName>
    <definedName name="Z_F562D92E_120C_4AE9_9663_89E64D41DC53_.wvu.PrintArea" localSheetId="3" hidden="1">'SCH M'!$A$1:$O$71</definedName>
    <definedName name="Z_F562D92E_120C_4AE9_9663_89E64D41DC53_.wvu.PrintArea" localSheetId="4" hidden="1">'SCH M-2.1'!$A$1:$T$56</definedName>
    <definedName name="Z_F562D92E_120C_4AE9_9663_89E64D41DC53_.wvu.PrintArea" localSheetId="5" hidden="1">'SCH M-2.2'!$A$1:$X$77</definedName>
    <definedName name="Z_F562D92E_120C_4AE9_9663_89E64D41DC53_.wvu.PrintArea" localSheetId="6" hidden="1">'SCH M-2.3'!$A$1:$R$72</definedName>
    <definedName name="Z_F562D92E_120C_4AE9_9663_89E64D41DC53_.wvu.PrintArea" localSheetId="26" hidden="1">'SCH N'!$A$184:$R$247</definedName>
  </definedNames>
  <calcPr calcId="191029"/>
  <customWorkbookViews>
    <customWorkbookView name="ramshof - Personal View" guid="{F562D92E-120C-4AE9-9663-89E64D41DC53}" mergeInterval="0" personalView="1" maximized="1" xWindow="1" yWindow="1" windowWidth="1280" windowHeight="806" tabRatio="599" activeSheetId="1"/>
    <customWorkbookView name="Administrator - Personal View" guid="{35F19056-2E6F-4935-B863-78836FE990BF}" mergeInterval="0" personalView="1" maximized="1" windowWidth="1020" windowHeight="605" tabRatio="599" activeSheetId="3"/>
    <customWorkbookView name="t93779 - Personal View" guid="{18BDED73-BFA0-442E-87EC-CED86EE4CF94}" mergeInterval="0" personalView="1" maximized="1" windowWidth="1276" windowHeight="862" tabRatio="599" activeSheetId="3"/>
    <customWorkbookView name="rhe - Personal View" guid="{0BC1F393-8A13-47D5-BC6C-0C99615B5AB9}" mergeInterval="0" personalView="1" maximized="1" windowWidth="1276" windowHeight="915" tabRatio="599" activeSheetId="3"/>
    <customWorkbookView name="bjb - Personal View" guid="{6B3D5C27-2FDE-4561-9575-1E98BFB869D0}" mergeInterval="0" personalView="1" maximized="1" windowWidth="1266" windowHeight="878" tabRatio="599" activeSheetId="8"/>
    <customWorkbookView name="Bass Chaser - Personal View" guid="{8FB94551-8874-4095-B8FB-5316E0D2FD2C}" mergeInterval="0" personalView="1" maximized="1" windowWidth="1020" windowHeight="659" tabRatio="599" activeSheetId="1"/>
    <customWorkbookView name="t01869 - Personal View" guid="{8FC77C99-DBF7-40B8-99B8-01B75826CDCB}" mergeInterval="0" personalView="1" maximized="1" windowWidth="1020" windowHeight="651" tabRatio="599" activeSheetId="2" showStatusbar="0"/>
    <customWorkbookView name="Jeff Pipher - Personal View" guid="{2EA35095-1ADC-4CC7-8C3C-B487D65FA247}" mergeInterval="0" personalView="1" xWindow="5" yWindow="29" windowWidth="684" windowHeight="318" tabRatio="599" activeSheetId="13"/>
    <customWorkbookView name="Brad Beagle - Personal View" guid="{2431C9E5-7CC2-4B8D-99C3-962247B1DBF5}" mergeInterval="0" personalView="1" maximized="1" windowWidth="1271" windowHeight="897" tabRatio="599" activeSheetId="3"/>
    <customWorkbookView name="Mark E. Musick - Personal View" guid="{4BC93440-BA85-4935-A8C9-66DC6AE5DE5E}" mergeInterval="0" personalView="1" maximized="1" windowWidth="796" windowHeight="439" tabRatio="599" activeSheetId="7"/>
    <customWorkbookView name="Donald J. Rottinghaus - Personal View" guid="{0C49E549-011E-46F4-A82E-2CC8951A9C1E}" mergeInterval="0" personalView="1" maximized="1" windowWidth="1276" windowHeight="763" tabRatio="599" activeSheetId="4"/>
    <customWorkbookView name="Jeffrey R. Bailey - Personal View" guid="{195DF303-1BBD-4236-94B5-47432850B006}" mergeInterval="0" personalView="1" maximized="1" windowWidth="1020" windowHeight="550" tabRatio="59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7" i="6" l="1"/>
  <c r="D165" i="1"/>
  <c r="C165" i="1"/>
  <c r="G166" i="1"/>
  <c r="D166" i="1" s="1"/>
  <c r="F166" i="1"/>
  <c r="C166" i="1" s="1"/>
  <c r="L58" i="5" l="1"/>
  <c r="L64" i="5" l="1"/>
  <c r="H63" i="5"/>
  <c r="F63" i="5"/>
  <c r="H44" i="14" l="1"/>
  <c r="H43" i="14"/>
  <c r="H30" i="14"/>
  <c r="H29" i="14"/>
  <c r="H39" i="14"/>
  <c r="H38" i="14"/>
  <c r="H25" i="14"/>
  <c r="H24" i="14"/>
  <c r="F35" i="14"/>
  <c r="F21" i="14"/>
  <c r="H28" i="33"/>
  <c r="H35" i="13" l="1"/>
  <c r="H34" i="13"/>
  <c r="H33" i="13"/>
  <c r="H29" i="13"/>
  <c r="F25" i="13"/>
  <c r="F24" i="13"/>
  <c r="H28" i="31" l="1"/>
  <c r="F43" i="12"/>
  <c r="H47" i="12"/>
  <c r="H46" i="12"/>
  <c r="F25" i="12" l="1"/>
  <c r="H28" i="12"/>
  <c r="F25" i="11" l="1"/>
  <c r="F24" i="11"/>
  <c r="H33" i="11" l="1"/>
  <c r="H46" i="10" l="1"/>
  <c r="H45" i="10"/>
  <c r="H29" i="10"/>
  <c r="H28" i="10"/>
  <c r="F41" i="10"/>
  <c r="F24" i="10"/>
  <c r="F23" i="9"/>
  <c r="F41" i="9"/>
  <c r="H45" i="9"/>
  <c r="H44" i="9"/>
  <c r="H27" i="9"/>
  <c r="H26" i="9"/>
  <c r="H52" i="10"/>
  <c r="H51" i="10"/>
  <c r="H35" i="10"/>
  <c r="H34" i="10"/>
  <c r="H28" i="30"/>
  <c r="H54" i="9"/>
  <c r="H53" i="9"/>
  <c r="H36" i="9"/>
  <c r="H35" i="9"/>
  <c r="F24" i="8" l="1"/>
  <c r="F25" i="8"/>
  <c r="F26" i="8"/>
  <c r="H31" i="8"/>
  <c r="H30" i="8"/>
  <c r="H39" i="8"/>
  <c r="H38" i="8"/>
  <c r="H37" i="8"/>
  <c r="H36" i="8"/>
  <c r="H35" i="8"/>
  <c r="F23" i="7" l="1"/>
  <c r="H26" i="7"/>
  <c r="H21" i="28" l="1"/>
  <c r="AG1" i="19"/>
  <c r="AG1" i="38" s="1"/>
  <c r="I29" i="1"/>
  <c r="C204" i="1"/>
  <c r="D204" i="1" s="1"/>
  <c r="D162" i="1"/>
  <c r="C162" i="1"/>
  <c r="D161" i="1"/>
  <c r="C161" i="1"/>
  <c r="D160" i="1"/>
  <c r="C160" i="1"/>
  <c r="D158" i="1"/>
  <c r="C158" i="1"/>
  <c r="D157" i="1"/>
  <c r="C157" i="1"/>
  <c r="D156" i="1"/>
  <c r="C156" i="1"/>
  <c r="D154" i="1"/>
  <c r="C154" i="1"/>
  <c r="D132" i="1"/>
  <c r="C132" i="1"/>
  <c r="D131" i="1"/>
  <c r="C131" i="1"/>
  <c r="D130" i="1"/>
  <c r="C130" i="1"/>
  <c r="D129" i="1"/>
  <c r="C129" i="1"/>
  <c r="D127" i="1"/>
  <c r="C127" i="1"/>
  <c r="D126" i="1"/>
  <c r="C126" i="1"/>
  <c r="D125" i="1"/>
  <c r="C125" i="1"/>
  <c r="D123" i="1"/>
  <c r="C123" i="1"/>
  <c r="D119" i="1"/>
  <c r="C119" i="1"/>
  <c r="D117" i="1"/>
  <c r="C117" i="1"/>
  <c r="D116" i="1"/>
  <c r="C116" i="1"/>
  <c r="D115" i="1"/>
  <c r="C115" i="1"/>
  <c r="D113" i="1"/>
  <c r="C113" i="1"/>
  <c r="D109" i="1"/>
  <c r="C109" i="1"/>
  <c r="D107" i="1"/>
  <c r="C107" i="1"/>
  <c r="D106" i="1"/>
  <c r="C106" i="1"/>
  <c r="D104" i="1"/>
  <c r="C104" i="1"/>
  <c r="D100" i="1"/>
  <c r="C100" i="1"/>
  <c r="D98" i="1"/>
  <c r="C98" i="1"/>
  <c r="D96" i="1"/>
  <c r="C96" i="1"/>
  <c r="D92" i="1"/>
  <c r="C92" i="1"/>
  <c r="D90" i="1"/>
  <c r="C90" i="1"/>
  <c r="D88" i="1"/>
  <c r="C88" i="1"/>
  <c r="D87" i="1"/>
  <c r="C87" i="1"/>
  <c r="D86" i="1"/>
  <c r="C86" i="1"/>
  <c r="D82" i="1"/>
  <c r="C82" i="1"/>
  <c r="D81" i="1"/>
  <c r="C81" i="1"/>
  <c r="D80" i="1"/>
  <c r="C80" i="1"/>
  <c r="D79" i="1"/>
  <c r="C79" i="1"/>
  <c r="D78" i="1"/>
  <c r="C78" i="1"/>
  <c r="D77" i="1"/>
  <c r="C77" i="1"/>
  <c r="D76" i="1"/>
  <c r="C76" i="1"/>
  <c r="D74" i="1"/>
  <c r="C74" i="1"/>
  <c r="D73" i="1"/>
  <c r="C73" i="1"/>
  <c r="D72" i="1"/>
  <c r="C72" i="1"/>
  <c r="D70" i="1"/>
  <c r="C70" i="1"/>
  <c r="D69" i="1"/>
  <c r="C69" i="1"/>
  <c r="D68" i="1"/>
  <c r="C68" i="1"/>
  <c r="D64" i="1"/>
  <c r="C64" i="1"/>
  <c r="D63" i="1"/>
  <c r="C63" i="1"/>
  <c r="D59" i="1"/>
  <c r="C59" i="1"/>
  <c r="D58" i="1"/>
  <c r="C58" i="1"/>
  <c r="D56" i="1"/>
  <c r="C56" i="1"/>
  <c r="D55" i="1"/>
  <c r="C55" i="1"/>
  <c r="D53" i="1"/>
  <c r="C53" i="1"/>
  <c r="D52" i="1"/>
  <c r="C52" i="1"/>
  <c r="D51" i="1"/>
  <c r="C51" i="1"/>
  <c r="D49" i="1"/>
  <c r="C49" i="1"/>
  <c r="D48" i="1"/>
  <c r="C48" i="1"/>
  <c r="D44" i="1"/>
  <c r="C44" i="1"/>
  <c r="D43" i="1"/>
  <c r="C43" i="1"/>
  <c r="D20" i="1"/>
  <c r="C20" i="1"/>
  <c r="C19" i="1"/>
  <c r="D19" i="1"/>
  <c r="C34" i="1" l="1"/>
  <c r="C31" i="1"/>
  <c r="C30" i="1"/>
  <c r="J29" i="1"/>
  <c r="C29" i="1" l="1"/>
  <c r="D30" i="1"/>
  <c r="D31" i="1"/>
  <c r="D34" i="1"/>
  <c r="D29" i="1"/>
  <c r="B6" i="1" l="1"/>
  <c r="V688" i="38" l="1"/>
  <c r="F19" i="1" l="1"/>
  <c r="L57" i="5" s="1"/>
  <c r="AM462" i="38"/>
  <c r="T297" i="19"/>
  <c r="A144" i="19"/>
  <c r="S28" i="40" l="1"/>
  <c r="AM264" i="19" l="1"/>
  <c r="AM251" i="19"/>
  <c r="AM210" i="19"/>
  <c r="AM191" i="19"/>
  <c r="AM176" i="19"/>
  <c r="AM248" i="19"/>
  <c r="AM188" i="19"/>
  <c r="AM247" i="19"/>
  <c r="AM187" i="19"/>
  <c r="AM246" i="19"/>
  <c r="AM186" i="19"/>
  <c r="AM245" i="19"/>
  <c r="AM185" i="19"/>
  <c r="AM244" i="19"/>
  <c r="AM184" i="19"/>
  <c r="AM215" i="19"/>
  <c r="AM182" i="19"/>
  <c r="AM214" i="19"/>
  <c r="AM181" i="19"/>
  <c r="AM255" i="19"/>
  <c r="AM213" i="19"/>
  <c r="AM194" i="19"/>
  <c r="AM180" i="19"/>
  <c r="AM253" i="19"/>
  <c r="AM193" i="19"/>
  <c r="AM252" i="19"/>
  <c r="AM192" i="19"/>
  <c r="AM263" i="19"/>
  <c r="AM250" i="19"/>
  <c r="AM207" i="19"/>
  <c r="AM189" i="19"/>
  <c r="AM175" i="19"/>
  <c r="AM262" i="19"/>
  <c r="AM206" i="19"/>
  <c r="AM261" i="19"/>
  <c r="AM205" i="19"/>
  <c r="AM260" i="19"/>
  <c r="AM203" i="19"/>
  <c r="AM259" i="19"/>
  <c r="AM202" i="19"/>
  <c r="AM258" i="19"/>
  <c r="AM201" i="19"/>
  <c r="AM257" i="19"/>
  <c r="AM200" i="19"/>
  <c r="AM256" i="19"/>
  <c r="AM212" i="19"/>
  <c r="AM178" i="19"/>
  <c r="AM211" i="19"/>
  <c r="AM177" i="19"/>
  <c r="T57" i="5"/>
  <c r="O28" i="40"/>
  <c r="AM196" i="19" l="1"/>
  <c r="F137" i="19"/>
  <c r="F136" i="19"/>
  <c r="AM682" i="38" l="1"/>
  <c r="AM677" i="38"/>
  <c r="AE460" i="38"/>
  <c r="AA460" i="38"/>
  <c r="Y460" i="38"/>
  <c r="AC100" i="10" l="1"/>
  <c r="AC117" i="10" s="1"/>
  <c r="AC100" i="9"/>
  <c r="AC118" i="9" s="1"/>
  <c r="H24" i="20" l="1"/>
  <c r="AA62" i="20" s="1"/>
  <c r="F24" i="33" l="1"/>
  <c r="F24" i="30" l="1"/>
  <c r="F24" i="31" l="1"/>
  <c r="Y671" i="38" l="1"/>
  <c r="Y672" i="38"/>
  <c r="Y673" i="38"/>
  <c r="Y674" i="38"/>
  <c r="Y675" i="38"/>
  <c r="Y676" i="38"/>
  <c r="T671" i="38"/>
  <c r="T672" i="38"/>
  <c r="T673" i="38"/>
  <c r="T674" i="38"/>
  <c r="T675" i="38"/>
  <c r="T676" i="38"/>
  <c r="T677" i="38"/>
  <c r="AO628" i="38"/>
  <c r="V640" i="38"/>
  <c r="W639" i="38"/>
  <c r="V639" i="38"/>
  <c r="T639" i="38"/>
  <c r="AO630" i="38"/>
  <c r="T628" i="38"/>
  <c r="T627" i="38"/>
  <c r="T626" i="38"/>
  <c r="T625" i="38"/>
  <c r="T624" i="38"/>
  <c r="T623" i="38"/>
  <c r="T622" i="38"/>
  <c r="T620" i="38"/>
  <c r="T619" i="38"/>
  <c r="T603" i="38"/>
  <c r="V603" i="38"/>
  <c r="AO561" i="38"/>
  <c r="V573" i="38"/>
  <c r="T573" i="38"/>
  <c r="W572" i="38"/>
  <c r="V572" i="38"/>
  <c r="T572" i="38"/>
  <c r="AO563" i="38"/>
  <c r="T561" i="38"/>
  <c r="T560" i="38"/>
  <c r="T559" i="38"/>
  <c r="T558" i="38"/>
  <c r="T557" i="38"/>
  <c r="T556" i="38"/>
  <c r="T555" i="38"/>
  <c r="T553" i="38"/>
  <c r="T552" i="38"/>
  <c r="AO495" i="38"/>
  <c r="AO424" i="38"/>
  <c r="W506" i="38"/>
  <c r="T506" i="38"/>
  <c r="V506" i="38"/>
  <c r="V507" i="38"/>
  <c r="T507" i="38"/>
  <c r="AO497" i="38"/>
  <c r="T495" i="38"/>
  <c r="T494" i="38"/>
  <c r="T493" i="38"/>
  <c r="T492" i="38"/>
  <c r="T491" i="38"/>
  <c r="T490" i="38"/>
  <c r="T489" i="38"/>
  <c r="T487" i="38"/>
  <c r="T486" i="38"/>
  <c r="W436" i="38"/>
  <c r="T436" i="38"/>
  <c r="V436" i="38"/>
  <c r="T437" i="38"/>
  <c r="V437" i="38"/>
  <c r="AO426" i="38"/>
  <c r="T424" i="38"/>
  <c r="T423" i="38"/>
  <c r="T422" i="38"/>
  <c r="T421" i="38"/>
  <c r="T420" i="38"/>
  <c r="T419" i="38"/>
  <c r="T418" i="38"/>
  <c r="T416" i="38"/>
  <c r="T415" i="38"/>
  <c r="R276" i="38"/>
  <c r="R209" i="38"/>
  <c r="R211" i="38"/>
  <c r="A209" i="38"/>
  <c r="A208" i="38"/>
  <c r="A207" i="38"/>
  <c r="A206" i="38"/>
  <c r="A205" i="38"/>
  <c r="A204" i="38"/>
  <c r="A203" i="38"/>
  <c r="A201" i="38"/>
  <c r="A200" i="38"/>
  <c r="R143" i="38"/>
  <c r="R145" i="38"/>
  <c r="A143" i="38"/>
  <c r="A142" i="38"/>
  <c r="A141" i="38"/>
  <c r="A140" i="38"/>
  <c r="A139" i="38"/>
  <c r="A138" i="38"/>
  <c r="A137" i="38"/>
  <c r="A135" i="38"/>
  <c r="A134" i="38"/>
  <c r="R73" i="38"/>
  <c r="R75" i="38"/>
  <c r="A73" i="38"/>
  <c r="A72" i="38"/>
  <c r="A71" i="38"/>
  <c r="A70" i="38"/>
  <c r="A69" i="38"/>
  <c r="A68" i="38"/>
  <c r="A67" i="38"/>
  <c r="A65" i="38"/>
  <c r="A64" i="38"/>
  <c r="AO358" i="38"/>
  <c r="R7" i="38"/>
  <c r="T439" i="38" l="1"/>
  <c r="T440" i="38"/>
  <c r="T441" i="38"/>
  <c r="T442" i="38"/>
  <c r="T443" i="38"/>
  <c r="T444" i="38"/>
  <c r="T445" i="38"/>
  <c r="T446" i="38"/>
  <c r="T447" i="38"/>
  <c r="T448" i="38"/>
  <c r="T449" i="38"/>
  <c r="T450" i="38"/>
  <c r="T451" i="38"/>
  <c r="T452" i="38"/>
  <c r="T453" i="38"/>
  <c r="T454" i="38"/>
  <c r="T455" i="38"/>
  <c r="T456" i="38"/>
  <c r="T457" i="38"/>
  <c r="T458" i="38"/>
  <c r="T459" i="38"/>
  <c r="T460" i="38"/>
  <c r="V459" i="38"/>
  <c r="Y459" i="38"/>
  <c r="AE459" i="38" s="1"/>
  <c r="AC107" i="38"/>
  <c r="F108" i="38"/>
  <c r="AK459" i="38" l="1"/>
  <c r="AO63" i="25"/>
  <c r="R7" i="25"/>
  <c r="AO80" i="24"/>
  <c r="R7" i="24"/>
  <c r="AO57" i="22" l="1"/>
  <c r="R7" i="22"/>
  <c r="AO42" i="28"/>
  <c r="R7" i="28"/>
  <c r="AO45" i="20"/>
  <c r="R7" i="20"/>
  <c r="V257" i="19" l="1"/>
  <c r="Y257" i="19"/>
  <c r="H104" i="19"/>
  <c r="H105" i="19"/>
  <c r="H106" i="19"/>
  <c r="H107" i="19"/>
  <c r="H108" i="19"/>
  <c r="H109" i="19"/>
  <c r="H110" i="19"/>
  <c r="H103" i="19"/>
  <c r="AA257" i="19" s="1"/>
  <c r="H57" i="19"/>
  <c r="H58" i="19"/>
  <c r="H59" i="19"/>
  <c r="H60" i="19"/>
  <c r="H61" i="19"/>
  <c r="H90" i="19"/>
  <c r="H91" i="19"/>
  <c r="H92" i="19"/>
  <c r="H93" i="19"/>
  <c r="H94" i="19"/>
  <c r="H96" i="19"/>
  <c r="H97" i="19"/>
  <c r="H98" i="19"/>
  <c r="H99" i="19"/>
  <c r="H101" i="19"/>
  <c r="H102" i="19"/>
  <c r="H56" i="19"/>
  <c r="H53" i="19"/>
  <c r="H52" i="19"/>
  <c r="H51" i="19"/>
  <c r="H49" i="19"/>
  <c r="H48" i="19"/>
  <c r="H47" i="19"/>
  <c r="H46" i="19"/>
  <c r="H26" i="19"/>
  <c r="H27" i="19"/>
  <c r="H28" i="19"/>
  <c r="H30" i="19"/>
  <c r="H31" i="19"/>
  <c r="H32" i="19"/>
  <c r="H33" i="19"/>
  <c r="H34" i="19"/>
  <c r="H35" i="19"/>
  <c r="H37" i="19"/>
  <c r="H38" i="19"/>
  <c r="H39" i="19"/>
  <c r="H40" i="19"/>
  <c r="H22" i="19"/>
  <c r="H23" i="19"/>
  <c r="H24" i="19"/>
  <c r="F128" i="19"/>
  <c r="Y549" i="38"/>
  <c r="AE549" i="38" s="1"/>
  <c r="Y548" i="38"/>
  <c r="AE548" i="38" s="1"/>
  <c r="Y547" i="38"/>
  <c r="AE547" i="38" s="1"/>
  <c r="Y546" i="38"/>
  <c r="AE546" i="38" s="1"/>
  <c r="AO546" i="38" s="1"/>
  <c r="AQ546" i="38" s="1"/>
  <c r="Y545" i="38"/>
  <c r="AE545" i="38" s="1"/>
  <c r="Y544" i="38"/>
  <c r="AE544" i="38" s="1"/>
  <c r="Y543" i="38"/>
  <c r="AE543" i="38" s="1"/>
  <c r="Y542" i="38"/>
  <c r="AE542" i="38" s="1"/>
  <c r="AK542" i="38" s="1"/>
  <c r="Y541" i="38"/>
  <c r="AE541" i="38" s="1"/>
  <c r="Y540" i="38"/>
  <c r="AE540" i="38" s="1"/>
  <c r="Y539" i="38"/>
  <c r="AE539" i="38" s="1"/>
  <c r="T575" i="38"/>
  <c r="T574" i="38"/>
  <c r="V549" i="38"/>
  <c r="V548" i="38"/>
  <c r="V547" i="38"/>
  <c r="V546" i="38"/>
  <c r="V545" i="38"/>
  <c r="V544" i="38"/>
  <c r="V543" i="38"/>
  <c r="V542" i="38"/>
  <c r="V541" i="38"/>
  <c r="V540" i="38"/>
  <c r="V539" i="38"/>
  <c r="V676" i="38"/>
  <c r="V675" i="38"/>
  <c r="V674" i="38"/>
  <c r="V673" i="38"/>
  <c r="V672" i="38"/>
  <c r="V671" i="38"/>
  <c r="V670" i="38"/>
  <c r="AM666" i="38"/>
  <c r="Y665" i="38"/>
  <c r="AE665" i="38" s="1"/>
  <c r="AK665" i="38" s="1"/>
  <c r="Y664" i="38"/>
  <c r="AE664" i="38" s="1"/>
  <c r="Y663" i="38"/>
  <c r="AE663" i="38" s="1"/>
  <c r="Y662" i="38"/>
  <c r="AE662" i="38" s="1"/>
  <c r="Y661" i="38"/>
  <c r="AE661" i="38" s="1"/>
  <c r="AO661" i="38" s="1"/>
  <c r="AQ661" i="38" s="1"/>
  <c r="Y660" i="38"/>
  <c r="AE660" i="38" s="1"/>
  <c r="Y659" i="38"/>
  <c r="AE659" i="38" s="1"/>
  <c r="Y658" i="38"/>
  <c r="AE658" i="38" s="1"/>
  <c r="Y657" i="38"/>
  <c r="AE657" i="38" s="1"/>
  <c r="Y656" i="38"/>
  <c r="AE656" i="38" s="1"/>
  <c r="Y655" i="38"/>
  <c r="AE655" i="38" s="1"/>
  <c r="Y654" i="38"/>
  <c r="AE654" i="38" s="1"/>
  <c r="V665" i="38"/>
  <c r="V664" i="38"/>
  <c r="V663" i="38"/>
  <c r="V662" i="38"/>
  <c r="V661" i="38"/>
  <c r="V660" i="38"/>
  <c r="V659" i="38"/>
  <c r="V658" i="38"/>
  <c r="V657" i="38"/>
  <c r="V656" i="38"/>
  <c r="V655" i="38"/>
  <c r="V654" i="38"/>
  <c r="F330" i="38"/>
  <c r="Y681" i="38"/>
  <c r="AE681" i="38" s="1"/>
  <c r="AO681" i="38" s="1"/>
  <c r="AQ681" i="38" s="1"/>
  <c r="Y680" i="38"/>
  <c r="AE680" i="38" s="1"/>
  <c r="V682" i="38"/>
  <c r="V681" i="38"/>
  <c r="V680" i="38"/>
  <c r="V679" i="38"/>
  <c r="AM585" i="38"/>
  <c r="F233" i="38"/>
  <c r="F249" i="38"/>
  <c r="Y584" i="38"/>
  <c r="AE584" i="38" s="1"/>
  <c r="Y583" i="38"/>
  <c r="AE583" i="38" s="1"/>
  <c r="Y582" i="38"/>
  <c r="AE582" i="38" s="1"/>
  <c r="Y581" i="38"/>
  <c r="AE581" i="38" s="1"/>
  <c r="Y580" i="38"/>
  <c r="AE580" i="38" s="1"/>
  <c r="Y538" i="38"/>
  <c r="AE538" i="38" s="1"/>
  <c r="Y537" i="38"/>
  <c r="AE537" i="38" s="1"/>
  <c r="Y536" i="38"/>
  <c r="AE536" i="38" s="1"/>
  <c r="Y535" i="38"/>
  <c r="AE535" i="38" s="1"/>
  <c r="Y534" i="38"/>
  <c r="AE534" i="38" s="1"/>
  <c r="AO534" i="38" s="1"/>
  <c r="AQ534" i="38" s="1"/>
  <c r="Y533" i="38"/>
  <c r="AE533" i="38" s="1"/>
  <c r="Y532" i="38"/>
  <c r="AE532" i="38" s="1"/>
  <c r="Y531" i="38"/>
  <c r="AE531" i="38" s="1"/>
  <c r="Y530" i="38"/>
  <c r="AE530" i="38" s="1"/>
  <c r="Y529" i="38"/>
  <c r="AE529" i="38" s="1"/>
  <c r="Y528" i="38"/>
  <c r="AE528" i="38" s="1"/>
  <c r="Y527" i="38"/>
  <c r="AE527" i="38" s="1"/>
  <c r="Y526" i="38"/>
  <c r="AE526" i="38" s="1"/>
  <c r="AO526" i="38" s="1"/>
  <c r="AQ526" i="38" s="1"/>
  <c r="Y525" i="38"/>
  <c r="AE525" i="38" s="1"/>
  <c r="Y524" i="38"/>
  <c r="AE524" i="38" s="1"/>
  <c r="Y523" i="38"/>
  <c r="AE523" i="38" s="1"/>
  <c r="Y522" i="38"/>
  <c r="AE522" i="38" s="1"/>
  <c r="V584" i="38"/>
  <c r="V583" i="38"/>
  <c r="V582" i="38"/>
  <c r="V581" i="38"/>
  <c r="V580" i="38"/>
  <c r="V538" i="38"/>
  <c r="V537" i="38"/>
  <c r="V536" i="38"/>
  <c r="V535" i="38"/>
  <c r="V534" i="38"/>
  <c r="V533" i="38"/>
  <c r="V532" i="38"/>
  <c r="V531" i="38"/>
  <c r="V530" i="38"/>
  <c r="V529" i="38"/>
  <c r="V528" i="38"/>
  <c r="V527" i="38"/>
  <c r="V526" i="38"/>
  <c r="V525" i="38"/>
  <c r="V524" i="38"/>
  <c r="V523" i="38"/>
  <c r="V522" i="38"/>
  <c r="AO542" i="38" l="1"/>
  <c r="AQ542" i="38" s="1"/>
  <c r="AO543" i="38"/>
  <c r="AQ543" i="38" s="1"/>
  <c r="AK543" i="38"/>
  <c r="AO544" i="38"/>
  <c r="AQ544" i="38" s="1"/>
  <c r="AK544" i="38"/>
  <c r="AK549" i="38"/>
  <c r="AO549" i="38"/>
  <c r="AQ549" i="38" s="1"/>
  <c r="AK539" i="38"/>
  <c r="AO539" i="38"/>
  <c r="AQ539" i="38" s="1"/>
  <c r="AK545" i="38"/>
  <c r="AO545" i="38"/>
  <c r="AQ545" i="38" s="1"/>
  <c r="AO540" i="38"/>
  <c r="AQ540" i="38" s="1"/>
  <c r="AK540" i="38"/>
  <c r="AO548" i="38"/>
  <c r="AQ548" i="38" s="1"/>
  <c r="AK548" i="38"/>
  <c r="AK541" i="38"/>
  <c r="AO541" i="38"/>
  <c r="AQ541" i="38" s="1"/>
  <c r="AK547" i="38"/>
  <c r="AO547" i="38"/>
  <c r="AQ547" i="38" s="1"/>
  <c r="AK546" i="38"/>
  <c r="AK657" i="38"/>
  <c r="AO657" i="38"/>
  <c r="AQ657" i="38" s="1"/>
  <c r="AO654" i="38"/>
  <c r="AQ654" i="38" s="1"/>
  <c r="AK654" i="38"/>
  <c r="AO660" i="38"/>
  <c r="AQ660" i="38" s="1"/>
  <c r="AK660" i="38"/>
  <c r="AO655" i="38"/>
  <c r="AQ655" i="38" s="1"/>
  <c r="AK655" i="38"/>
  <c r="AO658" i="38"/>
  <c r="AQ658" i="38" s="1"/>
  <c r="AK658" i="38"/>
  <c r="AO656" i="38"/>
  <c r="AQ656" i="38" s="1"/>
  <c r="AK656" i="38"/>
  <c r="AO662" i="38"/>
  <c r="AQ662" i="38" s="1"/>
  <c r="AK662" i="38"/>
  <c r="AO663" i="38"/>
  <c r="AQ663" i="38" s="1"/>
  <c r="AK663" i="38"/>
  <c r="AO659" i="38"/>
  <c r="AQ659" i="38" s="1"/>
  <c r="AK659" i="38"/>
  <c r="AO664" i="38"/>
  <c r="AQ664" i="38" s="1"/>
  <c r="AK664" i="38"/>
  <c r="AO665" i="38"/>
  <c r="AQ665" i="38" s="1"/>
  <c r="AK661" i="38"/>
  <c r="AK680" i="38"/>
  <c r="AE682" i="38"/>
  <c r="AK682" i="38" s="1"/>
  <c r="AO680" i="38"/>
  <c r="AQ680" i="38" s="1"/>
  <c r="Y682" i="38"/>
  <c r="AK681" i="38"/>
  <c r="AO581" i="38"/>
  <c r="AQ581" i="38" s="1"/>
  <c r="AK581" i="38"/>
  <c r="AK582" i="38"/>
  <c r="AO582" i="38"/>
  <c r="AQ582" i="38" s="1"/>
  <c r="AK580" i="38"/>
  <c r="AO580" i="38"/>
  <c r="AQ580" i="38" s="1"/>
  <c r="AO583" i="38"/>
  <c r="AQ583" i="38" s="1"/>
  <c r="AK583" i="38"/>
  <c r="AO584" i="38"/>
  <c r="AQ584" i="38" s="1"/>
  <c r="AK584" i="38"/>
  <c r="AO527" i="38"/>
  <c r="AQ527" i="38" s="1"/>
  <c r="AK527" i="38"/>
  <c r="AO535" i="38"/>
  <c r="AQ535" i="38" s="1"/>
  <c r="AK535" i="38"/>
  <c r="AK522" i="38"/>
  <c r="AO522" i="38"/>
  <c r="AQ522" i="38" s="1"/>
  <c r="AO536" i="38"/>
  <c r="AQ536" i="38" s="1"/>
  <c r="AK536" i="38"/>
  <c r="AO528" i="38"/>
  <c r="AQ528" i="38" s="1"/>
  <c r="AK528" i="38"/>
  <c r="AK537" i="38"/>
  <c r="AO537" i="38"/>
  <c r="AQ537" i="38" s="1"/>
  <c r="AO529" i="38"/>
  <c r="AQ529" i="38" s="1"/>
  <c r="AK529" i="38"/>
  <c r="AK538" i="38"/>
  <c r="AO538" i="38"/>
  <c r="AQ538" i="38" s="1"/>
  <c r="AK530" i="38"/>
  <c r="AO530" i="38"/>
  <c r="AQ530" i="38" s="1"/>
  <c r="AO525" i="38"/>
  <c r="AQ525" i="38" s="1"/>
  <c r="AK525" i="38"/>
  <c r="AO523" i="38"/>
  <c r="AQ523" i="38" s="1"/>
  <c r="AK523" i="38"/>
  <c r="AO524" i="38"/>
  <c r="AQ524" i="38" s="1"/>
  <c r="AK524" i="38"/>
  <c r="AO531" i="38"/>
  <c r="AQ531" i="38" s="1"/>
  <c r="AK531" i="38"/>
  <c r="AO532" i="38"/>
  <c r="AQ532" i="38" s="1"/>
  <c r="AK532" i="38"/>
  <c r="AO533" i="38"/>
  <c r="AQ533" i="38" s="1"/>
  <c r="AK533" i="38"/>
  <c r="AK526" i="38"/>
  <c r="AK534" i="38"/>
  <c r="Y458" i="38"/>
  <c r="AE458" i="38" s="1"/>
  <c r="AK458" i="38" s="1"/>
  <c r="Y457" i="38"/>
  <c r="AE457" i="38" s="1"/>
  <c r="Y456" i="38"/>
  <c r="AE456" i="38" s="1"/>
  <c r="Y455" i="38"/>
  <c r="AE455" i="38" s="1"/>
  <c r="Y454" i="38"/>
  <c r="AE454" i="38" s="1"/>
  <c r="AK454" i="38" s="1"/>
  <c r="Y453" i="38"/>
  <c r="AE453" i="38" s="1"/>
  <c r="Y452" i="38"/>
  <c r="AE452" i="38" s="1"/>
  <c r="AK452" i="38" s="1"/>
  <c r="Y451" i="38"/>
  <c r="AE451" i="38" s="1"/>
  <c r="Y450" i="38"/>
  <c r="AE450" i="38" s="1"/>
  <c r="AK450" i="38" s="1"/>
  <c r="Y449" i="38"/>
  <c r="AE449" i="38" s="1"/>
  <c r="Y448" i="38"/>
  <c r="AE448" i="38" s="1"/>
  <c r="AK448" i="38" s="1"/>
  <c r="Y447" i="38"/>
  <c r="AE447" i="38" s="1"/>
  <c r="AK447" i="38" s="1"/>
  <c r="Y446" i="38"/>
  <c r="AE446" i="38" s="1"/>
  <c r="Y445" i="38"/>
  <c r="AE445" i="38" s="1"/>
  <c r="AK445" i="38" s="1"/>
  <c r="Y444" i="38"/>
  <c r="AE444" i="38" s="1"/>
  <c r="Y443" i="38"/>
  <c r="AE443" i="38" s="1"/>
  <c r="AK443" i="38" s="1"/>
  <c r="Y442" i="38"/>
  <c r="AE442" i="38" s="1"/>
  <c r="AK442" i="38" s="1"/>
  <c r="Y441" i="38"/>
  <c r="AE441" i="38" s="1"/>
  <c r="Y440" i="38"/>
  <c r="AE440" i="38" s="1"/>
  <c r="AK440" i="38" s="1"/>
  <c r="Y439" i="38"/>
  <c r="AE439" i="38" s="1"/>
  <c r="Y438" i="38"/>
  <c r="AE438" i="38" s="1"/>
  <c r="Y412" i="38"/>
  <c r="AE412" i="38" s="1"/>
  <c r="AK412" i="38" s="1"/>
  <c r="Y411" i="38"/>
  <c r="AE411" i="38" s="1"/>
  <c r="Y410" i="38"/>
  <c r="AE410" i="38" s="1"/>
  <c r="AK410" i="38" s="1"/>
  <c r="Y409" i="38"/>
  <c r="AE409" i="38" s="1"/>
  <c r="Y408" i="38"/>
  <c r="AE408" i="38" s="1"/>
  <c r="AK408" i="38" s="1"/>
  <c r="Y407" i="38"/>
  <c r="AE407" i="38" s="1"/>
  <c r="Y406" i="38"/>
  <c r="AE406" i="38" s="1"/>
  <c r="AK406" i="38" s="1"/>
  <c r="Y405" i="38"/>
  <c r="AE405" i="38" s="1"/>
  <c r="AK405" i="38" s="1"/>
  <c r="Y404" i="38"/>
  <c r="AE404" i="38" s="1"/>
  <c r="Y403" i="38"/>
  <c r="AE403" i="38" s="1"/>
  <c r="AK403" i="38" s="1"/>
  <c r="Y402" i="38"/>
  <c r="AE402" i="38" s="1"/>
  <c r="V458" i="38"/>
  <c r="V457" i="38"/>
  <c r="V456" i="38"/>
  <c r="V455" i="38"/>
  <c r="V454" i="38"/>
  <c r="V453" i="38"/>
  <c r="V452" i="38"/>
  <c r="V451" i="38"/>
  <c r="V450" i="38"/>
  <c r="V449" i="38"/>
  <c r="V448" i="38"/>
  <c r="V447" i="38"/>
  <c r="V446" i="38"/>
  <c r="V445" i="38"/>
  <c r="V444" i="38"/>
  <c r="V443" i="38"/>
  <c r="V442" i="38"/>
  <c r="V441" i="38"/>
  <c r="V440" i="38"/>
  <c r="V439" i="38"/>
  <c r="V438" i="38"/>
  <c r="T438" i="38"/>
  <c r="V412" i="38"/>
  <c r="T412" i="38"/>
  <c r="V411" i="38"/>
  <c r="T411" i="38"/>
  <c r="V410" i="38"/>
  <c r="T410" i="38"/>
  <c r="V409" i="38"/>
  <c r="T409" i="38"/>
  <c r="V408" i="38"/>
  <c r="T408" i="38"/>
  <c r="V407" i="38"/>
  <c r="T407" i="38"/>
  <c r="V406" i="38"/>
  <c r="T406" i="38"/>
  <c r="V405" i="38"/>
  <c r="T405" i="38"/>
  <c r="V404" i="38"/>
  <c r="T404" i="38"/>
  <c r="V403" i="38"/>
  <c r="T403" i="38"/>
  <c r="V402" i="38"/>
  <c r="T402" i="38"/>
  <c r="AC106" i="38"/>
  <c r="H107" i="38" s="1"/>
  <c r="AA459" i="38" s="1"/>
  <c r="AC105" i="38"/>
  <c r="AC104" i="38"/>
  <c r="AC103" i="38"/>
  <c r="AC102" i="38"/>
  <c r="AC101" i="38"/>
  <c r="AC100" i="38"/>
  <c r="AC99" i="38"/>
  <c r="AC98" i="38"/>
  <c r="AC97" i="38"/>
  <c r="AC96" i="38"/>
  <c r="AC95" i="38"/>
  <c r="AC94" i="38"/>
  <c r="AC93" i="38"/>
  <c r="AC92" i="38"/>
  <c r="AC91" i="38"/>
  <c r="AC90" i="38"/>
  <c r="AC89" i="38"/>
  <c r="AC88" i="38"/>
  <c r="AC87" i="38"/>
  <c r="AC86" i="38"/>
  <c r="AC61" i="38"/>
  <c r="AC60" i="38"/>
  <c r="AC59" i="38"/>
  <c r="AC58" i="38"/>
  <c r="AC57" i="38"/>
  <c r="AC56" i="38"/>
  <c r="AC55" i="38"/>
  <c r="AC54" i="38"/>
  <c r="AC53" i="38"/>
  <c r="AC52" i="38"/>
  <c r="AC51" i="38"/>
  <c r="AO682" i="38" l="1"/>
  <c r="AQ682" i="38" s="1"/>
  <c r="AK402" i="38"/>
  <c r="AK404" i="38"/>
  <c r="AK407" i="38"/>
  <c r="AK409" i="38"/>
  <c r="AK411" i="38"/>
  <c r="AK438" i="38"/>
  <c r="AK441" i="38"/>
  <c r="AK444" i="38"/>
  <c r="AK446" i="38"/>
  <c r="AK449" i="38"/>
  <c r="AK451" i="38"/>
  <c r="AK453" i="38"/>
  <c r="AK455" i="38"/>
  <c r="AK456" i="38"/>
  <c r="AK457" i="38"/>
  <c r="H106" i="38"/>
  <c r="AA458" i="38" s="1"/>
  <c r="H105" i="38"/>
  <c r="AA457" i="38" s="1"/>
  <c r="H104" i="38"/>
  <c r="AA456" i="38" s="1"/>
  <c r="H103" i="38"/>
  <c r="AA455" i="38" s="1"/>
  <c r="H102" i="38"/>
  <c r="AA454" i="38" s="1"/>
  <c r="H101" i="38"/>
  <c r="AA453" i="38" s="1"/>
  <c r="H100" i="38"/>
  <c r="AA452" i="38" s="1"/>
  <c r="H99" i="38"/>
  <c r="AA451" i="38" s="1"/>
  <c r="H98" i="38"/>
  <c r="AA450" i="38" s="1"/>
  <c r="H97" i="38"/>
  <c r="AA449" i="38" s="1"/>
  <c r="H96" i="38"/>
  <c r="AA448" i="38" s="1"/>
  <c r="H95" i="38"/>
  <c r="AA447" i="38" s="1"/>
  <c r="H94" i="38"/>
  <c r="AA446" i="38" s="1"/>
  <c r="H93" i="38"/>
  <c r="AA445" i="38" s="1"/>
  <c r="H92" i="38"/>
  <c r="AA444" i="38" s="1"/>
  <c r="H91" i="38"/>
  <c r="AA443" i="38" s="1"/>
  <c r="H90" i="38"/>
  <c r="AA442" i="38" s="1"/>
  <c r="H89" i="38"/>
  <c r="AA441" i="38" s="1"/>
  <c r="H88" i="38"/>
  <c r="AA440" i="38" s="1"/>
  <c r="H87" i="38"/>
  <c r="AA439" i="38" s="1"/>
  <c r="H86" i="38"/>
  <c r="AA438" i="38" s="1"/>
  <c r="H61" i="38"/>
  <c r="AA412" i="38" s="1"/>
  <c r="H60" i="38"/>
  <c r="AA411" i="38" s="1"/>
  <c r="H59" i="38"/>
  <c r="AA410" i="38" s="1"/>
  <c r="H58" i="38"/>
  <c r="AA409" i="38" s="1"/>
  <c r="H57" i="38"/>
  <c r="AA408" i="38" s="1"/>
  <c r="H56" i="38"/>
  <c r="AA407" i="38" s="1"/>
  <c r="H55" i="38"/>
  <c r="AA406" i="38" s="1"/>
  <c r="H54" i="38"/>
  <c r="AA405" i="38" s="1"/>
  <c r="H53" i="38"/>
  <c r="AA404" i="38" s="1"/>
  <c r="H52" i="38"/>
  <c r="AA403" i="38" s="1"/>
  <c r="Y472" i="38"/>
  <c r="AE472" i="38" s="1"/>
  <c r="V472" i="38"/>
  <c r="T472" i="38"/>
  <c r="Y471" i="38"/>
  <c r="AE471" i="38" s="1"/>
  <c r="V471" i="38"/>
  <c r="T471" i="38"/>
  <c r="Y470" i="38"/>
  <c r="AE470" i="38" s="1"/>
  <c r="AK470" i="38" s="1"/>
  <c r="V470" i="38"/>
  <c r="T470" i="38"/>
  <c r="Y469" i="38"/>
  <c r="AE469" i="38" s="1"/>
  <c r="V469" i="38"/>
  <c r="T469" i="38"/>
  <c r="Y468" i="38"/>
  <c r="AE468" i="38" s="1"/>
  <c r="V468" i="38"/>
  <c r="T468" i="38"/>
  <c r="Y467" i="38"/>
  <c r="AE467" i="38" s="1"/>
  <c r="V467" i="38"/>
  <c r="T467" i="38"/>
  <c r="Y466" i="38"/>
  <c r="AE466" i="38" s="1"/>
  <c r="V466" i="38"/>
  <c r="T466" i="38"/>
  <c r="Y465" i="38"/>
  <c r="V465" i="38"/>
  <c r="T465" i="38"/>
  <c r="AE257" i="19"/>
  <c r="Y281" i="19"/>
  <c r="AE281" i="19" s="1"/>
  <c r="AO281" i="19" s="1"/>
  <c r="AQ281" i="19" s="1"/>
  <c r="Y280" i="19"/>
  <c r="AE280" i="19" s="1"/>
  <c r="Y279" i="19"/>
  <c r="AE279" i="19" s="1"/>
  <c r="AO279" i="19" s="1"/>
  <c r="Y278" i="19"/>
  <c r="AE278" i="19" s="1"/>
  <c r="AO278" i="19" s="1"/>
  <c r="Y277" i="19"/>
  <c r="AE277" i="19" s="1"/>
  <c r="AO277" i="19" s="1"/>
  <c r="Y276" i="19"/>
  <c r="AE276" i="19" s="1"/>
  <c r="AO276" i="19" s="1"/>
  <c r="Y275" i="19"/>
  <c r="AE275" i="19" s="1"/>
  <c r="Y274" i="19"/>
  <c r="AE274" i="19" s="1"/>
  <c r="Y273" i="19"/>
  <c r="AE273" i="19" s="1"/>
  <c r="Y272" i="19"/>
  <c r="AE272" i="19" s="1"/>
  <c r="Y271" i="19"/>
  <c r="AE271" i="19" s="1"/>
  <c r="AO271" i="19" s="1"/>
  <c r="Y270" i="19"/>
  <c r="AE270" i="19" s="1"/>
  <c r="AO270" i="19" s="1"/>
  <c r="Y269" i="19"/>
  <c r="AE269" i="19" s="1"/>
  <c r="AO269" i="19" s="1"/>
  <c r="Y268" i="19"/>
  <c r="AE465" i="38" l="1"/>
  <c r="AO467" i="38"/>
  <c r="AQ467" i="38" s="1"/>
  <c r="AK467" i="38"/>
  <c r="AK466" i="38"/>
  <c r="AO466" i="38"/>
  <c r="AQ466" i="38" s="1"/>
  <c r="AO471" i="38"/>
  <c r="AQ471" i="38" s="1"/>
  <c r="AK471" i="38"/>
  <c r="AO469" i="38"/>
  <c r="AQ469" i="38" s="1"/>
  <c r="AK469" i="38"/>
  <c r="AO472" i="38"/>
  <c r="AQ472" i="38" s="1"/>
  <c r="AK472" i="38"/>
  <c r="AK468" i="38"/>
  <c r="AO468" i="38"/>
  <c r="AQ468" i="38" s="1"/>
  <c r="AO470" i="38"/>
  <c r="AQ470" i="38" s="1"/>
  <c r="AK257" i="19"/>
  <c r="AO280" i="19"/>
  <c r="AQ280" i="19" s="1"/>
  <c r="AK280" i="19"/>
  <c r="AO272" i="19"/>
  <c r="AO273" i="19"/>
  <c r="Y282" i="19"/>
  <c r="AK281" i="19"/>
  <c r="AO274" i="19"/>
  <c r="AO275" i="19"/>
  <c r="AE268" i="19"/>
  <c r="AK465" i="38" l="1"/>
  <c r="AO465" i="38"/>
  <c r="AE282" i="19"/>
  <c r="AO268" i="19"/>
  <c r="C84" i="26"/>
  <c r="C80" i="26"/>
  <c r="C55" i="8"/>
  <c r="AQ465" i="38" l="1"/>
  <c r="AO282" i="19"/>
  <c r="AM601" i="38"/>
  <c r="F314" i="38"/>
  <c r="H27" i="20" l="1"/>
  <c r="K59" i="40"/>
  <c r="K48" i="40"/>
  <c r="L48" i="40" s="1"/>
  <c r="C60" i="40"/>
  <c r="AA65" i="20" l="1"/>
  <c r="E60" i="40"/>
  <c r="T522" i="38" l="1"/>
  <c r="T523" i="38" l="1"/>
  <c r="T524" i="38" l="1"/>
  <c r="T95" i="10"/>
  <c r="T94" i="10"/>
  <c r="T93" i="10"/>
  <c r="T92" i="10"/>
  <c r="T91" i="10"/>
  <c r="T90" i="10"/>
  <c r="T101" i="10"/>
  <c r="T100" i="10"/>
  <c r="T99" i="10"/>
  <c r="T98" i="10"/>
  <c r="T97" i="10"/>
  <c r="T106" i="10"/>
  <c r="T105" i="10"/>
  <c r="T104" i="10"/>
  <c r="T103" i="10"/>
  <c r="T112" i="10"/>
  <c r="T111" i="10"/>
  <c r="T110" i="10"/>
  <c r="T109" i="10"/>
  <c r="T108" i="10"/>
  <c r="T117" i="10"/>
  <c r="T116" i="10"/>
  <c r="T115" i="10"/>
  <c r="T114" i="10"/>
  <c r="T118" i="10"/>
  <c r="T124" i="10"/>
  <c r="T123" i="10"/>
  <c r="T122" i="10"/>
  <c r="T121" i="10"/>
  <c r="T120" i="10"/>
  <c r="T126" i="10"/>
  <c r="T525" i="38" l="1"/>
  <c r="C31" i="26"/>
  <c r="T526" i="38" l="1"/>
  <c r="C82" i="26"/>
  <c r="C180" i="26"/>
  <c r="C129" i="26"/>
  <c r="C242" i="26"/>
  <c r="T527" i="38" l="1"/>
  <c r="T528" i="38" l="1"/>
  <c r="T529" i="38" l="1"/>
  <c r="H64" i="24"/>
  <c r="T530" i="38" l="1"/>
  <c r="F111" i="19"/>
  <c r="F42" i="19"/>
  <c r="V59" i="5"/>
  <c r="T531" i="38" l="1"/>
  <c r="F27" i="20"/>
  <c r="T532" i="38" l="1"/>
  <c r="T533" i="38" l="1"/>
  <c r="T534" i="38" l="1"/>
  <c r="T535" i="38" l="1"/>
  <c r="T536" i="38" l="1"/>
  <c r="T537" i="38" l="1"/>
  <c r="T539" i="38" l="1"/>
  <c r="T538" i="38"/>
  <c r="T540" i="38" l="1"/>
  <c r="T576" i="38"/>
  <c r="T541" i="38" l="1"/>
  <c r="T577" i="38"/>
  <c r="T694" i="38"/>
  <c r="V692" i="38"/>
  <c r="V690" i="38"/>
  <c r="V686" i="38"/>
  <c r="V684" i="38"/>
  <c r="V677" i="38"/>
  <c r="AE675" i="38"/>
  <c r="AE674" i="38"/>
  <c r="AE673" i="38"/>
  <c r="AE672" i="38"/>
  <c r="AO672" i="38" s="1"/>
  <c r="AQ672" i="38" s="1"/>
  <c r="AE671" i="38"/>
  <c r="Y670" i="38"/>
  <c r="AE670" i="38" s="1"/>
  <c r="Y669" i="38"/>
  <c r="V669" i="38"/>
  <c r="V668" i="38"/>
  <c r="V666" i="38"/>
  <c r="Y653" i="38"/>
  <c r="AE653" i="38" s="1"/>
  <c r="V653" i="38"/>
  <c r="Y652" i="38"/>
  <c r="AE652" i="38" s="1"/>
  <c r="AO652" i="38" s="1"/>
  <c r="V652" i="38"/>
  <c r="Y651" i="38"/>
  <c r="AE651" i="38" s="1"/>
  <c r="V651" i="38"/>
  <c r="Y650" i="38"/>
  <c r="AE650" i="38" s="1"/>
  <c r="AO650" i="38" s="1"/>
  <c r="AQ650" i="38" s="1"/>
  <c r="V650" i="38"/>
  <c r="Y649" i="38"/>
  <c r="AE649" i="38" s="1"/>
  <c r="V649" i="38"/>
  <c r="Y648" i="38"/>
  <c r="AE648" i="38" s="1"/>
  <c r="V648" i="38"/>
  <c r="Y647" i="38"/>
  <c r="AE647" i="38" s="1"/>
  <c r="V647" i="38"/>
  <c r="Y646" i="38"/>
  <c r="AE646" i="38" s="1"/>
  <c r="V646" i="38"/>
  <c r="Y645" i="38"/>
  <c r="AE645" i="38" s="1"/>
  <c r="V645" i="38"/>
  <c r="Y644" i="38"/>
  <c r="AE644" i="38" s="1"/>
  <c r="AO644" i="38" s="1"/>
  <c r="AQ644" i="38" s="1"/>
  <c r="V644" i="38"/>
  <c r="Y643" i="38"/>
  <c r="AE643" i="38" s="1"/>
  <c r="V643" i="38"/>
  <c r="Y642" i="38"/>
  <c r="AE642" i="38" s="1"/>
  <c r="AO642" i="38" s="1"/>
  <c r="AQ642" i="38" s="1"/>
  <c r="V642" i="38"/>
  <c r="Y641" i="38"/>
  <c r="AE641" i="38" s="1"/>
  <c r="V641" i="38"/>
  <c r="Y616" i="38"/>
  <c r="AE616" i="38" s="1"/>
  <c r="V616" i="38"/>
  <c r="Y615" i="38"/>
  <c r="AE615" i="38" s="1"/>
  <c r="V615" i="38"/>
  <c r="Y614" i="38"/>
  <c r="AE614" i="38" s="1"/>
  <c r="V614" i="38"/>
  <c r="Y613" i="38"/>
  <c r="AE613" i="38" s="1"/>
  <c r="V613" i="38"/>
  <c r="Y612" i="38"/>
  <c r="AE612" i="38" s="1"/>
  <c r="AO612" i="38" s="1"/>
  <c r="AQ612" i="38" s="1"/>
  <c r="V612" i="38"/>
  <c r="Y611" i="38"/>
  <c r="AE611" i="38" s="1"/>
  <c r="V611" i="38"/>
  <c r="Y610" i="38"/>
  <c r="AE610" i="38" s="1"/>
  <c r="AO610" i="38" s="1"/>
  <c r="V610" i="38"/>
  <c r="Y609" i="38"/>
  <c r="AE609" i="38" s="1"/>
  <c r="V609" i="38"/>
  <c r="Y608" i="38"/>
  <c r="AE608" i="38" s="1"/>
  <c r="V608" i="38"/>
  <c r="Y607" i="38"/>
  <c r="AE607" i="38" s="1"/>
  <c r="V607" i="38"/>
  <c r="Y606" i="38"/>
  <c r="AE606" i="38" s="1"/>
  <c r="V606" i="38"/>
  <c r="Y605" i="38"/>
  <c r="AE605" i="38" s="1"/>
  <c r="V605" i="38"/>
  <c r="Y604" i="38"/>
  <c r="V604" i="38"/>
  <c r="V601" i="38"/>
  <c r="Y600" i="38"/>
  <c r="AE600" i="38" s="1"/>
  <c r="V600" i="38"/>
  <c r="Y599" i="38"/>
  <c r="AE599" i="38" s="1"/>
  <c r="AO599" i="38" s="1"/>
  <c r="AQ599" i="38" s="1"/>
  <c r="V599" i="38"/>
  <c r="Y598" i="38"/>
  <c r="AE598" i="38" s="1"/>
  <c r="AO598" i="38" s="1"/>
  <c r="AQ598" i="38" s="1"/>
  <c r="V598" i="38"/>
  <c r="Y597" i="38"/>
  <c r="AE597" i="38" s="1"/>
  <c r="V597" i="38"/>
  <c r="Y596" i="38"/>
  <c r="AE596" i="38" s="1"/>
  <c r="V596" i="38"/>
  <c r="Y595" i="38"/>
  <c r="AE595" i="38" s="1"/>
  <c r="V595" i="38"/>
  <c r="Y594" i="38"/>
  <c r="AE594" i="38" s="1"/>
  <c r="V594" i="38"/>
  <c r="Y593" i="38"/>
  <c r="AE593" i="38" s="1"/>
  <c r="V593" i="38"/>
  <c r="Y592" i="38"/>
  <c r="AE592" i="38" s="1"/>
  <c r="V592" i="38"/>
  <c r="Y591" i="38"/>
  <c r="AE591" i="38" s="1"/>
  <c r="AO591" i="38" s="1"/>
  <c r="AQ591" i="38" s="1"/>
  <c r="V591" i="38"/>
  <c r="Y590" i="38"/>
  <c r="AE590" i="38" s="1"/>
  <c r="AO590" i="38" s="1"/>
  <c r="AQ590" i="38" s="1"/>
  <c r="V590" i="38"/>
  <c r="Y589" i="38"/>
  <c r="AE589" i="38" s="1"/>
  <c r="V589" i="38"/>
  <c r="Y588" i="38"/>
  <c r="AE588" i="38" s="1"/>
  <c r="V588" i="38"/>
  <c r="V587" i="38"/>
  <c r="V585" i="38"/>
  <c r="Y579" i="38"/>
  <c r="AE579" i="38" s="1"/>
  <c r="V579" i="38"/>
  <c r="Y578" i="38"/>
  <c r="AE578" i="38" s="1"/>
  <c r="AO578" i="38" s="1"/>
  <c r="AQ578" i="38" s="1"/>
  <c r="V578" i="38"/>
  <c r="Y577" i="38"/>
  <c r="AE577" i="38" s="1"/>
  <c r="V577" i="38"/>
  <c r="Y576" i="38"/>
  <c r="AE576" i="38" s="1"/>
  <c r="V576" i="38"/>
  <c r="Y521" i="38"/>
  <c r="AE521" i="38" s="1"/>
  <c r="V521" i="38"/>
  <c r="T521" i="38"/>
  <c r="Y520" i="38"/>
  <c r="AE520" i="38" s="1"/>
  <c r="V520" i="38"/>
  <c r="T520" i="38"/>
  <c r="Y519" i="38"/>
  <c r="AE519" i="38" s="1"/>
  <c r="V519" i="38"/>
  <c r="T519" i="38"/>
  <c r="Y518" i="38"/>
  <c r="AE518" i="38" s="1"/>
  <c r="V518" i="38"/>
  <c r="T518" i="38"/>
  <c r="Y517" i="38"/>
  <c r="AE517" i="38" s="1"/>
  <c r="V517" i="38"/>
  <c r="T517" i="38"/>
  <c r="Y516" i="38"/>
  <c r="AE516" i="38" s="1"/>
  <c r="AO516" i="38" s="1"/>
  <c r="AQ516" i="38" s="1"/>
  <c r="V516" i="38"/>
  <c r="T516" i="38"/>
  <c r="Y515" i="38"/>
  <c r="AE515" i="38" s="1"/>
  <c r="AO515" i="38" s="1"/>
  <c r="V515" i="38"/>
  <c r="T515" i="38"/>
  <c r="Y514" i="38"/>
  <c r="AE514" i="38" s="1"/>
  <c r="V514" i="38"/>
  <c r="T514" i="38"/>
  <c r="Y513" i="38"/>
  <c r="AE513" i="38" s="1"/>
  <c r="V513" i="38"/>
  <c r="T513" i="38"/>
  <c r="Y512" i="38"/>
  <c r="AE512" i="38" s="1"/>
  <c r="V512" i="38"/>
  <c r="T512" i="38"/>
  <c r="Y511" i="38"/>
  <c r="AE511" i="38" s="1"/>
  <c r="V511" i="38"/>
  <c r="T511" i="38"/>
  <c r="Y510" i="38"/>
  <c r="AE510" i="38" s="1"/>
  <c r="V510" i="38"/>
  <c r="T510" i="38"/>
  <c r="Y509" i="38"/>
  <c r="AE509" i="38" s="1"/>
  <c r="V509" i="38"/>
  <c r="T509" i="38"/>
  <c r="Y508" i="38"/>
  <c r="AE508" i="38" s="1"/>
  <c r="AO508" i="38" s="1"/>
  <c r="AQ508" i="38" s="1"/>
  <c r="V508" i="38"/>
  <c r="T508" i="38"/>
  <c r="Y483" i="38"/>
  <c r="AE483" i="38" s="1"/>
  <c r="AO483" i="38" s="1"/>
  <c r="AQ483" i="38" s="1"/>
  <c r="V483" i="38"/>
  <c r="T483" i="38"/>
  <c r="Y482" i="38"/>
  <c r="AE482" i="38" s="1"/>
  <c r="V482" i="38"/>
  <c r="T482" i="38"/>
  <c r="Y481" i="38"/>
  <c r="AE481" i="38" s="1"/>
  <c r="V481" i="38"/>
  <c r="T481" i="38"/>
  <c r="Y480" i="38"/>
  <c r="AE480" i="38" s="1"/>
  <c r="V480" i="38"/>
  <c r="T480" i="38"/>
  <c r="Y479" i="38"/>
  <c r="AE479" i="38" s="1"/>
  <c r="V479" i="38"/>
  <c r="T479" i="38"/>
  <c r="Y478" i="38"/>
  <c r="AE478" i="38" s="1"/>
  <c r="V478" i="38"/>
  <c r="T478" i="38"/>
  <c r="Y477" i="38"/>
  <c r="AE477" i="38" s="1"/>
  <c r="V477" i="38"/>
  <c r="T477" i="38"/>
  <c r="Y476" i="38"/>
  <c r="AE476" i="38" s="1"/>
  <c r="AO476" i="38" s="1"/>
  <c r="AQ476" i="38" s="1"/>
  <c r="V476" i="38"/>
  <c r="T476" i="38"/>
  <c r="Y475" i="38"/>
  <c r="AE475" i="38" s="1"/>
  <c r="V475" i="38"/>
  <c r="T475" i="38"/>
  <c r="Y474" i="38"/>
  <c r="AE474" i="38" s="1"/>
  <c r="V474" i="38"/>
  <c r="T474" i="38"/>
  <c r="Y473" i="38"/>
  <c r="V473" i="38"/>
  <c r="T473" i="38"/>
  <c r="V464" i="38"/>
  <c r="T464" i="38"/>
  <c r="Y382" i="38"/>
  <c r="AE382" i="38" s="1"/>
  <c r="Y374" i="38"/>
  <c r="AE374" i="38" s="1"/>
  <c r="V462" i="38"/>
  <c r="T462" i="38"/>
  <c r="V460" i="38"/>
  <c r="Y401" i="38"/>
  <c r="AE401" i="38" s="1"/>
  <c r="V401" i="38"/>
  <c r="T401" i="38"/>
  <c r="Y400" i="38"/>
  <c r="AE400" i="38" s="1"/>
  <c r="V400" i="38"/>
  <c r="T400" i="38"/>
  <c r="Y399" i="38"/>
  <c r="AE399" i="38" s="1"/>
  <c r="AK399" i="38" s="1"/>
  <c r="V399" i="38"/>
  <c r="T399" i="38"/>
  <c r="Y398" i="38"/>
  <c r="AE398" i="38" s="1"/>
  <c r="AK398" i="38" s="1"/>
  <c r="V398" i="38"/>
  <c r="T398" i="38"/>
  <c r="Y397" i="38"/>
  <c r="AE397" i="38" s="1"/>
  <c r="V397" i="38"/>
  <c r="T397" i="38"/>
  <c r="Y396" i="38"/>
  <c r="AE396" i="38" s="1"/>
  <c r="AK396" i="38" s="1"/>
  <c r="V396" i="38"/>
  <c r="T396" i="38"/>
  <c r="Y395" i="38"/>
  <c r="AE395" i="38" s="1"/>
  <c r="V395" i="38"/>
  <c r="T395" i="38"/>
  <c r="Y394" i="38"/>
  <c r="AE394" i="38" s="1"/>
  <c r="V394" i="38"/>
  <c r="T394" i="38"/>
  <c r="Y393" i="38"/>
  <c r="AE393" i="38" s="1"/>
  <c r="V393" i="38"/>
  <c r="T393" i="38"/>
  <c r="Y392" i="38"/>
  <c r="AE392" i="38" s="1"/>
  <c r="V392" i="38"/>
  <c r="T392" i="38"/>
  <c r="Y391" i="38"/>
  <c r="AE391" i="38" s="1"/>
  <c r="AK391" i="38" s="1"/>
  <c r="V391" i="38"/>
  <c r="T391" i="38"/>
  <c r="Y390" i="38"/>
  <c r="AE390" i="38" s="1"/>
  <c r="AK390" i="38" s="1"/>
  <c r="V390" i="38"/>
  <c r="T390" i="38"/>
  <c r="Y389" i="38"/>
  <c r="AE389" i="38" s="1"/>
  <c r="V389" i="38"/>
  <c r="T389" i="38"/>
  <c r="Y388" i="38"/>
  <c r="AE388" i="38" s="1"/>
  <c r="AK388" i="38" s="1"/>
  <c r="V388" i="38"/>
  <c r="T388" i="38"/>
  <c r="Y387" i="38"/>
  <c r="AE387" i="38" s="1"/>
  <c r="AK387" i="38" s="1"/>
  <c r="V387" i="38"/>
  <c r="T387" i="38"/>
  <c r="Y386" i="38"/>
  <c r="AE386" i="38" s="1"/>
  <c r="V386" i="38"/>
  <c r="T386" i="38"/>
  <c r="Y385" i="38"/>
  <c r="AE385" i="38" s="1"/>
  <c r="V385" i="38"/>
  <c r="T385" i="38"/>
  <c r="Y384" i="38"/>
  <c r="AE384" i="38" s="1"/>
  <c r="V384" i="38"/>
  <c r="T384" i="38"/>
  <c r="Y383" i="38"/>
  <c r="AE383" i="38" s="1"/>
  <c r="AK383" i="38" s="1"/>
  <c r="V383" i="38"/>
  <c r="T383" i="38"/>
  <c r="V382" i="38"/>
  <c r="T382" i="38"/>
  <c r="Y381" i="38"/>
  <c r="AE381" i="38" s="1"/>
  <c r="V381" i="38"/>
  <c r="T381" i="38"/>
  <c r="Y380" i="38"/>
  <c r="AE380" i="38" s="1"/>
  <c r="AK380" i="38" s="1"/>
  <c r="V380" i="38"/>
  <c r="T380" i="38"/>
  <c r="Y379" i="38"/>
  <c r="AE379" i="38" s="1"/>
  <c r="AK379" i="38" s="1"/>
  <c r="V379" i="38"/>
  <c r="T379" i="38"/>
  <c r="Y378" i="38"/>
  <c r="AE378" i="38" s="1"/>
  <c r="V378" i="38"/>
  <c r="T378" i="38"/>
  <c r="Y377" i="38"/>
  <c r="AE377" i="38" s="1"/>
  <c r="V377" i="38"/>
  <c r="T377" i="38"/>
  <c r="Y376" i="38"/>
  <c r="AE376" i="38" s="1"/>
  <c r="V376" i="38"/>
  <c r="T376" i="38"/>
  <c r="Y375" i="38"/>
  <c r="AE375" i="38" s="1"/>
  <c r="V375" i="38"/>
  <c r="T375" i="38"/>
  <c r="V374" i="38"/>
  <c r="T374" i="38"/>
  <c r="V373" i="38"/>
  <c r="T373" i="38"/>
  <c r="Y372" i="38"/>
  <c r="AE372" i="38" s="1"/>
  <c r="AK372" i="38" s="1"/>
  <c r="V372" i="38"/>
  <c r="T372" i="38"/>
  <c r="Y371" i="38"/>
  <c r="V371" i="38"/>
  <c r="T371" i="38"/>
  <c r="V370" i="38"/>
  <c r="T370" i="38"/>
  <c r="W369" i="38"/>
  <c r="V369" i="38"/>
  <c r="T369" i="38"/>
  <c r="T578" i="38" l="1"/>
  <c r="T542" i="38"/>
  <c r="AE669" i="38"/>
  <c r="Y666" i="38"/>
  <c r="AE473" i="38"/>
  <c r="AE585" i="38" s="1"/>
  <c r="Y585" i="38"/>
  <c r="Y373" i="38"/>
  <c r="AE373" i="38" s="1"/>
  <c r="AE371" i="38"/>
  <c r="AE601" i="38"/>
  <c r="AK601" i="38" s="1"/>
  <c r="AO675" i="38"/>
  <c r="AK615" i="38"/>
  <c r="AK647" i="38"/>
  <c r="AE604" i="38"/>
  <c r="AE666" i="38" s="1"/>
  <c r="AK614" i="38"/>
  <c r="AO614" i="38"/>
  <c r="AQ614" i="38" s="1"/>
  <c r="AO611" i="38"/>
  <c r="AQ611" i="38" s="1"/>
  <c r="AK611" i="38"/>
  <c r="AO651" i="38"/>
  <c r="AQ651" i="38" s="1"/>
  <c r="AK651" i="38"/>
  <c r="AK609" i="38"/>
  <c r="AO609" i="38"/>
  <c r="AQ609" i="38" s="1"/>
  <c r="AK649" i="38"/>
  <c r="AO649" i="38"/>
  <c r="AQ649" i="38" s="1"/>
  <c r="AO616" i="38"/>
  <c r="AQ616" i="38" s="1"/>
  <c r="AK616" i="38"/>
  <c r="AO645" i="38"/>
  <c r="AQ645" i="38" s="1"/>
  <c r="AK645" i="38"/>
  <c r="AO643" i="38"/>
  <c r="AQ643" i="38" s="1"/>
  <c r="AK643" i="38"/>
  <c r="AO673" i="38"/>
  <c r="AQ673" i="38" s="1"/>
  <c r="AK673" i="38"/>
  <c r="AO605" i="38"/>
  <c r="AK641" i="38"/>
  <c r="AO641" i="38"/>
  <c r="AQ641" i="38" s="1"/>
  <c r="AO671" i="38"/>
  <c r="AQ671" i="38" s="1"/>
  <c r="AK671" i="38"/>
  <c r="AK606" i="38"/>
  <c r="AO606" i="38"/>
  <c r="AQ606" i="38" s="1"/>
  <c r="AO608" i="38"/>
  <c r="AQ608" i="38" s="1"/>
  <c r="AK608" i="38"/>
  <c r="AK646" i="38"/>
  <c r="AO646" i="38"/>
  <c r="AQ646" i="38" s="1"/>
  <c r="AO648" i="38"/>
  <c r="AQ648" i="38" s="1"/>
  <c r="AK648" i="38"/>
  <c r="AO613" i="38"/>
  <c r="AQ613" i="38" s="1"/>
  <c r="AK613" i="38"/>
  <c r="AO653" i="38"/>
  <c r="AK674" i="38"/>
  <c r="AO674" i="38"/>
  <c r="AQ674" i="38" s="1"/>
  <c r="AO607" i="38"/>
  <c r="AO615" i="38"/>
  <c r="AQ615" i="38" s="1"/>
  <c r="AO647" i="38"/>
  <c r="AQ647" i="38" s="1"/>
  <c r="AK642" i="38"/>
  <c r="AK650" i="38"/>
  <c r="AK670" i="38"/>
  <c r="AO670" i="38"/>
  <c r="AQ670" i="38" s="1"/>
  <c r="AK612" i="38"/>
  <c r="AK644" i="38"/>
  <c r="AK672" i="38"/>
  <c r="AK400" i="38"/>
  <c r="AO577" i="38"/>
  <c r="AQ577" i="38" s="1"/>
  <c r="AO520" i="38"/>
  <c r="AK595" i="38"/>
  <c r="AO595" i="38"/>
  <c r="AQ595" i="38" s="1"/>
  <c r="AK480" i="38"/>
  <c r="AO480" i="38"/>
  <c r="AQ480" i="38" s="1"/>
  <c r="AK392" i="38"/>
  <c r="AK512" i="38"/>
  <c r="AO512" i="38"/>
  <c r="AQ512" i="38" s="1"/>
  <c r="AO514" i="38"/>
  <c r="AQ514" i="38" s="1"/>
  <c r="AK514" i="38"/>
  <c r="AK588" i="38"/>
  <c r="AO588" i="38"/>
  <c r="AO597" i="38"/>
  <c r="AQ597" i="38" s="1"/>
  <c r="AK597" i="38"/>
  <c r="AK481" i="38"/>
  <c r="AO481" i="38"/>
  <c r="AQ481" i="38" s="1"/>
  <c r="AO477" i="38"/>
  <c r="AQ477" i="38" s="1"/>
  <c r="AK477" i="38"/>
  <c r="AO579" i="38"/>
  <c r="AQ579" i="38" s="1"/>
  <c r="AK579" i="38"/>
  <c r="AO509" i="38"/>
  <c r="AQ509" i="38" s="1"/>
  <c r="AK509" i="38"/>
  <c r="AO510" i="38"/>
  <c r="AQ510" i="38" s="1"/>
  <c r="AK510" i="38"/>
  <c r="AO519" i="38"/>
  <c r="AQ519" i="38" s="1"/>
  <c r="AK519" i="38"/>
  <c r="AK521" i="38"/>
  <c r="AO521" i="38"/>
  <c r="AQ521" i="38" s="1"/>
  <c r="AO593" i="38"/>
  <c r="AQ593" i="38" s="1"/>
  <c r="AK593" i="38"/>
  <c r="AO475" i="38"/>
  <c r="AQ475" i="38" s="1"/>
  <c r="AK475" i="38"/>
  <c r="AO589" i="38"/>
  <c r="AQ589" i="38" s="1"/>
  <c r="AK589" i="38"/>
  <c r="AO518" i="38"/>
  <c r="AQ518" i="38" s="1"/>
  <c r="AK518" i="38"/>
  <c r="AO478" i="38"/>
  <c r="AQ478" i="38" s="1"/>
  <c r="AK478" i="38"/>
  <c r="AO517" i="38"/>
  <c r="AQ517" i="38" s="1"/>
  <c r="AK517" i="38"/>
  <c r="AO600" i="38"/>
  <c r="AQ600" i="38" s="1"/>
  <c r="AK600" i="38"/>
  <c r="AK513" i="38"/>
  <c r="AO513" i="38"/>
  <c r="AQ513" i="38" s="1"/>
  <c r="AO576" i="38"/>
  <c r="AQ576" i="38" s="1"/>
  <c r="AK576" i="38"/>
  <c r="AO594" i="38"/>
  <c r="AQ594" i="38" s="1"/>
  <c r="AK594" i="38"/>
  <c r="AK596" i="38"/>
  <c r="AO596" i="38"/>
  <c r="AQ596" i="38" s="1"/>
  <c r="AO479" i="38"/>
  <c r="AQ479" i="38" s="1"/>
  <c r="AK479" i="38"/>
  <c r="AO592" i="38"/>
  <c r="AQ592" i="38" s="1"/>
  <c r="AK592" i="38"/>
  <c r="AO511" i="38"/>
  <c r="AQ511" i="38" s="1"/>
  <c r="AK511" i="38"/>
  <c r="AK474" i="38"/>
  <c r="AK482" i="38"/>
  <c r="Y601" i="38"/>
  <c r="AO474" i="38"/>
  <c r="AQ474" i="38" s="1"/>
  <c r="AO482" i="38"/>
  <c r="AQ482" i="38" s="1"/>
  <c r="AK483" i="38"/>
  <c r="AK577" i="38"/>
  <c r="AK590" i="38"/>
  <c r="AK598" i="38"/>
  <c r="AK476" i="38"/>
  <c r="AK508" i="38"/>
  <c r="AK516" i="38"/>
  <c r="AK578" i="38"/>
  <c r="AK591" i="38"/>
  <c r="AK599" i="38"/>
  <c r="AK384" i="38"/>
  <c r="AK393" i="38"/>
  <c r="AK381" i="38"/>
  <c r="AK397" i="38"/>
  <c r="AK389" i="38"/>
  <c r="AK386" i="38"/>
  <c r="AK385" i="38"/>
  <c r="AK401" i="38"/>
  <c r="C68" i="6"/>
  <c r="C69" i="5"/>
  <c r="T543" i="38" l="1"/>
  <c r="T579" i="38"/>
  <c r="AO669" i="38"/>
  <c r="AQ669" i="38" s="1"/>
  <c r="AK669" i="38"/>
  <c r="AK473" i="38"/>
  <c r="AO473" i="38"/>
  <c r="AQ588" i="38"/>
  <c r="AO601" i="38"/>
  <c r="AQ601" i="38" s="1"/>
  <c r="AO604" i="38"/>
  <c r="AO666" i="38" s="1"/>
  <c r="AK371" i="38"/>
  <c r="AK604" i="38"/>
  <c r="AO230" i="19"/>
  <c r="AO161" i="19"/>
  <c r="R76" i="19"/>
  <c r="R7" i="19"/>
  <c r="AO53" i="33"/>
  <c r="R7" i="33"/>
  <c r="R7" i="31"/>
  <c r="AO51" i="31"/>
  <c r="AO51" i="30"/>
  <c r="R7" i="30"/>
  <c r="R7" i="14"/>
  <c r="AO71" i="14"/>
  <c r="AO59" i="13"/>
  <c r="R7" i="13"/>
  <c r="R7" i="12"/>
  <c r="AO71" i="12"/>
  <c r="AO55" i="11"/>
  <c r="R7" i="11"/>
  <c r="R7" i="10"/>
  <c r="AO77" i="10"/>
  <c r="AO79" i="9"/>
  <c r="R7" i="9"/>
  <c r="AO63" i="8"/>
  <c r="R7" i="8"/>
  <c r="AN48" i="7"/>
  <c r="R7" i="7"/>
  <c r="R7" i="6"/>
  <c r="V7" i="5"/>
  <c r="T580" i="38" l="1"/>
  <c r="T544" i="38"/>
  <c r="AQ473" i="38"/>
  <c r="AO585" i="38"/>
  <c r="AQ604" i="38"/>
  <c r="V83" i="7"/>
  <c r="C42" i="7"/>
  <c r="V82" i="7"/>
  <c r="C41" i="7"/>
  <c r="V110" i="8"/>
  <c r="V109" i="8"/>
  <c r="C54" i="8"/>
  <c r="C53" i="8"/>
  <c r="V141" i="9"/>
  <c r="V140" i="9"/>
  <c r="C69" i="9"/>
  <c r="C68" i="9"/>
  <c r="V137" i="10"/>
  <c r="V136" i="10"/>
  <c r="C67" i="10"/>
  <c r="C66" i="10"/>
  <c r="T581" i="38" l="1"/>
  <c r="T545" i="38"/>
  <c r="T546" i="38" l="1"/>
  <c r="T582" i="38"/>
  <c r="F325" i="38"/>
  <c r="A344" i="38"/>
  <c r="T696" i="38" s="1"/>
  <c r="A343" i="38"/>
  <c r="T695" i="38" s="1"/>
  <c r="C337" i="38"/>
  <c r="V689" i="38" s="1"/>
  <c r="J336" i="38"/>
  <c r="C336" i="38"/>
  <c r="C335" i="38"/>
  <c r="R278" i="38"/>
  <c r="A276" i="38"/>
  <c r="A275" i="38"/>
  <c r="A274" i="38"/>
  <c r="A273" i="38"/>
  <c r="A272" i="38"/>
  <c r="A271" i="38"/>
  <c r="A270" i="38"/>
  <c r="AC47" i="38"/>
  <c r="H48" i="38" s="1"/>
  <c r="AA399" i="38" s="1"/>
  <c r="AC48" i="38"/>
  <c r="H49" i="38" s="1"/>
  <c r="AA400" i="38" s="1"/>
  <c r="AC49" i="38"/>
  <c r="H50" i="38" s="1"/>
  <c r="AA401" i="38" s="1"/>
  <c r="AC50" i="38"/>
  <c r="H51" i="38" s="1"/>
  <c r="AA402" i="38" s="1"/>
  <c r="AC42" i="38"/>
  <c r="AC43" i="38"/>
  <c r="AC44" i="38"/>
  <c r="AC45" i="38"/>
  <c r="AC46" i="38"/>
  <c r="H47" i="38" s="1"/>
  <c r="AA398" i="38" s="1"/>
  <c r="T583" i="38" l="1"/>
  <c r="T547" i="38"/>
  <c r="F332" i="38"/>
  <c r="V687" i="38"/>
  <c r="T549" i="38" l="1"/>
  <c r="T548" i="38"/>
  <c r="T584" i="38"/>
  <c r="AE676" i="38"/>
  <c r="Y677" i="38"/>
  <c r="T585" i="38" l="1"/>
  <c r="A235" i="38"/>
  <c r="Y684" i="38"/>
  <c r="Y692" i="38"/>
  <c r="AO676" i="38"/>
  <c r="AE677" i="38"/>
  <c r="F53" i="5" l="1"/>
  <c r="F40" i="4"/>
  <c r="T587" i="38"/>
  <c r="A236" i="38"/>
  <c r="AO677" i="38"/>
  <c r="T588" i="38" l="1"/>
  <c r="A237" i="38"/>
  <c r="T66" i="33"/>
  <c r="T67" i="33"/>
  <c r="T69" i="33"/>
  <c r="T70" i="33"/>
  <c r="T71" i="33"/>
  <c r="T73" i="33"/>
  <c r="T74" i="33"/>
  <c r="T75" i="33"/>
  <c r="T76" i="33"/>
  <c r="T77" i="33"/>
  <c r="T64" i="31"/>
  <c r="T65" i="31"/>
  <c r="T67" i="31"/>
  <c r="T68" i="31"/>
  <c r="T69" i="31"/>
  <c r="T71" i="31"/>
  <c r="T72" i="31"/>
  <c r="T73" i="31"/>
  <c r="T74" i="31"/>
  <c r="T75" i="31"/>
  <c r="T64" i="30"/>
  <c r="T65" i="30"/>
  <c r="T67" i="30"/>
  <c r="T68" i="30"/>
  <c r="T69" i="30"/>
  <c r="T71" i="30"/>
  <c r="T72" i="30"/>
  <c r="T73" i="30"/>
  <c r="T74" i="30"/>
  <c r="T75" i="30"/>
  <c r="T64" i="29"/>
  <c r="T65" i="29"/>
  <c r="T67" i="29"/>
  <c r="T68" i="29"/>
  <c r="T69" i="29"/>
  <c r="T71" i="29"/>
  <c r="T72" i="29"/>
  <c r="T73" i="29"/>
  <c r="T74" i="29"/>
  <c r="T75" i="29"/>
  <c r="T77" i="29"/>
  <c r="T78" i="29"/>
  <c r="T79" i="29"/>
  <c r="T80" i="29"/>
  <c r="T82" i="29"/>
  <c r="H29" i="29"/>
  <c r="T76" i="8"/>
  <c r="T77" i="8"/>
  <c r="T79" i="8"/>
  <c r="T80" i="8"/>
  <c r="T81" i="8"/>
  <c r="T82" i="8"/>
  <c r="T83" i="8"/>
  <c r="T85" i="8"/>
  <c r="T86" i="8"/>
  <c r="T87" i="8"/>
  <c r="T88" i="8"/>
  <c r="T90" i="8"/>
  <c r="T91" i="8"/>
  <c r="T92" i="8"/>
  <c r="T93" i="8"/>
  <c r="T94" i="8"/>
  <c r="T95" i="8"/>
  <c r="T96" i="8"/>
  <c r="T97" i="8"/>
  <c r="T99" i="8"/>
  <c r="T100" i="8"/>
  <c r="T101" i="8"/>
  <c r="T102" i="8"/>
  <c r="T103" i="8"/>
  <c r="T104" i="8"/>
  <c r="T106" i="8"/>
  <c r="T589" i="38" l="1"/>
  <c r="A238" i="38"/>
  <c r="K16" i="40"/>
  <c r="T590" i="38" l="1"/>
  <c r="A239" i="38"/>
  <c r="AC108" i="14"/>
  <c r="AC107" i="14"/>
  <c r="AC94" i="14"/>
  <c r="AC93" i="14"/>
  <c r="T591" i="38" l="1"/>
  <c r="A240" i="38"/>
  <c r="A211" i="38" l="1"/>
  <c r="A145" i="38"/>
  <c r="A75" i="38"/>
  <c r="T563" i="38"/>
  <c r="T426" i="38"/>
  <c r="T630" i="38"/>
  <c r="T497" i="38"/>
  <c r="A241" i="38"/>
  <c r="T592" i="38"/>
  <c r="A278" i="38"/>
  <c r="Y106" i="12"/>
  <c r="A242" i="38" l="1"/>
  <c r="T593" i="38"/>
  <c r="C245" i="26"/>
  <c r="C244" i="26"/>
  <c r="C182" i="26"/>
  <c r="C132" i="26"/>
  <c r="C131" i="26"/>
  <c r="C33" i="26"/>
  <c r="A243" i="38" l="1"/>
  <c r="T594" i="38"/>
  <c r="A244" i="38" l="1"/>
  <c r="T595" i="38"/>
  <c r="B1" i="2"/>
  <c r="A245" i="38" l="1"/>
  <c r="T596" i="38"/>
  <c r="AC21" i="38"/>
  <c r="H22" i="38" s="1"/>
  <c r="AA373" i="38" s="1"/>
  <c r="AC22" i="38"/>
  <c r="H23" i="38" s="1"/>
  <c r="AA374" i="38" s="1"/>
  <c r="AC23" i="38"/>
  <c r="H24" i="38" s="1"/>
  <c r="AA375" i="38" s="1"/>
  <c r="AC24" i="38"/>
  <c r="H25" i="38" s="1"/>
  <c r="AA376" i="38" s="1"/>
  <c r="AC25" i="38"/>
  <c r="H26" i="38" s="1"/>
  <c r="AA377" i="38" s="1"/>
  <c r="AC26" i="38"/>
  <c r="H27" i="38" s="1"/>
  <c r="AA378" i="38" s="1"/>
  <c r="AC27" i="38"/>
  <c r="H28" i="38" s="1"/>
  <c r="AA379" i="38" s="1"/>
  <c r="AC28" i="38"/>
  <c r="H29" i="38" s="1"/>
  <c r="AA380" i="38" s="1"/>
  <c r="AC29" i="38"/>
  <c r="H30" i="38" s="1"/>
  <c r="AA381" i="38" s="1"/>
  <c r="AC30" i="38"/>
  <c r="H31" i="38" s="1"/>
  <c r="AA382" i="38" s="1"/>
  <c r="AC31" i="38"/>
  <c r="H32" i="38" s="1"/>
  <c r="AA383" i="38" s="1"/>
  <c r="AC32" i="38"/>
  <c r="H33" i="38" s="1"/>
  <c r="AA384" i="38" s="1"/>
  <c r="AC33" i="38"/>
  <c r="H34" i="38" s="1"/>
  <c r="AA385" i="38" s="1"/>
  <c r="AC34" i="38"/>
  <c r="H35" i="38" s="1"/>
  <c r="AA386" i="38" s="1"/>
  <c r="AC35" i="38"/>
  <c r="H36" i="38" s="1"/>
  <c r="AA387" i="38" s="1"/>
  <c r="AC36" i="38"/>
  <c r="H37" i="38" s="1"/>
  <c r="AA388" i="38" s="1"/>
  <c r="AC37" i="38"/>
  <c r="H38" i="38" s="1"/>
  <c r="AA389" i="38" s="1"/>
  <c r="AC38" i="38"/>
  <c r="H39" i="38" s="1"/>
  <c r="AA390" i="38" s="1"/>
  <c r="AC39" i="38"/>
  <c r="H40" i="38" s="1"/>
  <c r="AA391" i="38" s="1"/>
  <c r="AC40" i="38"/>
  <c r="H41" i="38" s="1"/>
  <c r="AA392" i="38" s="1"/>
  <c r="AC41" i="38"/>
  <c r="H42" i="38" s="1"/>
  <c r="AA393" i="38" s="1"/>
  <c r="H43" i="38"/>
  <c r="AA394" i="38" s="1"/>
  <c r="H44" i="38"/>
  <c r="AA395" i="38" s="1"/>
  <c r="H45" i="38"/>
  <c r="AA396" i="38" s="1"/>
  <c r="H46" i="38"/>
  <c r="AA397" i="38" s="1"/>
  <c r="AC20" i="38"/>
  <c r="H21" i="38" s="1"/>
  <c r="AA372" i="38" s="1"/>
  <c r="H20" i="38"/>
  <c r="AO360" i="38"/>
  <c r="T360" i="38"/>
  <c r="T358" i="38"/>
  <c r="T357" i="38"/>
  <c r="T356" i="38"/>
  <c r="T355" i="38"/>
  <c r="T354" i="38"/>
  <c r="T353" i="38"/>
  <c r="T352" i="38"/>
  <c r="A268" i="38"/>
  <c r="A267" i="38"/>
  <c r="R9" i="38"/>
  <c r="A9" i="38"/>
  <c r="A7" i="38"/>
  <c r="A6" i="38"/>
  <c r="A5" i="38"/>
  <c r="A4" i="38"/>
  <c r="A3" i="38"/>
  <c r="A2" i="38"/>
  <c r="A1" i="38"/>
  <c r="H108" i="38" l="1"/>
  <c r="P108" i="38" s="1"/>
  <c r="P107" i="38" s="1"/>
  <c r="A246" i="38"/>
  <c r="T597" i="38"/>
  <c r="AA371" i="38"/>
  <c r="F340" i="38"/>
  <c r="F53" i="6" s="1"/>
  <c r="A247" i="38" l="1"/>
  <c r="T598" i="38"/>
  <c r="H332" i="38"/>
  <c r="P105" i="38"/>
  <c r="P97" i="38"/>
  <c r="P89" i="38"/>
  <c r="P57" i="38"/>
  <c r="P49" i="38"/>
  <c r="P41" i="38"/>
  <c r="P33" i="38"/>
  <c r="P25" i="38"/>
  <c r="P104" i="38"/>
  <c r="P96" i="38"/>
  <c r="P88" i="38"/>
  <c r="P56" i="38"/>
  <c r="P48" i="38"/>
  <c r="P40" i="38"/>
  <c r="P32" i="38"/>
  <c r="P24" i="38"/>
  <c r="P103" i="38"/>
  <c r="P95" i="38"/>
  <c r="P87" i="38"/>
  <c r="P55" i="38"/>
  <c r="P47" i="38"/>
  <c r="P39" i="38"/>
  <c r="P31" i="38"/>
  <c r="P23" i="38"/>
  <c r="P102" i="38"/>
  <c r="P94" i="38"/>
  <c r="P86" i="38"/>
  <c r="P54" i="38"/>
  <c r="P46" i="38"/>
  <c r="P38" i="38"/>
  <c r="P30" i="38"/>
  <c r="P22" i="38"/>
  <c r="P101" i="38"/>
  <c r="P93" i="38"/>
  <c r="P61" i="38"/>
  <c r="P53" i="38"/>
  <c r="P45" i="38"/>
  <c r="P37" i="38"/>
  <c r="P29" i="38"/>
  <c r="P21" i="38"/>
  <c r="P100" i="38"/>
  <c r="P92" i="38"/>
  <c r="P60" i="38"/>
  <c r="P52" i="38"/>
  <c r="P44" i="38"/>
  <c r="P36" i="38"/>
  <c r="P28" i="38"/>
  <c r="P20" i="38"/>
  <c r="P99" i="38"/>
  <c r="P91" i="38"/>
  <c r="P59" i="38"/>
  <c r="P51" i="38"/>
  <c r="P43" i="38"/>
  <c r="P35" i="38"/>
  <c r="P27" i="38"/>
  <c r="P106" i="38"/>
  <c r="P98" i="38"/>
  <c r="P90" i="38"/>
  <c r="P58" i="38"/>
  <c r="P50" i="38"/>
  <c r="P42" i="38"/>
  <c r="P34" i="38"/>
  <c r="P26" i="38"/>
  <c r="H340" i="38"/>
  <c r="H53" i="6" s="1"/>
  <c r="H110" i="38"/>
  <c r="P336" i="38" s="1"/>
  <c r="R336" i="38" s="1"/>
  <c r="AM684" i="38" l="1"/>
  <c r="AO459" i="38"/>
  <c r="AQ459" i="38" s="1"/>
  <c r="A248" i="38"/>
  <c r="T599" i="38"/>
  <c r="AA692" i="38"/>
  <c r="AA462" i="38"/>
  <c r="AE462" i="38" s="1"/>
  <c r="AE684" i="38" s="1"/>
  <c r="P340" i="38"/>
  <c r="P53" i="6" s="1"/>
  <c r="D58" i="40" s="1"/>
  <c r="AO458" i="38"/>
  <c r="AQ458" i="38" s="1"/>
  <c r="AO450" i="38"/>
  <c r="AQ450" i="38" s="1"/>
  <c r="AO442" i="38"/>
  <c r="AQ442" i="38" s="1"/>
  <c r="AO409" i="38"/>
  <c r="AQ409" i="38" s="1"/>
  <c r="AO401" i="38"/>
  <c r="AQ401" i="38" s="1"/>
  <c r="AO393" i="38"/>
  <c r="AQ393" i="38" s="1"/>
  <c r="AO385" i="38"/>
  <c r="AQ385" i="38" s="1"/>
  <c r="AO377" i="38"/>
  <c r="AO457" i="38"/>
  <c r="AQ457" i="38" s="1"/>
  <c r="AO449" i="38"/>
  <c r="AQ449" i="38" s="1"/>
  <c r="AO441" i="38"/>
  <c r="AQ441" i="38" s="1"/>
  <c r="AO408" i="38"/>
  <c r="AQ408" i="38" s="1"/>
  <c r="AO400" i="38"/>
  <c r="AQ400" i="38" s="1"/>
  <c r="AO392" i="38"/>
  <c r="AQ392" i="38" s="1"/>
  <c r="AO384" i="38"/>
  <c r="AQ384" i="38" s="1"/>
  <c r="AO376" i="38"/>
  <c r="AO456" i="38"/>
  <c r="AQ456" i="38" s="1"/>
  <c r="AO448" i="38"/>
  <c r="AQ448" i="38" s="1"/>
  <c r="AO440" i="38"/>
  <c r="AQ440" i="38" s="1"/>
  <c r="AO407" i="38"/>
  <c r="AQ407" i="38" s="1"/>
  <c r="AO399" i="38"/>
  <c r="AQ399" i="38" s="1"/>
  <c r="AO391" i="38"/>
  <c r="AQ391" i="38" s="1"/>
  <c r="AO383" i="38"/>
  <c r="AQ383" i="38" s="1"/>
  <c r="AO375" i="38"/>
  <c r="AO455" i="38"/>
  <c r="AQ455" i="38" s="1"/>
  <c r="AO447" i="38"/>
  <c r="AQ447" i="38" s="1"/>
  <c r="AO439" i="38"/>
  <c r="AO406" i="38"/>
  <c r="AQ406" i="38" s="1"/>
  <c r="AO398" i="38"/>
  <c r="AQ398" i="38" s="1"/>
  <c r="AO390" i="38"/>
  <c r="AQ390" i="38" s="1"/>
  <c r="AO382" i="38"/>
  <c r="AO374" i="38"/>
  <c r="AO454" i="38"/>
  <c r="AQ454" i="38" s="1"/>
  <c r="AO446" i="38"/>
  <c r="AQ446" i="38" s="1"/>
  <c r="AO438" i="38"/>
  <c r="AO405" i="38"/>
  <c r="AQ405" i="38" s="1"/>
  <c r="AO397" i="38"/>
  <c r="AQ397" i="38" s="1"/>
  <c r="AO389" i="38"/>
  <c r="AQ389" i="38" s="1"/>
  <c r="AO381" i="38"/>
  <c r="AQ381" i="38" s="1"/>
  <c r="AO373" i="38"/>
  <c r="AO453" i="38"/>
  <c r="AQ453" i="38" s="1"/>
  <c r="AO445" i="38"/>
  <c r="AQ445" i="38" s="1"/>
  <c r="AO412" i="38"/>
  <c r="AQ412" i="38" s="1"/>
  <c r="AO404" i="38"/>
  <c r="AQ404" i="38" s="1"/>
  <c r="AO396" i="38"/>
  <c r="AQ396" i="38" s="1"/>
  <c r="AO388" i="38"/>
  <c r="AQ388" i="38" s="1"/>
  <c r="AO380" i="38"/>
  <c r="AQ380" i="38" s="1"/>
  <c r="AO372" i="38"/>
  <c r="AQ372" i="38" s="1"/>
  <c r="AO452" i="38"/>
  <c r="AQ452" i="38" s="1"/>
  <c r="AO444" i="38"/>
  <c r="AQ444" i="38" s="1"/>
  <c r="AO411" i="38"/>
  <c r="AQ411" i="38" s="1"/>
  <c r="AO403" i="38"/>
  <c r="AQ403" i="38" s="1"/>
  <c r="AO395" i="38"/>
  <c r="AO387" i="38"/>
  <c r="AQ387" i="38" s="1"/>
  <c r="AO379" i="38"/>
  <c r="AQ379" i="38" s="1"/>
  <c r="AO371" i="38"/>
  <c r="AO451" i="38"/>
  <c r="AQ451" i="38" s="1"/>
  <c r="AO443" i="38"/>
  <c r="AQ443" i="38" s="1"/>
  <c r="AO410" i="38"/>
  <c r="AQ410" i="38" s="1"/>
  <c r="AO402" i="38"/>
  <c r="AQ402" i="38" s="1"/>
  <c r="AO394" i="38"/>
  <c r="AO386" i="38"/>
  <c r="AQ386" i="38" s="1"/>
  <c r="AO378" i="38"/>
  <c r="AQ438" i="38" l="1"/>
  <c r="AO460" i="38"/>
  <c r="AM690" i="38"/>
  <c r="AM692" i="38" s="1"/>
  <c r="H40" i="4"/>
  <c r="C26" i="40" s="1"/>
  <c r="A249" i="38"/>
  <c r="T600" i="38"/>
  <c r="H53" i="5"/>
  <c r="AO462" i="38"/>
  <c r="AQ371" i="38"/>
  <c r="T75" i="7"/>
  <c r="T76" i="7"/>
  <c r="T77" i="7"/>
  <c r="AC687" i="38"/>
  <c r="T53" i="5" l="1"/>
  <c r="P40" i="4"/>
  <c r="J41" i="22"/>
  <c r="J131" i="19"/>
  <c r="T601" i="38"/>
  <c r="AO684" i="38"/>
  <c r="C85" i="26"/>
  <c r="C183" i="26"/>
  <c r="C133" i="26"/>
  <c r="C246" i="26"/>
  <c r="J30" i="20"/>
  <c r="J68" i="24"/>
  <c r="J41" i="13"/>
  <c r="J52" i="12"/>
  <c r="J38" i="11"/>
  <c r="J35" i="33"/>
  <c r="J58" i="10"/>
  <c r="J45" i="8"/>
  <c r="J51" i="14"/>
  <c r="J33" i="12"/>
  <c r="J35" i="31"/>
  <c r="J60" i="9"/>
  <c r="J335" i="38"/>
  <c r="J35" i="30"/>
  <c r="J48" i="25"/>
  <c r="J24" i="28"/>
  <c r="AC285" i="19"/>
  <c r="AC104" i="25"/>
  <c r="AC68" i="20"/>
  <c r="AC141" i="24"/>
  <c r="AC91" i="22"/>
  <c r="AC59" i="28"/>
  <c r="AC81" i="33"/>
  <c r="AC115" i="12"/>
  <c r="AC128" i="10"/>
  <c r="AC79" i="31"/>
  <c r="AC96" i="12"/>
  <c r="AC93" i="13"/>
  <c r="AC79" i="30"/>
  <c r="AC86" i="11"/>
  <c r="AC132" i="9"/>
  <c r="AC115" i="14"/>
  <c r="AC101" i="8"/>
  <c r="A288" i="38" l="1"/>
  <c r="C34" i="26"/>
  <c r="C81" i="26" l="1"/>
  <c r="C83" i="26"/>
  <c r="A289" i="38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T640" i="38"/>
  <c r="J33" i="7"/>
  <c r="AC689" i="38"/>
  <c r="C181" i="26"/>
  <c r="C243" i="26"/>
  <c r="C32" i="26"/>
  <c r="C130" i="26"/>
  <c r="F31" i="22"/>
  <c r="A253" i="38" l="1"/>
  <c r="T604" i="38"/>
  <c r="AE689" i="38"/>
  <c r="AO689" i="38" s="1"/>
  <c r="J337" i="38"/>
  <c r="L337" i="38" s="1"/>
  <c r="AE687" i="38" l="1"/>
  <c r="AE690" i="38" s="1"/>
  <c r="A254" i="38"/>
  <c r="T605" i="38"/>
  <c r="AI689" i="38"/>
  <c r="AK689" i="38" s="1"/>
  <c r="J26" i="40"/>
  <c r="R337" i="38"/>
  <c r="AO687" i="38" l="1"/>
  <c r="H26" i="40" s="1"/>
  <c r="AE692" i="38"/>
  <c r="AG539" i="38" s="1"/>
  <c r="AO690" i="38"/>
  <c r="AK675" i="38"/>
  <c r="AQ675" i="38"/>
  <c r="A255" i="38"/>
  <c r="T606" i="38"/>
  <c r="AQ689" i="38"/>
  <c r="J58" i="40"/>
  <c r="AG687" i="38" l="1"/>
  <c r="AG689" i="38"/>
  <c r="AG676" i="38"/>
  <c r="AG673" i="38"/>
  <c r="AG482" i="38"/>
  <c r="AG611" i="38"/>
  <c r="AG578" i="38"/>
  <c r="AG392" i="38"/>
  <c r="AG385" i="38"/>
  <c r="AG400" i="38"/>
  <c r="AG477" i="38"/>
  <c r="AG671" i="38"/>
  <c r="AO692" i="38"/>
  <c r="R40" i="4" s="1"/>
  <c r="AG389" i="38"/>
  <c r="AG378" i="38"/>
  <c r="AG644" i="38"/>
  <c r="AG515" i="38"/>
  <c r="AG600" i="38"/>
  <c r="AG669" i="38"/>
  <c r="AG394" i="38"/>
  <c r="AG610" i="38"/>
  <c r="AG374" i="38"/>
  <c r="AG388" i="38"/>
  <c r="AG371" i="38"/>
  <c r="AG387" i="38"/>
  <c r="AG674" i="38"/>
  <c r="AG382" i="38"/>
  <c r="AG480" i="38"/>
  <c r="AG483" i="38"/>
  <c r="AG393" i="38"/>
  <c r="AG521" i="38"/>
  <c r="AG646" i="38"/>
  <c r="AG516" i="38"/>
  <c r="AG517" i="38"/>
  <c r="AG614" i="38"/>
  <c r="AG379" i="38"/>
  <c r="AG653" i="38"/>
  <c r="AG520" i="38"/>
  <c r="AG396" i="38"/>
  <c r="L53" i="5"/>
  <c r="J53" i="5" s="1"/>
  <c r="AG519" i="38"/>
  <c r="AG598" i="38"/>
  <c r="AG473" i="38"/>
  <c r="AG605" i="38"/>
  <c r="AG670" i="38"/>
  <c r="AG381" i="38"/>
  <c r="AG649" i="38"/>
  <c r="AG677" i="38"/>
  <c r="AG474" i="38"/>
  <c r="AG469" i="38"/>
  <c r="AG597" i="38"/>
  <c r="AG672" i="38"/>
  <c r="AG479" i="38"/>
  <c r="AG642" i="38"/>
  <c r="AG684" i="38"/>
  <c r="AG648" i="38"/>
  <c r="AG510" i="38"/>
  <c r="AG589" i="38"/>
  <c r="AG478" i="38"/>
  <c r="AG439" i="38"/>
  <c r="AG462" i="38"/>
  <c r="AG445" i="38"/>
  <c r="AG455" i="38"/>
  <c r="AG412" i="38"/>
  <c r="AG386" i="38"/>
  <c r="AG399" i="38"/>
  <c r="AG375" i="38"/>
  <c r="AG511" i="38"/>
  <c r="AG588" i="38"/>
  <c r="AG397" i="38"/>
  <c r="AG440" i="38"/>
  <c r="AG593" i="38"/>
  <c r="AG608" i="38"/>
  <c r="AG647" i="38"/>
  <c r="AG410" i="38"/>
  <c r="AG613" i="38"/>
  <c r="AG606" i="38"/>
  <c r="AG592" i="38"/>
  <c r="AG383" i="38"/>
  <c r="AG407" i="38"/>
  <c r="AG609" i="38"/>
  <c r="AG599" i="38"/>
  <c r="AG513" i="38"/>
  <c r="AG475" i="38"/>
  <c r="AG398" i="38"/>
  <c r="AG476" i="38"/>
  <c r="AG594" i="38"/>
  <c r="AG408" i="38"/>
  <c r="AG441" i="38"/>
  <c r="AG615" i="38"/>
  <c r="AG470" i="38"/>
  <c r="AG446" i="38"/>
  <c r="AG590" i="38"/>
  <c r="AG481" i="38"/>
  <c r="AG384" i="38"/>
  <c r="AG612" i="38"/>
  <c r="AG373" i="38"/>
  <c r="AG376" i="38"/>
  <c r="AG650" i="38"/>
  <c r="AG466" i="38"/>
  <c r="AG533" i="38"/>
  <c r="AG471" i="38"/>
  <c r="AG458" i="38"/>
  <c r="AG468" i="38"/>
  <c r="AG449" i="38"/>
  <c r="AG595" i="38"/>
  <c r="AG675" i="38"/>
  <c r="AG456" i="38"/>
  <c r="AG523" i="38"/>
  <c r="AG453" i="38"/>
  <c r="AG536" i="38"/>
  <c r="AG526" i="38"/>
  <c r="AG535" i="38"/>
  <c r="AG514" i="38"/>
  <c r="AG390" i="38"/>
  <c r="AG652" i="38"/>
  <c r="AG577" i="38"/>
  <c r="AG472" i="38"/>
  <c r="AG450" i="38"/>
  <c r="AG532" i="38"/>
  <c r="AG525" i="38"/>
  <c r="AG438" i="38"/>
  <c r="AG405" i="38"/>
  <c r="AG528" i="38"/>
  <c r="AG377" i="38"/>
  <c r="AG643" i="38"/>
  <c r="AG616" i="38"/>
  <c r="AG692" i="38"/>
  <c r="AG444" i="38"/>
  <c r="AG454" i="38"/>
  <c r="AG583" i="38"/>
  <c r="AG447" i="38"/>
  <c r="AG465" i="38"/>
  <c r="AG451" i="38"/>
  <c r="AG406" i="38"/>
  <c r="AG530" i="38"/>
  <c r="AG604" i="38"/>
  <c r="AG508" i="38"/>
  <c r="AG518" i="38"/>
  <c r="AG372" i="38"/>
  <c r="AG395" i="38"/>
  <c r="AG512" i="38"/>
  <c r="AG401" i="38"/>
  <c r="AG596" i="38"/>
  <c r="AG391" i="38"/>
  <c r="AG457" i="38"/>
  <c r="AG448" i="38"/>
  <c r="AG538" i="38"/>
  <c r="AG665" i="38"/>
  <c r="AG509" i="38"/>
  <c r="AG576" i="38"/>
  <c r="AG467" i="38"/>
  <c r="AG403" i="38"/>
  <c r="AG409" i="38"/>
  <c r="AG534" i="38"/>
  <c r="AG655" i="38"/>
  <c r="AG581" i="38"/>
  <c r="AG681" i="38"/>
  <c r="AG664" i="38"/>
  <c r="AG661" i="38"/>
  <c r="AG452" i="38"/>
  <c r="AG411" i="38"/>
  <c r="AG404" i="38"/>
  <c r="AG656" i="38"/>
  <c r="AG524" i="38"/>
  <c r="AG545" i="38"/>
  <c r="AG659" i="38"/>
  <c r="AG531" i="38"/>
  <c r="AG522" i="38"/>
  <c r="AG547" i="38"/>
  <c r="AG580" i="38"/>
  <c r="AG546" i="38"/>
  <c r="AG682" i="38"/>
  <c r="AG541" i="38"/>
  <c r="AG680" i="38"/>
  <c r="AG543" i="38"/>
  <c r="AG658" i="38"/>
  <c r="AG549" i="38"/>
  <c r="AG527" i="38"/>
  <c r="AG654" i="38"/>
  <c r="AG544" i="38"/>
  <c r="J40" i="4"/>
  <c r="L40" i="4" s="1"/>
  <c r="AG582" i="38"/>
  <c r="AG662" i="38"/>
  <c r="AG542" i="38"/>
  <c r="AG459" i="38"/>
  <c r="AG584" i="38"/>
  <c r="AG657" i="38"/>
  <c r="AG548" i="38"/>
  <c r="AG663" i="38"/>
  <c r="AG540" i="38"/>
  <c r="AG651" i="38"/>
  <c r="AG579" i="38"/>
  <c r="AG607" i="38"/>
  <c r="AG641" i="38"/>
  <c r="AG645" i="38"/>
  <c r="AG380" i="38"/>
  <c r="AG591" i="38"/>
  <c r="AG690" i="38"/>
  <c r="AG402" i="38"/>
  <c r="AG443" i="38"/>
  <c r="AG442" i="38"/>
  <c r="AG537" i="38"/>
  <c r="AG529" i="38"/>
  <c r="AG660" i="38"/>
  <c r="A256" i="38"/>
  <c r="T607" i="38"/>
  <c r="K26" i="40"/>
  <c r="V53" i="5" l="1"/>
  <c r="E53" i="3"/>
  <c r="B26" i="40" s="1"/>
  <c r="AG601" i="38"/>
  <c r="AG585" i="38"/>
  <c r="AG666" i="38"/>
  <c r="AG460" i="38"/>
  <c r="A257" i="38"/>
  <c r="T608" i="38"/>
  <c r="A258" i="38" l="1"/>
  <c r="T609" i="38"/>
  <c r="V264" i="19"/>
  <c r="V263" i="19"/>
  <c r="V262" i="19"/>
  <c r="V261" i="19"/>
  <c r="V260" i="19"/>
  <c r="V259" i="19"/>
  <c r="V258" i="19"/>
  <c r="V256" i="19"/>
  <c r="V255" i="19"/>
  <c r="V253" i="19"/>
  <c r="V252" i="19"/>
  <c r="V251" i="19"/>
  <c r="V250" i="19"/>
  <c r="V248" i="19"/>
  <c r="V247" i="19"/>
  <c r="V246" i="19"/>
  <c r="V245" i="19"/>
  <c r="V244" i="19"/>
  <c r="V215" i="19"/>
  <c r="V214" i="19"/>
  <c r="V213" i="19"/>
  <c r="V212" i="19"/>
  <c r="V211" i="19"/>
  <c r="V210" i="19"/>
  <c r="V207" i="19"/>
  <c r="V206" i="19"/>
  <c r="V205" i="19"/>
  <c r="V203" i="19"/>
  <c r="V202" i="19"/>
  <c r="V201" i="19"/>
  <c r="V200" i="19"/>
  <c r="V194" i="19"/>
  <c r="V193" i="19"/>
  <c r="V192" i="19"/>
  <c r="V191" i="19"/>
  <c r="V189" i="19"/>
  <c r="V188" i="19"/>
  <c r="V187" i="19"/>
  <c r="V186" i="19"/>
  <c r="V185" i="19"/>
  <c r="V184" i="19"/>
  <c r="V182" i="19"/>
  <c r="V181" i="19"/>
  <c r="V180" i="19"/>
  <c r="V178" i="19"/>
  <c r="V177" i="19"/>
  <c r="V176" i="19"/>
  <c r="V175" i="19"/>
  <c r="A259" i="38" l="1"/>
  <c r="T610" i="38"/>
  <c r="A260" i="38" l="1"/>
  <c r="T611" i="38"/>
  <c r="A261" i="38" l="1"/>
  <c r="T612" i="38"/>
  <c r="A262" i="38" l="1"/>
  <c r="T613" i="38"/>
  <c r="AC73" i="30"/>
  <c r="A263" i="38" l="1"/>
  <c r="T614" i="38"/>
  <c r="T615" i="38" l="1"/>
  <c r="A264" i="38"/>
  <c r="J29" i="30"/>
  <c r="T616" i="38" l="1"/>
  <c r="T641" i="38" l="1"/>
  <c r="L55" i="19"/>
  <c r="T642" i="38" l="1"/>
  <c r="T643" i="38" l="1"/>
  <c r="T644" i="38" l="1"/>
  <c r="T645" i="38" l="1"/>
  <c r="T646" i="38" l="1"/>
  <c r="T647" i="38" l="1"/>
  <c r="T648" i="38" l="1"/>
  <c r="T649" i="38" l="1"/>
  <c r="T650" i="38" l="1"/>
  <c r="T651" i="38" l="1"/>
  <c r="T652" i="38" l="1"/>
  <c r="J53" i="12"/>
  <c r="T653" i="38" l="1"/>
  <c r="AC129" i="10"/>
  <c r="J59" i="10"/>
  <c r="T654" i="38" l="1"/>
  <c r="C36" i="30"/>
  <c r="C34" i="30"/>
  <c r="C35" i="30"/>
  <c r="T655" i="38" l="1"/>
  <c r="T120" i="14"/>
  <c r="T118" i="14"/>
  <c r="T117" i="14"/>
  <c r="T116" i="14"/>
  <c r="T115" i="14"/>
  <c r="T114" i="14"/>
  <c r="T113" i="14"/>
  <c r="T111" i="14"/>
  <c r="T110" i="14"/>
  <c r="T109" i="14"/>
  <c r="T108" i="14"/>
  <c r="T107" i="14"/>
  <c r="T106" i="14"/>
  <c r="T104" i="14"/>
  <c r="T103" i="14"/>
  <c r="T102" i="14"/>
  <c r="T101" i="14"/>
  <c r="T99" i="14"/>
  <c r="T98" i="14"/>
  <c r="T96" i="14"/>
  <c r="T95" i="14"/>
  <c r="T94" i="14"/>
  <c r="T93" i="14"/>
  <c r="T92" i="14"/>
  <c r="T90" i="14"/>
  <c r="T89" i="14"/>
  <c r="T88" i="14"/>
  <c r="T87" i="14"/>
  <c r="T85" i="14"/>
  <c r="T84" i="14"/>
  <c r="T83" i="14"/>
  <c r="T656" i="38" l="1"/>
  <c r="C49" i="25"/>
  <c r="C48" i="25"/>
  <c r="C69" i="24"/>
  <c r="C68" i="24"/>
  <c r="C42" i="22"/>
  <c r="C41" i="22"/>
  <c r="C25" i="28"/>
  <c r="C24" i="28"/>
  <c r="C31" i="20"/>
  <c r="C30" i="20"/>
  <c r="C132" i="19"/>
  <c r="C131" i="19"/>
  <c r="C36" i="33"/>
  <c r="C35" i="33"/>
  <c r="C34" i="33"/>
  <c r="C36" i="31"/>
  <c r="C35" i="31"/>
  <c r="C34" i="31"/>
  <c r="C53" i="14"/>
  <c r="C52" i="14"/>
  <c r="C51" i="14"/>
  <c r="C50" i="14"/>
  <c r="C43" i="13"/>
  <c r="C42" i="13"/>
  <c r="C41" i="13"/>
  <c r="C40" i="13"/>
  <c r="C54" i="12"/>
  <c r="C53" i="12"/>
  <c r="C52" i="12"/>
  <c r="C51" i="12"/>
  <c r="C35" i="12"/>
  <c r="C34" i="12"/>
  <c r="C33" i="12"/>
  <c r="C32" i="12"/>
  <c r="C40" i="11"/>
  <c r="C39" i="11"/>
  <c r="C38" i="11"/>
  <c r="C37" i="11"/>
  <c r="C60" i="10"/>
  <c r="C59" i="10"/>
  <c r="C58" i="10"/>
  <c r="C57" i="10"/>
  <c r="C62" i="9"/>
  <c r="C61" i="9"/>
  <c r="C60" i="9"/>
  <c r="C59" i="9"/>
  <c r="C47" i="8"/>
  <c r="C46" i="8"/>
  <c r="C45" i="8"/>
  <c r="C44" i="8"/>
  <c r="C35" i="7"/>
  <c r="C34" i="7"/>
  <c r="C33" i="7"/>
  <c r="C32" i="7"/>
  <c r="C31" i="7"/>
  <c r="T657" i="38" l="1"/>
  <c r="AC87" i="13"/>
  <c r="T658" i="38" l="1"/>
  <c r="C128" i="26"/>
  <c r="C127" i="26"/>
  <c r="C241" i="26"/>
  <c r="C240" i="26"/>
  <c r="T659" i="38" l="1"/>
  <c r="AC105" i="25"/>
  <c r="V104" i="25"/>
  <c r="V105" i="25"/>
  <c r="T108" i="25"/>
  <c r="T106" i="25"/>
  <c r="T105" i="25"/>
  <c r="T104" i="25"/>
  <c r="T103" i="25"/>
  <c r="AC142" i="24"/>
  <c r="V141" i="24"/>
  <c r="V142" i="24"/>
  <c r="T145" i="24"/>
  <c r="T143" i="24"/>
  <c r="T142" i="24"/>
  <c r="T141" i="24"/>
  <c r="T140" i="24"/>
  <c r="J49" i="25"/>
  <c r="J69" i="24"/>
  <c r="AC92" i="22"/>
  <c r="V91" i="22"/>
  <c r="V92" i="22"/>
  <c r="T95" i="22"/>
  <c r="T93" i="22"/>
  <c r="T92" i="22"/>
  <c r="T91" i="22"/>
  <c r="T90" i="22"/>
  <c r="J42" i="22"/>
  <c r="AC60" i="28"/>
  <c r="V59" i="28"/>
  <c r="V60" i="28"/>
  <c r="T63" i="28"/>
  <c r="T61" i="28"/>
  <c r="T60" i="28"/>
  <c r="T59" i="28"/>
  <c r="T58" i="28"/>
  <c r="J25" i="28"/>
  <c r="V68" i="20"/>
  <c r="V69" i="20"/>
  <c r="V285" i="19"/>
  <c r="V286" i="19"/>
  <c r="V82" i="33"/>
  <c r="V81" i="33"/>
  <c r="V80" i="33"/>
  <c r="T85" i="33"/>
  <c r="T83" i="33"/>
  <c r="T82" i="33"/>
  <c r="T81" i="33"/>
  <c r="T80" i="33"/>
  <c r="T79" i="33"/>
  <c r="AC80" i="31"/>
  <c r="AC78" i="31"/>
  <c r="J36" i="31"/>
  <c r="V80" i="31"/>
  <c r="V79" i="31"/>
  <c r="V78" i="31"/>
  <c r="T83" i="31"/>
  <c r="T81" i="31"/>
  <c r="T80" i="31"/>
  <c r="T79" i="31"/>
  <c r="T78" i="31"/>
  <c r="T77" i="31"/>
  <c r="AC80" i="30"/>
  <c r="AC78" i="30"/>
  <c r="V80" i="30"/>
  <c r="V79" i="30"/>
  <c r="V78" i="30"/>
  <c r="T83" i="30"/>
  <c r="T81" i="30"/>
  <c r="T80" i="30"/>
  <c r="T79" i="30"/>
  <c r="T78" i="30"/>
  <c r="T77" i="30"/>
  <c r="Q34" i="30"/>
  <c r="AC117" i="14"/>
  <c r="AC116" i="14"/>
  <c r="AC114" i="14"/>
  <c r="V117" i="14"/>
  <c r="V116" i="14"/>
  <c r="V115" i="14"/>
  <c r="V114" i="14"/>
  <c r="AC95" i="13"/>
  <c r="AC94" i="13"/>
  <c r="AC92" i="13"/>
  <c r="V95" i="13"/>
  <c r="V94" i="13"/>
  <c r="V93" i="13"/>
  <c r="V92" i="13"/>
  <c r="T98" i="13"/>
  <c r="T96" i="13"/>
  <c r="T95" i="13"/>
  <c r="T94" i="13"/>
  <c r="T93" i="13"/>
  <c r="T92" i="13"/>
  <c r="T91" i="13"/>
  <c r="J43" i="13"/>
  <c r="J42" i="13"/>
  <c r="AC117" i="12"/>
  <c r="AC116" i="12"/>
  <c r="AC114" i="12"/>
  <c r="AC98" i="12"/>
  <c r="AC97" i="12"/>
  <c r="AC95" i="12"/>
  <c r="T120" i="12"/>
  <c r="T118" i="12"/>
  <c r="T117" i="12"/>
  <c r="T116" i="12"/>
  <c r="T115" i="12"/>
  <c r="T114" i="12"/>
  <c r="T113" i="12"/>
  <c r="T111" i="12"/>
  <c r="T110" i="12"/>
  <c r="T109" i="12"/>
  <c r="T108" i="12"/>
  <c r="T106" i="12"/>
  <c r="T104" i="12"/>
  <c r="T101" i="12"/>
  <c r="T99" i="12"/>
  <c r="T98" i="12"/>
  <c r="T97" i="12"/>
  <c r="T96" i="12"/>
  <c r="T95" i="12"/>
  <c r="V117" i="12"/>
  <c r="V116" i="12"/>
  <c r="V115" i="12"/>
  <c r="V114" i="12"/>
  <c r="V98" i="12"/>
  <c r="V97" i="12"/>
  <c r="V96" i="12"/>
  <c r="V95" i="12"/>
  <c r="J54" i="12"/>
  <c r="J35" i="12"/>
  <c r="J34" i="12"/>
  <c r="AC88" i="11"/>
  <c r="AC87" i="11"/>
  <c r="AC85" i="11"/>
  <c r="V88" i="11"/>
  <c r="V87" i="11"/>
  <c r="V86" i="11"/>
  <c r="V85" i="11"/>
  <c r="T91" i="11"/>
  <c r="T89" i="11"/>
  <c r="T88" i="11"/>
  <c r="T87" i="11"/>
  <c r="T86" i="11"/>
  <c r="T85" i="11"/>
  <c r="T84" i="11"/>
  <c r="J40" i="11"/>
  <c r="J39" i="11"/>
  <c r="AC130" i="10"/>
  <c r="AC127" i="10"/>
  <c r="T133" i="10"/>
  <c r="T131" i="10"/>
  <c r="T130" i="10"/>
  <c r="T129" i="10"/>
  <c r="T128" i="10"/>
  <c r="V130" i="10"/>
  <c r="V129" i="10"/>
  <c r="V128" i="10"/>
  <c r="V127" i="10"/>
  <c r="T127" i="10"/>
  <c r="J60" i="10"/>
  <c r="T660" i="38" l="1"/>
  <c r="J62" i="9"/>
  <c r="J61" i="9"/>
  <c r="AC134" i="9"/>
  <c r="AC133" i="9"/>
  <c r="AC131" i="9"/>
  <c r="V134" i="9"/>
  <c r="V133" i="9"/>
  <c r="V132" i="9"/>
  <c r="V131" i="9"/>
  <c r="T137" i="9"/>
  <c r="T135" i="9"/>
  <c r="T134" i="9"/>
  <c r="T133" i="9"/>
  <c r="T132" i="9"/>
  <c r="T131" i="9"/>
  <c r="T130" i="9"/>
  <c r="V103" i="8"/>
  <c r="V102" i="8"/>
  <c r="V101" i="8"/>
  <c r="V100" i="8"/>
  <c r="T79" i="7"/>
  <c r="T74" i="7"/>
  <c r="T73" i="7"/>
  <c r="T72" i="7"/>
  <c r="V75" i="7"/>
  <c r="V74" i="7"/>
  <c r="V73" i="7"/>
  <c r="V72" i="7"/>
  <c r="V76" i="7"/>
  <c r="T661" i="38" l="1"/>
  <c r="M23" i="27"/>
  <c r="M22" i="27"/>
  <c r="M21" i="27"/>
  <c r="D23" i="27"/>
  <c r="D22" i="27"/>
  <c r="D21" i="27"/>
  <c r="T662" i="38" l="1"/>
  <c r="AB74" i="7"/>
  <c r="J34" i="7"/>
  <c r="T663" i="38" l="1"/>
  <c r="Y62" i="20"/>
  <c r="Y65" i="20" s="1"/>
  <c r="T664" i="38" l="1"/>
  <c r="AC80" i="8"/>
  <c r="J24" i="8"/>
  <c r="T665" i="38" l="1"/>
  <c r="H21" i="19"/>
  <c r="A316" i="38" l="1"/>
  <c r="T666" i="38"/>
  <c r="H42" i="19"/>
  <c r="H111" i="19"/>
  <c r="H32" i="24"/>
  <c r="A317" i="38" l="1"/>
  <c r="T668" i="38"/>
  <c r="H23" i="22"/>
  <c r="H22" i="22"/>
  <c r="H36" i="22"/>
  <c r="A318" i="38" l="1"/>
  <c r="T669" i="38"/>
  <c r="H30" i="22"/>
  <c r="H29" i="22"/>
  <c r="H28" i="22"/>
  <c r="H35" i="22"/>
  <c r="H44" i="25"/>
  <c r="H43" i="25"/>
  <c r="H42" i="25"/>
  <c r="H39" i="25"/>
  <c r="H38" i="25"/>
  <c r="H37" i="25"/>
  <c r="H36" i="25"/>
  <c r="H35" i="25"/>
  <c r="H34" i="25"/>
  <c r="H33" i="25"/>
  <c r="H30" i="25"/>
  <c r="H29" i="25"/>
  <c r="H28" i="25"/>
  <c r="H25" i="25"/>
  <c r="H24" i="25"/>
  <c r="H23" i="25"/>
  <c r="H22" i="25"/>
  <c r="H26" i="22"/>
  <c r="A319" i="38" l="1"/>
  <c r="A320" i="38" s="1"/>
  <c r="T670" i="38"/>
  <c r="AC74" i="33"/>
  <c r="AC70" i="33"/>
  <c r="J29" i="33"/>
  <c r="J24" i="33"/>
  <c r="AC72" i="31"/>
  <c r="AC68" i="31"/>
  <c r="J24" i="31"/>
  <c r="AC72" i="30"/>
  <c r="AC68" i="30"/>
  <c r="J24" i="30"/>
  <c r="J29" i="29"/>
  <c r="J24" i="29"/>
  <c r="AC73" i="29"/>
  <c r="AC72" i="29"/>
  <c r="AC68" i="29"/>
  <c r="AC75" i="33"/>
  <c r="A321" i="38" l="1"/>
  <c r="AC73" i="31"/>
  <c r="AC103" i="14"/>
  <c r="AC102" i="14"/>
  <c r="AC89" i="14"/>
  <c r="AC88" i="14"/>
  <c r="AC85" i="14"/>
  <c r="J21" i="14"/>
  <c r="AC86" i="13"/>
  <c r="AC85" i="13"/>
  <c r="AC81" i="13"/>
  <c r="AC77" i="13"/>
  <c r="AC76" i="13"/>
  <c r="J25" i="13"/>
  <c r="J24" i="13"/>
  <c r="AC110" i="12"/>
  <c r="AC109" i="12"/>
  <c r="AC106" i="12"/>
  <c r="AC91" i="12"/>
  <c r="AC88" i="12"/>
  <c r="J25" i="12"/>
  <c r="AC81" i="11"/>
  <c r="AC78" i="11"/>
  <c r="AC74" i="11"/>
  <c r="AC73" i="11"/>
  <c r="AC72" i="11"/>
  <c r="J26" i="11"/>
  <c r="J25" i="11"/>
  <c r="J24" i="11"/>
  <c r="AC94" i="10"/>
  <c r="AC93" i="10"/>
  <c r="J24" i="10"/>
  <c r="J23" i="10"/>
  <c r="J23" i="9"/>
  <c r="AC125" i="9"/>
  <c r="AC117" i="9"/>
  <c r="AC116" i="9"/>
  <c r="AC108" i="9"/>
  <c r="AC107" i="9"/>
  <c r="AC104" i="9"/>
  <c r="AC103" i="9"/>
  <c r="AC99" i="9"/>
  <c r="AC98" i="9"/>
  <c r="AC95" i="9"/>
  <c r="AC95" i="8"/>
  <c r="AC94" i="8"/>
  <c r="AC93" i="8"/>
  <c r="AC92" i="8"/>
  <c r="AC91" i="8"/>
  <c r="AC87" i="8"/>
  <c r="AC86" i="8"/>
  <c r="AC82" i="8"/>
  <c r="AC81" i="8"/>
  <c r="J30" i="8"/>
  <c r="J26" i="8"/>
  <c r="J25" i="8"/>
  <c r="AB67" i="7"/>
  <c r="AB64" i="7"/>
  <c r="A322" i="38" l="1"/>
  <c r="J29" i="31"/>
  <c r="D38" i="27"/>
  <c r="D34" i="27"/>
  <c r="D30" i="27"/>
  <c r="D26" i="27"/>
  <c r="D36" i="27"/>
  <c r="D28" i="27"/>
  <c r="D35" i="27"/>
  <c r="D27" i="27"/>
  <c r="D41" i="27"/>
  <c r="D37" i="27"/>
  <c r="D33" i="27"/>
  <c r="D29" i="27"/>
  <c r="D25" i="27"/>
  <c r="D40" i="27"/>
  <c r="D32" i="27"/>
  <c r="D24" i="27"/>
  <c r="D39" i="27"/>
  <c r="D31" i="27"/>
  <c r="AM83" i="33"/>
  <c r="AC82" i="33"/>
  <c r="T56" i="33"/>
  <c r="AO55" i="33"/>
  <c r="T55" i="33"/>
  <c r="T53" i="33"/>
  <c r="T52" i="33"/>
  <c r="T51" i="33"/>
  <c r="T50" i="33"/>
  <c r="T49" i="33"/>
  <c r="T48" i="33"/>
  <c r="T47" i="33"/>
  <c r="Y70" i="33"/>
  <c r="A10" i="33"/>
  <c r="R9" i="33"/>
  <c r="A9" i="33"/>
  <c r="A7" i="33"/>
  <c r="A6" i="33"/>
  <c r="A5" i="33"/>
  <c r="A4" i="33"/>
  <c r="A3" i="33"/>
  <c r="A2" i="33"/>
  <c r="A1" i="33"/>
  <c r="AM81" i="31"/>
  <c r="T54" i="31"/>
  <c r="AO53" i="31"/>
  <c r="T53" i="31"/>
  <c r="T51" i="31"/>
  <c r="T50" i="31"/>
  <c r="T49" i="31"/>
  <c r="T48" i="31"/>
  <c r="T47" i="31"/>
  <c r="T46" i="31"/>
  <c r="T45" i="31"/>
  <c r="P37" i="31"/>
  <c r="Y68" i="31"/>
  <c r="A10" i="31"/>
  <c r="R9" i="31"/>
  <c r="A9" i="31"/>
  <c r="A7" i="31"/>
  <c r="A6" i="31"/>
  <c r="A5" i="31"/>
  <c r="A4" i="31"/>
  <c r="A3" i="31"/>
  <c r="A2" i="31"/>
  <c r="A1" i="31"/>
  <c r="AM81" i="30"/>
  <c r="T54" i="30"/>
  <c r="AO53" i="30"/>
  <c r="T53" i="30"/>
  <c r="T51" i="30"/>
  <c r="T50" i="30"/>
  <c r="T49" i="30"/>
  <c r="T48" i="30"/>
  <c r="T47" i="30"/>
  <c r="T46" i="30"/>
  <c r="T45" i="30"/>
  <c r="P37" i="30"/>
  <c r="L24" i="30"/>
  <c r="L25" i="30" s="1"/>
  <c r="Y68" i="30"/>
  <c r="A10" i="30"/>
  <c r="R9" i="30"/>
  <c r="A9" i="30"/>
  <c r="A7" i="30"/>
  <c r="A6" i="30"/>
  <c r="A5" i="30"/>
  <c r="A4" i="30"/>
  <c r="A3" i="30"/>
  <c r="A2" i="30"/>
  <c r="A1" i="30"/>
  <c r="AC79" i="29"/>
  <c r="AA72" i="29"/>
  <c r="AE72" i="29" s="1"/>
  <c r="AO72" i="29" s="1"/>
  <c r="Y68" i="29"/>
  <c r="Y75" i="29" s="1"/>
  <c r="T54" i="29"/>
  <c r="AO53" i="29"/>
  <c r="T53" i="29"/>
  <c r="AO51" i="29"/>
  <c r="T51" i="29"/>
  <c r="T50" i="29"/>
  <c r="T49" i="29"/>
  <c r="T48" i="29"/>
  <c r="T47" i="29"/>
  <c r="T46" i="29"/>
  <c r="T45" i="29"/>
  <c r="P36" i="29"/>
  <c r="F31" i="29"/>
  <c r="F38" i="29" s="1"/>
  <c r="H30" i="29"/>
  <c r="AA74" i="29" s="1"/>
  <c r="AA75" i="29" s="1"/>
  <c r="L24" i="29"/>
  <c r="L25" i="29" s="1"/>
  <c r="A10" i="29"/>
  <c r="R9" i="29"/>
  <c r="A9" i="29"/>
  <c r="A7" i="29"/>
  <c r="A6" i="29"/>
  <c r="A5" i="29"/>
  <c r="A4" i="29"/>
  <c r="A3" i="29"/>
  <c r="A2" i="29"/>
  <c r="A1" i="29"/>
  <c r="J36" i="30"/>
  <c r="AC80" i="33"/>
  <c r="A323" i="38" l="1"/>
  <c r="AE68" i="29"/>
  <c r="AE69" i="29" s="1"/>
  <c r="AK69" i="29" s="1"/>
  <c r="Y82" i="29"/>
  <c r="F40" i="6"/>
  <c r="R24" i="29"/>
  <c r="R25" i="29" s="1"/>
  <c r="AC78" i="29"/>
  <c r="F31" i="33"/>
  <c r="F39" i="33" s="1"/>
  <c r="L24" i="33"/>
  <c r="L25" i="33" s="1"/>
  <c r="F31" i="31"/>
  <c r="F39" i="31" s="1"/>
  <c r="L24" i="31"/>
  <c r="L25" i="31" s="1"/>
  <c r="R24" i="30"/>
  <c r="R25" i="30" s="1"/>
  <c r="AE70" i="33"/>
  <c r="Y77" i="33"/>
  <c r="Y85" i="33" s="1"/>
  <c r="J36" i="33"/>
  <c r="Y75" i="31"/>
  <c r="Y83" i="31" s="1"/>
  <c r="AE68" i="31"/>
  <c r="Y75" i="30"/>
  <c r="AE68" i="30"/>
  <c r="F31" i="30"/>
  <c r="F39" i="30" s="1"/>
  <c r="J35" i="29"/>
  <c r="AE79" i="29"/>
  <c r="AE78" i="29"/>
  <c r="P29" i="29"/>
  <c r="P30" i="29" s="1"/>
  <c r="P31" i="29" s="1"/>
  <c r="P38" i="29" s="1"/>
  <c r="P40" i="6" s="1"/>
  <c r="AA73" i="29"/>
  <c r="L29" i="29"/>
  <c r="H31" i="29"/>
  <c r="AO68" i="29"/>
  <c r="AO69" i="29" s="1"/>
  <c r="AK72" i="29"/>
  <c r="AI68" i="29" l="1"/>
  <c r="AI69" i="29" s="1"/>
  <c r="AK68" i="29"/>
  <c r="A324" i="38"/>
  <c r="F43" i="6"/>
  <c r="F42" i="6"/>
  <c r="J34" i="33"/>
  <c r="J32" i="12"/>
  <c r="F40" i="5"/>
  <c r="F30" i="4"/>
  <c r="J34" i="29"/>
  <c r="J51" i="12"/>
  <c r="J34" i="31"/>
  <c r="J40" i="13"/>
  <c r="J37" i="11"/>
  <c r="J57" i="10"/>
  <c r="J59" i="9"/>
  <c r="F42" i="5"/>
  <c r="F32" i="4"/>
  <c r="F33" i="4"/>
  <c r="F43" i="5"/>
  <c r="Y83" i="30"/>
  <c r="F41" i="6"/>
  <c r="AI70" i="33"/>
  <c r="AK70" i="33" s="1"/>
  <c r="R24" i="31"/>
  <c r="R25" i="31" s="1"/>
  <c r="J34" i="30"/>
  <c r="R24" i="33"/>
  <c r="R25" i="33" s="1"/>
  <c r="AO70" i="33"/>
  <c r="AE71" i="33"/>
  <c r="AE69" i="31"/>
  <c r="AO68" i="31"/>
  <c r="AI68" i="31"/>
  <c r="AE69" i="30"/>
  <c r="AI68" i="30"/>
  <c r="AO68" i="30"/>
  <c r="AO69" i="30" s="1"/>
  <c r="AE79" i="30" s="1"/>
  <c r="H38" i="29"/>
  <c r="L34" i="29"/>
  <c r="L35" i="29"/>
  <c r="R29" i="29"/>
  <c r="AE73" i="29"/>
  <c r="AI73" i="29" s="1"/>
  <c r="AM73" i="29"/>
  <c r="AM74" i="29" s="1"/>
  <c r="AM75" i="29" s="1"/>
  <c r="AM82" i="29" s="1"/>
  <c r="AK78" i="29"/>
  <c r="AE80" i="29"/>
  <c r="AO78" i="29"/>
  <c r="AK79" i="29"/>
  <c r="AO79" i="29"/>
  <c r="A325" i="38" l="1"/>
  <c r="AA82" i="29"/>
  <c r="H40" i="6"/>
  <c r="P30" i="4"/>
  <c r="D16" i="40" s="1"/>
  <c r="E16" i="40" s="1"/>
  <c r="L16" i="40" s="1"/>
  <c r="T40" i="5"/>
  <c r="F41" i="5"/>
  <c r="F31" i="4"/>
  <c r="AQ70" i="33"/>
  <c r="AO71" i="33"/>
  <c r="AE81" i="33" s="1"/>
  <c r="AI71" i="33"/>
  <c r="AK71" i="33" s="1"/>
  <c r="AK68" i="31"/>
  <c r="AI69" i="31"/>
  <c r="AK69" i="31" s="1"/>
  <c r="AQ68" i="31"/>
  <c r="AO69" i="31"/>
  <c r="AE79" i="31" s="1"/>
  <c r="AK68" i="30"/>
  <c r="AQ68" i="30"/>
  <c r="AI69" i="30"/>
  <c r="AK80" i="29"/>
  <c r="L36" i="29"/>
  <c r="R34" i="29"/>
  <c r="AI78" i="29"/>
  <c r="AO80" i="29"/>
  <c r="AO73" i="29"/>
  <c r="AO74" i="29" s="1"/>
  <c r="AK73" i="29"/>
  <c r="AI79" i="29"/>
  <c r="R35" i="29"/>
  <c r="AE74" i="29"/>
  <c r="A327" i="38" l="1"/>
  <c r="A332" i="38"/>
  <c r="H30" i="4"/>
  <c r="H40" i="5"/>
  <c r="AQ69" i="31"/>
  <c r="AQ71" i="33"/>
  <c r="AQ69" i="30"/>
  <c r="AK69" i="30"/>
  <c r="AO75" i="29"/>
  <c r="AO82" i="29"/>
  <c r="R36" i="29"/>
  <c r="AK74" i="29"/>
  <c r="AE75" i="29"/>
  <c r="AI80" i="29"/>
  <c r="T684" i="38" l="1"/>
  <c r="A334" i="38"/>
  <c r="A328" i="38"/>
  <c r="T679" i="38"/>
  <c r="E40" i="3"/>
  <c r="V40" i="5"/>
  <c r="R30" i="4"/>
  <c r="AK75" i="29"/>
  <c r="AE82" i="29"/>
  <c r="A329" i="38" l="1"/>
  <c r="T680" i="38"/>
  <c r="T686" i="38"/>
  <c r="A335" i="38"/>
  <c r="AK82" i="29"/>
  <c r="L40" i="5"/>
  <c r="J30" i="4"/>
  <c r="T687" i="38" l="1"/>
  <c r="A336" i="38"/>
  <c r="T681" i="38"/>
  <c r="A330" i="38"/>
  <c r="T682" i="38" s="1"/>
  <c r="F40" i="10"/>
  <c r="A337" i="38" l="1"/>
  <c r="T688" i="38"/>
  <c r="P45" i="4"/>
  <c r="J45" i="4"/>
  <c r="H45" i="4"/>
  <c r="L45" i="4" s="1"/>
  <c r="F45" i="4"/>
  <c r="P61" i="6"/>
  <c r="R61" i="6" s="1"/>
  <c r="G65" i="3" s="1"/>
  <c r="H61" i="6"/>
  <c r="J61" i="6" s="1"/>
  <c r="F61" i="6"/>
  <c r="V61" i="5"/>
  <c r="E65" i="3" s="1"/>
  <c r="J61" i="5"/>
  <c r="J62" i="5"/>
  <c r="J60" i="5"/>
  <c r="J59" i="5"/>
  <c r="A338" i="38" l="1"/>
  <c r="T689" i="38"/>
  <c r="I65" i="3"/>
  <c r="K65" i="3" s="1"/>
  <c r="R45" i="4"/>
  <c r="P61" i="5"/>
  <c r="Y253" i="19"/>
  <c r="AE253" i="19" s="1"/>
  <c r="Y252" i="19"/>
  <c r="Y214" i="19"/>
  <c r="AE214" i="19" s="1"/>
  <c r="Y182" i="19"/>
  <c r="Y181" i="19"/>
  <c r="Y180" i="19"/>
  <c r="AA253" i="19"/>
  <c r="AA214" i="19"/>
  <c r="H45" i="25"/>
  <c r="F45" i="25"/>
  <c r="F65" i="24"/>
  <c r="F72" i="24" s="1"/>
  <c r="AC69" i="20"/>
  <c r="F34" i="20"/>
  <c r="J31" i="20"/>
  <c r="L31" i="20" s="1"/>
  <c r="AC286" i="19"/>
  <c r="J132" i="19"/>
  <c r="J53" i="14"/>
  <c r="J52" i="14"/>
  <c r="J50" i="14"/>
  <c r="A340" i="38" l="1"/>
  <c r="T692" i="38" s="1"/>
  <c r="T690" i="38"/>
  <c r="L49" i="25"/>
  <c r="R49" i="25" s="1"/>
  <c r="X61" i="5"/>
  <c r="R61" i="5"/>
  <c r="H34" i="20"/>
  <c r="F48" i="12"/>
  <c r="F29" i="12"/>
  <c r="AC103" i="8"/>
  <c r="AC102" i="8"/>
  <c r="AC100" i="8"/>
  <c r="J47" i="8"/>
  <c r="J46" i="8"/>
  <c r="J44" i="8"/>
  <c r="AB76" i="7"/>
  <c r="AB75" i="7"/>
  <c r="AB73" i="7"/>
  <c r="AB72" i="7"/>
  <c r="J35" i="7"/>
  <c r="J32" i="7"/>
  <c r="J31" i="7"/>
  <c r="A10" i="6"/>
  <c r="A10" i="5"/>
  <c r="A10" i="4"/>
  <c r="R9" i="8"/>
  <c r="AO65" i="8"/>
  <c r="R9" i="9"/>
  <c r="AO81" i="9"/>
  <c r="AO79" i="10"/>
  <c r="R9" i="10"/>
  <c r="AO57" i="11"/>
  <c r="R9" i="11"/>
  <c r="R9" i="12"/>
  <c r="AO73" i="12"/>
  <c r="R9" i="13"/>
  <c r="AO61" i="13"/>
  <c r="AO73" i="14"/>
  <c r="A190" i="26"/>
  <c r="A189" i="26"/>
  <c r="A187" i="26"/>
  <c r="A185" i="26"/>
  <c r="A184" i="26"/>
  <c r="A140" i="26"/>
  <c r="A139" i="26"/>
  <c r="A137" i="26"/>
  <c r="A135" i="26"/>
  <c r="A134" i="26"/>
  <c r="A93" i="26"/>
  <c r="A92" i="26"/>
  <c r="A90" i="26"/>
  <c r="A88" i="26"/>
  <c r="A87" i="26"/>
  <c r="A41" i="26"/>
  <c r="A40" i="26"/>
  <c r="A38" i="26"/>
  <c r="A36" i="26"/>
  <c r="A35" i="26"/>
  <c r="A7" i="26"/>
  <c r="A6" i="26"/>
  <c r="A4" i="26"/>
  <c r="A2" i="26"/>
  <c r="A1" i="26"/>
  <c r="AO65" i="25"/>
  <c r="T63" i="25"/>
  <c r="T62" i="25"/>
  <c r="T61" i="25"/>
  <c r="T60" i="25"/>
  <c r="T59" i="25"/>
  <c r="T58" i="25"/>
  <c r="T57" i="25"/>
  <c r="A7" i="25"/>
  <c r="A6" i="25"/>
  <c r="A5" i="25"/>
  <c r="A4" i="25"/>
  <c r="A3" i="25"/>
  <c r="A2" i="25"/>
  <c r="A1" i="25"/>
  <c r="AO82" i="24"/>
  <c r="T80" i="24"/>
  <c r="T79" i="24"/>
  <c r="T78" i="24"/>
  <c r="T77" i="24"/>
  <c r="T76" i="24"/>
  <c r="T75" i="24"/>
  <c r="T74" i="24"/>
  <c r="A7" i="24"/>
  <c r="A6" i="24"/>
  <c r="A5" i="24"/>
  <c r="A4" i="24"/>
  <c r="A3" i="24"/>
  <c r="A2" i="24"/>
  <c r="A1" i="24"/>
  <c r="AO59" i="22"/>
  <c r="T57" i="22"/>
  <c r="T56" i="22"/>
  <c r="T55" i="22"/>
  <c r="T54" i="22"/>
  <c r="T53" i="22"/>
  <c r="T52" i="22"/>
  <c r="T51" i="22"/>
  <c r="A7" i="22"/>
  <c r="A6" i="22"/>
  <c r="A5" i="22"/>
  <c r="A4" i="22"/>
  <c r="A3" i="22"/>
  <c r="A2" i="22"/>
  <c r="A1" i="22"/>
  <c r="AO44" i="28"/>
  <c r="T42" i="28"/>
  <c r="T41" i="28"/>
  <c r="T40" i="28"/>
  <c r="T39" i="28"/>
  <c r="T38" i="28"/>
  <c r="T37" i="28"/>
  <c r="T36" i="28"/>
  <c r="A7" i="28"/>
  <c r="A6" i="28"/>
  <c r="A5" i="28"/>
  <c r="A4" i="28"/>
  <c r="A3" i="28"/>
  <c r="A2" i="28"/>
  <c r="A1" i="28"/>
  <c r="AO47" i="20"/>
  <c r="T45" i="20"/>
  <c r="T44" i="20"/>
  <c r="T43" i="20"/>
  <c r="T42" i="20"/>
  <c r="T41" i="20"/>
  <c r="T40" i="20"/>
  <c r="T39" i="20"/>
  <c r="A7" i="20"/>
  <c r="A6" i="20"/>
  <c r="A5" i="20"/>
  <c r="A4" i="20"/>
  <c r="A3" i="20"/>
  <c r="A2" i="20"/>
  <c r="A1" i="20"/>
  <c r="T230" i="19"/>
  <c r="T229" i="19"/>
  <c r="T228" i="19"/>
  <c r="T227" i="19"/>
  <c r="T226" i="19"/>
  <c r="T225" i="19"/>
  <c r="T224" i="19"/>
  <c r="AO163" i="19"/>
  <c r="T155" i="19"/>
  <c r="T161" i="19"/>
  <c r="T160" i="19"/>
  <c r="T159" i="19"/>
  <c r="T158" i="19"/>
  <c r="T157" i="19"/>
  <c r="T156" i="19"/>
  <c r="A76" i="19"/>
  <c r="A75" i="19"/>
  <c r="A74" i="19"/>
  <c r="A73" i="19"/>
  <c r="A72" i="19"/>
  <c r="A71" i="19"/>
  <c r="A70" i="19"/>
  <c r="A7" i="19"/>
  <c r="A6" i="19"/>
  <c r="A5" i="19"/>
  <c r="A4" i="19"/>
  <c r="A3" i="19"/>
  <c r="A2" i="19"/>
  <c r="A1" i="19"/>
  <c r="T71" i="14"/>
  <c r="T70" i="14"/>
  <c r="T69" i="14"/>
  <c r="T68" i="14"/>
  <c r="T67" i="14"/>
  <c r="T66" i="14"/>
  <c r="T65" i="14"/>
  <c r="A7" i="14"/>
  <c r="A6" i="14"/>
  <c r="A5" i="14"/>
  <c r="A4" i="14"/>
  <c r="A3" i="14"/>
  <c r="A2" i="14"/>
  <c r="A1" i="14"/>
  <c r="T59" i="13"/>
  <c r="T58" i="13"/>
  <c r="T57" i="13"/>
  <c r="T56" i="13"/>
  <c r="T55" i="13"/>
  <c r="T54" i="13"/>
  <c r="T53" i="13"/>
  <c r="A7" i="13"/>
  <c r="A6" i="13"/>
  <c r="A5" i="13"/>
  <c r="A4" i="13"/>
  <c r="A3" i="13"/>
  <c r="A2" i="13"/>
  <c r="A1" i="13"/>
  <c r="T71" i="12"/>
  <c r="T70" i="12"/>
  <c r="T69" i="12"/>
  <c r="T68" i="12"/>
  <c r="T67" i="12"/>
  <c r="T66" i="12"/>
  <c r="T65" i="12"/>
  <c r="A7" i="12"/>
  <c r="A6" i="12"/>
  <c r="A5" i="12"/>
  <c r="A4" i="12"/>
  <c r="A3" i="12"/>
  <c r="A2" i="12"/>
  <c r="A1" i="12"/>
  <c r="T55" i="11"/>
  <c r="T54" i="11"/>
  <c r="T53" i="11"/>
  <c r="T52" i="11"/>
  <c r="T51" i="11"/>
  <c r="T50" i="11"/>
  <c r="T49" i="11"/>
  <c r="A7" i="11"/>
  <c r="A6" i="11"/>
  <c r="A5" i="11"/>
  <c r="A4" i="11"/>
  <c r="A3" i="11"/>
  <c r="A2" i="11"/>
  <c r="A1" i="11"/>
  <c r="T77" i="10"/>
  <c r="T76" i="10"/>
  <c r="T75" i="10"/>
  <c r="T74" i="10"/>
  <c r="T73" i="10"/>
  <c r="T72" i="10"/>
  <c r="T71" i="10"/>
  <c r="A7" i="10"/>
  <c r="A6" i="10"/>
  <c r="A5" i="10"/>
  <c r="A4" i="10"/>
  <c r="A3" i="10"/>
  <c r="A2" i="10"/>
  <c r="A1" i="10"/>
  <c r="T79" i="9"/>
  <c r="T78" i="9"/>
  <c r="T77" i="9"/>
  <c r="T76" i="9"/>
  <c r="T75" i="9"/>
  <c r="T74" i="9"/>
  <c r="T73" i="9"/>
  <c r="A7" i="9"/>
  <c r="A6" i="9"/>
  <c r="A5" i="9"/>
  <c r="A4" i="9"/>
  <c r="A3" i="9"/>
  <c r="A2" i="9"/>
  <c r="A1" i="9"/>
  <c r="T63" i="8"/>
  <c r="T62" i="8"/>
  <c r="T61" i="8"/>
  <c r="T60" i="8"/>
  <c r="T59" i="8"/>
  <c r="T58" i="8"/>
  <c r="T57" i="8"/>
  <c r="A7" i="8"/>
  <c r="A6" i="8"/>
  <c r="A5" i="8"/>
  <c r="A4" i="8"/>
  <c r="A3" i="8"/>
  <c r="A2" i="8"/>
  <c r="A1" i="8"/>
  <c r="AN50" i="7"/>
  <c r="T48" i="7"/>
  <c r="T47" i="7"/>
  <c r="T46" i="7"/>
  <c r="T45" i="7"/>
  <c r="T44" i="7"/>
  <c r="T43" i="7"/>
  <c r="T42" i="7"/>
  <c r="R9" i="7"/>
  <c r="A7" i="7"/>
  <c r="A6" i="7"/>
  <c r="A5" i="7"/>
  <c r="A4" i="7"/>
  <c r="A3" i="7"/>
  <c r="A2" i="7"/>
  <c r="A1" i="7"/>
  <c r="R9" i="6"/>
  <c r="A7" i="6"/>
  <c r="A6" i="6"/>
  <c r="A5" i="6"/>
  <c r="A4" i="6"/>
  <c r="A3" i="6"/>
  <c r="A2" i="6"/>
  <c r="A1" i="6"/>
  <c r="V9" i="5"/>
  <c r="A7" i="5"/>
  <c r="A6" i="5"/>
  <c r="A5" i="5"/>
  <c r="A4" i="5"/>
  <c r="A3" i="5"/>
  <c r="A2" i="5"/>
  <c r="A1" i="5"/>
  <c r="R9" i="4"/>
  <c r="A7" i="4"/>
  <c r="A6" i="4"/>
  <c r="A5" i="4"/>
  <c r="A4" i="4"/>
  <c r="A2" i="4"/>
  <c r="A1" i="4"/>
  <c r="I10" i="3"/>
  <c r="A8" i="3"/>
  <c r="A7" i="3"/>
  <c r="A5" i="3"/>
  <c r="A4" i="3"/>
  <c r="A2" i="3"/>
  <c r="A1" i="3"/>
  <c r="O238" i="26"/>
  <c r="O237" i="26"/>
  <c r="O236" i="26"/>
  <c r="O235" i="26"/>
  <c r="O234" i="26"/>
  <c r="O233" i="26"/>
  <c r="O232" i="26"/>
  <c r="O231" i="26"/>
  <c r="O230" i="26"/>
  <c r="O229" i="26"/>
  <c r="O228" i="26"/>
  <c r="O227" i="26"/>
  <c r="O226" i="26"/>
  <c r="O225" i="26"/>
  <c r="O224" i="26"/>
  <c r="O223" i="26"/>
  <c r="O222" i="26"/>
  <c r="O221" i="26"/>
  <c r="O219" i="26"/>
  <c r="O218" i="26"/>
  <c r="O217" i="26"/>
  <c r="O216" i="26"/>
  <c r="O215" i="26"/>
  <c r="O214" i="26"/>
  <c r="O213" i="26"/>
  <c r="O212" i="26"/>
  <c r="O211" i="26"/>
  <c r="O210" i="26"/>
  <c r="O209" i="26"/>
  <c r="O208" i="26"/>
  <c r="O207" i="26"/>
  <c r="O206" i="26"/>
  <c r="O205" i="26"/>
  <c r="O204" i="26"/>
  <c r="O203" i="26"/>
  <c r="O202" i="26"/>
  <c r="O175" i="26"/>
  <c r="O174" i="26"/>
  <c r="O173" i="26"/>
  <c r="O172" i="26"/>
  <c r="O171" i="26"/>
  <c r="O170" i="26"/>
  <c r="O169" i="26"/>
  <c r="O168" i="26"/>
  <c r="O167" i="26"/>
  <c r="O166" i="26"/>
  <c r="O165" i="26"/>
  <c r="O164" i="26"/>
  <c r="O163" i="26"/>
  <c r="O162" i="26"/>
  <c r="O161" i="26"/>
  <c r="O160" i="26"/>
  <c r="O159" i="26"/>
  <c r="O158" i="26"/>
  <c r="O157" i="26"/>
  <c r="O156" i="26"/>
  <c r="O155" i="26"/>
  <c r="O154" i="26"/>
  <c r="O153" i="26"/>
  <c r="O152" i="26"/>
  <c r="O125" i="26"/>
  <c r="O124" i="26"/>
  <c r="O123" i="26"/>
  <c r="O122" i="26"/>
  <c r="O121" i="26"/>
  <c r="O120" i="26"/>
  <c r="O119" i="26"/>
  <c r="O118" i="26"/>
  <c r="O117" i="26"/>
  <c r="O116" i="26"/>
  <c r="O114" i="26"/>
  <c r="O113" i="26"/>
  <c r="O112" i="26"/>
  <c r="O111" i="26"/>
  <c r="O110" i="26"/>
  <c r="O109" i="26"/>
  <c r="O108" i="26"/>
  <c r="O107" i="26"/>
  <c r="O106" i="26"/>
  <c r="O105" i="26"/>
  <c r="F76" i="26"/>
  <c r="O78" i="26"/>
  <c r="O77" i="26"/>
  <c r="O76" i="26"/>
  <c r="O73" i="26"/>
  <c r="O72" i="26"/>
  <c r="O71" i="26"/>
  <c r="O70" i="26"/>
  <c r="O69" i="26"/>
  <c r="O68" i="26"/>
  <c r="O67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J64" i="5"/>
  <c r="J58" i="5"/>
  <c r="P64" i="6"/>
  <c r="P62" i="6"/>
  <c r="P60" i="6"/>
  <c r="P59" i="6"/>
  <c r="P58" i="6"/>
  <c r="L59" i="6"/>
  <c r="P59" i="5" s="1"/>
  <c r="L58" i="6"/>
  <c r="P58" i="5" s="1"/>
  <c r="R58" i="5" s="1"/>
  <c r="A11" i="3"/>
  <c r="AA94" i="25"/>
  <c r="AA92" i="25"/>
  <c r="AA91" i="25"/>
  <c r="AA95" i="25"/>
  <c r="Y95" i="25"/>
  <c r="Y94" i="25"/>
  <c r="AA93" i="25"/>
  <c r="Y93" i="25"/>
  <c r="Y92" i="25"/>
  <c r="Y91" i="25"/>
  <c r="AA90" i="25"/>
  <c r="Y90" i="25"/>
  <c r="AA86" i="25"/>
  <c r="Y86" i="25"/>
  <c r="AE86" i="25" s="1"/>
  <c r="Y85" i="25"/>
  <c r="AA84" i="25"/>
  <c r="Y84" i="25"/>
  <c r="V67" i="28"/>
  <c r="V66" i="28"/>
  <c r="T44" i="28"/>
  <c r="C32" i="28"/>
  <c r="C31" i="28"/>
  <c r="R9" i="28"/>
  <c r="A9" i="28"/>
  <c r="Y255" i="19"/>
  <c r="AE255" i="19" s="1"/>
  <c r="T296" i="19"/>
  <c r="T295" i="19"/>
  <c r="A143" i="19"/>
  <c r="A142" i="19"/>
  <c r="Y210" i="19"/>
  <c r="AE210" i="19" s="1"/>
  <c r="Y261" i="19"/>
  <c r="AE261" i="19" s="1"/>
  <c r="Y260" i="19"/>
  <c r="AE260" i="19" s="1"/>
  <c r="AE252" i="19"/>
  <c r="Y250" i="19"/>
  <c r="AE250" i="19" s="1"/>
  <c r="Y247" i="19"/>
  <c r="AE247" i="19" s="1"/>
  <c r="AA261" i="19"/>
  <c r="AA260" i="19"/>
  <c r="AA252" i="19"/>
  <c r="AA250" i="19"/>
  <c r="AA247" i="19"/>
  <c r="AA210" i="19"/>
  <c r="A65" i="19"/>
  <c r="A64" i="19"/>
  <c r="T219" i="19"/>
  <c r="T218" i="19"/>
  <c r="Y263" i="19"/>
  <c r="AE263" i="19" s="1"/>
  <c r="Y262" i="19"/>
  <c r="AA264" i="19"/>
  <c r="AA263" i="19"/>
  <c r="AA262" i="19"/>
  <c r="Y264" i="19"/>
  <c r="Y258" i="19"/>
  <c r="AA258" i="19"/>
  <c r="AA255" i="19"/>
  <c r="Y201" i="19"/>
  <c r="AA201" i="19"/>
  <c r="AA182" i="19"/>
  <c r="AA181" i="19"/>
  <c r="AA180" i="19"/>
  <c r="J35" i="14"/>
  <c r="AC121" i="10"/>
  <c r="AC116" i="10"/>
  <c r="AC115" i="10"/>
  <c r="AC99" i="10"/>
  <c r="AC98" i="10"/>
  <c r="AC105" i="10"/>
  <c r="AC104" i="10"/>
  <c r="T74" i="14"/>
  <c r="A10" i="14"/>
  <c r="T62" i="13"/>
  <c r="A10" i="13"/>
  <c r="T74" i="12"/>
  <c r="A10" i="12"/>
  <c r="T58" i="11"/>
  <c r="A10" i="11"/>
  <c r="T80" i="10"/>
  <c r="A10" i="10"/>
  <c r="T82" i="9"/>
  <c r="A10" i="9"/>
  <c r="A10" i="8"/>
  <c r="T66" i="8"/>
  <c r="T51" i="7"/>
  <c r="A10" i="7"/>
  <c r="C29" i="26"/>
  <c r="F26" i="26"/>
  <c r="F25" i="26"/>
  <c r="F24" i="26"/>
  <c r="F23" i="26"/>
  <c r="F22" i="26"/>
  <c r="F21" i="26"/>
  <c r="C28" i="26"/>
  <c r="F20" i="26"/>
  <c r="C13" i="27"/>
  <c r="C12" i="27"/>
  <c r="C11" i="27"/>
  <c r="C10" i="27"/>
  <c r="C9" i="27"/>
  <c r="C8" i="27"/>
  <c r="C7" i="27"/>
  <c r="B13" i="27"/>
  <c r="B12" i="27"/>
  <c r="B11" i="27"/>
  <c r="B10" i="27"/>
  <c r="B9" i="27"/>
  <c r="B8" i="27"/>
  <c r="B7" i="27"/>
  <c r="J57" i="40" l="1"/>
  <c r="P42" i="19"/>
  <c r="R31" i="20"/>
  <c r="AE84" i="25"/>
  <c r="AE85" i="25"/>
  <c r="AK252" i="19"/>
  <c r="AE262" i="19"/>
  <c r="AE201" i="19"/>
  <c r="AK201" i="19" s="1"/>
  <c r="F7" i="27"/>
  <c r="F8" i="27"/>
  <c r="B21" i="27"/>
  <c r="C21" i="27"/>
  <c r="F21" i="27"/>
  <c r="G21" i="27"/>
  <c r="H21" i="27"/>
  <c r="K21" i="27"/>
  <c r="L21" i="27"/>
  <c r="P21" i="27"/>
  <c r="Q21" i="27"/>
  <c r="B22" i="27"/>
  <c r="C22" i="27"/>
  <c r="F22" i="27"/>
  <c r="G22" i="27"/>
  <c r="H22" i="27"/>
  <c r="K22" i="27"/>
  <c r="L22" i="27"/>
  <c r="P22" i="27"/>
  <c r="Q22" i="27"/>
  <c r="B23" i="27"/>
  <c r="C23" i="27"/>
  <c r="F23" i="27"/>
  <c r="G23" i="27"/>
  <c r="H23" i="27"/>
  <c r="K23" i="27"/>
  <c r="L23" i="27"/>
  <c r="P23" i="27"/>
  <c r="Q23" i="27"/>
  <c r="B24" i="27"/>
  <c r="C24" i="27"/>
  <c r="F24" i="27"/>
  <c r="G24" i="27"/>
  <c r="H24" i="27"/>
  <c r="K24" i="27"/>
  <c r="L24" i="27"/>
  <c r="P24" i="27"/>
  <c r="Q24" i="27"/>
  <c r="B25" i="27"/>
  <c r="C25" i="27"/>
  <c r="F25" i="27"/>
  <c r="G25" i="27"/>
  <c r="H25" i="27"/>
  <c r="K25" i="27"/>
  <c r="L25" i="27"/>
  <c r="Q25" i="27"/>
  <c r="B26" i="27"/>
  <c r="C26" i="27"/>
  <c r="F26" i="27"/>
  <c r="G26" i="27"/>
  <c r="H26" i="27"/>
  <c r="K26" i="27"/>
  <c r="L26" i="27"/>
  <c r="Q26" i="27"/>
  <c r="B27" i="27"/>
  <c r="C27" i="27"/>
  <c r="F27" i="27"/>
  <c r="G27" i="27"/>
  <c r="H27" i="27"/>
  <c r="K27" i="27"/>
  <c r="L27" i="27"/>
  <c r="Q27" i="27"/>
  <c r="B28" i="27"/>
  <c r="C28" i="27"/>
  <c r="F28" i="27"/>
  <c r="G28" i="27"/>
  <c r="H28" i="27"/>
  <c r="K28" i="27"/>
  <c r="L28" i="27"/>
  <c r="Q28" i="27"/>
  <c r="B29" i="27"/>
  <c r="C29" i="27"/>
  <c r="F29" i="27"/>
  <c r="G29" i="27"/>
  <c r="H29" i="27"/>
  <c r="K29" i="27"/>
  <c r="L29" i="27"/>
  <c r="Q29" i="27"/>
  <c r="B30" i="27"/>
  <c r="C30" i="27"/>
  <c r="F30" i="27"/>
  <c r="G30" i="27"/>
  <c r="H30" i="27"/>
  <c r="K30" i="27"/>
  <c r="L30" i="27"/>
  <c r="Q30" i="27"/>
  <c r="B31" i="27"/>
  <c r="C31" i="27"/>
  <c r="F31" i="27"/>
  <c r="G31" i="27"/>
  <c r="H31" i="27"/>
  <c r="K31" i="27"/>
  <c r="L31" i="27"/>
  <c r="Q31" i="27"/>
  <c r="B32" i="27"/>
  <c r="C32" i="27"/>
  <c r="F32" i="27"/>
  <c r="G32" i="27"/>
  <c r="H32" i="27"/>
  <c r="K32" i="27"/>
  <c r="L32" i="27"/>
  <c r="B33" i="27"/>
  <c r="C33" i="27"/>
  <c r="F33" i="27"/>
  <c r="G33" i="27"/>
  <c r="H33" i="27"/>
  <c r="K33" i="27"/>
  <c r="L33" i="27"/>
  <c r="Q33" i="27"/>
  <c r="B34" i="27"/>
  <c r="C34" i="27"/>
  <c r="F34" i="27"/>
  <c r="G34" i="27"/>
  <c r="H34" i="27"/>
  <c r="K34" i="27"/>
  <c r="L34" i="27"/>
  <c r="Q34" i="27"/>
  <c r="B35" i="27"/>
  <c r="C35" i="27"/>
  <c r="F35" i="27"/>
  <c r="G35" i="27"/>
  <c r="H35" i="27"/>
  <c r="K35" i="27"/>
  <c r="L35" i="27"/>
  <c r="B36" i="27"/>
  <c r="C36" i="27"/>
  <c r="F36" i="27"/>
  <c r="G36" i="27"/>
  <c r="H36" i="27"/>
  <c r="K36" i="27"/>
  <c r="L36" i="27"/>
  <c r="Q36" i="27"/>
  <c r="B37" i="27"/>
  <c r="C37" i="27"/>
  <c r="F37" i="27"/>
  <c r="G37" i="27"/>
  <c r="H37" i="27"/>
  <c r="K37" i="27"/>
  <c r="L37" i="27"/>
  <c r="Q37" i="27"/>
  <c r="B38" i="27"/>
  <c r="C38" i="27"/>
  <c r="F38" i="27"/>
  <c r="G38" i="27"/>
  <c r="H38" i="27"/>
  <c r="K38" i="27"/>
  <c r="L38" i="27"/>
  <c r="B39" i="27"/>
  <c r="C39" i="27"/>
  <c r="F39" i="27"/>
  <c r="G39" i="27"/>
  <c r="H39" i="27"/>
  <c r="K39" i="27"/>
  <c r="L39" i="27"/>
  <c r="Q39" i="27"/>
  <c r="B40" i="27"/>
  <c r="C40" i="27"/>
  <c r="F40" i="27"/>
  <c r="G40" i="27"/>
  <c r="H40" i="27"/>
  <c r="K40" i="27"/>
  <c r="L40" i="27"/>
  <c r="B41" i="27"/>
  <c r="C41" i="27"/>
  <c r="F41" i="27"/>
  <c r="G41" i="27"/>
  <c r="H41" i="27"/>
  <c r="K41" i="27"/>
  <c r="L41" i="27"/>
  <c r="B45" i="27"/>
  <c r="F45" i="27"/>
  <c r="K45" i="27"/>
  <c r="B46" i="27"/>
  <c r="F46" i="27"/>
  <c r="K46" i="27"/>
  <c r="B47" i="27"/>
  <c r="F47" i="27"/>
  <c r="K47" i="27"/>
  <c r="A9" i="26"/>
  <c r="Q9" i="26"/>
  <c r="K20" i="26"/>
  <c r="L20" i="26"/>
  <c r="O20" i="26"/>
  <c r="K21" i="26"/>
  <c r="L21" i="26"/>
  <c r="O21" i="26"/>
  <c r="K22" i="26"/>
  <c r="L22" i="26"/>
  <c r="O22" i="26"/>
  <c r="K23" i="26"/>
  <c r="L23" i="26"/>
  <c r="O23" i="26"/>
  <c r="K24" i="26"/>
  <c r="L24" i="26"/>
  <c r="O24" i="26"/>
  <c r="K25" i="26"/>
  <c r="L25" i="26"/>
  <c r="O25" i="26"/>
  <c r="K26" i="26"/>
  <c r="L26" i="26"/>
  <c r="O26" i="26"/>
  <c r="C30" i="26"/>
  <c r="A43" i="26"/>
  <c r="Q43" i="26"/>
  <c r="K53" i="26"/>
  <c r="L53" i="26"/>
  <c r="K54" i="26"/>
  <c r="L54" i="26"/>
  <c r="K55" i="26"/>
  <c r="L55" i="26"/>
  <c r="K56" i="26"/>
  <c r="L56" i="26"/>
  <c r="K57" i="26"/>
  <c r="L57" i="26"/>
  <c r="K58" i="26"/>
  <c r="L58" i="26"/>
  <c r="K59" i="26"/>
  <c r="L59" i="26"/>
  <c r="K60" i="26"/>
  <c r="L60" i="26"/>
  <c r="K61" i="26"/>
  <c r="L61" i="26"/>
  <c r="K62" i="26"/>
  <c r="L62" i="26"/>
  <c r="K63" i="26"/>
  <c r="L63" i="26"/>
  <c r="K64" i="26"/>
  <c r="L64" i="26"/>
  <c r="K65" i="26"/>
  <c r="L65" i="26"/>
  <c r="K66" i="26"/>
  <c r="L66" i="26"/>
  <c r="K67" i="26"/>
  <c r="L67" i="26"/>
  <c r="K68" i="26"/>
  <c r="L68" i="26"/>
  <c r="K69" i="26"/>
  <c r="L69" i="26"/>
  <c r="K70" i="26"/>
  <c r="L70" i="26"/>
  <c r="K71" i="26"/>
  <c r="L71" i="26"/>
  <c r="K72" i="26"/>
  <c r="L72" i="26"/>
  <c r="K73" i="26"/>
  <c r="L73" i="26"/>
  <c r="K76" i="26"/>
  <c r="L76" i="26"/>
  <c r="M76" i="26" s="1"/>
  <c r="F77" i="26"/>
  <c r="K77" i="26"/>
  <c r="L77" i="26"/>
  <c r="F78" i="26"/>
  <c r="K78" i="26"/>
  <c r="L78" i="26"/>
  <c r="A95" i="26"/>
  <c r="Q95" i="26"/>
  <c r="K105" i="26"/>
  <c r="L105" i="26"/>
  <c r="K106" i="26"/>
  <c r="L106" i="26"/>
  <c r="K107" i="26"/>
  <c r="L107" i="26"/>
  <c r="K108" i="26"/>
  <c r="L108" i="26"/>
  <c r="K109" i="26"/>
  <c r="L109" i="26"/>
  <c r="K110" i="26"/>
  <c r="L110" i="26"/>
  <c r="K111" i="26"/>
  <c r="L111" i="26"/>
  <c r="K112" i="26"/>
  <c r="L112" i="26"/>
  <c r="K113" i="26"/>
  <c r="L113" i="26"/>
  <c r="K114" i="26"/>
  <c r="L114" i="26"/>
  <c r="K116" i="26"/>
  <c r="L116" i="26"/>
  <c r="K117" i="26"/>
  <c r="L117" i="26"/>
  <c r="K118" i="26"/>
  <c r="L118" i="26"/>
  <c r="K119" i="26"/>
  <c r="L119" i="26"/>
  <c r="K120" i="26"/>
  <c r="L120" i="26"/>
  <c r="K121" i="26"/>
  <c r="L121" i="26"/>
  <c r="K122" i="26"/>
  <c r="L122" i="26"/>
  <c r="K123" i="26"/>
  <c r="L123" i="26"/>
  <c r="K124" i="26"/>
  <c r="L124" i="26"/>
  <c r="K125" i="26"/>
  <c r="L125" i="26"/>
  <c r="A142" i="26"/>
  <c r="Q142" i="26"/>
  <c r="F152" i="26"/>
  <c r="K152" i="26"/>
  <c r="L152" i="26"/>
  <c r="F153" i="26"/>
  <c r="K153" i="26"/>
  <c r="L153" i="26"/>
  <c r="F154" i="26"/>
  <c r="K154" i="26"/>
  <c r="L154" i="26"/>
  <c r="F155" i="26"/>
  <c r="K155" i="26"/>
  <c r="L155" i="26"/>
  <c r="F156" i="26"/>
  <c r="K156" i="26"/>
  <c r="L156" i="26"/>
  <c r="M156" i="26" s="1"/>
  <c r="F157" i="26"/>
  <c r="K157" i="26"/>
  <c r="L157" i="26"/>
  <c r="F158" i="26"/>
  <c r="K158" i="26"/>
  <c r="L158" i="26"/>
  <c r="F159" i="26"/>
  <c r="K159" i="26"/>
  <c r="L159" i="26"/>
  <c r="F160" i="26"/>
  <c r="K160" i="26"/>
  <c r="L160" i="26"/>
  <c r="F161" i="26"/>
  <c r="K161" i="26"/>
  <c r="L161" i="26"/>
  <c r="F162" i="26"/>
  <c r="K162" i="26"/>
  <c r="L162" i="26"/>
  <c r="F163" i="26"/>
  <c r="K163" i="26"/>
  <c r="L163" i="26"/>
  <c r="F164" i="26"/>
  <c r="K164" i="26"/>
  <c r="L164" i="26"/>
  <c r="F165" i="26"/>
  <c r="K165" i="26"/>
  <c r="L165" i="26"/>
  <c r="F166" i="26"/>
  <c r="K166" i="26"/>
  <c r="L166" i="26"/>
  <c r="F167" i="26"/>
  <c r="K167" i="26"/>
  <c r="L167" i="26"/>
  <c r="F168" i="26"/>
  <c r="K168" i="26"/>
  <c r="L168" i="26"/>
  <c r="F169" i="26"/>
  <c r="K169" i="26"/>
  <c r="L169" i="26"/>
  <c r="F170" i="26"/>
  <c r="K170" i="26"/>
  <c r="L170" i="26"/>
  <c r="F171" i="26"/>
  <c r="K171" i="26"/>
  <c r="L171" i="26"/>
  <c r="F172" i="26"/>
  <c r="K172" i="26"/>
  <c r="L172" i="26"/>
  <c r="F173" i="26"/>
  <c r="K173" i="26"/>
  <c r="L173" i="26"/>
  <c r="F174" i="26"/>
  <c r="K174" i="26"/>
  <c r="L174" i="26"/>
  <c r="F175" i="26"/>
  <c r="K175" i="26"/>
  <c r="L175" i="26"/>
  <c r="C178" i="26"/>
  <c r="C179" i="26"/>
  <c r="A192" i="26"/>
  <c r="Q192" i="26"/>
  <c r="K202" i="26"/>
  <c r="L202" i="26"/>
  <c r="K203" i="26"/>
  <c r="L203" i="26"/>
  <c r="K204" i="26"/>
  <c r="L204" i="26"/>
  <c r="K205" i="26"/>
  <c r="L205" i="26"/>
  <c r="K206" i="26"/>
  <c r="L206" i="26"/>
  <c r="K207" i="26"/>
  <c r="L207" i="26"/>
  <c r="K208" i="26"/>
  <c r="L208" i="26"/>
  <c r="K209" i="26"/>
  <c r="L209" i="26"/>
  <c r="K210" i="26"/>
  <c r="L210" i="26"/>
  <c r="K211" i="26"/>
  <c r="L211" i="26"/>
  <c r="K212" i="26"/>
  <c r="L212" i="26"/>
  <c r="K213" i="26"/>
  <c r="L213" i="26"/>
  <c r="K214" i="26"/>
  <c r="L214" i="26"/>
  <c r="K215" i="26"/>
  <c r="L215" i="26"/>
  <c r="K216" i="26"/>
  <c r="L216" i="26"/>
  <c r="K217" i="26"/>
  <c r="L217" i="26"/>
  <c r="K218" i="26"/>
  <c r="L218" i="26"/>
  <c r="K219" i="26"/>
  <c r="L219" i="26"/>
  <c r="K221" i="26"/>
  <c r="L221" i="26"/>
  <c r="K222" i="26"/>
  <c r="L222" i="26"/>
  <c r="K223" i="26"/>
  <c r="L223" i="26"/>
  <c r="K224" i="26"/>
  <c r="L224" i="26"/>
  <c r="K225" i="26"/>
  <c r="L225" i="26"/>
  <c r="K226" i="26"/>
  <c r="L226" i="26"/>
  <c r="K227" i="26"/>
  <c r="L227" i="26"/>
  <c r="K228" i="26"/>
  <c r="L228" i="26"/>
  <c r="K229" i="26"/>
  <c r="L229" i="26"/>
  <c r="K230" i="26"/>
  <c r="L230" i="26"/>
  <c r="K231" i="26"/>
  <c r="L231" i="26"/>
  <c r="K232" i="26"/>
  <c r="L232" i="26"/>
  <c r="K233" i="26"/>
  <c r="L233" i="26"/>
  <c r="K234" i="26"/>
  <c r="L234" i="26"/>
  <c r="K235" i="26"/>
  <c r="L235" i="26"/>
  <c r="K236" i="26"/>
  <c r="L236" i="26"/>
  <c r="K237" i="26"/>
  <c r="L237" i="26"/>
  <c r="K238" i="26"/>
  <c r="L238" i="26"/>
  <c r="A9" i="25"/>
  <c r="R9" i="25"/>
  <c r="AA85" i="25"/>
  <c r="F52" i="25"/>
  <c r="H52" i="25"/>
  <c r="C55" i="25"/>
  <c r="C56" i="25"/>
  <c r="T65" i="25"/>
  <c r="Y78" i="25"/>
  <c r="AA78" i="25"/>
  <c r="AW78" i="25"/>
  <c r="Y79" i="25"/>
  <c r="AA79" i="25"/>
  <c r="Y80" i="25"/>
  <c r="AA80" i="25"/>
  <c r="Y81" i="25"/>
  <c r="AA81" i="25"/>
  <c r="Y89" i="25"/>
  <c r="AA89" i="25"/>
  <c r="AE94" i="25"/>
  <c r="Y98" i="25"/>
  <c r="AA98" i="25"/>
  <c r="Y99" i="25"/>
  <c r="AA99" i="25"/>
  <c r="Y100" i="25"/>
  <c r="AA100" i="25"/>
  <c r="V111" i="25"/>
  <c r="V112" i="25"/>
  <c r="A9" i="24"/>
  <c r="R9" i="24"/>
  <c r="AA107" i="24"/>
  <c r="AA109" i="24"/>
  <c r="AA114" i="24"/>
  <c r="AA116" i="24"/>
  <c r="AA120" i="24"/>
  <c r="AA124" i="24"/>
  <c r="AA126" i="24"/>
  <c r="AW53" i="24"/>
  <c r="AX53" i="24" s="1"/>
  <c r="AA128" i="24"/>
  <c r="AX57" i="24"/>
  <c r="AY57" i="24"/>
  <c r="AA134" i="24"/>
  <c r="C75" i="24"/>
  <c r="C76" i="24"/>
  <c r="T82" i="24"/>
  <c r="Y95" i="24"/>
  <c r="AA95" i="24"/>
  <c r="Y96" i="24"/>
  <c r="AA96" i="24"/>
  <c r="Y97" i="24"/>
  <c r="AA97" i="24"/>
  <c r="Y100" i="24"/>
  <c r="AA100" i="24"/>
  <c r="Y101" i="24"/>
  <c r="AA101" i="24"/>
  <c r="Y102" i="24"/>
  <c r="AA102" i="24"/>
  <c r="Y105" i="24"/>
  <c r="AA105" i="24"/>
  <c r="AW105" i="24"/>
  <c r="Y106" i="24"/>
  <c r="AA106" i="24"/>
  <c r="Y107" i="24"/>
  <c r="Y108" i="24"/>
  <c r="AA108" i="24"/>
  <c r="Y109" i="24"/>
  <c r="Y113" i="24"/>
  <c r="AA113" i="24"/>
  <c r="Y114" i="24"/>
  <c r="Y115" i="24"/>
  <c r="AA115" i="24"/>
  <c r="Y116" i="24"/>
  <c r="Y119" i="24"/>
  <c r="AA119" i="24"/>
  <c r="Y120" i="24"/>
  <c r="Y121" i="24"/>
  <c r="AA121" i="24"/>
  <c r="Y124" i="24"/>
  <c r="Y125" i="24"/>
  <c r="AA125" i="24"/>
  <c r="Y126" i="24"/>
  <c r="Y127" i="24"/>
  <c r="AA127" i="24"/>
  <c r="Y128" i="24"/>
  <c r="Y129" i="24"/>
  <c r="AA129" i="24"/>
  <c r="Y130" i="24"/>
  <c r="AA130" i="24"/>
  <c r="Y133" i="24"/>
  <c r="AA133" i="24"/>
  <c r="Y134" i="24"/>
  <c r="Y137" i="24"/>
  <c r="AA137" i="24"/>
  <c r="AE137" i="24" s="1"/>
  <c r="V148" i="24"/>
  <c r="V149" i="24"/>
  <c r="A9" i="22"/>
  <c r="R9" i="22"/>
  <c r="H31" i="22"/>
  <c r="F37" i="22"/>
  <c r="H37" i="22"/>
  <c r="C48" i="22"/>
  <c r="C49" i="22"/>
  <c r="T59" i="22"/>
  <c r="Y72" i="22"/>
  <c r="AA72" i="22"/>
  <c r="Y73" i="22"/>
  <c r="AA73" i="22"/>
  <c r="Y76" i="22"/>
  <c r="AA76" i="22"/>
  <c r="Y78" i="22"/>
  <c r="AA78" i="22"/>
  <c r="Y79" i="22"/>
  <c r="AA79" i="22"/>
  <c r="Y80" i="22"/>
  <c r="AA80" i="22"/>
  <c r="Y85" i="22"/>
  <c r="AA85" i="22"/>
  <c r="Y86" i="22"/>
  <c r="AA86" i="22"/>
  <c r="V98" i="22"/>
  <c r="V99" i="22"/>
  <c r="A9" i="20"/>
  <c r="R9" i="20"/>
  <c r="C37" i="20"/>
  <c r="C38" i="20"/>
  <c r="T47" i="20"/>
  <c r="AE62" i="20"/>
  <c r="AE65" i="20" s="1"/>
  <c r="Y72" i="20"/>
  <c r="F48" i="5" s="1"/>
  <c r="V75" i="20"/>
  <c r="V76" i="20"/>
  <c r="A9" i="19"/>
  <c r="R9" i="19"/>
  <c r="A78" i="19"/>
  <c r="R78" i="19"/>
  <c r="F139" i="19"/>
  <c r="F138" i="19"/>
  <c r="T163" i="19"/>
  <c r="Y176" i="19"/>
  <c r="AA176" i="19"/>
  <c r="AW176" i="19"/>
  <c r="Y175" i="19"/>
  <c r="AA175" i="19"/>
  <c r="AW175" i="19"/>
  <c r="Y177" i="19"/>
  <c r="AA177" i="19"/>
  <c r="Y178" i="19"/>
  <c r="AE178" i="19" s="1"/>
  <c r="AA178" i="19"/>
  <c r="Y185" i="19"/>
  <c r="AA185" i="19"/>
  <c r="Y184" i="19"/>
  <c r="AA184" i="19"/>
  <c r="Y186" i="19"/>
  <c r="AA186" i="19"/>
  <c r="Y187" i="19"/>
  <c r="AA187" i="19"/>
  <c r="Y188" i="19"/>
  <c r="AA188" i="19"/>
  <c r="Y189" i="19"/>
  <c r="AA189" i="19"/>
  <c r="Y191" i="19"/>
  <c r="AA191" i="19"/>
  <c r="Y192" i="19"/>
  <c r="AA192" i="19"/>
  <c r="Y193" i="19"/>
  <c r="AA193" i="19"/>
  <c r="Y194" i="19"/>
  <c r="AA194" i="19"/>
  <c r="T232" i="19"/>
  <c r="AO232" i="19"/>
  <c r="Y200" i="19"/>
  <c r="AA200" i="19"/>
  <c r="Y202" i="19"/>
  <c r="AA202" i="19"/>
  <c r="Y203" i="19"/>
  <c r="AA203" i="19"/>
  <c r="Y205" i="19"/>
  <c r="AA205" i="19"/>
  <c r="Y206" i="19"/>
  <c r="AA206" i="19"/>
  <c r="Y207" i="19"/>
  <c r="AA207" i="19"/>
  <c r="Y211" i="19"/>
  <c r="AA211" i="19"/>
  <c r="Y212" i="19"/>
  <c r="AA212" i="19"/>
  <c r="Y213" i="19"/>
  <c r="AA213" i="19"/>
  <c r="Y215" i="19"/>
  <c r="AA215" i="19"/>
  <c r="Y244" i="19"/>
  <c r="AA244" i="19"/>
  <c r="Y245" i="19"/>
  <c r="AA245" i="19"/>
  <c r="Y246" i="19"/>
  <c r="AA246" i="19"/>
  <c r="Y248" i="19"/>
  <c r="AA248" i="19"/>
  <c r="Y251" i="19"/>
  <c r="AA251" i="19"/>
  <c r="Y256" i="19"/>
  <c r="AA256" i="19"/>
  <c r="Y259" i="19"/>
  <c r="AA259" i="19"/>
  <c r="Y290" i="19"/>
  <c r="AE290" i="19" s="1"/>
  <c r="Y291" i="19"/>
  <c r="AE291" i="19" s="1"/>
  <c r="A9" i="14"/>
  <c r="R9" i="14"/>
  <c r="C59" i="14"/>
  <c r="C60" i="14"/>
  <c r="T73" i="14"/>
  <c r="AC99" i="14"/>
  <c r="V123" i="14"/>
  <c r="V124" i="14"/>
  <c r="A9" i="13"/>
  <c r="C49" i="13"/>
  <c r="C50" i="13"/>
  <c r="T61" i="13"/>
  <c r="V101" i="13"/>
  <c r="V102" i="13"/>
  <c r="A9" i="12"/>
  <c r="R23" i="12"/>
  <c r="L25" i="12"/>
  <c r="F38" i="12"/>
  <c r="F57" i="12"/>
  <c r="C60" i="12"/>
  <c r="C61" i="12"/>
  <c r="T73" i="12"/>
  <c r="Y86" i="12"/>
  <c r="AE86" i="12"/>
  <c r="Y88" i="12"/>
  <c r="AE106" i="12"/>
  <c r="V123" i="12"/>
  <c r="V124" i="12"/>
  <c r="A9" i="11"/>
  <c r="L26" i="11"/>
  <c r="R26" i="11" s="1"/>
  <c r="C46" i="11"/>
  <c r="C47" i="11"/>
  <c r="T57" i="11"/>
  <c r="Y74" i="11"/>
  <c r="AE74" i="11" s="1"/>
  <c r="AE78" i="11"/>
  <c r="V94" i="11"/>
  <c r="V95" i="11"/>
  <c r="A9" i="10"/>
  <c r="L23" i="10"/>
  <c r="H38" i="10"/>
  <c r="J40" i="10"/>
  <c r="L40" i="10" s="1"/>
  <c r="J41" i="10"/>
  <c r="T79" i="10"/>
  <c r="Y93" i="10"/>
  <c r="AE93" i="10" s="1"/>
  <c r="Y110" i="10"/>
  <c r="AC110" i="10"/>
  <c r="AC111" i="10"/>
  <c r="A9" i="9"/>
  <c r="H39" i="9"/>
  <c r="J41" i="9"/>
  <c r="T81" i="9"/>
  <c r="AC113" i="9"/>
  <c r="AC121" i="9"/>
  <c r="AC122" i="9"/>
  <c r="AC126" i="9"/>
  <c r="AC122" i="10" s="1"/>
  <c r="A9" i="8"/>
  <c r="T65" i="8"/>
  <c r="A9" i="7"/>
  <c r="T50" i="7"/>
  <c r="A9" i="6"/>
  <c r="F48" i="6"/>
  <c r="H48" i="6"/>
  <c r="F51" i="6"/>
  <c r="F57" i="6"/>
  <c r="H57" i="6"/>
  <c r="F58" i="6"/>
  <c r="H58" i="6"/>
  <c r="J58" i="6" s="1"/>
  <c r="R58" i="6"/>
  <c r="G62" i="3" s="1"/>
  <c r="F59" i="6"/>
  <c r="H59" i="6"/>
  <c r="J59" i="6" s="1"/>
  <c r="R59" i="6"/>
  <c r="G63" i="3" s="1"/>
  <c r="F60" i="6"/>
  <c r="H60" i="6"/>
  <c r="J60" i="6" s="1"/>
  <c r="F62" i="6"/>
  <c r="H62" i="6"/>
  <c r="J62" i="6" s="1"/>
  <c r="F64" i="6"/>
  <c r="H64" i="6"/>
  <c r="J64" i="6" s="1"/>
  <c r="A9" i="5"/>
  <c r="V57" i="5"/>
  <c r="V58" i="5"/>
  <c r="E62" i="3" s="1"/>
  <c r="R59" i="5"/>
  <c r="R43" i="4"/>
  <c r="V60" i="5"/>
  <c r="R44" i="4" s="1"/>
  <c r="V62" i="5"/>
  <c r="E66" i="3" s="1"/>
  <c r="A9" i="4"/>
  <c r="F41" i="4"/>
  <c r="H41" i="4"/>
  <c r="F42" i="4"/>
  <c r="H42" i="4"/>
  <c r="L42" i="4" s="1"/>
  <c r="J42" i="4"/>
  <c r="P42" i="4"/>
  <c r="F43" i="4"/>
  <c r="H43" i="4"/>
  <c r="L43" i="4" s="1"/>
  <c r="J43" i="4"/>
  <c r="P43" i="4"/>
  <c r="F44" i="4"/>
  <c r="H44" i="4"/>
  <c r="L44" i="4" s="1"/>
  <c r="J44" i="4"/>
  <c r="P44" i="4"/>
  <c r="F46" i="4"/>
  <c r="H46" i="4"/>
  <c r="L46" i="4" s="1"/>
  <c r="J46" i="4"/>
  <c r="P46" i="4"/>
  <c r="F48" i="4"/>
  <c r="H48" i="4"/>
  <c r="L48" i="4" s="1"/>
  <c r="P48" i="4"/>
  <c r="A10" i="3"/>
  <c r="M175" i="26" l="1"/>
  <c r="P175" i="26" s="1"/>
  <c r="M167" i="26"/>
  <c r="M159" i="26"/>
  <c r="P159" i="26" s="1"/>
  <c r="AA265" i="19"/>
  <c r="Y265" i="19"/>
  <c r="AA196" i="19"/>
  <c r="Y196" i="19"/>
  <c r="M173" i="26"/>
  <c r="P173" i="26" s="1"/>
  <c r="M165" i="26"/>
  <c r="P165" i="26" s="1"/>
  <c r="M157" i="26"/>
  <c r="P157" i="26" s="1"/>
  <c r="M170" i="26"/>
  <c r="P170" i="26" s="1"/>
  <c r="M162" i="26"/>
  <c r="P162" i="26" s="1"/>
  <c r="M154" i="26"/>
  <c r="P154" i="26" s="1"/>
  <c r="M174" i="26"/>
  <c r="P174" i="26" s="1"/>
  <c r="M166" i="26"/>
  <c r="P166" i="26" s="1"/>
  <c r="M158" i="26"/>
  <c r="P158" i="26" s="1"/>
  <c r="M168" i="26"/>
  <c r="P168" i="26" s="1"/>
  <c r="M160" i="26"/>
  <c r="P160" i="26" s="1"/>
  <c r="M152" i="26"/>
  <c r="P152" i="26" s="1"/>
  <c r="M172" i="26"/>
  <c r="P172" i="26" s="1"/>
  <c r="M164" i="26"/>
  <c r="P164" i="26" s="1"/>
  <c r="M169" i="26"/>
  <c r="P169" i="26" s="1"/>
  <c r="M161" i="26"/>
  <c r="P161" i="26" s="1"/>
  <c r="M153" i="26"/>
  <c r="P153" i="26" s="1"/>
  <c r="M171" i="26"/>
  <c r="P171" i="26" s="1"/>
  <c r="M163" i="26"/>
  <c r="P163" i="26" s="1"/>
  <c r="M155" i="26"/>
  <c r="P155" i="26" s="1"/>
  <c r="M77" i="26"/>
  <c r="P77" i="26" s="1"/>
  <c r="M78" i="26"/>
  <c r="P78" i="26" s="1"/>
  <c r="M25" i="26"/>
  <c r="P25" i="26" s="1"/>
  <c r="M24" i="26"/>
  <c r="P24" i="26" s="1"/>
  <c r="M22" i="26"/>
  <c r="P22" i="26" s="1"/>
  <c r="M26" i="26"/>
  <c r="P26" i="26" s="1"/>
  <c r="M21" i="26"/>
  <c r="P21" i="26" s="1"/>
  <c r="M23" i="26"/>
  <c r="P23" i="26" s="1"/>
  <c r="M20" i="26"/>
  <c r="P20" i="26" s="1"/>
  <c r="J53" i="40"/>
  <c r="F52" i="6"/>
  <c r="R46" i="4"/>
  <c r="F47" i="6"/>
  <c r="Y101" i="12"/>
  <c r="F30" i="5" s="1"/>
  <c r="Y120" i="12"/>
  <c r="F31" i="5" s="1"/>
  <c r="P167" i="26"/>
  <c r="P156" i="26"/>
  <c r="P76" i="26"/>
  <c r="Y81" i="22"/>
  <c r="H52" i="6"/>
  <c r="P52" i="25"/>
  <c r="P22" i="25" s="1"/>
  <c r="F38" i="22"/>
  <c r="AY53" i="24"/>
  <c r="P111" i="19"/>
  <c r="L132" i="19"/>
  <c r="R42" i="4"/>
  <c r="X58" i="5"/>
  <c r="F35" i="4"/>
  <c r="F45" i="22"/>
  <c r="H45" i="22"/>
  <c r="H38" i="22"/>
  <c r="F31" i="6"/>
  <c r="E64" i="3"/>
  <c r="E63" i="3"/>
  <c r="I63" i="3" s="1"/>
  <c r="K63" i="3" s="1"/>
  <c r="P41" i="4"/>
  <c r="F30" i="6"/>
  <c r="AI86" i="12"/>
  <c r="AE88" i="12"/>
  <c r="AO88" i="12" s="1"/>
  <c r="Y92" i="12"/>
  <c r="Y111" i="12"/>
  <c r="AA101" i="25"/>
  <c r="Y101" i="25"/>
  <c r="Y108" i="25" s="1"/>
  <c r="Y138" i="24"/>
  <c r="Y145" i="24" s="1"/>
  <c r="AA138" i="24"/>
  <c r="H65" i="24"/>
  <c r="R25" i="12"/>
  <c r="AO78" i="11"/>
  <c r="AQ78" i="11" s="1"/>
  <c r="AI74" i="11"/>
  <c r="AO74" i="11"/>
  <c r="AQ74" i="11" s="1"/>
  <c r="L62" i="6"/>
  <c r="E56" i="3"/>
  <c r="P57" i="6"/>
  <c r="I26" i="27"/>
  <c r="F58" i="26" s="1"/>
  <c r="M58" i="26" s="1"/>
  <c r="I27" i="27"/>
  <c r="F59" i="26" s="1"/>
  <c r="M59" i="26" s="1"/>
  <c r="I25" i="27"/>
  <c r="F57" i="26" s="1"/>
  <c r="M57" i="26" s="1"/>
  <c r="AA87" i="22"/>
  <c r="AA81" i="22"/>
  <c r="H139" i="19"/>
  <c r="AO86" i="12"/>
  <c r="R40" i="10"/>
  <c r="AE110" i="10"/>
  <c r="R23" i="10"/>
  <c r="I28" i="27"/>
  <c r="F60" i="26" s="1"/>
  <c r="M60" i="26" s="1"/>
  <c r="P34" i="20"/>
  <c r="P48" i="6" s="1"/>
  <c r="D53" i="40" s="1"/>
  <c r="AO290" i="19"/>
  <c r="AO106" i="12"/>
  <c r="I31" i="27"/>
  <c r="F63" i="26" s="1"/>
  <c r="I30" i="27"/>
  <c r="F62" i="26" s="1"/>
  <c r="M62" i="26" s="1"/>
  <c r="I29" i="27"/>
  <c r="F61" i="26" s="1"/>
  <c r="M61" i="26" s="1"/>
  <c r="I47" i="27"/>
  <c r="I46" i="27"/>
  <c r="I45" i="27"/>
  <c r="I23" i="27"/>
  <c r="F55" i="26" s="1"/>
  <c r="I22" i="27"/>
  <c r="F54" i="26" s="1"/>
  <c r="M54" i="26" s="1"/>
  <c r="I21" i="27"/>
  <c r="F53" i="26" s="1"/>
  <c r="I32" i="27"/>
  <c r="F64" i="26" s="1"/>
  <c r="M64" i="26" s="1"/>
  <c r="I24" i="27"/>
  <c r="F56" i="26" s="1"/>
  <c r="M56" i="26" s="1"/>
  <c r="F11" i="27"/>
  <c r="F13" i="27"/>
  <c r="F9" i="27"/>
  <c r="F10" i="27"/>
  <c r="F12" i="27"/>
  <c r="AE176" i="19"/>
  <c r="AE189" i="19"/>
  <c r="I62" i="3"/>
  <c r="K62" i="3" s="1"/>
  <c r="AE259" i="19"/>
  <c r="AE248" i="19"/>
  <c r="AE246" i="19"/>
  <c r="AE215" i="19"/>
  <c r="AE212" i="19"/>
  <c r="AE206" i="19"/>
  <c r="AE203" i="19"/>
  <c r="AE200" i="19"/>
  <c r="AE193" i="19"/>
  <c r="AE191" i="19"/>
  <c r="AE184" i="19"/>
  <c r="AE182" i="19"/>
  <c r="AE180" i="19"/>
  <c r="AE79" i="22"/>
  <c r="AE76" i="22"/>
  <c r="AE72" i="22"/>
  <c r="AE129" i="24"/>
  <c r="AE125" i="24"/>
  <c r="AE121" i="24"/>
  <c r="AE119" i="24"/>
  <c r="AE115" i="24"/>
  <c r="AE113" i="24"/>
  <c r="AE108" i="24"/>
  <c r="AE106" i="24"/>
  <c r="I41" i="27"/>
  <c r="F73" i="26" s="1"/>
  <c r="M73" i="26" s="1"/>
  <c r="I40" i="27"/>
  <c r="F72" i="26" s="1"/>
  <c r="I39" i="27"/>
  <c r="F71" i="26" s="1"/>
  <c r="M71" i="26" s="1"/>
  <c r="I38" i="27"/>
  <c r="F70" i="26" s="1"/>
  <c r="M70" i="26" s="1"/>
  <c r="I37" i="27"/>
  <c r="F69" i="26" s="1"/>
  <c r="M69" i="26" s="1"/>
  <c r="I36" i="27"/>
  <c r="F68" i="26" s="1"/>
  <c r="M68" i="26" s="1"/>
  <c r="I35" i="27"/>
  <c r="F67" i="26" s="1"/>
  <c r="M67" i="26" s="1"/>
  <c r="I34" i="27"/>
  <c r="F66" i="26" s="1"/>
  <c r="M66" i="26" s="1"/>
  <c r="I33" i="27"/>
  <c r="F65" i="26" s="1"/>
  <c r="M65" i="26" s="1"/>
  <c r="AE187" i="19"/>
  <c r="AE86" i="22"/>
  <c r="AE133" i="24"/>
  <c r="AE127" i="24"/>
  <c r="AE101" i="24"/>
  <c r="AE97" i="24"/>
  <c r="AE95" i="24"/>
  <c r="AE100" i="25"/>
  <c r="AK100" i="25" s="1"/>
  <c r="AE98" i="25"/>
  <c r="AE95" i="25"/>
  <c r="AE91" i="25"/>
  <c r="AI93" i="10"/>
  <c r="AO93" i="10"/>
  <c r="AK93" i="10"/>
  <c r="AE264" i="19"/>
  <c r="AE256" i="19"/>
  <c r="AE258" i="19"/>
  <c r="AE251" i="19"/>
  <c r="AE245" i="19"/>
  <c r="AO291" i="19"/>
  <c r="AE292" i="19"/>
  <c r="AE213" i="19"/>
  <c r="AE211" i="19"/>
  <c r="AE207" i="19"/>
  <c r="AE205" i="19"/>
  <c r="AE202" i="19"/>
  <c r="AE194" i="19"/>
  <c r="AE192" i="19"/>
  <c r="AE188" i="19"/>
  <c r="AE185" i="19"/>
  <c r="AE181" i="19"/>
  <c r="AE175" i="19"/>
  <c r="AE186" i="19"/>
  <c r="AE177" i="19"/>
  <c r="X59" i="5"/>
  <c r="AK78" i="11"/>
  <c r="AK74" i="11"/>
  <c r="Y292" i="19"/>
  <c r="AE244" i="19"/>
  <c r="AE80" i="22"/>
  <c r="AE78" i="22"/>
  <c r="AE73" i="22"/>
  <c r="AE134" i="24"/>
  <c r="AE128" i="24"/>
  <c r="AE124" i="24"/>
  <c r="AE120" i="24"/>
  <c r="AE116" i="24"/>
  <c r="AE114" i="24"/>
  <c r="AE109" i="24"/>
  <c r="AE107" i="24"/>
  <c r="AE85" i="22"/>
  <c r="AE130" i="24"/>
  <c r="AE126" i="24"/>
  <c r="AE102" i="24"/>
  <c r="AE100" i="24"/>
  <c r="AE96" i="24"/>
  <c r="AE99" i="25"/>
  <c r="AE93" i="25"/>
  <c r="AE92" i="25"/>
  <c r="AE90" i="25"/>
  <c r="AK94" i="25"/>
  <c r="AE105" i="24"/>
  <c r="Y87" i="22"/>
  <c r="Y88" i="22" s="1"/>
  <c r="Y95" i="22" s="1"/>
  <c r="AE80" i="25"/>
  <c r="AE79" i="25"/>
  <c r="AE78" i="25"/>
  <c r="AE89" i="25"/>
  <c r="AE81" i="25"/>
  <c r="AE265" i="19" l="1"/>
  <c r="AE196" i="19"/>
  <c r="Y293" i="19"/>
  <c r="F47" i="5" s="1"/>
  <c r="M63" i="26"/>
  <c r="P63" i="26" s="1"/>
  <c r="M53" i="26"/>
  <c r="P53" i="26" s="1"/>
  <c r="M72" i="26"/>
  <c r="P72" i="26" s="1"/>
  <c r="M55" i="26"/>
  <c r="P55" i="26" s="1"/>
  <c r="F50" i="6"/>
  <c r="H47" i="6"/>
  <c r="F26" i="4"/>
  <c r="H50" i="6"/>
  <c r="F27" i="4"/>
  <c r="P59" i="26"/>
  <c r="P60" i="26"/>
  <c r="P61" i="26"/>
  <c r="P73" i="26"/>
  <c r="P64" i="26"/>
  <c r="P58" i="26"/>
  <c r="P56" i="26"/>
  <c r="P62" i="26"/>
  <c r="P54" i="26"/>
  <c r="P67" i="26"/>
  <c r="P68" i="26"/>
  <c r="P57" i="26"/>
  <c r="P71" i="26"/>
  <c r="P69" i="26"/>
  <c r="P66" i="26"/>
  <c r="P70" i="26"/>
  <c r="P65" i="26"/>
  <c r="P45" i="22"/>
  <c r="P50" i="6" s="1"/>
  <c r="D55" i="40" s="1"/>
  <c r="L42" i="22"/>
  <c r="R42" i="22" s="1"/>
  <c r="L69" i="24"/>
  <c r="AE105" i="25"/>
  <c r="P38" i="25"/>
  <c r="V64" i="5"/>
  <c r="J48" i="4"/>
  <c r="L64" i="6"/>
  <c r="AE142" i="24"/>
  <c r="AE69" i="20"/>
  <c r="AE286" i="19"/>
  <c r="AI286" i="19" s="1"/>
  <c r="AA293" i="19"/>
  <c r="AI88" i="12"/>
  <c r="AK88" i="12" s="1"/>
  <c r="P44" i="25"/>
  <c r="AK110" i="10"/>
  <c r="AO110" i="10"/>
  <c r="AI110" i="10"/>
  <c r="P30" i="25"/>
  <c r="J57" i="5"/>
  <c r="J41" i="4"/>
  <c r="L41" i="4" s="1"/>
  <c r="AA88" i="22"/>
  <c r="AQ86" i="12"/>
  <c r="AA108" i="25"/>
  <c r="AM108" i="25" s="1"/>
  <c r="AM78" i="25" s="1"/>
  <c r="AE101" i="25"/>
  <c r="F52" i="5"/>
  <c r="F39" i="4"/>
  <c r="F51" i="5"/>
  <c r="F38" i="4"/>
  <c r="AE138" i="24"/>
  <c r="AA145" i="24"/>
  <c r="R132" i="19"/>
  <c r="AA72" i="20"/>
  <c r="H72" i="24"/>
  <c r="P39" i="25"/>
  <c r="R41" i="4"/>
  <c r="P25" i="25"/>
  <c r="P35" i="25"/>
  <c r="P42" i="25"/>
  <c r="P62" i="5"/>
  <c r="R62" i="6"/>
  <c r="G66" i="3" s="1"/>
  <c r="I66" i="3" s="1"/>
  <c r="K66" i="3" s="1"/>
  <c r="P60" i="5"/>
  <c r="R60" i="6"/>
  <c r="P24" i="25"/>
  <c r="P34" i="25"/>
  <c r="P37" i="25"/>
  <c r="P28" i="25"/>
  <c r="P52" i="6"/>
  <c r="D57" i="40" s="1"/>
  <c r="P33" i="25"/>
  <c r="P36" i="25"/>
  <c r="P43" i="25"/>
  <c r="P29" i="25"/>
  <c r="P23" i="25"/>
  <c r="P139" i="19"/>
  <c r="P21" i="19" s="1"/>
  <c r="F44" i="6"/>
  <c r="P24" i="20"/>
  <c r="P27" i="20" s="1"/>
  <c r="AE81" i="22"/>
  <c r="F50" i="5"/>
  <c r="F37" i="4"/>
  <c r="AE87" i="22"/>
  <c r="AO292" i="19"/>
  <c r="P103" i="19" l="1"/>
  <c r="J55" i="40"/>
  <c r="J52" i="40"/>
  <c r="P36" i="22"/>
  <c r="P23" i="22"/>
  <c r="P29" i="22"/>
  <c r="P35" i="22"/>
  <c r="P26" i="22"/>
  <c r="P22" i="22"/>
  <c r="P28" i="22"/>
  <c r="P31" i="22"/>
  <c r="P37" i="22"/>
  <c r="H47" i="5"/>
  <c r="AE92" i="22"/>
  <c r="AI92" i="22" s="1"/>
  <c r="AK92" i="22" s="1"/>
  <c r="AM100" i="25"/>
  <c r="AO100" i="25" s="1"/>
  <c r="AQ100" i="25" s="1"/>
  <c r="AO78" i="25"/>
  <c r="R64" i="6"/>
  <c r="G67" i="3" s="1"/>
  <c r="P64" i="5"/>
  <c r="R48" i="4"/>
  <c r="E67" i="3"/>
  <c r="E68" i="3" s="1"/>
  <c r="F34" i="4"/>
  <c r="H34" i="4"/>
  <c r="C20" i="40" s="1"/>
  <c r="AQ88" i="12"/>
  <c r="AM85" i="25"/>
  <c r="AO85" i="25" s="1"/>
  <c r="AQ85" i="25" s="1"/>
  <c r="T52" i="5"/>
  <c r="AM92" i="25"/>
  <c r="AO92" i="25" s="1"/>
  <c r="AA95" i="22"/>
  <c r="AM95" i="22" s="1"/>
  <c r="AM84" i="25"/>
  <c r="AO84" i="25" s="1"/>
  <c r="AM86" i="25"/>
  <c r="AO86" i="25" s="1"/>
  <c r="AM94" i="25"/>
  <c r="AO94" i="25" s="1"/>
  <c r="AQ94" i="25" s="1"/>
  <c r="H39" i="4"/>
  <c r="C25" i="40" s="1"/>
  <c r="H52" i="5"/>
  <c r="P39" i="4"/>
  <c r="D25" i="40" s="1"/>
  <c r="AM95" i="25"/>
  <c r="AO95" i="25" s="1"/>
  <c r="AM81" i="25"/>
  <c r="AO81" i="25" s="1"/>
  <c r="AM99" i="25"/>
  <c r="AO99" i="25" s="1"/>
  <c r="AM80" i="25"/>
  <c r="AO80" i="25" s="1"/>
  <c r="AM90" i="25"/>
  <c r="AO90" i="25" s="1"/>
  <c r="AM79" i="25"/>
  <c r="AO79" i="25" s="1"/>
  <c r="AM98" i="25"/>
  <c r="AO98" i="25" s="1"/>
  <c r="AM89" i="25"/>
  <c r="AO89" i="25" s="1"/>
  <c r="AM93" i="25"/>
  <c r="AO93" i="25" s="1"/>
  <c r="AM91" i="25"/>
  <c r="AO91" i="25" s="1"/>
  <c r="AO105" i="25"/>
  <c r="J25" i="40" s="1"/>
  <c r="AI105" i="25"/>
  <c r="AO142" i="24"/>
  <c r="J24" i="40" s="1"/>
  <c r="AE88" i="22"/>
  <c r="R69" i="24"/>
  <c r="AI142" i="24"/>
  <c r="P60" i="19"/>
  <c r="P99" i="19"/>
  <c r="AO286" i="19"/>
  <c r="J20" i="40" s="1"/>
  <c r="AK286" i="19"/>
  <c r="H48" i="5"/>
  <c r="AM72" i="20"/>
  <c r="H35" i="4"/>
  <c r="C21" i="40" s="1"/>
  <c r="AO69" i="20"/>
  <c r="J21" i="40" s="1"/>
  <c r="AI69" i="20"/>
  <c r="P45" i="25"/>
  <c r="H51" i="6"/>
  <c r="P72" i="24"/>
  <c r="J40" i="6"/>
  <c r="G64" i="3"/>
  <c r="R60" i="5"/>
  <c r="X60" i="5"/>
  <c r="R62" i="5"/>
  <c r="X62" i="5"/>
  <c r="P106" i="19"/>
  <c r="P107" i="19"/>
  <c r="P98" i="19"/>
  <c r="P93" i="19"/>
  <c r="P96" i="19"/>
  <c r="P109" i="19"/>
  <c r="P56" i="19"/>
  <c r="P47" i="19"/>
  <c r="P108" i="19"/>
  <c r="P104" i="19"/>
  <c r="P105" i="19"/>
  <c r="P92" i="19"/>
  <c r="P90" i="19"/>
  <c r="P57" i="19"/>
  <c r="P51" i="19"/>
  <c r="P48" i="19"/>
  <c r="P40" i="19"/>
  <c r="P28" i="19"/>
  <c r="P23" i="19"/>
  <c r="P22" i="19"/>
  <c r="P110" i="19"/>
  <c r="P102" i="19"/>
  <c r="P97" i="19"/>
  <c r="P61" i="19"/>
  <c r="P58" i="19"/>
  <c r="P52" i="19"/>
  <c r="P46" i="19"/>
  <c r="P37" i="19"/>
  <c r="P34" i="19"/>
  <c r="P27" i="19"/>
  <c r="P24" i="19"/>
  <c r="P101" i="19"/>
  <c r="P94" i="19"/>
  <c r="P59" i="19"/>
  <c r="P53" i="19"/>
  <c r="P38" i="19"/>
  <c r="P33" i="19"/>
  <c r="P30" i="19"/>
  <c r="P26" i="19"/>
  <c r="P91" i="19"/>
  <c r="P49" i="19"/>
  <c r="P39" i="19"/>
  <c r="P35" i="19"/>
  <c r="P32" i="19"/>
  <c r="P31" i="19"/>
  <c r="P47" i="6"/>
  <c r="D52" i="40" s="1"/>
  <c r="F44" i="5"/>
  <c r="E25" i="40" l="1"/>
  <c r="P38" i="22"/>
  <c r="J56" i="40"/>
  <c r="P30" i="22"/>
  <c r="AO92" i="22"/>
  <c r="H50" i="5"/>
  <c r="AM78" i="22"/>
  <c r="AO78" i="22" s="1"/>
  <c r="AM79" i="22"/>
  <c r="AO79" i="22" s="1"/>
  <c r="R64" i="5"/>
  <c r="X64" i="5"/>
  <c r="I67" i="3"/>
  <c r="K67" i="3" s="1"/>
  <c r="AQ286" i="19"/>
  <c r="AK105" i="25"/>
  <c r="H37" i="4"/>
  <c r="C23" i="40" s="1"/>
  <c r="AM72" i="22"/>
  <c r="AO72" i="22" s="1"/>
  <c r="AM85" i="22"/>
  <c r="AO85" i="22" s="1"/>
  <c r="AM81" i="22"/>
  <c r="AO81" i="22" s="1"/>
  <c r="AM80" i="22"/>
  <c r="AO80" i="22" s="1"/>
  <c r="T50" i="5"/>
  <c r="AM86" i="22"/>
  <c r="AO86" i="22" s="1"/>
  <c r="AM76" i="22"/>
  <c r="AO76" i="22" s="1"/>
  <c r="P37" i="4"/>
  <c r="D23" i="40" s="1"/>
  <c r="AM87" i="22"/>
  <c r="AM73" i="22"/>
  <c r="AO73" i="22" s="1"/>
  <c r="AO101" i="25"/>
  <c r="AE104" i="25" s="1"/>
  <c r="AM101" i="25"/>
  <c r="AQ105" i="25"/>
  <c r="AQ142" i="24"/>
  <c r="AK142" i="24"/>
  <c r="P35" i="4"/>
  <c r="D21" i="40" s="1"/>
  <c r="E21" i="40" s="1"/>
  <c r="AM62" i="20"/>
  <c r="T48" i="5"/>
  <c r="AK69" i="20"/>
  <c r="AQ69" i="20"/>
  <c r="P51" i="6"/>
  <c r="D56" i="40" s="1"/>
  <c r="P61" i="24"/>
  <c r="P48" i="24"/>
  <c r="P35" i="24"/>
  <c r="P23" i="24"/>
  <c r="P54" i="24"/>
  <c r="P43" i="24"/>
  <c r="P32" i="24"/>
  <c r="P55" i="24"/>
  <c r="P42" i="24"/>
  <c r="P29" i="24"/>
  <c r="P60" i="24"/>
  <c r="P51" i="24"/>
  <c r="P36" i="24"/>
  <c r="P24" i="24"/>
  <c r="P34" i="24"/>
  <c r="P47" i="24"/>
  <c r="P56" i="24"/>
  <c r="P33" i="24"/>
  <c r="P46" i="24"/>
  <c r="P57" i="24"/>
  <c r="P28" i="24"/>
  <c r="P41" i="24"/>
  <c r="P53" i="24"/>
  <c r="P64" i="24"/>
  <c r="P27" i="24"/>
  <c r="P40" i="24"/>
  <c r="P52" i="24"/>
  <c r="P22" i="24"/>
  <c r="AM145" i="24"/>
  <c r="H51" i="5"/>
  <c r="H38" i="4"/>
  <c r="C24" i="40" s="1"/>
  <c r="G68" i="3"/>
  <c r="I64" i="3"/>
  <c r="AO62" i="20" l="1"/>
  <c r="AO65" i="20" s="1"/>
  <c r="AE68" i="20" s="1"/>
  <c r="AM65" i="20"/>
  <c r="E23" i="40"/>
  <c r="AQ92" i="22"/>
  <c r="J23" i="40"/>
  <c r="AM88" i="22"/>
  <c r="AO87" i="22"/>
  <c r="P65" i="24"/>
  <c r="T51" i="5"/>
  <c r="AM129" i="24"/>
  <c r="AO129" i="24" s="1"/>
  <c r="AM134" i="24"/>
  <c r="AO134" i="24" s="1"/>
  <c r="AM128" i="24"/>
  <c r="AO128" i="24" s="1"/>
  <c r="AM124" i="24"/>
  <c r="AO124" i="24" s="1"/>
  <c r="AM116" i="24"/>
  <c r="AO116" i="24" s="1"/>
  <c r="AM109" i="24"/>
  <c r="AO109" i="24" s="1"/>
  <c r="AM105" i="24"/>
  <c r="AO105" i="24" s="1"/>
  <c r="AM100" i="24"/>
  <c r="AO100" i="24" s="1"/>
  <c r="AM119" i="24"/>
  <c r="AO119" i="24" s="1"/>
  <c r="AM113" i="24"/>
  <c r="AO113" i="24" s="1"/>
  <c r="AM106" i="24"/>
  <c r="AO106" i="24" s="1"/>
  <c r="AM97" i="24"/>
  <c r="AO97" i="24" s="1"/>
  <c r="AM95" i="24"/>
  <c r="P38" i="4"/>
  <c r="D24" i="40" s="1"/>
  <c r="E24" i="40" s="1"/>
  <c r="AM125" i="24"/>
  <c r="AO125" i="24" s="1"/>
  <c r="AM137" i="24"/>
  <c r="AO137" i="24" s="1"/>
  <c r="AM133" i="24"/>
  <c r="AO133" i="24" s="1"/>
  <c r="AM127" i="24"/>
  <c r="AO127" i="24" s="1"/>
  <c r="AM130" i="24"/>
  <c r="AO130" i="24" s="1"/>
  <c r="AM126" i="24"/>
  <c r="AO126" i="24" s="1"/>
  <c r="AM120" i="24"/>
  <c r="AO120" i="24" s="1"/>
  <c r="AM114" i="24"/>
  <c r="AO114" i="24" s="1"/>
  <c r="AM107" i="24"/>
  <c r="AO107" i="24" s="1"/>
  <c r="AM102" i="24"/>
  <c r="AO102" i="24" s="1"/>
  <c r="AM96" i="24"/>
  <c r="AO96" i="24" s="1"/>
  <c r="AM121" i="24"/>
  <c r="AO121" i="24" s="1"/>
  <c r="AM115" i="24"/>
  <c r="AO115" i="24" s="1"/>
  <c r="AM108" i="24"/>
  <c r="AO108" i="24" s="1"/>
  <c r="AM101" i="24"/>
  <c r="AO101" i="24" s="1"/>
  <c r="K64" i="3"/>
  <c r="I68" i="3"/>
  <c r="K68" i="3" s="1"/>
  <c r="AE106" i="25" l="1"/>
  <c r="AO104" i="25"/>
  <c r="H25" i="40" s="1"/>
  <c r="K25" i="40" s="1"/>
  <c r="AO88" i="22"/>
  <c r="AE91" i="22" s="1"/>
  <c r="AO95" i="24"/>
  <c r="AO138" i="24" s="1"/>
  <c r="AE141" i="24" s="1"/>
  <c r="AM138" i="24"/>
  <c r="J40" i="5"/>
  <c r="L30" i="4"/>
  <c r="AO106" i="25" l="1"/>
  <c r="AE108" i="25"/>
  <c r="AG106" i="25" s="1"/>
  <c r="AE70" i="20"/>
  <c r="AE72" i="20" s="1"/>
  <c r="AO68" i="20"/>
  <c r="H21" i="40" s="1"/>
  <c r="K21" i="40" s="1"/>
  <c r="AG68" i="20" l="1"/>
  <c r="AE143" i="24"/>
  <c r="AE145" i="24" s="1"/>
  <c r="AO141" i="24"/>
  <c r="H24" i="40" s="1"/>
  <c r="K24" i="40" s="1"/>
  <c r="AO70" i="20"/>
  <c r="AO72" i="20" s="1"/>
  <c r="V48" i="5" s="1"/>
  <c r="AO91" i="22"/>
  <c r="H23" i="40" s="1"/>
  <c r="K23" i="40" s="1"/>
  <c r="AE93" i="22"/>
  <c r="AG79" i="25"/>
  <c r="AG100" i="25"/>
  <c r="L52" i="5"/>
  <c r="J52" i="5" s="1"/>
  <c r="AG84" i="25"/>
  <c r="AG99" i="25"/>
  <c r="AG101" i="25"/>
  <c r="AG95" i="25"/>
  <c r="AG92" i="25"/>
  <c r="AG93" i="25"/>
  <c r="AG105" i="25"/>
  <c r="AG90" i="25"/>
  <c r="AG104" i="25"/>
  <c r="AG80" i="25"/>
  <c r="J39" i="4"/>
  <c r="L39" i="4" s="1"/>
  <c r="AG89" i="25"/>
  <c r="AG86" i="25"/>
  <c r="AG91" i="25"/>
  <c r="AG81" i="25"/>
  <c r="AG85" i="25"/>
  <c r="AG94" i="25"/>
  <c r="AG98" i="25"/>
  <c r="AG78" i="25"/>
  <c r="AO108" i="25"/>
  <c r="AG70" i="20"/>
  <c r="L48" i="5"/>
  <c r="AG69" i="20"/>
  <c r="AG65" i="20"/>
  <c r="AG62" i="20"/>
  <c r="J35" i="4"/>
  <c r="L35" i="4" s="1"/>
  <c r="J48" i="5" l="1"/>
  <c r="AG143" i="24"/>
  <c r="AG137" i="24"/>
  <c r="AO143" i="24"/>
  <c r="AO145" i="24" s="1"/>
  <c r="R38" i="4" s="1"/>
  <c r="E48" i="3"/>
  <c r="B21" i="40" s="1"/>
  <c r="L21" i="40" s="1"/>
  <c r="R35" i="4"/>
  <c r="AO93" i="22"/>
  <c r="AO95" i="22" s="1"/>
  <c r="V50" i="5" s="1"/>
  <c r="AG106" i="24"/>
  <c r="AG127" i="24"/>
  <c r="AG97" i="24"/>
  <c r="AG121" i="24"/>
  <c r="AG108" i="24"/>
  <c r="AG126" i="24"/>
  <c r="AG134" i="24"/>
  <c r="AG107" i="24"/>
  <c r="AG138" i="24"/>
  <c r="AG125" i="24"/>
  <c r="AG95" i="24"/>
  <c r="AG119" i="24"/>
  <c r="AG105" i="24"/>
  <c r="AG102" i="24"/>
  <c r="AG115" i="24"/>
  <c r="AG113" i="24"/>
  <c r="AG124" i="24"/>
  <c r="AG128" i="24"/>
  <c r="AG129" i="24"/>
  <c r="L51" i="5"/>
  <c r="J51" i="5" s="1"/>
  <c r="J38" i="4"/>
  <c r="L38" i="4" s="1"/>
  <c r="AG109" i="24"/>
  <c r="AG96" i="24"/>
  <c r="AG114" i="24"/>
  <c r="AG101" i="24"/>
  <c r="AG142" i="24"/>
  <c r="AG116" i="24"/>
  <c r="AG120" i="24"/>
  <c r="AG133" i="24"/>
  <c r="AG100" i="24"/>
  <c r="AG130" i="24"/>
  <c r="AG141" i="24"/>
  <c r="AE95" i="22"/>
  <c r="R39" i="4"/>
  <c r="V52" i="5"/>
  <c r="E52" i="3"/>
  <c r="B25" i="40" s="1"/>
  <c r="L25" i="40" s="1"/>
  <c r="AG93" i="22" l="1"/>
  <c r="AG72" i="22"/>
  <c r="AG79" i="22"/>
  <c r="V51" i="5"/>
  <c r="E51" i="3"/>
  <c r="B24" i="40" s="1"/>
  <c r="L24" i="40" s="1"/>
  <c r="R37" i="4"/>
  <c r="E50" i="3"/>
  <c r="B23" i="40" s="1"/>
  <c r="L23" i="40" s="1"/>
  <c r="AG88" i="22"/>
  <c r="AG73" i="22"/>
  <c r="AG78" i="22"/>
  <c r="AG86" i="22"/>
  <c r="AG92" i="22"/>
  <c r="AG87" i="22"/>
  <c r="AG76" i="22"/>
  <c r="J37" i="4"/>
  <c r="L37" i="4" s="1"/>
  <c r="L50" i="5"/>
  <c r="J50" i="5" s="1"/>
  <c r="AG80" i="22"/>
  <c r="AG85" i="22"/>
  <c r="AG91" i="22"/>
  <c r="AG81" i="22" l="1"/>
  <c r="F28" i="28" l="1"/>
  <c r="Y56" i="28"/>
  <c r="Y63" i="28" s="1"/>
  <c r="F49" i="6" l="1"/>
  <c r="F49" i="5"/>
  <c r="F54" i="5" s="1"/>
  <c r="F36" i="4"/>
  <c r="F54" i="6" l="1"/>
  <c r="P30" i="31"/>
  <c r="P31" i="31" s="1"/>
  <c r="P39" i="31" s="1"/>
  <c r="P42" i="6" s="1"/>
  <c r="AM74" i="31" l="1"/>
  <c r="AM75" i="31" s="1"/>
  <c r="AM83" i="31" s="1"/>
  <c r="T42" i="5" l="1"/>
  <c r="P32" i="4"/>
  <c r="D18" i="40" s="1"/>
  <c r="E18" i="40" s="1"/>
  <c r="Y76" i="13" l="1"/>
  <c r="AE76" i="13" s="1"/>
  <c r="L24" i="13"/>
  <c r="R24" i="13" l="1"/>
  <c r="AI76" i="13"/>
  <c r="AO76" i="13"/>
  <c r="AK76" i="13" l="1"/>
  <c r="AQ76" i="13"/>
  <c r="F26" i="13" l="1"/>
  <c r="Y77" i="13"/>
  <c r="AE77" i="13" s="1"/>
  <c r="L25" i="13"/>
  <c r="L26" i="13" s="1"/>
  <c r="AO77" i="13" l="1"/>
  <c r="AO78" i="13" s="1"/>
  <c r="AE78" i="13"/>
  <c r="R25" i="13"/>
  <c r="R26" i="13" s="1"/>
  <c r="AI77" i="13"/>
  <c r="AI78" i="13" s="1"/>
  <c r="F37" i="13"/>
  <c r="F46" i="13"/>
  <c r="Y78" i="13"/>
  <c r="AQ78" i="13" l="1"/>
  <c r="AK77" i="13"/>
  <c r="AK78" i="13" s="1"/>
  <c r="AQ77" i="13"/>
  <c r="Y89" i="13"/>
  <c r="Y98" i="13"/>
  <c r="F32" i="6"/>
  <c r="F28" i="4" l="1"/>
  <c r="F32" i="5"/>
  <c r="F63" i="6" l="1"/>
  <c r="F65" i="6" s="1"/>
  <c r="F65" i="5"/>
  <c r="F47" i="4"/>
  <c r="P30" i="33" l="1"/>
  <c r="P31" i="33" s="1"/>
  <c r="P39" i="33" s="1"/>
  <c r="P43" i="6" s="1"/>
  <c r="P30" i="30" l="1"/>
  <c r="P31" i="30" s="1"/>
  <c r="P39" i="30" s="1"/>
  <c r="P41" i="6" s="1"/>
  <c r="P44" i="6" s="1"/>
  <c r="AM76" i="33"/>
  <c r="AM77" i="33" s="1"/>
  <c r="AM85" i="33" s="1"/>
  <c r="AM74" i="30" l="1"/>
  <c r="AM75" i="30" s="1"/>
  <c r="AM83" i="30" s="1"/>
  <c r="T43" i="5"/>
  <c r="P33" i="4"/>
  <c r="D19" i="40" s="1"/>
  <c r="E19" i="40" s="1"/>
  <c r="T41" i="5" l="1"/>
  <c r="T44" i="5" s="1"/>
  <c r="P31" i="4"/>
  <c r="D17" i="40" s="1"/>
  <c r="E17" i="40" s="1"/>
  <c r="K40" i="3" l="1"/>
  <c r="J23" i="7" l="1"/>
  <c r="H7" i="27" s="1"/>
  <c r="H8" i="27" l="1"/>
  <c r="H12" i="27"/>
  <c r="H13" i="27"/>
  <c r="H11" i="27"/>
  <c r="H10" i="27"/>
  <c r="H9" i="27"/>
  <c r="AA78" i="11" l="1"/>
  <c r="AI78" i="11" l="1"/>
  <c r="AO79" i="30" l="1"/>
  <c r="H17" i="40" l="1"/>
  <c r="AO79" i="31"/>
  <c r="H18" i="40" s="1"/>
  <c r="AO81" i="33" l="1"/>
  <c r="H19" i="40" s="1"/>
  <c r="L25" i="11" l="1"/>
  <c r="Y73" i="11"/>
  <c r="AE73" i="11" s="1"/>
  <c r="AO73" i="11" s="1"/>
  <c r="Y95" i="9"/>
  <c r="AE95" i="9" s="1"/>
  <c r="F27" i="11" l="1"/>
  <c r="L24" i="11"/>
  <c r="Y72" i="11"/>
  <c r="AE72" i="11" s="1"/>
  <c r="R25" i="11"/>
  <c r="AI73" i="11"/>
  <c r="AK73" i="11" s="1"/>
  <c r="L23" i="9"/>
  <c r="R23" i="9" s="1"/>
  <c r="R24" i="9" s="1"/>
  <c r="F24" i="9"/>
  <c r="Y96" i="9" s="1"/>
  <c r="F25" i="10"/>
  <c r="L24" i="10"/>
  <c r="Y94" i="10"/>
  <c r="AE94" i="10" s="1"/>
  <c r="L41" i="10"/>
  <c r="Y111" i="10"/>
  <c r="AE111" i="10" s="1"/>
  <c r="F42" i="10"/>
  <c r="AE96" i="9"/>
  <c r="AO95" i="9"/>
  <c r="AO96" i="9" s="1"/>
  <c r="L24" i="9" l="1"/>
  <c r="F37" i="9"/>
  <c r="Y109" i="9" s="1"/>
  <c r="AI95" i="9"/>
  <c r="AQ95" i="9" s="1"/>
  <c r="AQ73" i="11"/>
  <c r="AO72" i="11"/>
  <c r="AE75" i="11"/>
  <c r="AI72" i="11"/>
  <c r="R24" i="11"/>
  <c r="R27" i="11" s="1"/>
  <c r="L27" i="11"/>
  <c r="Y75" i="11"/>
  <c r="Y82" i="11" s="1"/>
  <c r="Y91" i="11" s="1"/>
  <c r="F34" i="11"/>
  <c r="F43" i="11" s="1"/>
  <c r="L26" i="8"/>
  <c r="Y82" i="8"/>
  <c r="AE82" i="8" s="1"/>
  <c r="L24" i="8"/>
  <c r="Y80" i="8"/>
  <c r="AE80" i="8" s="1"/>
  <c r="Y112" i="10"/>
  <c r="F53" i="10"/>
  <c r="Y123" i="10" s="1"/>
  <c r="AO111" i="10"/>
  <c r="AO112" i="10" s="1"/>
  <c r="AE112" i="10"/>
  <c r="AI111" i="10"/>
  <c r="L42" i="10"/>
  <c r="R41" i="10"/>
  <c r="R42" i="10" s="1"/>
  <c r="AE95" i="10"/>
  <c r="AO94" i="10"/>
  <c r="AO95" i="10" s="1"/>
  <c r="L41" i="9"/>
  <c r="Y113" i="9"/>
  <c r="AE113" i="9" s="1"/>
  <c r="F42" i="9"/>
  <c r="L25" i="10"/>
  <c r="R24" i="10"/>
  <c r="R25" i="10" s="1"/>
  <c r="AI94" i="10"/>
  <c r="Y95" i="10"/>
  <c r="F36" i="10"/>
  <c r="AI96" i="9" l="1"/>
  <c r="AK95" i="9"/>
  <c r="F29" i="6"/>
  <c r="F25" i="4"/>
  <c r="F29" i="5"/>
  <c r="AQ72" i="11"/>
  <c r="AO75" i="11"/>
  <c r="AK72" i="11"/>
  <c r="AI75" i="11"/>
  <c r="AK75" i="11" s="1"/>
  <c r="AO82" i="8"/>
  <c r="AO80" i="8"/>
  <c r="AI82" i="8"/>
  <c r="AK82" i="8" s="1"/>
  <c r="R26" i="8"/>
  <c r="R24" i="8"/>
  <c r="AI80" i="8"/>
  <c r="Y81" i="8"/>
  <c r="AE81" i="8" s="1"/>
  <c r="L25" i="8"/>
  <c r="F27" i="8"/>
  <c r="AQ94" i="10"/>
  <c r="AI95" i="10"/>
  <c r="AO113" i="9"/>
  <c r="AO114" i="9" s="1"/>
  <c r="AE114" i="9"/>
  <c r="AK96" i="9"/>
  <c r="AQ96" i="9"/>
  <c r="AI113" i="9"/>
  <c r="AK113" i="9" s="1"/>
  <c r="R41" i="9"/>
  <c r="R42" i="9" s="1"/>
  <c r="L42" i="9"/>
  <c r="F38" i="7"/>
  <c r="X64" i="7"/>
  <c r="L31" i="7"/>
  <c r="F28" i="7"/>
  <c r="L23" i="7"/>
  <c r="Y106" i="10"/>
  <c r="Y124" i="10" s="1"/>
  <c r="Y133" i="10" s="1"/>
  <c r="F54" i="10"/>
  <c r="F63" i="10"/>
  <c r="AK94" i="10"/>
  <c r="AK111" i="10"/>
  <c r="AI112" i="10"/>
  <c r="AK112" i="10" s="1"/>
  <c r="AQ111" i="10"/>
  <c r="Y114" i="9"/>
  <c r="F55" i="9"/>
  <c r="AQ75" i="11" l="1"/>
  <c r="AK80" i="8"/>
  <c r="AQ82" i="8"/>
  <c r="F41" i="8"/>
  <c r="F50" i="8" s="1"/>
  <c r="Y83" i="8"/>
  <c r="Y97" i="8" s="1"/>
  <c r="AQ80" i="8"/>
  <c r="L27" i="8"/>
  <c r="R25" i="8"/>
  <c r="R27" i="8" s="1"/>
  <c r="AI81" i="8"/>
  <c r="AK81" i="8" s="1"/>
  <c r="AE83" i="8"/>
  <c r="AO81" i="8"/>
  <c r="AO83" i="8" s="1"/>
  <c r="F28" i="6"/>
  <c r="AD64" i="7"/>
  <c r="AH64" i="7" s="1"/>
  <c r="X69" i="7"/>
  <c r="AD72" i="7"/>
  <c r="AH72" i="7" s="1"/>
  <c r="X79" i="7"/>
  <c r="F24" i="4"/>
  <c r="F28" i="5"/>
  <c r="F21" i="6"/>
  <c r="F23" i="6" s="1"/>
  <c r="AQ112" i="10"/>
  <c r="Y127" i="9"/>
  <c r="Y128" i="9" s="1"/>
  <c r="F56" i="9"/>
  <c r="F65" i="9" s="1"/>
  <c r="R23" i="7"/>
  <c r="AK95" i="10"/>
  <c r="AQ95" i="10"/>
  <c r="AI114" i="9"/>
  <c r="AQ113" i="9"/>
  <c r="R31" i="7"/>
  <c r="G38" i="40" l="1"/>
  <c r="G60" i="40" s="1"/>
  <c r="AI83" i="8"/>
  <c r="AK83" i="8" s="1"/>
  <c r="AQ81" i="8"/>
  <c r="Y106" i="8"/>
  <c r="F26" i="6"/>
  <c r="AJ72" i="7"/>
  <c r="F20" i="4"/>
  <c r="F21" i="5"/>
  <c r="F23" i="5" s="1"/>
  <c r="AJ64" i="7"/>
  <c r="AN72" i="7"/>
  <c r="AN64" i="7"/>
  <c r="AP64" i="7" s="1"/>
  <c r="AK114" i="9"/>
  <c r="AQ114" i="9"/>
  <c r="Y137" i="9"/>
  <c r="F27" i="6"/>
  <c r="F22" i="4" l="1"/>
  <c r="F26" i="5"/>
  <c r="AQ83" i="8"/>
  <c r="G6" i="40"/>
  <c r="AP72" i="7"/>
  <c r="F33" i="6"/>
  <c r="F27" i="5"/>
  <c r="F23" i="4"/>
  <c r="Y85" i="14" l="1"/>
  <c r="AE85" i="14" s="1"/>
  <c r="AO85" i="14" s="1"/>
  <c r="L21" i="14"/>
  <c r="F32" i="14"/>
  <c r="F46" i="14"/>
  <c r="Y110" i="14" s="1"/>
  <c r="Y99" i="14"/>
  <c r="AE99" i="14" s="1"/>
  <c r="AO99" i="14" s="1"/>
  <c r="L35" i="14"/>
  <c r="F33" i="5"/>
  <c r="G28" i="40"/>
  <c r="AI99" i="14" l="1"/>
  <c r="AK99" i="14" s="1"/>
  <c r="R35" i="14"/>
  <c r="F56" i="14"/>
  <c r="F47" i="14"/>
  <c r="Y96" i="14"/>
  <c r="Y111" i="14" s="1"/>
  <c r="Y120" i="14" s="1"/>
  <c r="AI85" i="14"/>
  <c r="AK85" i="14" s="1"/>
  <c r="R21" i="14"/>
  <c r="AQ85" i="14" l="1"/>
  <c r="F36" i="5"/>
  <c r="F37" i="5" s="1"/>
  <c r="F67" i="5" s="1"/>
  <c r="F29" i="4"/>
  <c r="F49" i="4" s="1"/>
  <c r="F36" i="6"/>
  <c r="AQ99" i="14"/>
  <c r="F37" i="6" l="1"/>
  <c r="F67" i="6" s="1"/>
  <c r="AK261" i="19" l="1"/>
  <c r="D26" i="40" l="1"/>
  <c r="E26" i="40" l="1"/>
  <c r="L26" i="40" l="1"/>
  <c r="AA94" i="8" l="1"/>
  <c r="AE94" i="8" s="1"/>
  <c r="AA86" i="8"/>
  <c r="AE86" i="8" s="1"/>
  <c r="AA122" i="10"/>
  <c r="AE122" i="10" s="1"/>
  <c r="AA116" i="10"/>
  <c r="AE116" i="10" s="1"/>
  <c r="AA99" i="10"/>
  <c r="AE99" i="10" s="1"/>
  <c r="N14" i="40"/>
  <c r="T14" i="40" s="1"/>
  <c r="AA103" i="14"/>
  <c r="AE103" i="14" s="1"/>
  <c r="L30" i="8" l="1"/>
  <c r="R30" i="8" s="1"/>
  <c r="P14" i="40"/>
  <c r="AA86" i="13"/>
  <c r="AE86" i="13" s="1"/>
  <c r="AO116" i="10"/>
  <c r="AA107" i="14"/>
  <c r="AA88" i="14"/>
  <c r="AE88" i="14" s="1"/>
  <c r="AA121" i="10"/>
  <c r="AE121" i="10" s="1"/>
  <c r="H53" i="10"/>
  <c r="AA91" i="8"/>
  <c r="AE91" i="8" s="1"/>
  <c r="H30" i="13"/>
  <c r="AA81" i="13"/>
  <c r="AE81" i="13" s="1"/>
  <c r="H48" i="10"/>
  <c r="AA118" i="10" s="1"/>
  <c r="H47" i="10"/>
  <c r="AA115" i="10"/>
  <c r="L63" i="5"/>
  <c r="L63" i="6" s="1"/>
  <c r="AA87" i="8"/>
  <c r="AA93" i="14"/>
  <c r="AA102" i="14"/>
  <c r="AE102" i="14" s="1"/>
  <c r="H40" i="14"/>
  <c r="AO99" i="10"/>
  <c r="AA91" i="12"/>
  <c r="H29" i="12"/>
  <c r="H38" i="12"/>
  <c r="AA104" i="10"/>
  <c r="AE104" i="10" s="1"/>
  <c r="AA98" i="10"/>
  <c r="H31" i="10"/>
  <c r="H30" i="10"/>
  <c r="H32" i="8"/>
  <c r="AO122" i="10"/>
  <c r="AA125" i="9"/>
  <c r="AE125" i="9" s="1"/>
  <c r="AO86" i="8"/>
  <c r="AA109" i="12"/>
  <c r="H40" i="8"/>
  <c r="H29" i="31"/>
  <c r="AA72" i="31"/>
  <c r="AE72" i="31" s="1"/>
  <c r="H30" i="31"/>
  <c r="AA108" i="9"/>
  <c r="AE108" i="9" s="1"/>
  <c r="AA87" i="13"/>
  <c r="AE87" i="13" s="1"/>
  <c r="AA107" i="9"/>
  <c r="AE107" i="9" s="1"/>
  <c r="H37" i="9"/>
  <c r="AA95" i="8"/>
  <c r="AE95" i="8" s="1"/>
  <c r="AO94" i="8"/>
  <c r="H29" i="30"/>
  <c r="H30" i="30"/>
  <c r="AA72" i="30"/>
  <c r="AE72" i="30" s="1"/>
  <c r="AA93" i="8"/>
  <c r="AE93" i="8" s="1"/>
  <c r="H30" i="33"/>
  <c r="H29" i="33"/>
  <c r="AA74" i="33"/>
  <c r="AE74" i="33" s="1"/>
  <c r="AO103" i="14"/>
  <c r="AA81" i="11"/>
  <c r="H34" i="11"/>
  <c r="AA105" i="10"/>
  <c r="AE105" i="10" s="1"/>
  <c r="AA94" i="14"/>
  <c r="AA89" i="14"/>
  <c r="AE89" i="14" s="1"/>
  <c r="AA108" i="14"/>
  <c r="AE108" i="14" s="1"/>
  <c r="AI86" i="8" l="1"/>
  <c r="T63" i="5"/>
  <c r="I27" i="40"/>
  <c r="J27" i="40"/>
  <c r="AE87" i="8"/>
  <c r="AE88" i="8" s="1"/>
  <c r="N8" i="40"/>
  <c r="X105" i="26"/>
  <c r="N10" i="40"/>
  <c r="R14" i="40"/>
  <c r="P46" i="8"/>
  <c r="H41" i="8"/>
  <c r="AA96" i="8"/>
  <c r="AA73" i="30"/>
  <c r="AE73" i="30" s="1"/>
  <c r="L29" i="30"/>
  <c r="AO87" i="13"/>
  <c r="AK87" i="13"/>
  <c r="H36" i="10"/>
  <c r="Y202" i="26"/>
  <c r="AA104" i="14"/>
  <c r="AO88" i="14"/>
  <c r="AE90" i="14"/>
  <c r="AO104" i="10"/>
  <c r="AO102" i="14"/>
  <c r="AE104" i="14"/>
  <c r="AE82" i="13"/>
  <c r="AO81" i="13"/>
  <c r="AE109" i="12"/>
  <c r="AA82" i="13"/>
  <c r="AE107" i="14"/>
  <c r="AO105" i="10"/>
  <c r="AO108" i="14"/>
  <c r="AO74" i="33"/>
  <c r="H30" i="6"/>
  <c r="AA101" i="12"/>
  <c r="AE93" i="14"/>
  <c r="H45" i="14"/>
  <c r="L29" i="33"/>
  <c r="AA75" i="33"/>
  <c r="AE75" i="33" s="1"/>
  <c r="AE76" i="33" s="1"/>
  <c r="AO108" i="9"/>
  <c r="AQ86" i="8"/>
  <c r="H31" i="14"/>
  <c r="AO89" i="14"/>
  <c r="AE94" i="14"/>
  <c r="AA116" i="9"/>
  <c r="H47" i="9"/>
  <c r="H49" i="9" s="1"/>
  <c r="H46" i="9"/>
  <c r="P39" i="11"/>
  <c r="H43" i="11"/>
  <c r="L37" i="11"/>
  <c r="L40" i="11"/>
  <c r="AA76" i="33"/>
  <c r="AA77" i="33" s="1"/>
  <c r="H31" i="33"/>
  <c r="L32" i="12"/>
  <c r="P34" i="12"/>
  <c r="L35" i="12"/>
  <c r="AA117" i="9"/>
  <c r="AE117" i="9" s="1"/>
  <c r="H28" i="9"/>
  <c r="AA98" i="9"/>
  <c r="H29" i="9"/>
  <c r="H31" i="9" s="1"/>
  <c r="H31" i="31"/>
  <c r="AA74" i="31"/>
  <c r="AA75" i="31" s="1"/>
  <c r="AA88" i="8"/>
  <c r="AA92" i="12"/>
  <c r="AE91" i="12"/>
  <c r="AA82" i="11"/>
  <c r="AE81" i="11"/>
  <c r="AO93" i="8"/>
  <c r="AO95" i="8"/>
  <c r="AO72" i="31"/>
  <c r="H47" i="4"/>
  <c r="C27" i="40" s="1"/>
  <c r="H65" i="5"/>
  <c r="H63" i="6"/>
  <c r="J63" i="6" s="1"/>
  <c r="AO91" i="8"/>
  <c r="AA99" i="9"/>
  <c r="AE99" i="9" s="1"/>
  <c r="AA74" i="30"/>
  <c r="AA75" i="30" s="1"/>
  <c r="H31" i="30"/>
  <c r="W105" i="26"/>
  <c r="AA123" i="10"/>
  <c r="AO86" i="13"/>
  <c r="AA92" i="8"/>
  <c r="AE92" i="8" s="1"/>
  <c r="AE96" i="8" s="1"/>
  <c r="AA101" i="10"/>
  <c r="Y105" i="26"/>
  <c r="AO121" i="10"/>
  <c r="L29" i="31"/>
  <c r="AA73" i="31"/>
  <c r="AE73" i="31" s="1"/>
  <c r="AE74" i="31" s="1"/>
  <c r="AO72" i="30"/>
  <c r="AA109" i="9"/>
  <c r="AO125" i="9"/>
  <c r="AA100" i="10"/>
  <c r="AE100" i="10" s="1"/>
  <c r="AE98" i="10"/>
  <c r="AA117" i="10"/>
  <c r="AE117" i="10" s="1"/>
  <c r="AE115" i="10"/>
  <c r="AO107" i="9"/>
  <c r="H26" i="14"/>
  <c r="N15" i="40" s="1"/>
  <c r="T15" i="40" s="1"/>
  <c r="AO87" i="8" l="1"/>
  <c r="AO88" i="8" s="1"/>
  <c r="K27" i="40"/>
  <c r="P10" i="40"/>
  <c r="R10" i="40" s="1"/>
  <c r="T10" i="40"/>
  <c r="P8" i="40"/>
  <c r="R8" i="40" s="1"/>
  <c r="T8" i="40"/>
  <c r="F123" i="26"/>
  <c r="M123" i="26" s="1"/>
  <c r="P123" i="26" s="1"/>
  <c r="F124" i="26"/>
  <c r="M124" i="26" s="1"/>
  <c r="P124" i="26" s="1"/>
  <c r="F125" i="26"/>
  <c r="M125" i="26" s="1"/>
  <c r="P125" i="26" s="1"/>
  <c r="F116" i="26"/>
  <c r="F117" i="26"/>
  <c r="M117" i="26" s="1"/>
  <c r="P117" i="26" s="1"/>
  <c r="F122" i="26"/>
  <c r="M122" i="26" s="1"/>
  <c r="P122" i="26" s="1"/>
  <c r="F118" i="26"/>
  <c r="M118" i="26" s="1"/>
  <c r="P118" i="26" s="1"/>
  <c r="F119" i="26"/>
  <c r="M119" i="26" s="1"/>
  <c r="P119" i="26" s="1"/>
  <c r="F120" i="26"/>
  <c r="M120" i="26" s="1"/>
  <c r="P120" i="26" s="1"/>
  <c r="F121" i="26"/>
  <c r="M121" i="26" s="1"/>
  <c r="P121" i="26" s="1"/>
  <c r="AA101" i="9"/>
  <c r="N9" i="40"/>
  <c r="P15" i="40"/>
  <c r="N28" i="40"/>
  <c r="T28" i="40" s="1"/>
  <c r="AO107" i="14"/>
  <c r="AE109" i="14"/>
  <c r="AE110" i="14" s="1"/>
  <c r="AO104" i="14"/>
  <c r="H54" i="10"/>
  <c r="H63" i="10"/>
  <c r="AA106" i="10"/>
  <c r="AA124" i="10" s="1"/>
  <c r="V105" i="26"/>
  <c r="AE77" i="33"/>
  <c r="R39" i="11"/>
  <c r="P41" i="11"/>
  <c r="P43" i="11" s="1"/>
  <c r="P29" i="6" s="1"/>
  <c r="AO100" i="10"/>
  <c r="AQ87" i="13"/>
  <c r="V63" i="5"/>
  <c r="L65" i="5"/>
  <c r="N63" i="5" s="1"/>
  <c r="J47" i="4"/>
  <c r="L47" i="4" s="1"/>
  <c r="AA119" i="9"/>
  <c r="AO75" i="33"/>
  <c r="AO76" i="33" s="1"/>
  <c r="AA85" i="13"/>
  <c r="AE85" i="13" s="1"/>
  <c r="H36" i="13"/>
  <c r="AI73" i="30"/>
  <c r="R29" i="30"/>
  <c r="AO92" i="8"/>
  <c r="AT95" i="8" s="1"/>
  <c r="AO117" i="9"/>
  <c r="AO98" i="10"/>
  <c r="AE101" i="10"/>
  <c r="AE75" i="31"/>
  <c r="H50" i="9"/>
  <c r="AA122" i="9" s="1"/>
  <c r="AE122" i="9" s="1"/>
  <c r="AA121" i="9"/>
  <c r="AE121" i="9" s="1"/>
  <c r="R29" i="31"/>
  <c r="AI73" i="31"/>
  <c r="AK73" i="31" s="1"/>
  <c r="AA110" i="12"/>
  <c r="H48" i="12"/>
  <c r="H57" i="12"/>
  <c r="H65" i="6"/>
  <c r="AE80" i="31"/>
  <c r="AA83" i="31"/>
  <c r="AE78" i="31"/>
  <c r="AE116" i="9"/>
  <c r="AA118" i="9"/>
  <c r="AE118" i="9" s="1"/>
  <c r="AO118" i="9" s="1"/>
  <c r="R29" i="33"/>
  <c r="AI75" i="33"/>
  <c r="AK75" i="33" s="1"/>
  <c r="AO109" i="12"/>
  <c r="AE74" i="30"/>
  <c r="AO73" i="30"/>
  <c r="AO74" i="30" s="1"/>
  <c r="AO75" i="30" s="1"/>
  <c r="H29" i="6"/>
  <c r="P63" i="6"/>
  <c r="T65" i="5"/>
  <c r="P47" i="4"/>
  <c r="D27" i="40" s="1"/>
  <c r="L34" i="31"/>
  <c r="L36" i="31"/>
  <c r="H39" i="31"/>
  <c r="H46" i="14"/>
  <c r="AA109" i="14"/>
  <c r="AA202" i="26"/>
  <c r="AA126" i="9"/>
  <c r="AE126" i="9" s="1"/>
  <c r="H55" i="9"/>
  <c r="AO117" i="10"/>
  <c r="R35" i="12"/>
  <c r="J44" i="40" s="1"/>
  <c r="P36" i="12"/>
  <c r="P38" i="12" s="1"/>
  <c r="P30" i="6" s="1"/>
  <c r="R34" i="12"/>
  <c r="J63" i="5"/>
  <c r="AA90" i="14"/>
  <c r="X202" i="26"/>
  <c r="AO81" i="11"/>
  <c r="AE82" i="11"/>
  <c r="AO94" i="14"/>
  <c r="AO82" i="13"/>
  <c r="AE98" i="12"/>
  <c r="AI98" i="12" s="1"/>
  <c r="AK98" i="12" s="1"/>
  <c r="AE95" i="12"/>
  <c r="AM97" i="12"/>
  <c r="L36" i="30"/>
  <c r="L34" i="30"/>
  <c r="H39" i="30"/>
  <c r="AA91" i="11"/>
  <c r="AE88" i="11"/>
  <c r="AI88" i="11" s="1"/>
  <c r="AK88" i="11" s="1"/>
  <c r="AM87" i="11"/>
  <c r="AE85" i="11"/>
  <c r="H39" i="33"/>
  <c r="L34" i="33"/>
  <c r="L36" i="33"/>
  <c r="AO93" i="14"/>
  <c r="AE95" i="14"/>
  <c r="AE96" i="14" s="1"/>
  <c r="AO90" i="14"/>
  <c r="AO73" i="31"/>
  <c r="AO74" i="31" s="1"/>
  <c r="R32" i="12"/>
  <c r="AE78" i="30"/>
  <c r="AE80" i="30"/>
  <c r="AA100" i="9"/>
  <c r="AE100" i="9" s="1"/>
  <c r="AE98" i="9"/>
  <c r="AE80" i="33"/>
  <c r="AA85" i="33"/>
  <c r="AE82" i="33"/>
  <c r="H26" i="4"/>
  <c r="C12" i="40" s="1"/>
  <c r="H30" i="5"/>
  <c r="AM102" i="8"/>
  <c r="AE103" i="8"/>
  <c r="AA97" i="8"/>
  <c r="AE100" i="8"/>
  <c r="R40" i="11"/>
  <c r="J43" i="40" s="1"/>
  <c r="L44" i="8"/>
  <c r="H50" i="8"/>
  <c r="L47" i="8"/>
  <c r="AE97" i="8"/>
  <c r="AO115" i="10"/>
  <c r="AE118" i="10"/>
  <c r="AO99" i="9"/>
  <c r="AO91" i="12"/>
  <c r="AE92" i="12"/>
  <c r="R37" i="11"/>
  <c r="AA95" i="14"/>
  <c r="H32" i="14"/>
  <c r="Z202" i="26"/>
  <c r="P48" i="8"/>
  <c r="P50" i="8" s="1"/>
  <c r="P26" i="6" s="1"/>
  <c r="R46" i="8"/>
  <c r="D40" i="40" s="1"/>
  <c r="AE119" i="9" l="1"/>
  <c r="P9" i="40"/>
  <c r="R9" i="40" s="1"/>
  <c r="T9" i="40"/>
  <c r="AO118" i="10"/>
  <c r="AO123" i="10" s="1"/>
  <c r="F110" i="26"/>
  <c r="M110" i="26" s="1"/>
  <c r="P110" i="26" s="1"/>
  <c r="F111" i="26"/>
  <c r="M111" i="26" s="1"/>
  <c r="P111" i="26" s="1"/>
  <c r="F113" i="26"/>
  <c r="M113" i="26" s="1"/>
  <c r="P113" i="26" s="1"/>
  <c r="F108" i="26"/>
  <c r="M108" i="26" s="1"/>
  <c r="P108" i="26" s="1"/>
  <c r="F112" i="26"/>
  <c r="M112" i="26" s="1"/>
  <c r="P112" i="26" s="1"/>
  <c r="F105" i="26"/>
  <c r="M105" i="26" s="1"/>
  <c r="P105" i="26" s="1"/>
  <c r="F106" i="26"/>
  <c r="M106" i="26" s="1"/>
  <c r="P106" i="26" s="1"/>
  <c r="F114" i="26"/>
  <c r="M114" i="26" s="1"/>
  <c r="P114" i="26" s="1"/>
  <c r="F107" i="26"/>
  <c r="M107" i="26" s="1"/>
  <c r="P107" i="26" s="1"/>
  <c r="F109" i="26"/>
  <c r="M109" i="26" s="1"/>
  <c r="P109" i="26" s="1"/>
  <c r="AO101" i="10"/>
  <c r="AO106" i="10" s="1"/>
  <c r="AT93" i="8"/>
  <c r="R15" i="40"/>
  <c r="R28" i="40" s="1"/>
  <c r="P28" i="40"/>
  <c r="H51" i="9"/>
  <c r="AA123" i="9" s="1"/>
  <c r="R44" i="8"/>
  <c r="AI100" i="8"/>
  <c r="AO82" i="33"/>
  <c r="I44" i="40"/>
  <c r="AO95" i="14"/>
  <c r="AO96" i="14" s="1"/>
  <c r="AI78" i="30"/>
  <c r="R34" i="30"/>
  <c r="I49" i="40" s="1"/>
  <c r="D44" i="40"/>
  <c r="AA110" i="14"/>
  <c r="H47" i="14"/>
  <c r="AO116" i="9"/>
  <c r="AA120" i="12"/>
  <c r="H31" i="6"/>
  <c r="H28" i="6"/>
  <c r="AO78" i="30"/>
  <c r="AE81" i="30"/>
  <c r="H43" i="5"/>
  <c r="H33" i="4"/>
  <c r="R36" i="30"/>
  <c r="J49" i="40" s="1"/>
  <c r="AI80" i="30"/>
  <c r="H42" i="6"/>
  <c r="AO78" i="31"/>
  <c r="AE81" i="31"/>
  <c r="AE83" i="31" s="1"/>
  <c r="AG78" i="31" s="1"/>
  <c r="L54" i="12"/>
  <c r="P53" i="12"/>
  <c r="L51" i="12"/>
  <c r="AO121" i="9"/>
  <c r="AT92" i="8"/>
  <c r="L57" i="10"/>
  <c r="P59" i="10"/>
  <c r="L60" i="10"/>
  <c r="AO92" i="12"/>
  <c r="AO80" i="33"/>
  <c r="AE83" i="33"/>
  <c r="AQ73" i="31"/>
  <c r="AI82" i="33"/>
  <c r="AK82" i="33" s="1"/>
  <c r="R36" i="33"/>
  <c r="J51" i="40" s="1"/>
  <c r="AT94" i="8"/>
  <c r="R36" i="31"/>
  <c r="J50" i="40" s="1"/>
  <c r="AI80" i="31"/>
  <c r="AK80" i="31" s="1"/>
  <c r="H42" i="5"/>
  <c r="H32" i="4"/>
  <c r="AO122" i="9"/>
  <c r="AO77" i="33"/>
  <c r="R47" i="8"/>
  <c r="J40" i="40" s="1"/>
  <c r="AI103" i="8"/>
  <c r="AK103" i="8" s="1"/>
  <c r="AO75" i="31"/>
  <c r="AE101" i="9"/>
  <c r="AO98" i="9"/>
  <c r="H32" i="9"/>
  <c r="H33" i="9" s="1"/>
  <c r="AA105" i="9" s="1"/>
  <c r="AA103" i="9"/>
  <c r="AE103" i="9" s="1"/>
  <c r="R34" i="33"/>
  <c r="AI80" i="33"/>
  <c r="AM99" i="12"/>
  <c r="AM101" i="12" s="1"/>
  <c r="AO97" i="12"/>
  <c r="AQ97" i="12" s="1"/>
  <c r="R34" i="31"/>
  <c r="AI78" i="31"/>
  <c r="AE75" i="30"/>
  <c r="AO80" i="31"/>
  <c r="AE110" i="12"/>
  <c r="AA111" i="12"/>
  <c r="AA106" i="8"/>
  <c r="H26" i="6"/>
  <c r="AO100" i="9"/>
  <c r="H43" i="6"/>
  <c r="AO95" i="12"/>
  <c r="M116" i="26"/>
  <c r="P116" i="26" s="1"/>
  <c r="AQ73" i="30"/>
  <c r="AK73" i="30"/>
  <c r="D43" i="40"/>
  <c r="AA88" i="13"/>
  <c r="AA89" i="13" s="1"/>
  <c r="H37" i="13"/>
  <c r="H46" i="13"/>
  <c r="AO88" i="11"/>
  <c r="AA127" i="9"/>
  <c r="AA128" i="9" s="1"/>
  <c r="H56" i="9"/>
  <c r="AE106" i="10"/>
  <c r="AO85" i="13"/>
  <c r="AE88" i="13"/>
  <c r="AO85" i="11"/>
  <c r="AM89" i="11"/>
  <c r="AM91" i="11" s="1"/>
  <c r="AO87" i="11"/>
  <c r="AQ87" i="11" s="1"/>
  <c r="AO82" i="11"/>
  <c r="AO103" i="8"/>
  <c r="D59" i="40"/>
  <c r="P65" i="6"/>
  <c r="F214" i="26"/>
  <c r="M214" i="26" s="1"/>
  <c r="P214" i="26" s="1"/>
  <c r="F210" i="26"/>
  <c r="M210" i="26" s="1"/>
  <c r="P210" i="26" s="1"/>
  <c r="F205" i="26"/>
  <c r="M205" i="26" s="1"/>
  <c r="P205" i="26" s="1"/>
  <c r="F212" i="26"/>
  <c r="M212" i="26" s="1"/>
  <c r="P212" i="26" s="1"/>
  <c r="F217" i="26"/>
  <c r="M217" i="26" s="1"/>
  <c r="P217" i="26" s="1"/>
  <c r="F216" i="26"/>
  <c r="M216" i="26" s="1"/>
  <c r="P216" i="26" s="1"/>
  <c r="F215" i="26"/>
  <c r="M215" i="26" s="1"/>
  <c r="P215" i="26" s="1"/>
  <c r="F211" i="26"/>
  <c r="M211" i="26" s="1"/>
  <c r="P211" i="26" s="1"/>
  <c r="F219" i="26"/>
  <c r="M219" i="26" s="1"/>
  <c r="P219" i="26" s="1"/>
  <c r="F206" i="26"/>
  <c r="M206" i="26" s="1"/>
  <c r="P206" i="26" s="1"/>
  <c r="F207" i="26"/>
  <c r="M207" i="26" s="1"/>
  <c r="P207" i="26" s="1"/>
  <c r="F202" i="26"/>
  <c r="M202" i="26" s="1"/>
  <c r="P202" i="26" s="1"/>
  <c r="F218" i="26"/>
  <c r="M218" i="26" s="1"/>
  <c r="P218" i="26" s="1"/>
  <c r="F209" i="26"/>
  <c r="M209" i="26" s="1"/>
  <c r="P209" i="26" s="1"/>
  <c r="F213" i="26"/>
  <c r="M213" i="26" s="1"/>
  <c r="P213" i="26" s="1"/>
  <c r="F203" i="26"/>
  <c r="M203" i="26" s="1"/>
  <c r="P203" i="26" s="1"/>
  <c r="F208" i="26"/>
  <c r="M208" i="26" s="1"/>
  <c r="P208" i="26" s="1"/>
  <c r="F204" i="26"/>
  <c r="M204" i="26" s="1"/>
  <c r="P204" i="26" s="1"/>
  <c r="AO98" i="12"/>
  <c r="AO100" i="8"/>
  <c r="H29" i="5"/>
  <c r="H25" i="4"/>
  <c r="C11" i="40" s="1"/>
  <c r="AE111" i="14"/>
  <c r="AO102" i="8"/>
  <c r="AQ102" i="8" s="1"/>
  <c r="AM104" i="8"/>
  <c r="AM106" i="8" s="1"/>
  <c r="AO126" i="9"/>
  <c r="N57" i="5"/>
  <c r="N59" i="5"/>
  <c r="N64" i="5"/>
  <c r="N58" i="5"/>
  <c r="N60" i="5"/>
  <c r="N62" i="5"/>
  <c r="N61" i="5"/>
  <c r="AO109" i="14"/>
  <c r="AO80" i="30"/>
  <c r="J17" i="40" s="1"/>
  <c r="AA96" i="14"/>
  <c r="H56" i="14"/>
  <c r="AI85" i="11"/>
  <c r="AK85" i="11" s="1"/>
  <c r="E27" i="40"/>
  <c r="F238" i="26"/>
  <c r="M238" i="26" s="1"/>
  <c r="P238" i="26" s="1"/>
  <c r="F236" i="26"/>
  <c r="M236" i="26" s="1"/>
  <c r="P236" i="26" s="1"/>
  <c r="F226" i="26"/>
  <c r="M226" i="26" s="1"/>
  <c r="P226" i="26" s="1"/>
  <c r="F232" i="26"/>
  <c r="M232" i="26" s="1"/>
  <c r="P232" i="26" s="1"/>
  <c r="F227" i="26"/>
  <c r="M227" i="26" s="1"/>
  <c r="P227" i="26" s="1"/>
  <c r="F230" i="26"/>
  <c r="M230" i="26" s="1"/>
  <c r="P230" i="26" s="1"/>
  <c r="F237" i="26"/>
  <c r="M237" i="26" s="1"/>
  <c r="P237" i="26" s="1"/>
  <c r="F233" i="26"/>
  <c r="M233" i="26" s="1"/>
  <c r="P233" i="26" s="1"/>
  <c r="F224" i="26"/>
  <c r="M224" i="26" s="1"/>
  <c r="P224" i="26" s="1"/>
  <c r="F229" i="26"/>
  <c r="M229" i="26" s="1"/>
  <c r="P229" i="26" s="1"/>
  <c r="F231" i="26"/>
  <c r="M231" i="26" s="1"/>
  <c r="P231" i="26" s="1"/>
  <c r="F222" i="26"/>
  <c r="M222" i="26" s="1"/>
  <c r="P222" i="26" s="1"/>
  <c r="F221" i="26"/>
  <c r="M221" i="26" s="1"/>
  <c r="P221" i="26" s="1"/>
  <c r="F235" i="26"/>
  <c r="M235" i="26" s="1"/>
  <c r="P235" i="26" s="1"/>
  <c r="F223" i="26"/>
  <c r="M223" i="26" s="1"/>
  <c r="P223" i="26" s="1"/>
  <c r="F228" i="26"/>
  <c r="M228" i="26" s="1"/>
  <c r="P228" i="26" s="1"/>
  <c r="F234" i="26"/>
  <c r="M234" i="26" s="1"/>
  <c r="P234" i="26" s="1"/>
  <c r="F225" i="26"/>
  <c r="M225" i="26" s="1"/>
  <c r="P225" i="26" s="1"/>
  <c r="AT91" i="8"/>
  <c r="AQ75" i="33"/>
  <c r="E57" i="3"/>
  <c r="B27" i="40" s="1"/>
  <c r="R47" i="4"/>
  <c r="V65" i="5"/>
  <c r="I43" i="40"/>
  <c r="AE123" i="10"/>
  <c r="AI95" i="12"/>
  <c r="AA83" i="30"/>
  <c r="H41" i="6"/>
  <c r="AO96" i="8"/>
  <c r="AM129" i="10"/>
  <c r="AE127" i="10"/>
  <c r="AA133" i="10"/>
  <c r="AE130" i="10"/>
  <c r="J28" i="9" l="1"/>
  <c r="L28" i="9" s="1"/>
  <c r="J47" i="10"/>
  <c r="L47" i="10" s="1"/>
  <c r="R47" i="10" s="1"/>
  <c r="J30" i="10"/>
  <c r="L30" i="10" s="1"/>
  <c r="J46" i="9"/>
  <c r="L46" i="9" s="1"/>
  <c r="AI118" i="9" s="1"/>
  <c r="AA111" i="14"/>
  <c r="AE114" i="14" s="1"/>
  <c r="AO124" i="10"/>
  <c r="AO119" i="9"/>
  <c r="AO123" i="9" s="1"/>
  <c r="AO127" i="9" s="1"/>
  <c r="AG75" i="31"/>
  <c r="L27" i="40"/>
  <c r="AI127" i="10"/>
  <c r="AK127" i="10" s="1"/>
  <c r="AO127" i="10"/>
  <c r="H38" i="7"/>
  <c r="L32" i="7"/>
  <c r="Z67" i="7"/>
  <c r="AD67" i="7" s="1"/>
  <c r="P34" i="7"/>
  <c r="L35" i="7"/>
  <c r="H28" i="7"/>
  <c r="AG80" i="31"/>
  <c r="AQ80" i="30"/>
  <c r="AK80" i="30"/>
  <c r="AQ100" i="8"/>
  <c r="I8" i="40"/>
  <c r="AA98" i="13"/>
  <c r="H32" i="6"/>
  <c r="AQ80" i="31"/>
  <c r="J18" i="40"/>
  <c r="I51" i="40"/>
  <c r="AO129" i="10"/>
  <c r="AM131" i="10"/>
  <c r="AM133" i="10" s="1"/>
  <c r="AI100" i="10"/>
  <c r="R30" i="10"/>
  <c r="AK95" i="12"/>
  <c r="H36" i="6"/>
  <c r="L40" i="13"/>
  <c r="P42" i="13"/>
  <c r="L43" i="13"/>
  <c r="R51" i="12"/>
  <c r="J19" i="40"/>
  <c r="AQ82" i="33"/>
  <c r="AE92" i="13"/>
  <c r="AE95" i="13"/>
  <c r="AM94" i="13"/>
  <c r="AE96" i="12"/>
  <c r="R53" i="12"/>
  <c r="P55" i="12"/>
  <c r="P57" i="12" s="1"/>
  <c r="P31" i="6" s="1"/>
  <c r="AA120" i="14"/>
  <c r="AM116" i="14"/>
  <c r="AE117" i="14"/>
  <c r="AI117" i="10"/>
  <c r="I11" i="40"/>
  <c r="AQ85" i="11"/>
  <c r="H22" i="4"/>
  <c r="C8" i="40" s="1"/>
  <c r="H26" i="5"/>
  <c r="AO103" i="9"/>
  <c r="R54" i="12"/>
  <c r="J45" i="40" s="1"/>
  <c r="R28" i="9"/>
  <c r="AI100" i="9"/>
  <c r="J8" i="40"/>
  <c r="AQ103" i="8"/>
  <c r="H65" i="9"/>
  <c r="P61" i="9"/>
  <c r="L59" i="9"/>
  <c r="L62" i="9"/>
  <c r="AA104" i="9"/>
  <c r="AE104" i="9" s="1"/>
  <c r="AE105" i="9" s="1"/>
  <c r="H27" i="4"/>
  <c r="H31" i="5"/>
  <c r="AT96" i="8"/>
  <c r="AT88" i="8" s="1"/>
  <c r="AO97" i="8"/>
  <c r="AE124" i="10"/>
  <c r="AE131" i="9"/>
  <c r="AE134" i="9"/>
  <c r="AM133" i="9"/>
  <c r="R60" i="10"/>
  <c r="J42" i="40" s="1"/>
  <c r="AK78" i="31"/>
  <c r="AE83" i="30"/>
  <c r="AG75" i="30" s="1"/>
  <c r="AK100" i="8"/>
  <c r="I50" i="40"/>
  <c r="P61" i="10"/>
  <c r="P63" i="10" s="1"/>
  <c r="P28" i="6" s="1"/>
  <c r="R59" i="10"/>
  <c r="D42" i="40" s="1"/>
  <c r="AG81" i="31"/>
  <c r="AG68" i="31"/>
  <c r="AG69" i="31"/>
  <c r="AG79" i="31"/>
  <c r="L42" i="5"/>
  <c r="J32" i="4"/>
  <c r="AG72" i="31"/>
  <c r="AG74" i="31"/>
  <c r="AG73" i="31"/>
  <c r="AO81" i="30"/>
  <c r="AO83" i="30" s="1"/>
  <c r="I17" i="40"/>
  <c r="K17" i="40" s="1"/>
  <c r="AK78" i="30"/>
  <c r="AQ78" i="30"/>
  <c r="I40" i="40"/>
  <c r="AE89" i="13"/>
  <c r="J11" i="40"/>
  <c r="AQ88" i="11"/>
  <c r="I12" i="40"/>
  <c r="AQ95" i="12"/>
  <c r="AO101" i="9"/>
  <c r="R57" i="10"/>
  <c r="AO81" i="31"/>
  <c r="I18" i="40"/>
  <c r="AQ78" i="31"/>
  <c r="AO88" i="13"/>
  <c r="AO89" i="13" s="1"/>
  <c r="P26" i="4"/>
  <c r="D12" i="40" s="1"/>
  <c r="E12" i="40" s="1"/>
  <c r="T30" i="5"/>
  <c r="AK80" i="33"/>
  <c r="AE123" i="9"/>
  <c r="AE86" i="11"/>
  <c r="AI130" i="10"/>
  <c r="AK130" i="10" s="1"/>
  <c r="AO130" i="10"/>
  <c r="AO110" i="14"/>
  <c r="P22" i="4"/>
  <c r="D8" i="40" s="1"/>
  <c r="T26" i="5"/>
  <c r="AQ98" i="12"/>
  <c r="J12" i="40"/>
  <c r="H44" i="6"/>
  <c r="AE114" i="12"/>
  <c r="AI114" i="12" s="1"/>
  <c r="AE117" i="12"/>
  <c r="AI117" i="12" s="1"/>
  <c r="AK117" i="12" s="1"/>
  <c r="AM116" i="12"/>
  <c r="AE85" i="33"/>
  <c r="H24" i="4"/>
  <c r="H28" i="5"/>
  <c r="H41" i="5"/>
  <c r="H31" i="4"/>
  <c r="P25" i="4"/>
  <c r="D11" i="40" s="1"/>
  <c r="E11" i="40" s="1"/>
  <c r="T29" i="5"/>
  <c r="AO110" i="12"/>
  <c r="AE111" i="12"/>
  <c r="I19" i="40"/>
  <c r="AO83" i="33"/>
  <c r="AQ80" i="33"/>
  <c r="L50" i="14"/>
  <c r="L53" i="14"/>
  <c r="P52" i="14"/>
  <c r="R46" i="9" l="1"/>
  <c r="AQ129" i="10"/>
  <c r="K18" i="40"/>
  <c r="K19" i="40"/>
  <c r="AO92" i="13"/>
  <c r="AM118" i="12"/>
  <c r="AM120" i="12" s="1"/>
  <c r="AO116" i="12"/>
  <c r="AQ116" i="12" s="1"/>
  <c r="AE109" i="9"/>
  <c r="J42" i="5"/>
  <c r="AO133" i="9"/>
  <c r="AQ133" i="9" s="1"/>
  <c r="AM135" i="9"/>
  <c r="AM137" i="9" s="1"/>
  <c r="D45" i="40"/>
  <c r="R40" i="13"/>
  <c r="AI92" i="13"/>
  <c r="R35" i="7"/>
  <c r="J38" i="40" s="1"/>
  <c r="AO134" i="9"/>
  <c r="AO104" i="9"/>
  <c r="AK117" i="10"/>
  <c r="AQ117" i="10"/>
  <c r="P36" i="7"/>
  <c r="P38" i="7" s="1"/>
  <c r="P21" i="6" s="1"/>
  <c r="P23" i="6" s="1"/>
  <c r="R34" i="7"/>
  <c r="AO131" i="9"/>
  <c r="R62" i="9"/>
  <c r="J41" i="40" s="1"/>
  <c r="AI134" i="9"/>
  <c r="AK134" i="9" s="1"/>
  <c r="AO96" i="12"/>
  <c r="AE99" i="12"/>
  <c r="AE101" i="12" s="1"/>
  <c r="AG96" i="12" s="1"/>
  <c r="AL75" i="7"/>
  <c r="AD73" i="7"/>
  <c r="AH73" i="7" s="1"/>
  <c r="Z69" i="7"/>
  <c r="Z79" i="7"/>
  <c r="AD76" i="7"/>
  <c r="AO111" i="14"/>
  <c r="AI117" i="14"/>
  <c r="AK117" i="14" s="1"/>
  <c r="AO117" i="14"/>
  <c r="AO85" i="33"/>
  <c r="I42" i="40"/>
  <c r="R52" i="14"/>
  <c r="D47" i="40" s="1"/>
  <c r="P54" i="14"/>
  <c r="P56" i="14" s="1"/>
  <c r="P36" i="6" s="1"/>
  <c r="P37" i="6" s="1"/>
  <c r="R59" i="9"/>
  <c r="AI131" i="9"/>
  <c r="AO117" i="12"/>
  <c r="P63" i="9"/>
  <c r="P65" i="9" s="1"/>
  <c r="P27" i="6" s="1"/>
  <c r="R61" i="9"/>
  <c r="AO94" i="13"/>
  <c r="AQ94" i="13" s="1"/>
  <c r="AM96" i="13"/>
  <c r="AM98" i="13" s="1"/>
  <c r="AK100" i="10"/>
  <c r="AQ100" i="10"/>
  <c r="R32" i="7"/>
  <c r="AO111" i="12"/>
  <c r="R53" i="14"/>
  <c r="J47" i="40" s="1"/>
  <c r="C10" i="40"/>
  <c r="R50" i="14"/>
  <c r="AG81" i="30"/>
  <c r="J31" i="4"/>
  <c r="L41" i="5"/>
  <c r="J41" i="5" s="1"/>
  <c r="AG69" i="30"/>
  <c r="AG68" i="30"/>
  <c r="AG79" i="30"/>
  <c r="AG72" i="30"/>
  <c r="AG73" i="30"/>
  <c r="AG78" i="30"/>
  <c r="AG80" i="30"/>
  <c r="AG74" i="30"/>
  <c r="AA137" i="9"/>
  <c r="H27" i="6"/>
  <c r="H33" i="6" s="1"/>
  <c r="AI114" i="14"/>
  <c r="AK114" i="14" s="1"/>
  <c r="AO114" i="14"/>
  <c r="AO95" i="13"/>
  <c r="T28" i="5"/>
  <c r="P24" i="4"/>
  <c r="D10" i="40" s="1"/>
  <c r="H28" i="4"/>
  <c r="H32" i="5"/>
  <c r="H21" i="6"/>
  <c r="R31" i="4"/>
  <c r="E41" i="3"/>
  <c r="V41" i="5"/>
  <c r="AE101" i="8"/>
  <c r="E8" i="40"/>
  <c r="AO116" i="14"/>
  <c r="AM118" i="14"/>
  <c r="AM120" i="14" s="1"/>
  <c r="H29" i="4"/>
  <c r="H36" i="5"/>
  <c r="I45" i="40"/>
  <c r="I10" i="40"/>
  <c r="AQ127" i="10"/>
  <c r="AE128" i="10"/>
  <c r="AO114" i="12"/>
  <c r="AK114" i="12"/>
  <c r="AO83" i="31"/>
  <c r="AK100" i="9"/>
  <c r="AQ100" i="9"/>
  <c r="H44" i="5"/>
  <c r="R43" i="13"/>
  <c r="J46" i="40" s="1"/>
  <c r="AI95" i="13"/>
  <c r="AK95" i="13" s="1"/>
  <c r="AG83" i="33"/>
  <c r="J33" i="4"/>
  <c r="AG71" i="33"/>
  <c r="L43" i="5"/>
  <c r="AG70" i="33"/>
  <c r="AG81" i="33"/>
  <c r="AG74" i="33"/>
  <c r="AG75" i="33"/>
  <c r="AG76" i="33"/>
  <c r="AG77" i="33"/>
  <c r="AG80" i="33"/>
  <c r="AG82" i="33"/>
  <c r="AE127" i="9"/>
  <c r="J10" i="40"/>
  <c r="AQ130" i="10"/>
  <c r="AO86" i="11"/>
  <c r="AE89" i="11"/>
  <c r="L32" i="4"/>
  <c r="C13" i="40"/>
  <c r="AK118" i="9"/>
  <c r="AQ118" i="9"/>
  <c r="P44" i="13"/>
  <c r="P46" i="13" s="1"/>
  <c r="P32" i="6" s="1"/>
  <c r="R42" i="13"/>
  <c r="H37" i="6"/>
  <c r="AQ116" i="14" l="1"/>
  <c r="AE93" i="13"/>
  <c r="AE96" i="13" s="1"/>
  <c r="AO105" i="9"/>
  <c r="AO109" i="9" s="1"/>
  <c r="AO128" i="9" s="1"/>
  <c r="E10" i="40"/>
  <c r="AK131" i="9"/>
  <c r="AN73" i="7"/>
  <c r="AP73" i="7" s="1"/>
  <c r="AE115" i="12"/>
  <c r="I41" i="40"/>
  <c r="AL77" i="7"/>
  <c r="AL79" i="7" s="1"/>
  <c r="AN75" i="7"/>
  <c r="AP75" i="7" s="1"/>
  <c r="T32" i="5"/>
  <c r="P28" i="4"/>
  <c r="D14" i="40" s="1"/>
  <c r="V43" i="5"/>
  <c r="R33" i="4"/>
  <c r="E43" i="3"/>
  <c r="AQ131" i="9"/>
  <c r="I9" i="40"/>
  <c r="J9" i="40"/>
  <c r="AQ134" i="9"/>
  <c r="J28" i="33"/>
  <c r="AE91" i="11"/>
  <c r="AG89" i="11" s="1"/>
  <c r="AO101" i="8"/>
  <c r="AE104" i="8"/>
  <c r="AE106" i="8" s="1"/>
  <c r="I15" i="40"/>
  <c r="AQ114" i="14"/>
  <c r="D41" i="40"/>
  <c r="AQ117" i="14"/>
  <c r="J15" i="40"/>
  <c r="AG99" i="12"/>
  <c r="L30" i="5"/>
  <c r="AG86" i="12"/>
  <c r="AG88" i="12"/>
  <c r="J26" i="4"/>
  <c r="AG91" i="12"/>
  <c r="AG95" i="12"/>
  <c r="AG92" i="12"/>
  <c r="AG98" i="12"/>
  <c r="B17" i="40"/>
  <c r="L17" i="40" s="1"/>
  <c r="AO89" i="11"/>
  <c r="H11" i="40"/>
  <c r="K11" i="40" s="1"/>
  <c r="L33" i="4"/>
  <c r="L44" i="5"/>
  <c r="N43" i="5" s="1"/>
  <c r="AJ73" i="7"/>
  <c r="D38" i="40"/>
  <c r="AE128" i="9"/>
  <c r="V42" i="5"/>
  <c r="R32" i="4"/>
  <c r="E42" i="3"/>
  <c r="B18" i="40" s="1"/>
  <c r="L18" i="40" s="1"/>
  <c r="I47" i="40"/>
  <c r="P27" i="4"/>
  <c r="D13" i="40" s="1"/>
  <c r="E13" i="40" s="1"/>
  <c r="T31" i="5"/>
  <c r="D46" i="40"/>
  <c r="P33" i="6"/>
  <c r="H37" i="5"/>
  <c r="H23" i="6"/>
  <c r="H27" i="5"/>
  <c r="H23" i="4"/>
  <c r="AH76" i="7"/>
  <c r="AN76" i="7"/>
  <c r="J6" i="40" s="1"/>
  <c r="H12" i="40"/>
  <c r="K12" i="40" s="1"/>
  <c r="AO99" i="12"/>
  <c r="I46" i="40"/>
  <c r="L31" i="4"/>
  <c r="I13" i="40"/>
  <c r="AQ114" i="12"/>
  <c r="C15" i="40"/>
  <c r="J28" i="31"/>
  <c r="J28" i="30"/>
  <c r="H20" i="4"/>
  <c r="H21" i="5"/>
  <c r="AK92" i="13"/>
  <c r="AQ92" i="13"/>
  <c r="I14" i="40"/>
  <c r="J43" i="5"/>
  <c r="I38" i="40"/>
  <c r="AE115" i="14"/>
  <c r="AO128" i="10"/>
  <c r="AE131" i="10"/>
  <c r="T36" i="5"/>
  <c r="T37" i="5" s="1"/>
  <c r="P29" i="4"/>
  <c r="D15" i="40" s="1"/>
  <c r="C14" i="40"/>
  <c r="AQ95" i="13"/>
  <c r="J14" i="40"/>
  <c r="AQ117" i="12"/>
  <c r="J13" i="40"/>
  <c r="AD69" i="7"/>
  <c r="AN67" i="7"/>
  <c r="AN69" i="7" s="1"/>
  <c r="P23" i="4"/>
  <c r="D9" i="40" s="1"/>
  <c r="T27" i="5"/>
  <c r="AE132" i="9" l="1"/>
  <c r="AO132" i="9" s="1"/>
  <c r="AO135" i="9" s="1"/>
  <c r="AO137" i="9" s="1"/>
  <c r="V27" i="5" s="1"/>
  <c r="AO93" i="13"/>
  <c r="AO96" i="13" s="1"/>
  <c r="AO98" i="13" s="1"/>
  <c r="E14" i="40"/>
  <c r="E15" i="40"/>
  <c r="V44" i="5"/>
  <c r="L28" i="30"/>
  <c r="N40" i="5"/>
  <c r="N42" i="5"/>
  <c r="L28" i="33"/>
  <c r="L28" i="31"/>
  <c r="C9" i="40"/>
  <c r="E9" i="40" s="1"/>
  <c r="B19" i="40"/>
  <c r="L19" i="40" s="1"/>
  <c r="AE133" i="10"/>
  <c r="AG131" i="10" s="1"/>
  <c r="H33" i="5"/>
  <c r="AG104" i="8"/>
  <c r="AG80" i="8"/>
  <c r="AG82" i="8"/>
  <c r="AG81" i="8"/>
  <c r="J22" i="4"/>
  <c r="L26" i="5"/>
  <c r="AG83" i="8"/>
  <c r="AG94" i="8"/>
  <c r="AG86" i="8"/>
  <c r="AG91" i="8"/>
  <c r="AG87" i="8"/>
  <c r="AG95" i="8"/>
  <c r="AG88" i="8"/>
  <c r="AG93" i="8"/>
  <c r="AG96" i="8"/>
  <c r="AG92" i="8"/>
  <c r="AG100" i="8"/>
  <c r="AG103" i="8"/>
  <c r="AG97" i="8"/>
  <c r="AE98" i="13"/>
  <c r="AG96" i="13" s="1"/>
  <c r="AO91" i="11"/>
  <c r="AG101" i="8"/>
  <c r="I6" i="40"/>
  <c r="I28" i="40" s="1"/>
  <c r="AJ76" i="7"/>
  <c r="AP76" i="7"/>
  <c r="AO101" i="12"/>
  <c r="H8" i="40"/>
  <c r="K8" i="40" s="1"/>
  <c r="AO104" i="8"/>
  <c r="AO115" i="14"/>
  <c r="AE118" i="14"/>
  <c r="H23" i="5"/>
  <c r="AO115" i="12"/>
  <c r="AE118" i="12"/>
  <c r="J30" i="5"/>
  <c r="C6" i="40"/>
  <c r="E44" i="3"/>
  <c r="L26" i="4"/>
  <c r="H10" i="40"/>
  <c r="K10" i="40" s="1"/>
  <c r="AO131" i="10"/>
  <c r="AO133" i="10" s="1"/>
  <c r="T33" i="5"/>
  <c r="AD74" i="7"/>
  <c r="I60" i="40"/>
  <c r="N41" i="5"/>
  <c r="AG78" i="11"/>
  <c r="AG75" i="11"/>
  <c r="AG74" i="11"/>
  <c r="AG73" i="11"/>
  <c r="J25" i="4"/>
  <c r="AG72" i="11"/>
  <c r="L29" i="5"/>
  <c r="AG81" i="11"/>
  <c r="AG82" i="11"/>
  <c r="AG88" i="11"/>
  <c r="AG85" i="11"/>
  <c r="AG86" i="11"/>
  <c r="P20" i="4"/>
  <c r="T21" i="5"/>
  <c r="T23" i="5" s="1"/>
  <c r="J44" i="5"/>
  <c r="J26" i="7" l="1"/>
  <c r="G21" i="26" s="1"/>
  <c r="AE135" i="9"/>
  <c r="AE137" i="9" s="1"/>
  <c r="AG128" i="9" s="1"/>
  <c r="H14" i="40"/>
  <c r="K14" i="40" s="1"/>
  <c r="E27" i="3"/>
  <c r="B9" i="40" s="1"/>
  <c r="H9" i="40"/>
  <c r="K9" i="40" s="1"/>
  <c r="R23" i="4"/>
  <c r="J28" i="29"/>
  <c r="L28" i="29" s="1"/>
  <c r="AE120" i="12"/>
  <c r="AG94" i="10"/>
  <c r="AG95" i="10"/>
  <c r="AG110" i="10"/>
  <c r="L28" i="5"/>
  <c r="AG111" i="10"/>
  <c r="AG112" i="10"/>
  <c r="J24" i="4"/>
  <c r="AG93" i="10"/>
  <c r="AG99" i="10"/>
  <c r="AG116" i="10"/>
  <c r="AG122" i="10"/>
  <c r="AG105" i="10"/>
  <c r="AG121" i="10"/>
  <c r="AG104" i="10"/>
  <c r="AG115" i="10"/>
  <c r="AG98" i="10"/>
  <c r="AG100" i="10"/>
  <c r="AG117" i="10"/>
  <c r="AG101" i="10"/>
  <c r="AG118" i="10"/>
  <c r="AG106" i="10"/>
  <c r="AG127" i="10"/>
  <c r="AG123" i="10"/>
  <c r="AG130" i="10"/>
  <c r="AG124" i="10"/>
  <c r="AG128" i="10"/>
  <c r="R26" i="4"/>
  <c r="V30" i="5"/>
  <c r="E30" i="3"/>
  <c r="L30" i="31"/>
  <c r="L31" i="31" s="1"/>
  <c r="AI72" i="31"/>
  <c r="R28" i="31"/>
  <c r="R30" i="31" s="1"/>
  <c r="R31" i="31" s="1"/>
  <c r="AE120" i="14"/>
  <c r="H13" i="40"/>
  <c r="K13" i="40" s="1"/>
  <c r="AO118" i="12"/>
  <c r="J26" i="5"/>
  <c r="V28" i="5"/>
  <c r="E28" i="3"/>
  <c r="AN74" i="7"/>
  <c r="AD77" i="7"/>
  <c r="L22" i="4"/>
  <c r="E32" i="3"/>
  <c r="V32" i="5"/>
  <c r="R28" i="4"/>
  <c r="AI72" i="30"/>
  <c r="L30" i="30"/>
  <c r="R28" i="30"/>
  <c r="R30" i="30" s="1"/>
  <c r="R31" i="30" s="1"/>
  <c r="R25" i="4"/>
  <c r="E29" i="3"/>
  <c r="V29" i="5"/>
  <c r="J29" i="5"/>
  <c r="AG93" i="13"/>
  <c r="AG76" i="13"/>
  <c r="AG77" i="13"/>
  <c r="AG78" i="13"/>
  <c r="L32" i="5"/>
  <c r="J28" i="4"/>
  <c r="AG81" i="13"/>
  <c r="AG86" i="13"/>
  <c r="AG87" i="13"/>
  <c r="AG82" i="13"/>
  <c r="AG85" i="13"/>
  <c r="AG88" i="13"/>
  <c r="AG95" i="13"/>
  <c r="AG92" i="13"/>
  <c r="AG89" i="13"/>
  <c r="L25" i="4"/>
  <c r="R28" i="33"/>
  <c r="R30" i="33" s="1"/>
  <c r="R31" i="33" s="1"/>
  <c r="L30" i="33"/>
  <c r="AI74" i="33"/>
  <c r="H15" i="40"/>
  <c r="K15" i="40" s="1"/>
  <c r="AO118" i="14"/>
  <c r="G26" i="26"/>
  <c r="G20" i="26"/>
  <c r="G24" i="26"/>
  <c r="I9" i="27"/>
  <c r="L9" i="27" s="1"/>
  <c r="G23" i="26"/>
  <c r="I7" i="27"/>
  <c r="L7" i="27" s="1"/>
  <c r="I10" i="27"/>
  <c r="L10" i="27" s="1"/>
  <c r="I12" i="27"/>
  <c r="L12" i="27" s="1"/>
  <c r="I8" i="27"/>
  <c r="L8" i="27" s="1"/>
  <c r="I13" i="27"/>
  <c r="L13" i="27" s="1"/>
  <c r="I11" i="27"/>
  <c r="L11" i="27" s="1"/>
  <c r="L26" i="7"/>
  <c r="AO106" i="8"/>
  <c r="D6" i="40"/>
  <c r="G22" i="26" l="1"/>
  <c r="G25" i="26"/>
  <c r="N25" i="26" s="1"/>
  <c r="Q25" i="26" s="1"/>
  <c r="R25" i="26" s="1"/>
  <c r="AG121" i="9"/>
  <c r="AG114" i="9"/>
  <c r="AG98" i="9"/>
  <c r="AG122" i="9"/>
  <c r="AG116" i="9"/>
  <c r="AG100" i="9"/>
  <c r="AG99" i="9"/>
  <c r="AG117" i="9"/>
  <c r="AG125" i="9"/>
  <c r="AG109" i="9"/>
  <c r="AG127" i="9"/>
  <c r="AG123" i="9"/>
  <c r="AG105" i="9"/>
  <c r="AG104" i="9"/>
  <c r="AG108" i="9"/>
  <c r="AG107" i="9"/>
  <c r="AG119" i="9"/>
  <c r="AG113" i="9"/>
  <c r="AG95" i="9"/>
  <c r="AG135" i="9"/>
  <c r="AG118" i="9"/>
  <c r="AG132" i="9"/>
  <c r="AG134" i="9"/>
  <c r="AG103" i="9"/>
  <c r="AG101" i="9"/>
  <c r="AG96" i="9"/>
  <c r="AG131" i="9"/>
  <c r="AG126" i="9"/>
  <c r="L27" i="5"/>
  <c r="J27" i="5" s="1"/>
  <c r="J23" i="4"/>
  <c r="L23" i="4" s="1"/>
  <c r="L9" i="40"/>
  <c r="AQ72" i="30"/>
  <c r="AI74" i="30"/>
  <c r="AK72" i="30"/>
  <c r="AI74" i="31"/>
  <c r="AK72" i="31"/>
  <c r="AQ72" i="31"/>
  <c r="AG118" i="12"/>
  <c r="AG106" i="12"/>
  <c r="J27" i="4"/>
  <c r="L31" i="5"/>
  <c r="AG109" i="12"/>
  <c r="AG110" i="12"/>
  <c r="AG111" i="12"/>
  <c r="AG117" i="12"/>
  <c r="AG114" i="12"/>
  <c r="AG115" i="12"/>
  <c r="AO120" i="14"/>
  <c r="H21" i="26"/>
  <c r="I21" i="26" s="1"/>
  <c r="N21" i="26"/>
  <c r="Q21" i="26" s="1"/>
  <c r="R21" i="26" s="1"/>
  <c r="AO120" i="12"/>
  <c r="R22" i="4"/>
  <c r="E26" i="3"/>
  <c r="V26" i="5"/>
  <c r="H23" i="26"/>
  <c r="I23" i="26" s="1"/>
  <c r="N23" i="26"/>
  <c r="Q23" i="26" s="1"/>
  <c r="R23" i="26" s="1"/>
  <c r="L28" i="4"/>
  <c r="B14" i="40"/>
  <c r="L14" i="40" s="1"/>
  <c r="J34" i="13"/>
  <c r="L34" i="13" s="1"/>
  <c r="J32" i="5"/>
  <c r="R24" i="4"/>
  <c r="L24" i="4"/>
  <c r="R26" i="7"/>
  <c r="R28" i="7" s="1"/>
  <c r="L33" i="7" s="1"/>
  <c r="L28" i="7"/>
  <c r="AH67" i="7"/>
  <c r="N24" i="26"/>
  <c r="Q24" i="26" s="1"/>
  <c r="H24" i="26"/>
  <c r="AI76" i="33"/>
  <c r="AK74" i="33"/>
  <c r="AQ74" i="33"/>
  <c r="J29" i="4"/>
  <c r="AG99" i="14"/>
  <c r="AG85" i="14"/>
  <c r="L36" i="5"/>
  <c r="AG103" i="14"/>
  <c r="AG102" i="14"/>
  <c r="AG89" i="14"/>
  <c r="AG108" i="14"/>
  <c r="AG88" i="14"/>
  <c r="AG94" i="14"/>
  <c r="AG93" i="14"/>
  <c r="AG90" i="14"/>
  <c r="AG107" i="14"/>
  <c r="AG104" i="14"/>
  <c r="AG109" i="14"/>
  <c r="AG110" i="14"/>
  <c r="AG96" i="14"/>
  <c r="AG95" i="14"/>
  <c r="AG111" i="14"/>
  <c r="AG117" i="14"/>
  <c r="AG114" i="14"/>
  <c r="AG115" i="14"/>
  <c r="B12" i="40"/>
  <c r="L12" i="40" s="1"/>
  <c r="H22" i="26"/>
  <c r="I22" i="26" s="1"/>
  <c r="N22" i="26"/>
  <c r="Q22" i="26" s="1"/>
  <c r="R22" i="26" s="1"/>
  <c r="N20" i="26"/>
  <c r="Q20" i="26" s="1"/>
  <c r="R20" i="26" s="1"/>
  <c r="H20" i="26"/>
  <c r="I20" i="26" s="1"/>
  <c r="L31" i="33"/>
  <c r="B11" i="40"/>
  <c r="L11" i="40" s="1"/>
  <c r="AD79" i="7"/>
  <c r="AG118" i="14"/>
  <c r="J29" i="13"/>
  <c r="L29" i="13" s="1"/>
  <c r="J28" i="5"/>
  <c r="L35" i="33"/>
  <c r="H6" i="40"/>
  <c r="AN77" i="7"/>
  <c r="B10" i="40"/>
  <c r="L10" i="40" s="1"/>
  <c r="L35" i="30"/>
  <c r="AI72" i="29"/>
  <c r="AI74" i="29" s="1"/>
  <c r="AI75" i="29" s="1"/>
  <c r="AI82" i="29" s="1"/>
  <c r="P40" i="5" s="1"/>
  <c r="R28" i="29"/>
  <c r="R30" i="29" s="1"/>
  <c r="R31" i="29" s="1"/>
  <c r="R38" i="29" s="1"/>
  <c r="L30" i="29"/>
  <c r="L31" i="29" s="1"/>
  <c r="L38" i="29" s="1"/>
  <c r="L40" i="6" s="1"/>
  <c r="N26" i="26"/>
  <c r="Q26" i="26" s="1"/>
  <c r="R26" i="26" s="1"/>
  <c r="H26" i="26"/>
  <c r="I26" i="26" s="1"/>
  <c r="E6" i="40"/>
  <c r="L31" i="30"/>
  <c r="L35" i="31"/>
  <c r="H25" i="26" l="1"/>
  <c r="I25" i="26" s="1"/>
  <c r="J33" i="11"/>
  <c r="J28" i="12"/>
  <c r="AN79" i="7"/>
  <c r="E21" i="3" s="1"/>
  <c r="AP67" i="7"/>
  <c r="AJ67" i="7"/>
  <c r="AH69" i="7"/>
  <c r="B8" i="40"/>
  <c r="L8" i="40" s="1"/>
  <c r="J31" i="5"/>
  <c r="L37" i="5"/>
  <c r="J36" i="5"/>
  <c r="X40" i="5"/>
  <c r="R40" i="5"/>
  <c r="R34" i="13"/>
  <c r="AI86" i="13"/>
  <c r="R27" i="4"/>
  <c r="L27" i="4"/>
  <c r="R40" i="6"/>
  <c r="G40" i="3"/>
  <c r="K6" i="40"/>
  <c r="L30" i="13"/>
  <c r="AI81" i="13"/>
  <c r="R29" i="13"/>
  <c r="R30" i="13" s="1"/>
  <c r="AH74" i="7"/>
  <c r="R33" i="7"/>
  <c r="L36" i="7"/>
  <c r="L38" i="7" s="1"/>
  <c r="L29" i="4"/>
  <c r="V36" i="5"/>
  <c r="V37" i="5" s="1"/>
  <c r="E36" i="3"/>
  <c r="R29" i="4"/>
  <c r="AI79" i="30"/>
  <c r="R35" i="30"/>
  <c r="L37" i="30"/>
  <c r="L39" i="30" s="1"/>
  <c r="J33" i="13"/>
  <c r="AF64" i="7"/>
  <c r="L21" i="5"/>
  <c r="AF72" i="7"/>
  <c r="J20" i="4"/>
  <c r="AF76" i="7"/>
  <c r="AF67" i="7"/>
  <c r="AF73" i="7"/>
  <c r="AF69" i="7"/>
  <c r="AF74" i="7"/>
  <c r="J35" i="13"/>
  <c r="L35" i="13" s="1"/>
  <c r="AF77" i="7"/>
  <c r="E31" i="3"/>
  <c r="E33" i="3" s="1"/>
  <c r="V31" i="5"/>
  <c r="V33" i="5" s="1"/>
  <c r="AI75" i="31"/>
  <c r="AK74" i="31"/>
  <c r="AQ74" i="31"/>
  <c r="AQ74" i="30"/>
  <c r="AK74" i="30"/>
  <c r="AI75" i="30"/>
  <c r="R35" i="31"/>
  <c r="AI79" i="31"/>
  <c r="L37" i="31"/>
  <c r="I24" i="26"/>
  <c r="R24" i="26"/>
  <c r="S24" i="26"/>
  <c r="R35" i="33"/>
  <c r="AI81" i="33"/>
  <c r="L37" i="33"/>
  <c r="AI77" i="33"/>
  <c r="AK76" i="33"/>
  <c r="AQ76" i="33"/>
  <c r="L33" i="5"/>
  <c r="J31" i="8" l="1"/>
  <c r="L28" i="12"/>
  <c r="J43" i="12"/>
  <c r="L43" i="12" s="1"/>
  <c r="L33" i="11"/>
  <c r="O45" i="27"/>
  <c r="R45" i="27" s="1"/>
  <c r="G78" i="26"/>
  <c r="O47" i="27"/>
  <c r="R47" i="27" s="1"/>
  <c r="G77" i="26"/>
  <c r="G76" i="26"/>
  <c r="O46" i="27"/>
  <c r="R46" i="27" s="1"/>
  <c r="V21" i="5"/>
  <c r="V23" i="5" s="1"/>
  <c r="R20" i="4"/>
  <c r="N36" i="7"/>
  <c r="N31" i="7"/>
  <c r="N23" i="7"/>
  <c r="L21" i="6"/>
  <c r="N34" i="7"/>
  <c r="N32" i="7"/>
  <c r="N35" i="7"/>
  <c r="N26" i="7"/>
  <c r="N33" i="7"/>
  <c r="N28" i="7"/>
  <c r="N37" i="30"/>
  <c r="L41" i="6"/>
  <c r="N25" i="30"/>
  <c r="M34" i="30"/>
  <c r="N24" i="30"/>
  <c r="N29" i="30"/>
  <c r="N36" i="30"/>
  <c r="N34" i="30"/>
  <c r="N28" i="30"/>
  <c r="N30" i="30"/>
  <c r="J27" i="9"/>
  <c r="I40" i="3"/>
  <c r="AI87" i="13"/>
  <c r="R35" i="13"/>
  <c r="G168" i="26"/>
  <c r="G164" i="26"/>
  <c r="G165" i="26"/>
  <c r="G155" i="26"/>
  <c r="G154" i="26"/>
  <c r="G156" i="26"/>
  <c r="G159" i="26"/>
  <c r="G171" i="26"/>
  <c r="G174" i="26"/>
  <c r="G153" i="26"/>
  <c r="G163" i="26"/>
  <c r="G157" i="26"/>
  <c r="G160" i="26"/>
  <c r="G172" i="26"/>
  <c r="G169" i="26"/>
  <c r="G175" i="26"/>
  <c r="G173" i="26"/>
  <c r="G167" i="26"/>
  <c r="G161" i="26"/>
  <c r="G162" i="26"/>
  <c r="G152" i="26"/>
  <c r="G170" i="26"/>
  <c r="G158" i="26"/>
  <c r="G166" i="26"/>
  <c r="L33" i="13"/>
  <c r="N35" i="30"/>
  <c r="J44" i="9"/>
  <c r="L31" i="8"/>
  <c r="M27" i="27"/>
  <c r="M33" i="27"/>
  <c r="M31" i="27"/>
  <c r="M26" i="27"/>
  <c r="M24" i="27"/>
  <c r="M30" i="27"/>
  <c r="M36" i="27"/>
  <c r="M34" i="27"/>
  <c r="M32" i="27"/>
  <c r="M40" i="27"/>
  <c r="M41" i="27"/>
  <c r="M28" i="27"/>
  <c r="M35" i="27"/>
  <c r="M39" i="27"/>
  <c r="M37" i="27"/>
  <c r="M29" i="27"/>
  <c r="M38" i="27"/>
  <c r="M25" i="27"/>
  <c r="R37" i="30"/>
  <c r="R39" i="30" s="1"/>
  <c r="H49" i="40"/>
  <c r="K49" i="40" s="1"/>
  <c r="J31" i="9"/>
  <c r="AK75" i="31"/>
  <c r="AQ75" i="31"/>
  <c r="J32" i="9"/>
  <c r="J26" i="9"/>
  <c r="B13" i="40"/>
  <c r="L13" i="40" s="1"/>
  <c r="E37" i="3"/>
  <c r="B15" i="40"/>
  <c r="L15" i="40" s="1"/>
  <c r="J45" i="9"/>
  <c r="AI82" i="13"/>
  <c r="AK81" i="13"/>
  <c r="AQ81" i="13"/>
  <c r="N36" i="5"/>
  <c r="J37" i="5"/>
  <c r="AJ74" i="7"/>
  <c r="AP74" i="7"/>
  <c r="AH77" i="7"/>
  <c r="AP77" i="7" s="1"/>
  <c r="L39" i="31"/>
  <c r="N37" i="31" s="1"/>
  <c r="L20" i="4"/>
  <c r="J25" i="14"/>
  <c r="L25" i="14" s="1"/>
  <c r="H38" i="40"/>
  <c r="H1" i="40" s="1"/>
  <c r="R36" i="7"/>
  <c r="R38" i="7" s="1"/>
  <c r="AK77" i="33"/>
  <c r="AQ77" i="33"/>
  <c r="L23" i="5"/>
  <c r="J21" i="5"/>
  <c r="AJ69" i="7"/>
  <c r="AP69" i="7"/>
  <c r="AI81" i="30"/>
  <c r="AQ79" i="30"/>
  <c r="AK79" i="30"/>
  <c r="AQ79" i="31"/>
  <c r="AK79" i="31"/>
  <c r="AI81" i="31"/>
  <c r="N30" i="5"/>
  <c r="N26" i="5"/>
  <c r="J33" i="5"/>
  <c r="N29" i="5"/>
  <c r="N28" i="5"/>
  <c r="N32" i="5"/>
  <c r="N27" i="5"/>
  <c r="H50" i="40"/>
  <c r="K50" i="40" s="1"/>
  <c r="R37" i="31"/>
  <c r="R39" i="31" s="1"/>
  <c r="AQ75" i="30"/>
  <c r="AK75" i="30"/>
  <c r="B6" i="40"/>
  <c r="E23" i="3"/>
  <c r="AK86" i="13"/>
  <c r="AQ86" i="13"/>
  <c r="L39" i="33"/>
  <c r="J24" i="14"/>
  <c r="L24" i="14" s="1"/>
  <c r="AK81" i="33"/>
  <c r="AQ81" i="33"/>
  <c r="AI83" i="33"/>
  <c r="J38" i="14"/>
  <c r="L38" i="14" s="1"/>
  <c r="N31" i="30"/>
  <c r="H51" i="40"/>
  <c r="K51" i="40" s="1"/>
  <c r="R37" i="33"/>
  <c r="R39" i="33" s="1"/>
  <c r="N31" i="5"/>
  <c r="J46" i="12" l="1"/>
  <c r="L46" i="12" s="1"/>
  <c r="J35" i="9"/>
  <c r="J34" i="10" s="1"/>
  <c r="L34" i="10" s="1"/>
  <c r="R43" i="12"/>
  <c r="AI106" i="12"/>
  <c r="N76" i="26"/>
  <c r="Q76" i="26" s="1"/>
  <c r="R76" i="26" s="1"/>
  <c r="H76" i="26"/>
  <c r="N77" i="26"/>
  <c r="Q77" i="26" s="1"/>
  <c r="R77" i="26" s="1"/>
  <c r="H77" i="26"/>
  <c r="I77" i="26" s="1"/>
  <c r="R46" i="12"/>
  <c r="AI109" i="12"/>
  <c r="N78" i="26"/>
  <c r="Q78" i="26" s="1"/>
  <c r="R78" i="26" s="1"/>
  <c r="H78" i="26"/>
  <c r="I78" i="26" s="1"/>
  <c r="R28" i="12"/>
  <c r="R29" i="12" s="1"/>
  <c r="L29" i="12"/>
  <c r="AI91" i="12"/>
  <c r="L34" i="11"/>
  <c r="AI81" i="11"/>
  <c r="R33" i="11"/>
  <c r="R34" i="11" s="1"/>
  <c r="J53" i="9"/>
  <c r="L53" i="9" s="1"/>
  <c r="AH79" i="7"/>
  <c r="AP79" i="7" s="1"/>
  <c r="B51" i="40"/>
  <c r="L51" i="40" s="1"/>
  <c r="R43" i="6"/>
  <c r="G43" i="3"/>
  <c r="I43" i="3" s="1"/>
  <c r="N24" i="33"/>
  <c r="L43" i="6"/>
  <c r="N25" i="33"/>
  <c r="N29" i="33"/>
  <c r="N34" i="33"/>
  <c r="N36" i="33"/>
  <c r="N28" i="33"/>
  <c r="N30" i="33"/>
  <c r="N35" i="33"/>
  <c r="N31" i="33"/>
  <c r="AQ81" i="30"/>
  <c r="AI83" i="30"/>
  <c r="AK81" i="30"/>
  <c r="R21" i="6"/>
  <c r="R23" i="6" s="1"/>
  <c r="B38" i="40"/>
  <c r="G21" i="3"/>
  <c r="J45" i="10"/>
  <c r="L45" i="10" s="1"/>
  <c r="L44" i="9"/>
  <c r="H167" i="26"/>
  <c r="I167" i="26" s="1"/>
  <c r="N167" i="26"/>
  <c r="Q167" i="26" s="1"/>
  <c r="R167" i="26" s="1"/>
  <c r="H156" i="26"/>
  <c r="I156" i="26" s="1"/>
  <c r="N156" i="26"/>
  <c r="Q156" i="26" s="1"/>
  <c r="R156" i="26" s="1"/>
  <c r="J29" i="10"/>
  <c r="L29" i="10" s="1"/>
  <c r="L27" i="9"/>
  <c r="K38" i="40"/>
  <c r="L31" i="9"/>
  <c r="J49" i="9"/>
  <c r="L49" i="9" s="1"/>
  <c r="N173" i="26"/>
  <c r="Q173" i="26" s="1"/>
  <c r="R173" i="26" s="1"/>
  <c r="H173" i="26"/>
  <c r="I173" i="26" s="1"/>
  <c r="N154" i="26"/>
  <c r="Q154" i="26" s="1"/>
  <c r="R154" i="26" s="1"/>
  <c r="H154" i="26"/>
  <c r="I154" i="26" s="1"/>
  <c r="AI88" i="14"/>
  <c r="R24" i="14"/>
  <c r="L26" i="14"/>
  <c r="N21" i="5"/>
  <c r="J23" i="5"/>
  <c r="N30" i="31"/>
  <c r="N25" i="31"/>
  <c r="N24" i="31"/>
  <c r="L42" i="6"/>
  <c r="N29" i="31"/>
  <c r="N34" i="31"/>
  <c r="N36" i="31"/>
  <c r="N28" i="31"/>
  <c r="N31" i="31"/>
  <c r="N35" i="31"/>
  <c r="N175" i="26"/>
  <c r="Q175" i="26" s="1"/>
  <c r="R175" i="26" s="1"/>
  <c r="H175" i="26"/>
  <c r="I175" i="26" s="1"/>
  <c r="N155" i="26"/>
  <c r="Q155" i="26" s="1"/>
  <c r="R155" i="26" s="1"/>
  <c r="H155" i="26"/>
  <c r="I155" i="26" s="1"/>
  <c r="B50" i="40"/>
  <c r="L50" i="40" s="1"/>
  <c r="G42" i="3"/>
  <c r="I42" i="3" s="1"/>
  <c r="R42" i="6"/>
  <c r="N169" i="26"/>
  <c r="Q169" i="26" s="1"/>
  <c r="R169" i="26" s="1"/>
  <c r="H169" i="26"/>
  <c r="I169" i="26" s="1"/>
  <c r="N165" i="26"/>
  <c r="Q165" i="26" s="1"/>
  <c r="R165" i="26" s="1"/>
  <c r="H165" i="26"/>
  <c r="H158" i="26"/>
  <c r="I158" i="26" s="1"/>
  <c r="N158" i="26"/>
  <c r="Q158" i="26" s="1"/>
  <c r="R158" i="26" s="1"/>
  <c r="AQ82" i="13"/>
  <c r="AK82" i="13"/>
  <c r="L6" i="40"/>
  <c r="J50" i="9"/>
  <c r="L50" i="9" s="1"/>
  <c r="L32" i="9"/>
  <c r="R41" i="6"/>
  <c r="B49" i="40"/>
  <c r="L49" i="40" s="1"/>
  <c r="G41" i="3"/>
  <c r="N172" i="26"/>
  <c r="Q172" i="26" s="1"/>
  <c r="R172" i="26" s="1"/>
  <c r="H172" i="26"/>
  <c r="I172" i="26" s="1"/>
  <c r="H164" i="26"/>
  <c r="I164" i="26" s="1"/>
  <c r="N164" i="26"/>
  <c r="Q164" i="26" s="1"/>
  <c r="R164" i="26" s="1"/>
  <c r="R38" i="14"/>
  <c r="AI102" i="14"/>
  <c r="AK81" i="31"/>
  <c r="AI83" i="31"/>
  <c r="AQ81" i="31"/>
  <c r="J46" i="10"/>
  <c r="L46" i="10" s="1"/>
  <c r="L45" i="9"/>
  <c r="AI85" i="13"/>
  <c r="L36" i="13"/>
  <c r="R33" i="13"/>
  <c r="N160" i="26"/>
  <c r="Q160" i="26" s="1"/>
  <c r="R160" i="26" s="1"/>
  <c r="H160" i="26"/>
  <c r="I160" i="26" s="1"/>
  <c r="N168" i="26"/>
  <c r="Q168" i="26" s="1"/>
  <c r="R168" i="26" s="1"/>
  <c r="H168" i="26"/>
  <c r="I168" i="26" s="1"/>
  <c r="AI85" i="33"/>
  <c r="AK83" i="33"/>
  <c r="AQ83" i="33"/>
  <c r="J39" i="14"/>
  <c r="L39" i="14" s="1"/>
  <c r="L40" i="14" s="1"/>
  <c r="N166" i="26"/>
  <c r="Q166" i="26" s="1"/>
  <c r="R166" i="26" s="1"/>
  <c r="H166" i="26"/>
  <c r="I166" i="26" s="1"/>
  <c r="N157" i="26"/>
  <c r="Q157" i="26" s="1"/>
  <c r="R157" i="26" s="1"/>
  <c r="H157" i="26"/>
  <c r="I157" i="26" s="1"/>
  <c r="L23" i="6"/>
  <c r="N21" i="6" s="1"/>
  <c r="J21" i="6"/>
  <c r="H170" i="26"/>
  <c r="I170" i="26" s="1"/>
  <c r="N170" i="26"/>
  <c r="Q170" i="26" s="1"/>
  <c r="R170" i="26" s="1"/>
  <c r="N153" i="26"/>
  <c r="Q153" i="26" s="1"/>
  <c r="R153" i="26" s="1"/>
  <c r="H153" i="26"/>
  <c r="I153" i="26" s="1"/>
  <c r="N152" i="26"/>
  <c r="Q152" i="26" s="1"/>
  <c r="R152" i="26" s="1"/>
  <c r="H152" i="26"/>
  <c r="I152" i="26" s="1"/>
  <c r="H174" i="26"/>
  <c r="I174" i="26" s="1"/>
  <c r="N174" i="26"/>
  <c r="Q174" i="26" s="1"/>
  <c r="R174" i="26" s="1"/>
  <c r="J41" i="6"/>
  <c r="R25" i="14"/>
  <c r="AI89" i="14"/>
  <c r="N163" i="26"/>
  <c r="Q163" i="26" s="1"/>
  <c r="R163" i="26" s="1"/>
  <c r="H163" i="26"/>
  <c r="I163" i="26" s="1"/>
  <c r="H162" i="26"/>
  <c r="I162" i="26" s="1"/>
  <c r="N162" i="26"/>
  <c r="Q162" i="26" s="1"/>
  <c r="R162" i="26" s="1"/>
  <c r="H171" i="26"/>
  <c r="I171" i="26" s="1"/>
  <c r="N171" i="26"/>
  <c r="Q171" i="26" s="1"/>
  <c r="R171" i="26" s="1"/>
  <c r="N37" i="33"/>
  <c r="J28" i="10"/>
  <c r="L28" i="10" s="1"/>
  <c r="L26" i="9"/>
  <c r="R31" i="8"/>
  <c r="R32" i="8" s="1"/>
  <c r="AI87" i="8"/>
  <c r="L32" i="8"/>
  <c r="N161" i="26"/>
  <c r="Q161" i="26" s="1"/>
  <c r="R161" i="26" s="1"/>
  <c r="H161" i="26"/>
  <c r="I161" i="26" s="1"/>
  <c r="H159" i="26"/>
  <c r="I159" i="26" s="1"/>
  <c r="N159" i="26"/>
  <c r="Q159" i="26" s="1"/>
  <c r="R159" i="26" s="1"/>
  <c r="J47" i="12" l="1"/>
  <c r="L35" i="9"/>
  <c r="R35" i="9" s="1"/>
  <c r="J51" i="10"/>
  <c r="L51" i="10" s="1"/>
  <c r="AI121" i="10" s="1"/>
  <c r="AI92" i="12"/>
  <c r="AK91" i="12"/>
  <c r="AQ91" i="12"/>
  <c r="L33" i="12"/>
  <c r="I76" i="26"/>
  <c r="L38" i="11"/>
  <c r="AI82" i="11"/>
  <c r="AK81" i="11"/>
  <c r="AQ81" i="11"/>
  <c r="AK106" i="12"/>
  <c r="AQ106" i="12"/>
  <c r="AK109" i="12"/>
  <c r="AQ109" i="12"/>
  <c r="K43" i="3"/>
  <c r="K42" i="3"/>
  <c r="J36" i="9"/>
  <c r="G112" i="26" s="1"/>
  <c r="H112" i="26" s="1"/>
  <c r="I112" i="26" s="1"/>
  <c r="P21" i="5"/>
  <c r="P23" i="5" s="1"/>
  <c r="L44" i="6"/>
  <c r="N43" i="6" s="1"/>
  <c r="AJ79" i="7"/>
  <c r="R44" i="6"/>
  <c r="R40" i="14"/>
  <c r="I41" i="3"/>
  <c r="G44" i="3"/>
  <c r="R28" i="10"/>
  <c r="AI98" i="10"/>
  <c r="L31" i="10"/>
  <c r="AI116" i="10"/>
  <c r="R46" i="10"/>
  <c r="AK102" i="14"/>
  <c r="AQ102" i="14"/>
  <c r="I165" i="26"/>
  <c r="AI104" i="10"/>
  <c r="R34" i="10"/>
  <c r="AI121" i="9"/>
  <c r="R49" i="9"/>
  <c r="R44" i="9"/>
  <c r="L47" i="9"/>
  <c r="AI116" i="9"/>
  <c r="AI103" i="14"/>
  <c r="R39" i="14"/>
  <c r="R36" i="13"/>
  <c r="R37" i="13" s="1"/>
  <c r="L37" i="13"/>
  <c r="R32" i="9"/>
  <c r="AI104" i="9"/>
  <c r="R31" i="9"/>
  <c r="AI103" i="9"/>
  <c r="R45" i="10"/>
  <c r="L48" i="10"/>
  <c r="AI115" i="10"/>
  <c r="AI88" i="13"/>
  <c r="AQ85" i="13"/>
  <c r="AK85" i="13"/>
  <c r="R50" i="9"/>
  <c r="AI122" i="9"/>
  <c r="AI98" i="9"/>
  <c r="L29" i="9"/>
  <c r="R26" i="9"/>
  <c r="AI117" i="9"/>
  <c r="R45" i="9"/>
  <c r="I21" i="3"/>
  <c r="G23" i="3"/>
  <c r="I23" i="3" s="1"/>
  <c r="L38" i="40"/>
  <c r="J43" i="6"/>
  <c r="P43" i="5"/>
  <c r="AK85" i="33"/>
  <c r="AQ85" i="33"/>
  <c r="J23" i="6"/>
  <c r="J42" i="6"/>
  <c r="R26" i="14"/>
  <c r="R27" i="9"/>
  <c r="AI99" i="9"/>
  <c r="P42" i="5"/>
  <c r="AK83" i="31"/>
  <c r="AQ83" i="31"/>
  <c r="AI90" i="14"/>
  <c r="AK88" i="14"/>
  <c r="AQ88" i="14"/>
  <c r="AI99" i="10"/>
  <c r="R29" i="10"/>
  <c r="AQ83" i="30"/>
  <c r="P41" i="5"/>
  <c r="AK83" i="30"/>
  <c r="R53" i="9"/>
  <c r="AI125" i="9"/>
  <c r="AK89" i="14"/>
  <c r="AQ89" i="14"/>
  <c r="AK87" i="8"/>
  <c r="AI88" i="8"/>
  <c r="AQ87" i="8"/>
  <c r="AI107" i="9" l="1"/>
  <c r="L47" i="12"/>
  <c r="R51" i="10"/>
  <c r="G110" i="26"/>
  <c r="H110" i="26" s="1"/>
  <c r="I110" i="26" s="1"/>
  <c r="G108" i="26"/>
  <c r="H108" i="26" s="1"/>
  <c r="I108" i="26" s="1"/>
  <c r="G109" i="26"/>
  <c r="H109" i="26" s="1"/>
  <c r="I109" i="26" s="1"/>
  <c r="L36" i="9"/>
  <c r="R36" i="9" s="1"/>
  <c r="J35" i="10"/>
  <c r="L35" i="10" s="1"/>
  <c r="R35" i="10" s="1"/>
  <c r="J54" i="9"/>
  <c r="G118" i="26" s="1"/>
  <c r="G106" i="26"/>
  <c r="H106" i="26" s="1"/>
  <c r="I106" i="26" s="1"/>
  <c r="G107" i="26"/>
  <c r="H107" i="26" s="1"/>
  <c r="I107" i="26" s="1"/>
  <c r="G105" i="26"/>
  <c r="N105" i="26" s="1"/>
  <c r="Q105" i="26" s="1"/>
  <c r="R105" i="26" s="1"/>
  <c r="G111" i="26"/>
  <c r="N111" i="26" s="1"/>
  <c r="Q111" i="26" s="1"/>
  <c r="R111" i="26" s="1"/>
  <c r="G114" i="26"/>
  <c r="H114" i="26" s="1"/>
  <c r="I114" i="26" s="1"/>
  <c r="AK82" i="11"/>
  <c r="AQ82" i="11"/>
  <c r="L36" i="12"/>
  <c r="L38" i="12" s="1"/>
  <c r="R33" i="12"/>
  <c r="AI96" i="12"/>
  <c r="R38" i="11"/>
  <c r="AI86" i="11"/>
  <c r="L41" i="11"/>
  <c r="L43" i="11" s="1"/>
  <c r="N38" i="11" s="1"/>
  <c r="G113" i="26"/>
  <c r="N113" i="26" s="1"/>
  <c r="Q113" i="26" s="1"/>
  <c r="R113" i="26" s="1"/>
  <c r="AK92" i="12"/>
  <c r="AQ92" i="12"/>
  <c r="N112" i="26"/>
  <c r="Q112" i="26" s="1"/>
  <c r="R112" i="26" s="1"/>
  <c r="K23" i="3"/>
  <c r="K21" i="3"/>
  <c r="R21" i="5"/>
  <c r="X21" i="5"/>
  <c r="N40" i="6"/>
  <c r="N42" i="6"/>
  <c r="N41" i="6"/>
  <c r="J44" i="6"/>
  <c r="R48" i="10"/>
  <c r="R29" i="9"/>
  <c r="R33" i="9" s="1"/>
  <c r="AQ121" i="9"/>
  <c r="AK121" i="9"/>
  <c r="AQ117" i="9"/>
  <c r="AK117" i="9"/>
  <c r="L41" i="13"/>
  <c r="AQ116" i="10"/>
  <c r="AK116" i="10"/>
  <c r="K41" i="3"/>
  <c r="I44" i="3"/>
  <c r="AQ104" i="9"/>
  <c r="AK104" i="9"/>
  <c r="R41" i="5"/>
  <c r="X41" i="5"/>
  <c r="P44" i="5"/>
  <c r="X42" i="5"/>
  <c r="R42" i="5"/>
  <c r="AI89" i="13"/>
  <c r="AQ88" i="13"/>
  <c r="AK88" i="13"/>
  <c r="L33" i="9"/>
  <c r="AQ104" i="10"/>
  <c r="AK104" i="10"/>
  <c r="AK125" i="9"/>
  <c r="AQ125" i="9"/>
  <c r="AK88" i="8"/>
  <c r="AQ88" i="8"/>
  <c r="AQ99" i="9"/>
  <c r="AK99" i="9"/>
  <c r="AQ98" i="9"/>
  <c r="AI101" i="9"/>
  <c r="AK98" i="9"/>
  <c r="AQ115" i="10"/>
  <c r="AI118" i="10"/>
  <c r="AK115" i="10"/>
  <c r="AK103" i="14"/>
  <c r="AQ103" i="14"/>
  <c r="AQ98" i="10"/>
  <c r="AI101" i="10"/>
  <c r="AK98" i="10"/>
  <c r="AQ121" i="10"/>
  <c r="AK121" i="10"/>
  <c r="R31" i="10"/>
  <c r="AQ99" i="10"/>
  <c r="AK99" i="10"/>
  <c r="AQ116" i="9"/>
  <c r="AI119" i="9"/>
  <c r="AK116" i="9"/>
  <c r="R23" i="5"/>
  <c r="X23" i="5"/>
  <c r="AQ103" i="9"/>
  <c r="AK103" i="9"/>
  <c r="R47" i="9"/>
  <c r="R51" i="9" s="1"/>
  <c r="AI104" i="14"/>
  <c r="L51" i="9"/>
  <c r="R43" i="5"/>
  <c r="X43" i="5"/>
  <c r="AK90" i="14"/>
  <c r="AQ90" i="14"/>
  <c r="AQ122" i="9"/>
  <c r="AK122" i="9"/>
  <c r="AQ107" i="9"/>
  <c r="AK107" i="9"/>
  <c r="J52" i="10" l="1"/>
  <c r="L52" i="10" s="1"/>
  <c r="L53" i="10" s="1"/>
  <c r="R47" i="12"/>
  <c r="R48" i="12" s="1"/>
  <c r="AI110" i="12"/>
  <c r="L48" i="12"/>
  <c r="G125" i="26"/>
  <c r="N125" i="26" s="1"/>
  <c r="Q125" i="26" s="1"/>
  <c r="R125" i="26" s="1"/>
  <c r="N110" i="26"/>
  <c r="Q110" i="26" s="1"/>
  <c r="R110" i="26" s="1"/>
  <c r="L54" i="9"/>
  <c r="L55" i="9" s="1"/>
  <c r="G120" i="26"/>
  <c r="N120" i="26" s="1"/>
  <c r="Q120" i="26" s="1"/>
  <c r="R120" i="26" s="1"/>
  <c r="G124" i="26"/>
  <c r="N124" i="26" s="1"/>
  <c r="Q124" i="26" s="1"/>
  <c r="R124" i="26" s="1"/>
  <c r="G116" i="26"/>
  <c r="N116" i="26" s="1"/>
  <c r="Q116" i="26" s="1"/>
  <c r="R116" i="26" s="1"/>
  <c r="G121" i="26"/>
  <c r="N121" i="26" s="1"/>
  <c r="Q121" i="26" s="1"/>
  <c r="R121" i="26" s="1"/>
  <c r="G119" i="26"/>
  <c r="H119" i="26" s="1"/>
  <c r="G117" i="26"/>
  <c r="N117" i="26" s="1"/>
  <c r="Q117" i="26" s="1"/>
  <c r="R117" i="26" s="1"/>
  <c r="G122" i="26"/>
  <c r="H122" i="26" s="1"/>
  <c r="I122" i="26" s="1"/>
  <c r="G123" i="26"/>
  <c r="H123" i="26" s="1"/>
  <c r="I123" i="26" s="1"/>
  <c r="N106" i="26"/>
  <c r="Q106" i="26" s="1"/>
  <c r="R106" i="26" s="1"/>
  <c r="H105" i="26"/>
  <c r="I105" i="26" s="1"/>
  <c r="N108" i="26"/>
  <c r="Q108" i="26" s="1"/>
  <c r="R108" i="26" s="1"/>
  <c r="L36" i="10"/>
  <c r="L54" i="10" s="1"/>
  <c r="AI105" i="10"/>
  <c r="AI106" i="10" s="1"/>
  <c r="AI108" i="9"/>
  <c r="AK108" i="9" s="1"/>
  <c r="N109" i="26"/>
  <c r="Q109" i="26" s="1"/>
  <c r="R109" i="26" s="1"/>
  <c r="AI89" i="11"/>
  <c r="AK89" i="11" s="1"/>
  <c r="AQ86" i="11"/>
  <c r="AK86" i="11"/>
  <c r="AI99" i="12"/>
  <c r="AI101" i="12" s="1"/>
  <c r="P30" i="5" s="1"/>
  <c r="AQ96" i="12"/>
  <c r="AK96" i="12"/>
  <c r="N107" i="26"/>
  <c r="Q107" i="26" s="1"/>
  <c r="R107" i="26" s="1"/>
  <c r="H111" i="26"/>
  <c r="I111" i="26" s="1"/>
  <c r="N114" i="26"/>
  <c r="Q114" i="26" s="1"/>
  <c r="R114" i="26" s="1"/>
  <c r="N36" i="12"/>
  <c r="N23" i="12"/>
  <c r="N35" i="12"/>
  <c r="L30" i="6"/>
  <c r="J30" i="6" s="1"/>
  <c r="N25" i="12"/>
  <c r="N32" i="12"/>
  <c r="N28" i="12"/>
  <c r="N29" i="12"/>
  <c r="N41" i="11"/>
  <c r="N26" i="11"/>
  <c r="N24" i="11"/>
  <c r="N39" i="11"/>
  <c r="N27" i="11"/>
  <c r="L29" i="6"/>
  <c r="J29" i="6" s="1"/>
  <c r="N25" i="11"/>
  <c r="N37" i="11"/>
  <c r="N40" i="11"/>
  <c r="N33" i="11"/>
  <c r="N34" i="11"/>
  <c r="H43" i="40"/>
  <c r="K43" i="40" s="1"/>
  <c r="R41" i="11"/>
  <c r="R43" i="11" s="1"/>
  <c r="H113" i="26"/>
  <c r="I113" i="26" s="1"/>
  <c r="N33" i="12"/>
  <c r="R36" i="12"/>
  <c r="R38" i="12" s="1"/>
  <c r="H44" i="40"/>
  <c r="K44" i="40" s="1"/>
  <c r="K44" i="3"/>
  <c r="R37" i="9"/>
  <c r="R41" i="13"/>
  <c r="AI93" i="13"/>
  <c r="L44" i="13"/>
  <c r="AK104" i="14"/>
  <c r="AQ104" i="14"/>
  <c r="AI105" i="9"/>
  <c r="AQ101" i="9"/>
  <c r="AK101" i="9"/>
  <c r="R44" i="5"/>
  <c r="X44" i="5"/>
  <c r="AI123" i="9"/>
  <c r="AQ119" i="9"/>
  <c r="AK119" i="9"/>
  <c r="AQ101" i="10"/>
  <c r="AK101" i="10"/>
  <c r="L37" i="9"/>
  <c r="J38" i="8"/>
  <c r="L38" i="8" s="1"/>
  <c r="N118" i="26"/>
  <c r="Q118" i="26" s="1"/>
  <c r="R118" i="26" s="1"/>
  <c r="H118" i="26"/>
  <c r="I118" i="26" s="1"/>
  <c r="J43" i="14"/>
  <c r="L43" i="14" s="1"/>
  <c r="R36" i="10"/>
  <c r="AQ89" i="13"/>
  <c r="AK89" i="13"/>
  <c r="AQ118" i="10"/>
  <c r="AK118" i="10"/>
  <c r="AI122" i="10"/>
  <c r="AI123" i="10" s="1"/>
  <c r="R52" i="10"/>
  <c r="R53" i="10" s="1"/>
  <c r="H120" i="26" l="1"/>
  <c r="I120" i="26" s="1"/>
  <c r="J29" i="14"/>
  <c r="L29" i="14" s="1"/>
  <c r="J39" i="8"/>
  <c r="L39" i="8" s="1"/>
  <c r="AI95" i="8" s="1"/>
  <c r="J35" i="8"/>
  <c r="O23" i="27" s="1"/>
  <c r="R23" i="27" s="1"/>
  <c r="G55" i="26" s="1"/>
  <c r="AI126" i="9"/>
  <c r="AI127" i="9" s="1"/>
  <c r="AQ110" i="12"/>
  <c r="AI111" i="12"/>
  <c r="AK110" i="12"/>
  <c r="R54" i="9"/>
  <c r="R55" i="9" s="1"/>
  <c r="L52" i="12"/>
  <c r="H125" i="26"/>
  <c r="I125" i="26" s="1"/>
  <c r="H116" i="26"/>
  <c r="I116" i="26" s="1"/>
  <c r="H121" i="26"/>
  <c r="I121" i="26" s="1"/>
  <c r="N122" i="26"/>
  <c r="Q122" i="26" s="1"/>
  <c r="R122" i="26" s="1"/>
  <c r="N119" i="26"/>
  <c r="Q119" i="26" s="1"/>
  <c r="R119" i="26" s="1"/>
  <c r="H124" i="26"/>
  <c r="I124" i="26" s="1"/>
  <c r="N123" i="26"/>
  <c r="Q123" i="26" s="1"/>
  <c r="R123" i="26" s="1"/>
  <c r="H117" i="26"/>
  <c r="I117" i="26" s="1"/>
  <c r="AK105" i="10"/>
  <c r="AQ105" i="10"/>
  <c r="AK101" i="12"/>
  <c r="AQ108" i="9"/>
  <c r="AQ101" i="12"/>
  <c r="AQ89" i="11"/>
  <c r="AK99" i="12"/>
  <c r="AQ99" i="12"/>
  <c r="AI91" i="11"/>
  <c r="P29" i="5" s="1"/>
  <c r="J37" i="8"/>
  <c r="Q41" i="27" s="1"/>
  <c r="B44" i="40"/>
  <c r="L44" i="40" s="1"/>
  <c r="G30" i="3"/>
  <c r="I30" i="3" s="1"/>
  <c r="R30" i="6"/>
  <c r="R30" i="5"/>
  <c r="X30" i="5"/>
  <c r="B43" i="40"/>
  <c r="L43" i="40" s="1"/>
  <c r="G29" i="3"/>
  <c r="I29" i="3" s="1"/>
  <c r="R29" i="6"/>
  <c r="AI107" i="14"/>
  <c r="R43" i="14"/>
  <c r="R54" i="10"/>
  <c r="L58" i="10" s="1"/>
  <c r="O29" i="27"/>
  <c r="O37" i="27"/>
  <c r="O24" i="27"/>
  <c r="R24" i="27" s="1"/>
  <c r="G56" i="26" s="1"/>
  <c r="O30" i="27"/>
  <c r="O28" i="27"/>
  <c r="O26" i="27"/>
  <c r="O33" i="27"/>
  <c r="O38" i="27"/>
  <c r="I119" i="26"/>
  <c r="AQ106" i="10"/>
  <c r="AK106" i="10"/>
  <c r="L46" i="13"/>
  <c r="N44" i="13" s="1"/>
  <c r="AQ122" i="10"/>
  <c r="AK122" i="10"/>
  <c r="R29" i="14"/>
  <c r="AI93" i="14"/>
  <c r="AI96" i="13"/>
  <c r="AK93" i="13"/>
  <c r="AQ93" i="13"/>
  <c r="H46" i="40"/>
  <c r="K46" i="40" s="1"/>
  <c r="R44" i="13"/>
  <c r="R46" i="13" s="1"/>
  <c r="AQ123" i="10"/>
  <c r="AI124" i="10"/>
  <c r="AK123" i="10"/>
  <c r="AI94" i="8"/>
  <c r="R38" i="8"/>
  <c r="L56" i="9"/>
  <c r="AQ123" i="9"/>
  <c r="AK123" i="9"/>
  <c r="AQ105" i="9"/>
  <c r="AI109" i="9"/>
  <c r="AK105" i="9"/>
  <c r="O41" i="27" l="1"/>
  <c r="L35" i="8"/>
  <c r="R39" i="8"/>
  <c r="O40" i="27"/>
  <c r="O21" i="27"/>
  <c r="R21" i="27" s="1"/>
  <c r="G53" i="26" s="1"/>
  <c r="N53" i="26" s="1"/>
  <c r="Q53" i="26" s="1"/>
  <c r="R53" i="26" s="1"/>
  <c r="O31" i="27"/>
  <c r="O22" i="27"/>
  <c r="R22" i="27" s="1"/>
  <c r="G54" i="26" s="1"/>
  <c r="N54" i="26" s="1"/>
  <c r="Q54" i="26" s="1"/>
  <c r="R54" i="26" s="1"/>
  <c r="J36" i="8"/>
  <c r="P38" i="27" s="1"/>
  <c r="AK126" i="9"/>
  <c r="AQ126" i="9"/>
  <c r="O34" i="27"/>
  <c r="O25" i="27"/>
  <c r="O27" i="27"/>
  <c r="O36" i="27"/>
  <c r="O32" i="27"/>
  <c r="O39" i="27"/>
  <c r="R52" i="12"/>
  <c r="AI115" i="12"/>
  <c r="L55" i="12"/>
  <c r="L57" i="12" s="1"/>
  <c r="N55" i="12" s="1"/>
  <c r="AK111" i="12"/>
  <c r="AQ111" i="12"/>
  <c r="O35" i="27"/>
  <c r="Q32" i="27"/>
  <c r="Q35" i="27"/>
  <c r="Q40" i="27"/>
  <c r="L37" i="8"/>
  <c r="AI93" i="8" s="1"/>
  <c r="Q38" i="27"/>
  <c r="AQ91" i="11"/>
  <c r="AK91" i="11"/>
  <c r="G229" i="26"/>
  <c r="G238" i="26"/>
  <c r="H238" i="26" s="1"/>
  <c r="I238" i="26" s="1"/>
  <c r="G232" i="26"/>
  <c r="H232" i="26" s="1"/>
  <c r="I232" i="26" s="1"/>
  <c r="G231" i="26"/>
  <c r="N231" i="26" s="1"/>
  <c r="Q231" i="26" s="1"/>
  <c r="R231" i="26" s="1"/>
  <c r="J30" i="14"/>
  <c r="L30" i="14" s="1"/>
  <c r="L31" i="14" s="1"/>
  <c r="G214" i="26"/>
  <c r="H214" i="26" s="1"/>
  <c r="I214" i="26" s="1"/>
  <c r="G215" i="26"/>
  <c r="N215" i="26" s="1"/>
  <c r="Q215" i="26" s="1"/>
  <c r="R215" i="26" s="1"/>
  <c r="G227" i="26"/>
  <c r="N227" i="26" s="1"/>
  <c r="Q227" i="26" s="1"/>
  <c r="R227" i="26" s="1"/>
  <c r="G219" i="26"/>
  <c r="N219" i="26" s="1"/>
  <c r="Q219" i="26" s="1"/>
  <c r="R219" i="26" s="1"/>
  <c r="G209" i="26"/>
  <c r="H209" i="26" s="1"/>
  <c r="I209" i="26" s="1"/>
  <c r="G206" i="26"/>
  <c r="H206" i="26" s="1"/>
  <c r="I206" i="26" s="1"/>
  <c r="G225" i="26"/>
  <c r="H225" i="26" s="1"/>
  <c r="G207" i="26"/>
  <c r="H207" i="26" s="1"/>
  <c r="I207" i="26" s="1"/>
  <c r="G210" i="26"/>
  <c r="H210" i="26" s="1"/>
  <c r="I210" i="26" s="1"/>
  <c r="G213" i="26"/>
  <c r="N213" i="26" s="1"/>
  <c r="Q213" i="26" s="1"/>
  <c r="R213" i="26" s="1"/>
  <c r="G217" i="26"/>
  <c r="H217" i="26" s="1"/>
  <c r="I217" i="26" s="1"/>
  <c r="G222" i="26"/>
  <c r="H222" i="26" s="1"/>
  <c r="I222" i="26" s="1"/>
  <c r="G237" i="26"/>
  <c r="N237" i="26" s="1"/>
  <c r="Q237" i="26" s="1"/>
  <c r="R237" i="26" s="1"/>
  <c r="G233" i="26"/>
  <c r="N233" i="26" s="1"/>
  <c r="Q233" i="26" s="1"/>
  <c r="R233" i="26" s="1"/>
  <c r="G236" i="26"/>
  <c r="N236" i="26" s="1"/>
  <c r="Q236" i="26" s="1"/>
  <c r="R236" i="26" s="1"/>
  <c r="G234" i="26"/>
  <c r="H234" i="26" s="1"/>
  <c r="I234" i="26" s="1"/>
  <c r="G216" i="26"/>
  <c r="N216" i="26" s="1"/>
  <c r="Q216" i="26" s="1"/>
  <c r="R216" i="26" s="1"/>
  <c r="G205" i="26"/>
  <c r="H205" i="26" s="1"/>
  <c r="I205" i="26" s="1"/>
  <c r="G223" i="26"/>
  <c r="H223" i="26" s="1"/>
  <c r="I223" i="26" s="1"/>
  <c r="G218" i="26"/>
  <c r="N218" i="26" s="1"/>
  <c r="Q218" i="26" s="1"/>
  <c r="R218" i="26" s="1"/>
  <c r="G226" i="26"/>
  <c r="H226" i="26" s="1"/>
  <c r="I226" i="26" s="1"/>
  <c r="G212" i="26"/>
  <c r="H212" i="26" s="1"/>
  <c r="I212" i="26" s="1"/>
  <c r="G228" i="26"/>
  <c r="N228" i="26" s="1"/>
  <c r="Q228" i="26" s="1"/>
  <c r="R228" i="26" s="1"/>
  <c r="G211" i="26"/>
  <c r="H211" i="26" s="1"/>
  <c r="I211" i="26" s="1"/>
  <c r="G221" i="26"/>
  <c r="H221" i="26" s="1"/>
  <c r="I221" i="26" s="1"/>
  <c r="G204" i="26"/>
  <c r="N204" i="26" s="1"/>
  <c r="Q204" i="26" s="1"/>
  <c r="R204" i="26" s="1"/>
  <c r="G235" i="26"/>
  <c r="N235" i="26" s="1"/>
  <c r="Q235" i="26" s="1"/>
  <c r="R235" i="26" s="1"/>
  <c r="G208" i="26"/>
  <c r="H208" i="26" s="1"/>
  <c r="I208" i="26" s="1"/>
  <c r="G230" i="26"/>
  <c r="N230" i="26" s="1"/>
  <c r="Q230" i="26" s="1"/>
  <c r="R230" i="26" s="1"/>
  <c r="J44" i="14"/>
  <c r="L44" i="14" s="1"/>
  <c r="L45" i="14" s="1"/>
  <c r="L46" i="14" s="1"/>
  <c r="G224" i="26"/>
  <c r="N224" i="26" s="1"/>
  <c r="Q224" i="26" s="1"/>
  <c r="R224" i="26" s="1"/>
  <c r="G203" i="26"/>
  <c r="N203" i="26" s="1"/>
  <c r="Q203" i="26" s="1"/>
  <c r="R203" i="26" s="1"/>
  <c r="G202" i="26"/>
  <c r="N202" i="26" s="1"/>
  <c r="Q202" i="26" s="1"/>
  <c r="R202" i="26" s="1"/>
  <c r="K30" i="3"/>
  <c r="N54" i="12"/>
  <c r="X29" i="5"/>
  <c r="R29" i="5"/>
  <c r="K29" i="3"/>
  <c r="N56" i="26"/>
  <c r="Q56" i="26" s="1"/>
  <c r="R56" i="26" s="1"/>
  <c r="H56" i="26"/>
  <c r="I56" i="26" s="1"/>
  <c r="AI128" i="10"/>
  <c r="R58" i="10"/>
  <c r="L61" i="10"/>
  <c r="H53" i="26"/>
  <c r="I53" i="26" s="1"/>
  <c r="AI91" i="8"/>
  <c r="R35" i="8"/>
  <c r="R56" i="9"/>
  <c r="N26" i="13"/>
  <c r="N24" i="13"/>
  <c r="N25" i="13"/>
  <c r="L32" i="6"/>
  <c r="N43" i="13"/>
  <c r="N40" i="13"/>
  <c r="N34" i="13"/>
  <c r="N29" i="13"/>
  <c r="N35" i="13"/>
  <c r="N30" i="13"/>
  <c r="N33" i="13"/>
  <c r="N36" i="13"/>
  <c r="N37" i="13"/>
  <c r="N41" i="13"/>
  <c r="B46" i="40"/>
  <c r="L46" i="40" s="1"/>
  <c r="G32" i="3"/>
  <c r="I32" i="3" s="1"/>
  <c r="R32" i="6"/>
  <c r="AK95" i="8"/>
  <c r="AQ95" i="8"/>
  <c r="AK107" i="14"/>
  <c r="AQ107" i="14"/>
  <c r="AK94" i="8"/>
  <c r="AQ94" i="8"/>
  <c r="N55" i="26"/>
  <c r="Q55" i="26" s="1"/>
  <c r="R55" i="26" s="1"/>
  <c r="H55" i="26"/>
  <c r="I55" i="26" s="1"/>
  <c r="AQ109" i="9"/>
  <c r="AK109" i="9"/>
  <c r="AQ127" i="9"/>
  <c r="AI128" i="9"/>
  <c r="AK127" i="9"/>
  <c r="AQ124" i="10"/>
  <c r="AK124" i="10"/>
  <c r="AI98" i="13"/>
  <c r="AK96" i="13"/>
  <c r="AQ96" i="13"/>
  <c r="AK93" i="14"/>
  <c r="AQ93" i="14"/>
  <c r="N51" i="12" l="1"/>
  <c r="N43" i="12"/>
  <c r="L36" i="8"/>
  <c r="P41" i="27"/>
  <c r="R41" i="27" s="1"/>
  <c r="G73" i="26" s="1"/>
  <c r="P40" i="27"/>
  <c r="R40" i="27" s="1"/>
  <c r="G72" i="26" s="1"/>
  <c r="N72" i="26" s="1"/>
  <c r="Q72" i="26" s="1"/>
  <c r="R72" i="26" s="1"/>
  <c r="P29" i="27"/>
  <c r="R29" i="27" s="1"/>
  <c r="G61" i="26" s="1"/>
  <c r="P36" i="27"/>
  <c r="P31" i="27"/>
  <c r="P30" i="27"/>
  <c r="R30" i="27" s="1"/>
  <c r="G62" i="26" s="1"/>
  <c r="H62" i="26" s="1"/>
  <c r="I62" i="26" s="1"/>
  <c r="P34" i="27"/>
  <c r="R34" i="27" s="1"/>
  <c r="G66" i="26" s="1"/>
  <c r="H66" i="26" s="1"/>
  <c r="I66" i="26" s="1"/>
  <c r="P37" i="27"/>
  <c r="R37" i="27" s="1"/>
  <c r="G69" i="26" s="1"/>
  <c r="H69" i="26" s="1"/>
  <c r="I69" i="26" s="1"/>
  <c r="P39" i="27"/>
  <c r="R39" i="27" s="1"/>
  <c r="G71" i="26" s="1"/>
  <c r="H71" i="26" s="1"/>
  <c r="I71" i="26" s="1"/>
  <c r="P35" i="27"/>
  <c r="R35" i="27" s="1"/>
  <c r="G67" i="26" s="1"/>
  <c r="H67" i="26" s="1"/>
  <c r="I67" i="26" s="1"/>
  <c r="H54" i="26"/>
  <c r="I54" i="26" s="1"/>
  <c r="H233" i="26"/>
  <c r="I233" i="26" s="1"/>
  <c r="H231" i="26"/>
  <c r="I231" i="26" s="1"/>
  <c r="N214" i="26"/>
  <c r="Q214" i="26" s="1"/>
  <c r="R214" i="26" s="1"/>
  <c r="N222" i="26"/>
  <c r="Q222" i="26" s="1"/>
  <c r="R222" i="26" s="1"/>
  <c r="L31" i="6"/>
  <c r="J31" i="6" s="1"/>
  <c r="N46" i="12"/>
  <c r="R31" i="27"/>
  <c r="G63" i="26" s="1"/>
  <c r="N63" i="26" s="1"/>
  <c r="Q63" i="26" s="1"/>
  <c r="R63" i="26" s="1"/>
  <c r="N48" i="12"/>
  <c r="P33" i="27"/>
  <c r="R33" i="27" s="1"/>
  <c r="G65" i="26" s="1"/>
  <c r="H65" i="26" s="1"/>
  <c r="I65" i="26" s="1"/>
  <c r="P27" i="27"/>
  <c r="R27" i="27" s="1"/>
  <c r="G59" i="26" s="1"/>
  <c r="H59" i="26" s="1"/>
  <c r="I59" i="26" s="1"/>
  <c r="P25" i="27"/>
  <c r="R25" i="27" s="1"/>
  <c r="G57" i="26" s="1"/>
  <c r="N57" i="26" s="1"/>
  <c r="Q57" i="26" s="1"/>
  <c r="R57" i="26" s="1"/>
  <c r="P28" i="27"/>
  <c r="R28" i="27" s="1"/>
  <c r="G60" i="26" s="1"/>
  <c r="N60" i="26" s="1"/>
  <c r="Q60" i="26" s="1"/>
  <c r="R60" i="26" s="1"/>
  <c r="P32" i="27"/>
  <c r="R32" i="27" s="1"/>
  <c r="G64" i="26" s="1"/>
  <c r="H64" i="26" s="1"/>
  <c r="I64" i="26" s="1"/>
  <c r="N47" i="12"/>
  <c r="P26" i="27"/>
  <c r="R26" i="27" s="1"/>
  <c r="G58" i="26" s="1"/>
  <c r="H58" i="26" s="1"/>
  <c r="I58" i="26" s="1"/>
  <c r="N52" i="12"/>
  <c r="H237" i="26"/>
  <c r="I237" i="26" s="1"/>
  <c r="AI94" i="14"/>
  <c r="AI95" i="14" s="1"/>
  <c r="AI96" i="14" s="1"/>
  <c r="R30" i="14"/>
  <c r="R31" i="14" s="1"/>
  <c r="R32" i="14" s="1"/>
  <c r="N211" i="26"/>
  <c r="Q211" i="26" s="1"/>
  <c r="R211" i="26" s="1"/>
  <c r="N212" i="26"/>
  <c r="Q212" i="26" s="1"/>
  <c r="R212" i="26" s="1"/>
  <c r="H235" i="26"/>
  <c r="I235" i="26" s="1"/>
  <c r="R55" i="12"/>
  <c r="R57" i="12" s="1"/>
  <c r="H45" i="40"/>
  <c r="K45" i="40" s="1"/>
  <c r="H236" i="26"/>
  <c r="I236" i="26" s="1"/>
  <c r="R36" i="27"/>
  <c r="G68" i="26" s="1"/>
  <c r="H68" i="26" s="1"/>
  <c r="I68" i="26" s="1"/>
  <c r="N217" i="26"/>
  <c r="Q217" i="26" s="1"/>
  <c r="R217" i="26" s="1"/>
  <c r="AI118" i="12"/>
  <c r="AQ115" i="12"/>
  <c r="AK115" i="12"/>
  <c r="H227" i="26"/>
  <c r="I227" i="26" s="1"/>
  <c r="H204" i="26"/>
  <c r="I204" i="26" s="1"/>
  <c r="N209" i="26"/>
  <c r="Q209" i="26" s="1"/>
  <c r="R209" i="26" s="1"/>
  <c r="N207" i="26"/>
  <c r="Q207" i="26" s="1"/>
  <c r="R207" i="26" s="1"/>
  <c r="N225" i="26"/>
  <c r="Q225" i="26" s="1"/>
  <c r="R225" i="26" s="1"/>
  <c r="H203" i="26"/>
  <c r="I203" i="26" s="1"/>
  <c r="N210" i="26"/>
  <c r="Q210" i="26" s="1"/>
  <c r="R210" i="26" s="1"/>
  <c r="N234" i="26"/>
  <c r="Q234" i="26" s="1"/>
  <c r="R234" i="26" s="1"/>
  <c r="N208" i="26"/>
  <c r="Q208" i="26" s="1"/>
  <c r="R208" i="26" s="1"/>
  <c r="H216" i="26"/>
  <c r="I216" i="26" s="1"/>
  <c r="R38" i="27"/>
  <c r="G70" i="26" s="1"/>
  <c r="N70" i="26" s="1"/>
  <c r="Q70" i="26" s="1"/>
  <c r="R70" i="26" s="1"/>
  <c r="R37" i="8"/>
  <c r="H224" i="26"/>
  <c r="I224" i="26" s="1"/>
  <c r="N206" i="26"/>
  <c r="Q206" i="26" s="1"/>
  <c r="R206" i="26" s="1"/>
  <c r="H219" i="26"/>
  <c r="I219" i="26" s="1"/>
  <c r="N238" i="26"/>
  <c r="Q238" i="26" s="1"/>
  <c r="R238" i="26" s="1"/>
  <c r="N223" i="26"/>
  <c r="Q223" i="26" s="1"/>
  <c r="R223" i="26" s="1"/>
  <c r="H218" i="26"/>
  <c r="I218" i="26" s="1"/>
  <c r="H230" i="26"/>
  <c r="I230" i="26" s="1"/>
  <c r="R44" i="14"/>
  <c r="R45" i="14" s="1"/>
  <c r="R46" i="14" s="1"/>
  <c r="N226" i="26"/>
  <c r="Q226" i="26" s="1"/>
  <c r="R226" i="26" s="1"/>
  <c r="N232" i="26"/>
  <c r="Q232" i="26" s="1"/>
  <c r="R232" i="26" s="1"/>
  <c r="AI108" i="14"/>
  <c r="AI109" i="14" s="1"/>
  <c r="AK109" i="14" s="1"/>
  <c r="H228" i="26"/>
  <c r="I228" i="26" s="1"/>
  <c r="N205" i="26"/>
  <c r="Q205" i="26" s="1"/>
  <c r="R205" i="26" s="1"/>
  <c r="H202" i="26"/>
  <c r="I202" i="26" s="1"/>
  <c r="N221" i="26"/>
  <c r="Q221" i="26" s="1"/>
  <c r="R221" i="26" s="1"/>
  <c r="H213" i="26"/>
  <c r="I213" i="26" s="1"/>
  <c r="H215" i="26"/>
  <c r="I215" i="26" s="1"/>
  <c r="N229" i="26"/>
  <c r="Q229" i="26" s="1"/>
  <c r="R229" i="26" s="1"/>
  <c r="H229" i="26"/>
  <c r="I229" i="26" s="1"/>
  <c r="K32" i="3"/>
  <c r="N61" i="26"/>
  <c r="Q61" i="26" s="1"/>
  <c r="R61" i="26" s="1"/>
  <c r="H61" i="26"/>
  <c r="I61" i="26" s="1"/>
  <c r="AQ98" i="13"/>
  <c r="P32" i="5"/>
  <c r="AK98" i="13"/>
  <c r="J32" i="6"/>
  <c r="I225" i="26"/>
  <c r="L63" i="10"/>
  <c r="N61" i="10" s="1"/>
  <c r="N73" i="26"/>
  <c r="Q73" i="26" s="1"/>
  <c r="R73" i="26" s="1"/>
  <c r="H73" i="26"/>
  <c r="I73" i="26" s="1"/>
  <c r="AQ128" i="9"/>
  <c r="AK128" i="9"/>
  <c r="H42" i="40"/>
  <c r="K42" i="40" s="1"/>
  <c r="R61" i="10"/>
  <c r="R63" i="10" s="1"/>
  <c r="AI131" i="10"/>
  <c r="AK128" i="10"/>
  <c r="AQ128" i="10"/>
  <c r="L60" i="9"/>
  <c r="AI92" i="8"/>
  <c r="R36" i="8"/>
  <c r="L40" i="8"/>
  <c r="AK93" i="8"/>
  <c r="AQ93" i="8"/>
  <c r="L32" i="14"/>
  <c r="L47" i="14" s="1"/>
  <c r="AK91" i="8"/>
  <c r="AQ91" i="8"/>
  <c r="N62" i="26" l="1"/>
  <c r="Q62" i="26" s="1"/>
  <c r="R62" i="26" s="1"/>
  <c r="N69" i="26"/>
  <c r="Q69" i="26" s="1"/>
  <c r="R69" i="26" s="1"/>
  <c r="AQ95" i="14"/>
  <c r="AK95" i="14"/>
  <c r="AQ94" i="14"/>
  <c r="H63" i="26"/>
  <c r="I63" i="26" s="1"/>
  <c r="R47" i="14"/>
  <c r="L51" i="14" s="1"/>
  <c r="R51" i="14" s="1"/>
  <c r="AK94" i="14"/>
  <c r="N58" i="26"/>
  <c r="Q58" i="26" s="1"/>
  <c r="R58" i="26" s="1"/>
  <c r="H60" i="26"/>
  <c r="I60" i="26" s="1"/>
  <c r="N65" i="26"/>
  <c r="Q65" i="26" s="1"/>
  <c r="R65" i="26" s="1"/>
  <c r="H57" i="26"/>
  <c r="I57" i="26" s="1"/>
  <c r="N59" i="26"/>
  <c r="Q59" i="26" s="1"/>
  <c r="R59" i="26" s="1"/>
  <c r="N67" i="26"/>
  <c r="Q67" i="26" s="1"/>
  <c r="R67" i="26" s="1"/>
  <c r="H72" i="26"/>
  <c r="I72" i="26" s="1"/>
  <c r="N66" i="26"/>
  <c r="Q66" i="26" s="1"/>
  <c r="R66" i="26" s="1"/>
  <c r="N71" i="26"/>
  <c r="Q71" i="26" s="1"/>
  <c r="R71" i="26" s="1"/>
  <c r="AK118" i="12"/>
  <c r="AI120" i="12"/>
  <c r="AQ118" i="12"/>
  <c r="N64" i="26"/>
  <c r="Q64" i="26" s="1"/>
  <c r="R64" i="26" s="1"/>
  <c r="N68" i="26"/>
  <c r="Q68" i="26" s="1"/>
  <c r="R68" i="26" s="1"/>
  <c r="R31" i="6"/>
  <c r="G31" i="3"/>
  <c r="I31" i="3" s="1"/>
  <c r="K31" i="3" s="1"/>
  <c r="B45" i="40"/>
  <c r="L45" i="40" s="1"/>
  <c r="H70" i="26"/>
  <c r="I70" i="26" s="1"/>
  <c r="R40" i="8"/>
  <c r="R41" i="8" s="1"/>
  <c r="L45" i="8" s="1"/>
  <c r="R45" i="8" s="1"/>
  <c r="AK108" i="14"/>
  <c r="AI110" i="14"/>
  <c r="AI111" i="14" s="1"/>
  <c r="AQ109" i="14"/>
  <c r="AQ108" i="14"/>
  <c r="AK96" i="14"/>
  <c r="AQ96" i="14"/>
  <c r="X32" i="5"/>
  <c r="R32" i="5"/>
  <c r="L41" i="8"/>
  <c r="N42" i="10"/>
  <c r="L28" i="6"/>
  <c r="N25" i="10"/>
  <c r="N23" i="10"/>
  <c r="N24" i="10"/>
  <c r="N40" i="10"/>
  <c r="N41" i="10"/>
  <c r="N57" i="10"/>
  <c r="N60" i="10"/>
  <c r="N30" i="10"/>
  <c r="N47" i="10"/>
  <c r="N29" i="10"/>
  <c r="N51" i="10"/>
  <c r="N45" i="10"/>
  <c r="N28" i="10"/>
  <c r="N34" i="10"/>
  <c r="N46" i="10"/>
  <c r="N31" i="10"/>
  <c r="N48" i="10"/>
  <c r="N35" i="10"/>
  <c r="N53" i="10"/>
  <c r="N36" i="10"/>
  <c r="N52" i="10"/>
  <c r="N54" i="10"/>
  <c r="N58" i="10"/>
  <c r="AI133" i="10"/>
  <c r="AQ131" i="10"/>
  <c r="AK131" i="10"/>
  <c r="B42" i="40"/>
  <c r="L42" i="40" s="1"/>
  <c r="R28" i="6"/>
  <c r="G28" i="3"/>
  <c r="I28" i="3" s="1"/>
  <c r="AI132" i="9"/>
  <c r="R60" i="9"/>
  <c r="L63" i="9"/>
  <c r="AI96" i="8"/>
  <c r="AK92" i="8"/>
  <c r="AQ92" i="8"/>
  <c r="L54" i="14" l="1"/>
  <c r="L56" i="14" s="1"/>
  <c r="N54" i="14" s="1"/>
  <c r="AI115" i="14"/>
  <c r="AI118" i="14" s="1"/>
  <c r="AI120" i="14" s="1"/>
  <c r="AK110" i="14"/>
  <c r="AQ120" i="12"/>
  <c r="P31" i="5"/>
  <c r="AK120" i="12"/>
  <c r="AQ110" i="14"/>
  <c r="L48" i="8"/>
  <c r="L50" i="8" s="1"/>
  <c r="N41" i="8" s="1"/>
  <c r="AI101" i="8"/>
  <c r="AK101" i="8" s="1"/>
  <c r="K28" i="3"/>
  <c r="H47" i="40"/>
  <c r="K47" i="40" s="1"/>
  <c r="R54" i="14"/>
  <c r="R56" i="14" s="1"/>
  <c r="AK132" i="9"/>
  <c r="AI135" i="9"/>
  <c r="AQ132" i="9"/>
  <c r="H40" i="40"/>
  <c r="R48" i="8"/>
  <c r="R50" i="8" s="1"/>
  <c r="H41" i="40"/>
  <c r="K41" i="40" s="1"/>
  <c r="R63" i="9"/>
  <c r="R65" i="9" s="1"/>
  <c r="AK96" i="8"/>
  <c r="AQ96" i="8"/>
  <c r="L65" i="9"/>
  <c r="AQ133" i="10"/>
  <c r="P28" i="5"/>
  <c r="AK133" i="10"/>
  <c r="J28" i="6"/>
  <c r="AK111" i="14"/>
  <c r="AQ111" i="14"/>
  <c r="AI97" i="8"/>
  <c r="AK115" i="14" l="1"/>
  <c r="AQ115" i="14"/>
  <c r="X31" i="5"/>
  <c r="R31" i="5"/>
  <c r="AQ101" i="8"/>
  <c r="AI104" i="8"/>
  <c r="AQ104" i="8" s="1"/>
  <c r="N48" i="8"/>
  <c r="N46" i="9"/>
  <c r="N42" i="9"/>
  <c r="N24" i="9"/>
  <c r="N41" i="9"/>
  <c r="L27" i="6"/>
  <c r="N23" i="9"/>
  <c r="N28" i="9"/>
  <c r="N59" i="9"/>
  <c r="N62" i="9"/>
  <c r="N45" i="9"/>
  <c r="N53" i="9"/>
  <c r="N35" i="9"/>
  <c r="N49" i="9"/>
  <c r="N31" i="9"/>
  <c r="N50" i="9"/>
  <c r="N44" i="9"/>
  <c r="N26" i="9"/>
  <c r="N27" i="9"/>
  <c r="N32" i="9"/>
  <c r="N47" i="9"/>
  <c r="N36" i="9"/>
  <c r="N29" i="9"/>
  <c r="N33" i="9"/>
  <c r="N51" i="9"/>
  <c r="N54" i="9"/>
  <c r="N55" i="9"/>
  <c r="N37" i="9"/>
  <c r="N56" i="9"/>
  <c r="N60" i="9"/>
  <c r="AQ135" i="9"/>
  <c r="AK135" i="9"/>
  <c r="AI137" i="9"/>
  <c r="K40" i="40"/>
  <c r="N63" i="9"/>
  <c r="N26" i="8"/>
  <c r="L26" i="6"/>
  <c r="N25" i="8"/>
  <c r="N27" i="8"/>
  <c r="N24" i="8"/>
  <c r="N30" i="8"/>
  <c r="N44" i="8"/>
  <c r="N47" i="8"/>
  <c r="N31" i="8"/>
  <c r="N32" i="8"/>
  <c r="N38" i="8"/>
  <c r="N39" i="8"/>
  <c r="N35" i="8"/>
  <c r="N37" i="8"/>
  <c r="N36" i="8"/>
  <c r="N40" i="8"/>
  <c r="N45" i="8"/>
  <c r="P36" i="5"/>
  <c r="AK120" i="14"/>
  <c r="AQ120" i="14"/>
  <c r="X36" i="5" s="1"/>
  <c r="AK97" i="8"/>
  <c r="AQ97" i="8"/>
  <c r="B41" i="40"/>
  <c r="L41" i="40" s="1"/>
  <c r="R27" i="6"/>
  <c r="G27" i="3"/>
  <c r="I27" i="3" s="1"/>
  <c r="B47" i="40"/>
  <c r="L47" i="40" s="1"/>
  <c r="G36" i="3"/>
  <c r="R36" i="6"/>
  <c r="R37" i="6" s="1"/>
  <c r="B40" i="40"/>
  <c r="R26" i="6"/>
  <c r="G26" i="3"/>
  <c r="AK118" i="14"/>
  <c r="AQ118" i="14"/>
  <c r="X28" i="5"/>
  <c r="R28" i="5"/>
  <c r="N35" i="14"/>
  <c r="L36" i="6"/>
  <c r="N21" i="14"/>
  <c r="N53" i="14"/>
  <c r="N50" i="14"/>
  <c r="N38" i="14"/>
  <c r="N24" i="14"/>
  <c r="N25" i="14"/>
  <c r="N26" i="14"/>
  <c r="N40" i="14"/>
  <c r="N39" i="14"/>
  <c r="N29" i="14"/>
  <c r="N43" i="14"/>
  <c r="N45" i="14"/>
  <c r="N30" i="14"/>
  <c r="N44" i="14"/>
  <c r="N46" i="14"/>
  <c r="N31" i="14"/>
  <c r="N47" i="14"/>
  <c r="N32" i="14"/>
  <c r="N51" i="14"/>
  <c r="AI106" i="8" l="1"/>
  <c r="AK106" i="8" s="1"/>
  <c r="K27" i="3"/>
  <c r="R33" i="6"/>
  <c r="AQ137" i="9"/>
  <c r="P27" i="5"/>
  <c r="AK137" i="9"/>
  <c r="I26" i="3"/>
  <c r="G33" i="3"/>
  <c r="P37" i="5"/>
  <c r="R36" i="5"/>
  <c r="J27" i="6"/>
  <c r="L40" i="40"/>
  <c r="I36" i="3"/>
  <c r="G37" i="3"/>
  <c r="L37" i="6"/>
  <c r="N36" i="6" s="1"/>
  <c r="J36" i="6"/>
  <c r="J26" i="6"/>
  <c r="L33" i="6"/>
  <c r="N27" i="6" s="1"/>
  <c r="AQ106" i="8" l="1"/>
  <c r="P26" i="5"/>
  <c r="P33" i="5" s="1"/>
  <c r="N26" i="6"/>
  <c r="R37" i="5"/>
  <c r="X37" i="5"/>
  <c r="N31" i="6"/>
  <c r="J33" i="6"/>
  <c r="N29" i="6"/>
  <c r="N30" i="6"/>
  <c r="N32" i="6"/>
  <c r="N28" i="6"/>
  <c r="I33" i="3"/>
  <c r="K26" i="3"/>
  <c r="J37" i="6"/>
  <c r="R27" i="5"/>
  <c r="X27" i="5"/>
  <c r="I37" i="3"/>
  <c r="K36" i="3"/>
  <c r="J57" i="6" l="1"/>
  <c r="R57" i="6"/>
  <c r="G56" i="3" s="1"/>
  <c r="I56" i="3" s="1"/>
  <c r="K56" i="3" s="1"/>
  <c r="P57" i="5"/>
  <c r="R26" i="5"/>
  <c r="X26" i="5"/>
  <c r="K33" i="3"/>
  <c r="K37" i="3"/>
  <c r="X33" i="5"/>
  <c r="R33" i="5"/>
  <c r="X57" i="5" l="1"/>
  <c r="R57" i="5"/>
  <c r="AO181" i="19"/>
  <c r="AO180" i="19"/>
  <c r="AO189" i="19"/>
  <c r="AO188" i="19"/>
  <c r="AO193" i="19"/>
  <c r="AO186" i="19"/>
  <c r="AO194" i="19"/>
  <c r="AO177" i="19"/>
  <c r="AO184" i="19"/>
  <c r="AO187" i="19"/>
  <c r="AO178" i="19"/>
  <c r="AO176" i="19"/>
  <c r="AO185" i="19"/>
  <c r="AO192" i="19"/>
  <c r="AO175" i="19"/>
  <c r="AO191" i="19"/>
  <c r="AQ191" i="19" s="1"/>
  <c r="AO182" i="19"/>
  <c r="AQ182" i="19" s="1"/>
  <c r="AO196" i="19" l="1"/>
  <c r="AO205" i="19"/>
  <c r="AQ205" i="19" s="1"/>
  <c r="AO203" i="19"/>
  <c r="AO207" i="19"/>
  <c r="AQ207" i="19" s="1"/>
  <c r="AO213" i="19"/>
  <c r="AO211" i="19"/>
  <c r="AQ211" i="19" s="1"/>
  <c r="AO215" i="19"/>
  <c r="AO202" i="19"/>
  <c r="AO201" i="19"/>
  <c r="AQ201" i="19" s="1"/>
  <c r="AO206" i="19"/>
  <c r="AQ206" i="19" s="1"/>
  <c r="AO210" i="19"/>
  <c r="AO212" i="19"/>
  <c r="AO214" i="19"/>
  <c r="AO200" i="19"/>
  <c r="AO264" i="19"/>
  <c r="AO253" i="19"/>
  <c r="AO255" i="19"/>
  <c r="AO248" i="19"/>
  <c r="AO245" i="19"/>
  <c r="AO252" i="19"/>
  <c r="AQ252" i="19" s="1"/>
  <c r="AO251" i="19"/>
  <c r="AQ251" i="19" s="1"/>
  <c r="AO250" i="19"/>
  <c r="AO259" i="19"/>
  <c r="AO256" i="19"/>
  <c r="AO258" i="19"/>
  <c r="AO246" i="19"/>
  <c r="AO260" i="19"/>
  <c r="AO257" i="19"/>
  <c r="AQ257" i="19" s="1"/>
  <c r="AO262" i="19"/>
  <c r="AO261" i="19"/>
  <c r="AQ261" i="19" s="1"/>
  <c r="AO263" i="19"/>
  <c r="AO247" i="19"/>
  <c r="AQ247" i="19" s="1"/>
  <c r="AM265" i="19"/>
  <c r="AM293" i="19" s="1"/>
  <c r="AO244" i="19"/>
  <c r="T47" i="5" l="1"/>
  <c r="P34" i="4"/>
  <c r="AO265" i="19"/>
  <c r="AE285" i="19" l="1"/>
  <c r="AE287" i="19" s="1"/>
  <c r="D20" i="40"/>
  <c r="AO285" i="19" l="1"/>
  <c r="E20" i="40"/>
  <c r="AE293" i="19"/>
  <c r="AG287" i="19" s="1"/>
  <c r="H20" i="40"/>
  <c r="AO287" i="19"/>
  <c r="AO293" i="19" l="1"/>
  <c r="K20" i="40"/>
  <c r="AG291" i="19"/>
  <c r="AG292" i="19"/>
  <c r="AG182" i="19"/>
  <c r="AG282" i="19"/>
  <c r="AG263" i="19"/>
  <c r="AG180" i="19"/>
  <c r="AG281" i="19"/>
  <c r="AG202" i="19"/>
  <c r="AG191" i="19"/>
  <c r="J34" i="4"/>
  <c r="AG279" i="19"/>
  <c r="AG184" i="19"/>
  <c r="AG268" i="19"/>
  <c r="AG265" i="19"/>
  <c r="AG186" i="19"/>
  <c r="AG286" i="19"/>
  <c r="AG210" i="19"/>
  <c r="AG194" i="19"/>
  <c r="AG274" i="19"/>
  <c r="AG273" i="19"/>
  <c r="AG260" i="19"/>
  <c r="AG290" i="19"/>
  <c r="AG270" i="19"/>
  <c r="AG269" i="19"/>
  <c r="AG247" i="19"/>
  <c r="AG200" i="19"/>
  <c r="AG248" i="19"/>
  <c r="AG175" i="19"/>
  <c r="AG280" i="19"/>
  <c r="AG250" i="19"/>
  <c r="AG244" i="19"/>
  <c r="AG278" i="19"/>
  <c r="AG176" i="19"/>
  <c r="AG257" i="19"/>
  <c r="AG262" i="19"/>
  <c r="AG215" i="19"/>
  <c r="L47" i="5"/>
  <c r="AG188" i="19"/>
  <c r="AG275" i="19"/>
  <c r="AG213" i="19"/>
  <c r="AG255" i="19"/>
  <c r="AG261" i="19"/>
  <c r="AG276" i="19"/>
  <c r="AG245" i="19"/>
  <c r="AG201" i="19"/>
  <c r="AG196" i="19"/>
  <c r="AG211" i="19"/>
  <c r="AG189" i="19"/>
  <c r="AG205" i="19"/>
  <c r="AG252" i="19"/>
  <c r="AG203" i="19"/>
  <c r="AG271" i="19"/>
  <c r="AG207" i="19"/>
  <c r="AG178" i="19"/>
  <c r="AG214" i="19"/>
  <c r="AG246" i="19"/>
  <c r="AG187" i="19"/>
  <c r="AG251" i="19"/>
  <c r="AG177" i="19"/>
  <c r="AG256" i="19"/>
  <c r="AG264" i="19"/>
  <c r="AG277" i="19"/>
  <c r="AG192" i="19"/>
  <c r="AG253" i="19"/>
  <c r="AG258" i="19"/>
  <c r="AG259" i="19"/>
  <c r="AG193" i="19"/>
  <c r="AG212" i="19"/>
  <c r="AG272" i="19"/>
  <c r="AG181" i="19"/>
  <c r="AG185" i="19"/>
  <c r="AG206" i="19"/>
  <c r="AG285" i="19"/>
  <c r="J313" i="38" l="1"/>
  <c r="L313" i="38" s="1"/>
  <c r="J311" i="38"/>
  <c r="L311" i="38" s="1"/>
  <c r="J312" i="38"/>
  <c r="L312" i="38" s="1"/>
  <c r="J310" i="38"/>
  <c r="L310" i="38" s="1"/>
  <c r="J309" i="38"/>
  <c r="L309" i="38" s="1"/>
  <c r="J308" i="38"/>
  <c r="L308" i="38" s="1"/>
  <c r="J307" i="38"/>
  <c r="L307" i="38" s="1"/>
  <c r="J324" i="38"/>
  <c r="L324" i="38" s="1"/>
  <c r="J302" i="38"/>
  <c r="L302" i="38" s="1"/>
  <c r="J290" i="38"/>
  <c r="L290" i="38" s="1"/>
  <c r="J254" i="38"/>
  <c r="L254" i="38" s="1"/>
  <c r="J239" i="38"/>
  <c r="L239" i="38" s="1"/>
  <c r="J259" i="38"/>
  <c r="L259" i="38" s="1"/>
  <c r="J243" i="38"/>
  <c r="L243" i="38" s="1"/>
  <c r="J292" i="38"/>
  <c r="L292" i="38" s="1"/>
  <c r="J291" i="38"/>
  <c r="L291" i="38" s="1"/>
  <c r="J323" i="38"/>
  <c r="L323" i="38" s="1"/>
  <c r="J301" i="38"/>
  <c r="L301" i="38" s="1"/>
  <c r="J289" i="38"/>
  <c r="L289" i="38" s="1"/>
  <c r="J253" i="38"/>
  <c r="L253" i="38" s="1"/>
  <c r="J238" i="38"/>
  <c r="L238" i="38" s="1"/>
  <c r="J248" i="38"/>
  <c r="L248" i="38" s="1"/>
  <c r="J298" i="38"/>
  <c r="L298" i="38" s="1"/>
  <c r="J319" i="38"/>
  <c r="L319" i="38" s="1"/>
  <c r="R319" i="38" s="1"/>
  <c r="J261" i="38"/>
  <c r="L261" i="38" s="1"/>
  <c r="J318" i="38"/>
  <c r="L318" i="38" s="1"/>
  <c r="J245" i="38"/>
  <c r="L245" i="38" s="1"/>
  <c r="J244" i="38"/>
  <c r="L244" i="38" s="1"/>
  <c r="J258" i="38"/>
  <c r="L258" i="38" s="1"/>
  <c r="J242" i="38"/>
  <c r="L242" i="38" s="1"/>
  <c r="J241" i="38"/>
  <c r="L241" i="38" s="1"/>
  <c r="J255" i="38"/>
  <c r="L255" i="38" s="1"/>
  <c r="J322" i="38"/>
  <c r="L322" i="38" s="1"/>
  <c r="J300" i="38"/>
  <c r="L300" i="38" s="1"/>
  <c r="J264" i="38"/>
  <c r="L264" i="38" s="1"/>
  <c r="J252" i="38"/>
  <c r="L252" i="38" s="1"/>
  <c r="J237" i="38"/>
  <c r="L237" i="38" s="1"/>
  <c r="J321" i="38"/>
  <c r="L321" i="38" s="1"/>
  <c r="J299" i="38"/>
  <c r="L299" i="38" s="1"/>
  <c r="J263" i="38"/>
  <c r="L263" i="38" s="1"/>
  <c r="J236" i="38"/>
  <c r="L236" i="38" s="1"/>
  <c r="J320" i="38"/>
  <c r="L320" i="38" s="1"/>
  <c r="J262" i="38"/>
  <c r="L262" i="38" s="1"/>
  <c r="J247" i="38"/>
  <c r="L247" i="38" s="1"/>
  <c r="J297" i="38"/>
  <c r="L297" i="38" s="1"/>
  <c r="J246" i="38"/>
  <c r="L246" i="38" s="1"/>
  <c r="J296" i="38"/>
  <c r="L296" i="38" s="1"/>
  <c r="J260" i="38"/>
  <c r="L260" i="38" s="1"/>
  <c r="J317" i="38"/>
  <c r="L317" i="38" s="1"/>
  <c r="J295" i="38"/>
  <c r="L295" i="38" s="1"/>
  <c r="J306" i="38"/>
  <c r="L306" i="38" s="1"/>
  <c r="J294" i="38"/>
  <c r="L294" i="38" s="1"/>
  <c r="J305" i="38"/>
  <c r="L305" i="38" s="1"/>
  <c r="J293" i="38"/>
  <c r="L293" i="38" s="1"/>
  <c r="J257" i="38"/>
  <c r="L257" i="38" s="1"/>
  <c r="J304" i="38"/>
  <c r="L304" i="38" s="1"/>
  <c r="J256" i="38"/>
  <c r="L256" i="38" s="1"/>
  <c r="J303" i="38"/>
  <c r="L303" i="38" s="1"/>
  <c r="J240" i="38"/>
  <c r="L240" i="38" s="1"/>
  <c r="J156" i="38"/>
  <c r="L156" i="38" s="1"/>
  <c r="J103" i="19"/>
  <c r="L103" i="19" s="1"/>
  <c r="AE16" i="19"/>
  <c r="AG16" i="19" s="1"/>
  <c r="AE8" i="19"/>
  <c r="AG8" i="19" s="1"/>
  <c r="J130" i="38"/>
  <c r="L130" i="38" s="1"/>
  <c r="J185" i="38"/>
  <c r="L185" i="38" s="1"/>
  <c r="J124" i="38"/>
  <c r="L124" i="38" s="1"/>
  <c r="J128" i="38"/>
  <c r="L128" i="38" s="1"/>
  <c r="J183" i="38"/>
  <c r="L183" i="38" s="1"/>
  <c r="J193" i="38"/>
  <c r="L193" i="38" s="1"/>
  <c r="J118" i="38"/>
  <c r="L118" i="38" s="1"/>
  <c r="J224" i="38"/>
  <c r="L224" i="38" s="1"/>
  <c r="J197" i="38"/>
  <c r="L197" i="38" s="1"/>
  <c r="K28" i="38"/>
  <c r="J27" i="38"/>
  <c r="J44" i="38"/>
  <c r="K48" i="38"/>
  <c r="K45" i="38"/>
  <c r="K50" i="38"/>
  <c r="J49" i="38"/>
  <c r="J47" i="38"/>
  <c r="K49" i="38"/>
  <c r="J48" i="38"/>
  <c r="J39" i="38"/>
  <c r="K55" i="38"/>
  <c r="J54" i="38"/>
  <c r="J53" i="38"/>
  <c r="J120" i="19"/>
  <c r="L120" i="19" s="1"/>
  <c r="J117" i="19"/>
  <c r="L117" i="19" s="1"/>
  <c r="J123" i="19"/>
  <c r="L123" i="19" s="1"/>
  <c r="AE9" i="19"/>
  <c r="AG9" i="19" s="1"/>
  <c r="J172" i="38"/>
  <c r="L172" i="38" s="1"/>
  <c r="J116" i="38"/>
  <c r="L116" i="38" s="1"/>
  <c r="J182" i="38"/>
  <c r="L182" i="38" s="1"/>
  <c r="K59" i="38"/>
  <c r="J52" i="38"/>
  <c r="J28" i="38"/>
  <c r="J114" i="19"/>
  <c r="L114" i="19" s="1"/>
  <c r="J171" i="38"/>
  <c r="L171" i="38" s="1"/>
  <c r="J23" i="38"/>
  <c r="K37" i="38"/>
  <c r="AE6" i="19"/>
  <c r="AG6" i="19" s="1"/>
  <c r="J196" i="38"/>
  <c r="L196" i="38" s="1"/>
  <c r="J122" i="38"/>
  <c r="L122" i="38" s="1"/>
  <c r="J177" i="38"/>
  <c r="L177" i="38" s="1"/>
  <c r="J120" i="38"/>
  <c r="L120" i="38" s="1"/>
  <c r="J175" i="38"/>
  <c r="L175" i="38" s="1"/>
  <c r="L329" i="38"/>
  <c r="J231" i="38"/>
  <c r="L231" i="38" s="1"/>
  <c r="J181" i="38"/>
  <c r="L181" i="38" s="1"/>
  <c r="J163" i="38"/>
  <c r="L163" i="38" s="1"/>
  <c r="K20" i="38"/>
  <c r="J87" i="38"/>
  <c r="K21" i="38"/>
  <c r="K42" i="38"/>
  <c r="J41" i="38"/>
  <c r="K30" i="38"/>
  <c r="K41" i="38"/>
  <c r="J40" i="38"/>
  <c r="K47" i="38"/>
  <c r="J46" i="38"/>
  <c r="J21" i="38"/>
  <c r="J126" i="19"/>
  <c r="L126" i="19" s="1"/>
  <c r="J229" i="38"/>
  <c r="L229" i="38" s="1"/>
  <c r="J179" i="38"/>
  <c r="L179" i="38" s="1"/>
  <c r="J55" i="38"/>
  <c r="K54" i="38"/>
  <c r="J25" i="38"/>
  <c r="J24" i="38"/>
  <c r="J124" i="19"/>
  <c r="L124" i="19" s="1"/>
  <c r="J184" i="38"/>
  <c r="L184" i="38" s="1"/>
  <c r="J116" i="19"/>
  <c r="L116" i="19" s="1"/>
  <c r="AE13" i="19"/>
  <c r="AG13" i="19" s="1"/>
  <c r="J189" i="38"/>
  <c r="L189" i="38" s="1"/>
  <c r="J114" i="38"/>
  <c r="L114" i="38" s="1"/>
  <c r="J169" i="38"/>
  <c r="L169" i="38" s="1"/>
  <c r="J187" i="38"/>
  <c r="L187" i="38" s="1"/>
  <c r="J119" i="38"/>
  <c r="L119" i="38" s="1"/>
  <c r="J167" i="38"/>
  <c r="L167" i="38" s="1"/>
  <c r="J225" i="38"/>
  <c r="L225" i="38" s="1"/>
  <c r="J164" i="38"/>
  <c r="L164" i="38" s="1"/>
  <c r="J173" i="38"/>
  <c r="L173" i="38" s="1"/>
  <c r="K40" i="38"/>
  <c r="J31" i="38"/>
  <c r="K34" i="38"/>
  <c r="J33" i="38"/>
  <c r="J45" i="38"/>
  <c r="K33" i="38"/>
  <c r="J32" i="38"/>
  <c r="K46" i="38"/>
  <c r="K39" i="38"/>
  <c r="J38" i="38"/>
  <c r="J125" i="19"/>
  <c r="L125" i="19" s="1"/>
  <c r="J122" i="19"/>
  <c r="L122" i="19" s="1"/>
  <c r="AE12" i="19"/>
  <c r="AG12" i="19" s="1"/>
  <c r="J161" i="38"/>
  <c r="L161" i="38" s="1"/>
  <c r="J227" i="38"/>
  <c r="L227" i="38" s="1"/>
  <c r="J159" i="38"/>
  <c r="L159" i="38" s="1"/>
  <c r="J165" i="38"/>
  <c r="L165" i="38" s="1"/>
  <c r="J58" i="38"/>
  <c r="K26" i="38"/>
  <c r="K25" i="38"/>
  <c r="J30" i="38"/>
  <c r="J186" i="38"/>
  <c r="L186" i="38" s="1"/>
  <c r="J190" i="38"/>
  <c r="L190" i="38" s="1"/>
  <c r="J174" i="38"/>
  <c r="L174" i="38" s="1"/>
  <c r="J157" i="38"/>
  <c r="L157" i="38" s="1"/>
  <c r="K51" i="38"/>
  <c r="J20" i="38"/>
  <c r="J29" i="38"/>
  <c r="AE18" i="19"/>
  <c r="AG18" i="19" s="1"/>
  <c r="AE11" i="19"/>
  <c r="AG11" i="19" s="1"/>
  <c r="J178" i="38"/>
  <c r="L178" i="38" s="1"/>
  <c r="J195" i="38"/>
  <c r="L195" i="38" s="1"/>
  <c r="J121" i="38"/>
  <c r="L121" i="38" s="1"/>
  <c r="J176" i="38"/>
  <c r="L176" i="38" s="1"/>
  <c r="J131" i="38"/>
  <c r="L131" i="38" s="1"/>
  <c r="J166" i="38"/>
  <c r="L166" i="38" s="1"/>
  <c r="J192" i="38"/>
  <c r="L192" i="38" s="1"/>
  <c r="J125" i="38"/>
  <c r="L125" i="38" s="1"/>
  <c r="K52" i="38"/>
  <c r="J51" i="38"/>
  <c r="K43" i="38"/>
  <c r="J42" i="38"/>
  <c r="J37" i="38"/>
  <c r="K56" i="38"/>
  <c r="K86" i="38"/>
  <c r="J127" i="19"/>
  <c r="L127" i="19" s="1"/>
  <c r="J115" i="19"/>
  <c r="L115" i="19" s="1"/>
  <c r="AE5" i="19"/>
  <c r="AG5" i="19" s="1"/>
  <c r="J162" i="38"/>
  <c r="L162" i="38" s="1"/>
  <c r="J160" i="38"/>
  <c r="L160" i="38" s="1"/>
  <c r="J123" i="38"/>
  <c r="L123" i="38" s="1"/>
  <c r="J232" i="38"/>
  <c r="L232" i="38" s="1"/>
  <c r="K36" i="38"/>
  <c r="K27" i="38"/>
  <c r="K61" i="38"/>
  <c r="K58" i="38"/>
  <c r="J86" i="38"/>
  <c r="J36" i="38"/>
  <c r="J118" i="19"/>
  <c r="L118" i="19" s="1"/>
  <c r="AE17" i="19"/>
  <c r="AG17" i="19" s="1"/>
  <c r="J129" i="38"/>
  <c r="L129" i="38" s="1"/>
  <c r="J115" i="38"/>
  <c r="L115" i="38" s="1"/>
  <c r="J59" i="38"/>
  <c r="J50" i="38"/>
  <c r="K23" i="38"/>
  <c r="J121" i="19"/>
  <c r="L121" i="19" s="1"/>
  <c r="AE14" i="19"/>
  <c r="AG14" i="19" s="1"/>
  <c r="AE7" i="19"/>
  <c r="AG7" i="19" s="1"/>
  <c r="J170" i="38"/>
  <c r="L170" i="38" s="1"/>
  <c r="J188" i="38"/>
  <c r="L188" i="38" s="1"/>
  <c r="J113" i="38"/>
  <c r="L113" i="38" s="1"/>
  <c r="J168" i="38"/>
  <c r="L168" i="38" s="1"/>
  <c r="J194" i="38"/>
  <c r="L194" i="38" s="1"/>
  <c r="J230" i="38"/>
  <c r="L230" i="38" s="1"/>
  <c r="J158" i="38"/>
  <c r="L158" i="38" s="1"/>
  <c r="L328" i="38"/>
  <c r="J117" i="38"/>
  <c r="L117" i="38" s="1"/>
  <c r="K44" i="38"/>
  <c r="J43" i="38"/>
  <c r="J61" i="38"/>
  <c r="K35" i="38"/>
  <c r="J34" i="38"/>
  <c r="K32" i="38"/>
  <c r="K24" i="38"/>
  <c r="K38" i="38"/>
  <c r="J60" i="38"/>
  <c r="J119" i="19"/>
  <c r="L119" i="19" s="1"/>
  <c r="AE10" i="19"/>
  <c r="AG10" i="19" s="1"/>
  <c r="J228" i="38"/>
  <c r="L228" i="38" s="1"/>
  <c r="J180" i="38"/>
  <c r="L180" i="38" s="1"/>
  <c r="J226" i="38"/>
  <c r="L226" i="38" s="1"/>
  <c r="J126" i="38"/>
  <c r="L126" i="38" s="1"/>
  <c r="J191" i="38"/>
  <c r="L191" i="38" s="1"/>
  <c r="J35" i="38"/>
  <c r="K29" i="38"/>
  <c r="J26" i="38"/>
  <c r="J57" i="38"/>
  <c r="K57" i="38"/>
  <c r="J56" i="38"/>
  <c r="K87" i="38"/>
  <c r="K88" i="38" s="1"/>
  <c r="K89" i="38" s="1"/>
  <c r="K90" i="38" s="1"/>
  <c r="K91" i="38" s="1"/>
  <c r="K92" i="38" s="1"/>
  <c r="K93" i="38" s="1"/>
  <c r="K94" i="38" s="1"/>
  <c r="K95" i="38" s="1"/>
  <c r="K96" i="38" s="1"/>
  <c r="K97" i="38" s="1"/>
  <c r="K98" i="38" s="1"/>
  <c r="K99" i="38" s="1"/>
  <c r="K100" i="38" s="1"/>
  <c r="K101" i="38" s="1"/>
  <c r="K102" i="38" s="1"/>
  <c r="K103" i="38" s="1"/>
  <c r="K104" i="38" s="1"/>
  <c r="K105" i="38" s="1"/>
  <c r="K106" i="38" s="1"/>
  <c r="K107" i="38" s="1"/>
  <c r="K22" i="38"/>
  <c r="K31" i="38"/>
  <c r="K53" i="38"/>
  <c r="AE15" i="19"/>
  <c r="AG15" i="19" s="1"/>
  <c r="J127" i="38"/>
  <c r="L127" i="38" s="1"/>
  <c r="K60" i="38"/>
  <c r="J22" i="38"/>
  <c r="J30" i="25"/>
  <c r="J53" i="24"/>
  <c r="J56" i="19"/>
  <c r="L56" i="19" s="1"/>
  <c r="J42" i="24"/>
  <c r="J61" i="19"/>
  <c r="L61" i="19" s="1"/>
  <c r="J33" i="25"/>
  <c r="J49" i="19"/>
  <c r="L49" i="19" s="1"/>
  <c r="J36" i="25"/>
  <c r="J28" i="24"/>
  <c r="J35" i="22"/>
  <c r="J41" i="24"/>
  <c r="J59" i="19"/>
  <c r="L59" i="19" s="1"/>
  <c r="J106" i="19"/>
  <c r="L106" i="19" s="1"/>
  <c r="J107" i="19"/>
  <c r="L107" i="19" s="1"/>
  <c r="J21" i="28"/>
  <c r="J27" i="24"/>
  <c r="J53" i="19"/>
  <c r="L53" i="19" s="1"/>
  <c r="J32" i="24"/>
  <c r="J31" i="19"/>
  <c r="L31" i="19" s="1"/>
  <c r="J36" i="24"/>
  <c r="J98" i="19"/>
  <c r="L98" i="19" s="1"/>
  <c r="J23" i="19"/>
  <c r="L23" i="19" s="1"/>
  <c r="J57" i="19"/>
  <c r="L57" i="19" s="1"/>
  <c r="J136" i="19"/>
  <c r="L136" i="19" s="1"/>
  <c r="J24" i="24"/>
  <c r="J48" i="24"/>
  <c r="J60" i="19"/>
  <c r="L60" i="19" s="1"/>
  <c r="J34" i="19"/>
  <c r="L34" i="19" s="1"/>
  <c r="J43" i="24"/>
  <c r="J37" i="25"/>
  <c r="J99" i="19"/>
  <c r="L99" i="19" s="1"/>
  <c r="J51" i="19"/>
  <c r="L51" i="19" s="1"/>
  <c r="J35" i="24"/>
  <c r="J22" i="24"/>
  <c r="J94" i="19"/>
  <c r="L94" i="19" s="1"/>
  <c r="J43" i="25"/>
  <c r="J28" i="22"/>
  <c r="J29" i="22"/>
  <c r="J39" i="25"/>
  <c r="J91" i="19"/>
  <c r="L91" i="19" s="1"/>
  <c r="J97" i="19"/>
  <c r="L97" i="19" s="1"/>
  <c r="J24" i="19"/>
  <c r="L24" i="19" s="1"/>
  <c r="J108" i="19"/>
  <c r="L108" i="19" s="1"/>
  <c r="J38" i="19"/>
  <c r="L38" i="19" s="1"/>
  <c r="J64" i="24"/>
  <c r="J22" i="22"/>
  <c r="J27" i="19"/>
  <c r="L27" i="19" s="1"/>
  <c r="J26" i="19"/>
  <c r="L26" i="19" s="1"/>
  <c r="J61" i="24"/>
  <c r="J110" i="19"/>
  <c r="L110" i="19" s="1"/>
  <c r="J24" i="20"/>
  <c r="L24" i="20" s="1"/>
  <c r="J21" i="19"/>
  <c r="L21" i="19" s="1"/>
  <c r="J34" i="25"/>
  <c r="J52" i="24"/>
  <c r="J58" i="19"/>
  <c r="L58" i="19" s="1"/>
  <c r="J101" i="19"/>
  <c r="L101" i="19" s="1"/>
  <c r="J137" i="19"/>
  <c r="L137" i="19" s="1"/>
  <c r="J24" i="25"/>
  <c r="J39" i="19"/>
  <c r="L39" i="19" s="1"/>
  <c r="J34" i="24"/>
  <c r="J42" i="25"/>
  <c r="J96" i="19"/>
  <c r="L96" i="19" s="1"/>
  <c r="J30" i="19"/>
  <c r="L30" i="19" s="1"/>
  <c r="J29" i="25"/>
  <c r="J40" i="19"/>
  <c r="L40" i="19" s="1"/>
  <c r="J23" i="22"/>
  <c r="J102" i="19"/>
  <c r="L102" i="19" s="1"/>
  <c r="J105" i="19"/>
  <c r="L105" i="19" s="1"/>
  <c r="J38" i="25"/>
  <c r="J33" i="24"/>
  <c r="J23" i="24"/>
  <c r="J57" i="24"/>
  <c r="J32" i="19"/>
  <c r="L32" i="19" s="1"/>
  <c r="J29" i="24"/>
  <c r="J23" i="25"/>
  <c r="J33" i="19"/>
  <c r="L33" i="19" s="1"/>
  <c r="J60" i="24"/>
  <c r="J92" i="19"/>
  <c r="L92" i="19" s="1"/>
  <c r="J28" i="19"/>
  <c r="L28" i="19" s="1"/>
  <c r="J46" i="19"/>
  <c r="L46" i="19" s="1"/>
  <c r="J55" i="24"/>
  <c r="J30" i="22"/>
  <c r="J47" i="19"/>
  <c r="L47" i="19" s="1"/>
  <c r="J22" i="19"/>
  <c r="L22" i="19" s="1"/>
  <c r="J35" i="25"/>
  <c r="J90" i="19"/>
  <c r="L90" i="19" s="1"/>
  <c r="J46" i="24"/>
  <c r="J35" i="19"/>
  <c r="L35" i="19" s="1"/>
  <c r="J26" i="22"/>
  <c r="J25" i="25"/>
  <c r="J52" i="19"/>
  <c r="L52" i="19" s="1"/>
  <c r="J37" i="19"/>
  <c r="L37" i="19" s="1"/>
  <c r="J56" i="24"/>
  <c r="J104" i="19"/>
  <c r="L104" i="19" s="1"/>
  <c r="J51" i="24"/>
  <c r="J48" i="19"/>
  <c r="L48" i="19" s="1"/>
  <c r="J28" i="25"/>
  <c r="J36" i="22"/>
  <c r="J44" i="25"/>
  <c r="J22" i="25"/>
  <c r="J93" i="19"/>
  <c r="L93" i="19" s="1"/>
  <c r="J54" i="24"/>
  <c r="J47" i="24"/>
  <c r="J109" i="19"/>
  <c r="L109" i="19" s="1"/>
  <c r="J40" i="24"/>
  <c r="J47" i="5"/>
  <c r="L34" i="4"/>
  <c r="R34" i="4"/>
  <c r="E47" i="3"/>
  <c r="V47" i="5"/>
  <c r="R308" i="38" l="1"/>
  <c r="AI660" i="38"/>
  <c r="R309" i="38"/>
  <c r="AI661" i="38"/>
  <c r="R307" i="38"/>
  <c r="AI659" i="38"/>
  <c r="R310" i="38"/>
  <c r="AI662" i="38"/>
  <c r="R312" i="38"/>
  <c r="AI664" i="38"/>
  <c r="R311" i="38"/>
  <c r="AI663" i="38"/>
  <c r="R313" i="38"/>
  <c r="AI665" i="38"/>
  <c r="L55" i="38"/>
  <c r="R55" i="38" s="1"/>
  <c r="L106" i="38"/>
  <c r="AI458" i="38" s="1"/>
  <c r="L91" i="38"/>
  <c r="AI443" i="38" s="1"/>
  <c r="R257" i="38"/>
  <c r="AI609" i="38"/>
  <c r="R262" i="38"/>
  <c r="AI614" i="38"/>
  <c r="AI593" i="38"/>
  <c r="R241" i="38"/>
  <c r="R289" i="38"/>
  <c r="AI641" i="38"/>
  <c r="R293" i="38"/>
  <c r="AI645" i="38"/>
  <c r="R320" i="38"/>
  <c r="AI671" i="38"/>
  <c r="AI594" i="38"/>
  <c r="R242" i="38"/>
  <c r="R301" i="38"/>
  <c r="AI653" i="38"/>
  <c r="AI588" i="38"/>
  <c r="L249" i="38"/>
  <c r="R236" i="38"/>
  <c r="R263" i="38"/>
  <c r="AI615" i="38"/>
  <c r="R245" i="38"/>
  <c r="AI597" i="38"/>
  <c r="R295" i="38"/>
  <c r="AI647" i="38"/>
  <c r="AI589" i="38"/>
  <c r="R237" i="38"/>
  <c r="L35" i="38"/>
  <c r="R35" i="38" s="1"/>
  <c r="R260" i="38"/>
  <c r="AI612" i="38"/>
  <c r="AI604" i="38"/>
  <c r="L314" i="38"/>
  <c r="R252" i="38"/>
  <c r="AI591" i="38"/>
  <c r="R239" i="38"/>
  <c r="R305" i="38"/>
  <c r="AI657" i="38"/>
  <c r="R306" i="38"/>
  <c r="AI658" i="38"/>
  <c r="R318" i="38"/>
  <c r="AI670" i="38"/>
  <c r="R317" i="38"/>
  <c r="AI669" i="38"/>
  <c r="L325" i="38"/>
  <c r="AI676" i="38" s="1"/>
  <c r="AI592" i="38"/>
  <c r="R240" i="38"/>
  <c r="R296" i="38"/>
  <c r="AI648" i="38"/>
  <c r="R264" i="38"/>
  <c r="AI616" i="38"/>
  <c r="R298" i="38"/>
  <c r="AI650" i="38"/>
  <c r="R254" i="38"/>
  <c r="AI606" i="38"/>
  <c r="R323" i="38"/>
  <c r="AI674" i="38"/>
  <c r="L45" i="38"/>
  <c r="AI396" i="38" s="1"/>
  <c r="R294" i="38"/>
  <c r="AI646" i="38"/>
  <c r="R299" i="38"/>
  <c r="AI651" i="38"/>
  <c r="R321" i="38"/>
  <c r="AI672" i="38"/>
  <c r="L103" i="38"/>
  <c r="AI455" i="38" s="1"/>
  <c r="L48" i="38"/>
  <c r="R48" i="38" s="1"/>
  <c r="R303" i="38"/>
  <c r="AI655" i="38"/>
  <c r="R246" i="38"/>
  <c r="AI598" i="38"/>
  <c r="R300" i="38"/>
  <c r="AI652" i="38"/>
  <c r="AI600" i="38"/>
  <c r="R248" i="38"/>
  <c r="R290" i="38"/>
  <c r="AI642" i="38"/>
  <c r="AI596" i="38"/>
  <c r="R244" i="38"/>
  <c r="R261" i="38"/>
  <c r="AI613" i="38"/>
  <c r="R256" i="38"/>
  <c r="AI608" i="38"/>
  <c r="R297" i="38"/>
  <c r="AI649" i="38"/>
  <c r="R322" i="38"/>
  <c r="AI673" i="38"/>
  <c r="AI590" i="38"/>
  <c r="R238" i="38"/>
  <c r="R302" i="38"/>
  <c r="AI654" i="38"/>
  <c r="R258" i="38"/>
  <c r="AI610" i="38"/>
  <c r="R291" i="38"/>
  <c r="AI643" i="38"/>
  <c r="R292" i="38"/>
  <c r="AI644" i="38"/>
  <c r="R243" i="38"/>
  <c r="AI595" i="38"/>
  <c r="R259" i="38"/>
  <c r="AI611" i="38"/>
  <c r="R304" i="38"/>
  <c r="AI656" i="38"/>
  <c r="R247" i="38"/>
  <c r="AI599" i="38"/>
  <c r="R255" i="38"/>
  <c r="AI607" i="38"/>
  <c r="R253" i="38"/>
  <c r="AI605" i="38"/>
  <c r="R324" i="38"/>
  <c r="AI675" i="38"/>
  <c r="L28" i="38"/>
  <c r="AI379" i="38" s="1"/>
  <c r="L22" i="38"/>
  <c r="R22" i="38" s="1"/>
  <c r="L30" i="38"/>
  <c r="R30" i="38" s="1"/>
  <c r="L99" i="38"/>
  <c r="AI451" i="38" s="1"/>
  <c r="L20" i="38"/>
  <c r="AI371" i="38" s="1"/>
  <c r="L92" i="38"/>
  <c r="R92" i="38" s="1"/>
  <c r="L60" i="38"/>
  <c r="AI411" i="38" s="1"/>
  <c r="L89" i="38"/>
  <c r="AI441" i="38" s="1"/>
  <c r="L33" i="38"/>
  <c r="AI384" i="38" s="1"/>
  <c r="L46" i="38"/>
  <c r="AI397" i="38" s="1"/>
  <c r="L59" i="38"/>
  <c r="R59" i="38" s="1"/>
  <c r="L36" i="38"/>
  <c r="AI387" i="38" s="1"/>
  <c r="L50" i="38"/>
  <c r="R50" i="38" s="1"/>
  <c r="L96" i="38"/>
  <c r="R96" i="38" s="1"/>
  <c r="L24" i="38"/>
  <c r="AI375" i="38" s="1"/>
  <c r="L27" i="38"/>
  <c r="R27" i="38" s="1"/>
  <c r="L88" i="38"/>
  <c r="AI440" i="38" s="1"/>
  <c r="L102" i="38"/>
  <c r="AI454" i="38" s="1"/>
  <c r="L37" i="38"/>
  <c r="AI388" i="38" s="1"/>
  <c r="L107" i="38"/>
  <c r="R107" i="38" s="1"/>
  <c r="L21" i="38"/>
  <c r="AI372" i="38" s="1"/>
  <c r="L93" i="38"/>
  <c r="R93" i="38" s="1"/>
  <c r="L34" i="38"/>
  <c r="AI385" i="38" s="1"/>
  <c r="L57" i="38"/>
  <c r="AI408" i="38" s="1"/>
  <c r="L61" i="38"/>
  <c r="AI412" i="38" s="1"/>
  <c r="L86" i="38"/>
  <c r="R86" i="38" s="1"/>
  <c r="AI186" i="19"/>
  <c r="R32" i="19"/>
  <c r="L24" i="24"/>
  <c r="AI521" i="38"/>
  <c r="R169" i="38"/>
  <c r="R181" i="38"/>
  <c r="AI533" i="38"/>
  <c r="L44" i="38"/>
  <c r="R48" i="19"/>
  <c r="AI202" i="19"/>
  <c r="R101" i="19"/>
  <c r="AI255" i="19"/>
  <c r="L27" i="24"/>
  <c r="AI469" i="38"/>
  <c r="R117" i="38"/>
  <c r="L58" i="38"/>
  <c r="AI476" i="38"/>
  <c r="R124" i="38"/>
  <c r="L47" i="24"/>
  <c r="L51" i="24"/>
  <c r="L46" i="24"/>
  <c r="AI182" i="19"/>
  <c r="AK182" i="19" s="1"/>
  <c r="R28" i="19"/>
  <c r="L23" i="24"/>
  <c r="AI184" i="19"/>
  <c r="R30" i="19"/>
  <c r="R58" i="19"/>
  <c r="AI212" i="19"/>
  <c r="AI181" i="19"/>
  <c r="R27" i="19"/>
  <c r="L39" i="25"/>
  <c r="R99" i="19"/>
  <c r="AI253" i="19"/>
  <c r="AI211" i="19"/>
  <c r="AK211" i="19" s="1"/>
  <c r="R57" i="19"/>
  <c r="R49" i="19"/>
  <c r="AI203" i="19"/>
  <c r="R191" i="38"/>
  <c r="AI543" i="38"/>
  <c r="L330" i="38"/>
  <c r="AI680" i="38"/>
  <c r="R328" i="38"/>
  <c r="AI481" i="38"/>
  <c r="R129" i="38"/>
  <c r="AI269" i="19"/>
  <c r="R115" i="19"/>
  <c r="L51" i="38"/>
  <c r="AI473" i="38"/>
  <c r="R121" i="38"/>
  <c r="AI509" i="38"/>
  <c r="R157" i="38"/>
  <c r="R91" i="38"/>
  <c r="R173" i="38"/>
  <c r="AI525" i="38"/>
  <c r="R189" i="38"/>
  <c r="AI541" i="38"/>
  <c r="L25" i="38"/>
  <c r="L87" i="38"/>
  <c r="R329" i="38"/>
  <c r="AI681" i="38"/>
  <c r="L52" i="38"/>
  <c r="R117" i="19"/>
  <c r="AI271" i="19"/>
  <c r="L47" i="38"/>
  <c r="AI537" i="38"/>
  <c r="R185" i="38"/>
  <c r="L55" i="24"/>
  <c r="L28" i="24"/>
  <c r="AI514" i="38"/>
  <c r="R162" i="38"/>
  <c r="R109" i="19"/>
  <c r="AI263" i="19"/>
  <c r="R26" i="19"/>
  <c r="AI180" i="19"/>
  <c r="AI373" i="38"/>
  <c r="AI522" i="38"/>
  <c r="R170" i="38"/>
  <c r="AI528" i="38"/>
  <c r="R176" i="38"/>
  <c r="AI258" i="19"/>
  <c r="R104" i="19"/>
  <c r="R96" i="19"/>
  <c r="AI250" i="19"/>
  <c r="L29" i="22"/>
  <c r="L37" i="25"/>
  <c r="R23" i="19"/>
  <c r="AI177" i="19"/>
  <c r="R107" i="19"/>
  <c r="AI261" i="19"/>
  <c r="L33" i="25"/>
  <c r="AI478" i="38"/>
  <c r="R126" i="38"/>
  <c r="L94" i="38"/>
  <c r="AI510" i="38"/>
  <c r="R158" i="38"/>
  <c r="AI281" i="19"/>
  <c r="R127" i="19"/>
  <c r="R195" i="38"/>
  <c r="AI547" i="38"/>
  <c r="AI526" i="38"/>
  <c r="R174" i="38"/>
  <c r="AI517" i="38"/>
  <c r="R165" i="38"/>
  <c r="L38" i="38"/>
  <c r="AI516" i="38"/>
  <c r="R164" i="38"/>
  <c r="L98" i="38"/>
  <c r="R175" i="38"/>
  <c r="AI527" i="38"/>
  <c r="R120" i="19"/>
  <c r="AI274" i="19"/>
  <c r="L49" i="38"/>
  <c r="R197" i="38"/>
  <c r="AI549" i="38"/>
  <c r="AI482" i="38"/>
  <c r="R130" i="38"/>
  <c r="L28" i="25"/>
  <c r="R40" i="19"/>
  <c r="AI194" i="19"/>
  <c r="R97" i="19"/>
  <c r="AI251" i="19"/>
  <c r="AK251" i="19" s="1"/>
  <c r="R119" i="19"/>
  <c r="AI273" i="19"/>
  <c r="AI483" i="38"/>
  <c r="R131" i="38"/>
  <c r="AI278" i="19"/>
  <c r="R124" i="19"/>
  <c r="R128" i="38"/>
  <c r="AI480" i="38"/>
  <c r="L57" i="24"/>
  <c r="AI290" i="19"/>
  <c r="R136" i="19"/>
  <c r="L138" i="19"/>
  <c r="R115" i="38"/>
  <c r="AI467" i="38"/>
  <c r="L54" i="24"/>
  <c r="AI246" i="19"/>
  <c r="R92" i="19"/>
  <c r="L33" i="24"/>
  <c r="L52" i="24"/>
  <c r="L22" i="22"/>
  <c r="AI247" i="19"/>
  <c r="AK247" i="19" s="1"/>
  <c r="R93" i="19"/>
  <c r="L56" i="24"/>
  <c r="L35" i="25"/>
  <c r="L60" i="24"/>
  <c r="L38" i="25"/>
  <c r="L42" i="25"/>
  <c r="L34" i="25"/>
  <c r="L64" i="24"/>
  <c r="L28" i="22"/>
  <c r="L43" i="24"/>
  <c r="R98" i="19"/>
  <c r="AI252" i="19"/>
  <c r="AI260" i="19"/>
  <c r="R106" i="19"/>
  <c r="AI215" i="19"/>
  <c r="R61" i="19"/>
  <c r="L101" i="38"/>
  <c r="L56" i="38"/>
  <c r="AI578" i="38"/>
  <c r="R226" i="38"/>
  <c r="R230" i="38"/>
  <c r="AI582" i="38"/>
  <c r="R121" i="19"/>
  <c r="AI275" i="19"/>
  <c r="R118" i="19"/>
  <c r="AI272" i="19"/>
  <c r="L100" i="38"/>
  <c r="L97" i="38"/>
  <c r="R125" i="38"/>
  <c r="AI477" i="38"/>
  <c r="R178" i="38"/>
  <c r="AI530" i="38"/>
  <c r="AI542" i="38"/>
  <c r="R190" i="38"/>
  <c r="R159" i="38"/>
  <c r="AI511" i="38"/>
  <c r="L31" i="38"/>
  <c r="AI577" i="38"/>
  <c r="R225" i="38"/>
  <c r="L40" i="38"/>
  <c r="R120" i="38"/>
  <c r="AI472" i="38"/>
  <c r="L104" i="38"/>
  <c r="L53" i="38"/>
  <c r="AI576" i="38"/>
  <c r="R224" i="38"/>
  <c r="L26" i="22"/>
  <c r="L61" i="24"/>
  <c r="L30" i="25"/>
  <c r="R35" i="19"/>
  <c r="AI189" i="19"/>
  <c r="R91" i="19"/>
  <c r="AI245" i="19"/>
  <c r="R231" i="38"/>
  <c r="AI583" i="38"/>
  <c r="R123" i="19"/>
  <c r="AI277" i="19"/>
  <c r="R90" i="19"/>
  <c r="AI244" i="19"/>
  <c r="L22" i="25"/>
  <c r="AI191" i="19"/>
  <c r="AK191" i="19" s="1"/>
  <c r="R37" i="19"/>
  <c r="AI176" i="19"/>
  <c r="R22" i="19"/>
  <c r="AI187" i="19"/>
  <c r="R33" i="19"/>
  <c r="AI259" i="19"/>
  <c r="R105" i="19"/>
  <c r="L34" i="24"/>
  <c r="L42" i="19"/>
  <c r="AI175" i="19"/>
  <c r="R21" i="19"/>
  <c r="R38" i="19"/>
  <c r="AI192" i="19"/>
  <c r="L43" i="25"/>
  <c r="R34" i="19"/>
  <c r="AI188" i="19"/>
  <c r="L36" i="24"/>
  <c r="AI213" i="19"/>
  <c r="R59" i="19"/>
  <c r="L42" i="24"/>
  <c r="R180" i="38"/>
  <c r="AI532" i="38"/>
  <c r="R194" i="38"/>
  <c r="AI546" i="38"/>
  <c r="AI584" i="38"/>
  <c r="R232" i="38"/>
  <c r="R192" i="38"/>
  <c r="AI544" i="38"/>
  <c r="R186" i="38"/>
  <c r="AI538" i="38"/>
  <c r="AI579" i="38"/>
  <c r="R227" i="38"/>
  <c r="L90" i="38"/>
  <c r="AI519" i="38"/>
  <c r="R167" i="38"/>
  <c r="R116" i="19"/>
  <c r="AI270" i="19"/>
  <c r="R179" i="38"/>
  <c r="AI531" i="38"/>
  <c r="L23" i="38"/>
  <c r="AI534" i="38"/>
  <c r="R182" i="38"/>
  <c r="L54" i="38"/>
  <c r="R118" i="38"/>
  <c r="AI470" i="38"/>
  <c r="L35" i="24"/>
  <c r="R196" i="38"/>
  <c r="AI548" i="38"/>
  <c r="R46" i="19"/>
  <c r="AI200" i="19"/>
  <c r="L111" i="19"/>
  <c r="L36" i="25"/>
  <c r="R114" i="38"/>
  <c r="AI466" i="38"/>
  <c r="L44" i="25"/>
  <c r="R47" i="19"/>
  <c r="AI201" i="19"/>
  <c r="R102" i="19"/>
  <c r="AI256" i="19"/>
  <c r="AI193" i="19"/>
  <c r="R39" i="19"/>
  <c r="R108" i="19"/>
  <c r="AI262" i="19"/>
  <c r="AI248" i="19"/>
  <c r="R94" i="19"/>
  <c r="AI214" i="19"/>
  <c r="R60" i="19"/>
  <c r="R31" i="19"/>
  <c r="AI185" i="19"/>
  <c r="L41" i="24"/>
  <c r="R56" i="19"/>
  <c r="AI210" i="19"/>
  <c r="AI479" i="38"/>
  <c r="R127" i="38"/>
  <c r="AI580" i="38"/>
  <c r="R228" i="38"/>
  <c r="AI520" i="38"/>
  <c r="R168" i="38"/>
  <c r="R123" i="38"/>
  <c r="AI475" i="38"/>
  <c r="AI518" i="38"/>
  <c r="R166" i="38"/>
  <c r="R161" i="38"/>
  <c r="AI513" i="38"/>
  <c r="L32" i="38"/>
  <c r="AI471" i="38"/>
  <c r="R119" i="38"/>
  <c r="L105" i="38"/>
  <c r="AI581" i="38"/>
  <c r="R229" i="38"/>
  <c r="AI529" i="38"/>
  <c r="R177" i="38"/>
  <c r="R171" i="38"/>
  <c r="AI523" i="38"/>
  <c r="R116" i="38"/>
  <c r="AI468" i="38"/>
  <c r="AI545" i="38"/>
  <c r="R193" i="38"/>
  <c r="AI257" i="19"/>
  <c r="R103" i="19"/>
  <c r="L40" i="24"/>
  <c r="AI291" i="19"/>
  <c r="R137" i="19"/>
  <c r="AI207" i="19"/>
  <c r="AK207" i="19" s="1"/>
  <c r="R53" i="19"/>
  <c r="R188" i="38"/>
  <c r="AI540" i="38"/>
  <c r="R122" i="19"/>
  <c r="AI276" i="19"/>
  <c r="L29" i="25"/>
  <c r="AI205" i="19"/>
  <c r="AK205" i="19" s="1"/>
  <c r="R51" i="19"/>
  <c r="R125" i="19"/>
  <c r="AI279" i="19"/>
  <c r="AI206" i="19"/>
  <c r="AK206" i="19" s="1"/>
  <c r="R52" i="19"/>
  <c r="L23" i="25"/>
  <c r="L27" i="20"/>
  <c r="AI62" i="20"/>
  <c r="R24" i="20"/>
  <c r="R27" i="20" s="1"/>
  <c r="L30" i="20" s="1"/>
  <c r="L36" i="22"/>
  <c r="L25" i="25"/>
  <c r="L30" i="22"/>
  <c r="L29" i="24"/>
  <c r="L23" i="22"/>
  <c r="L24" i="25"/>
  <c r="R110" i="19"/>
  <c r="AI264" i="19"/>
  <c r="AI178" i="19"/>
  <c r="R24" i="19"/>
  <c r="L22" i="24"/>
  <c r="L48" i="24"/>
  <c r="L32" i="24"/>
  <c r="L35" i="22"/>
  <c r="L53" i="24"/>
  <c r="L26" i="38"/>
  <c r="L43" i="38"/>
  <c r="R113" i="38"/>
  <c r="AI465" i="38"/>
  <c r="L233" i="38"/>
  <c r="L95" i="38"/>
  <c r="AI512" i="38"/>
  <c r="R160" i="38"/>
  <c r="L42" i="38"/>
  <c r="L29" i="38"/>
  <c r="R187" i="38"/>
  <c r="AI539" i="38"/>
  <c r="AI536" i="38"/>
  <c r="R184" i="38"/>
  <c r="AI280" i="19"/>
  <c r="R126" i="19"/>
  <c r="L41" i="38"/>
  <c r="AI515" i="38"/>
  <c r="R163" i="38"/>
  <c r="AI474" i="38"/>
  <c r="R122" i="38"/>
  <c r="AI268" i="19"/>
  <c r="L128" i="19"/>
  <c r="R114" i="19"/>
  <c r="AI524" i="38"/>
  <c r="R172" i="38"/>
  <c r="L39" i="38"/>
  <c r="AI535" i="38"/>
  <c r="R183" i="38"/>
  <c r="R156" i="38"/>
  <c r="AI508" i="38"/>
  <c r="B20" i="40"/>
  <c r="AI406" i="38" l="1"/>
  <c r="R106" i="38"/>
  <c r="AI381" i="38"/>
  <c r="AI399" i="38"/>
  <c r="R103" i="38"/>
  <c r="AI386" i="38"/>
  <c r="AI378" i="38"/>
  <c r="AQ378" i="38" s="1"/>
  <c r="R28" i="38"/>
  <c r="AK605" i="38"/>
  <c r="AQ605" i="38"/>
  <c r="AQ652" i="38"/>
  <c r="AK652" i="38"/>
  <c r="AI601" i="38"/>
  <c r="AK607" i="38"/>
  <c r="AQ607" i="38"/>
  <c r="AI666" i="38"/>
  <c r="R45" i="38"/>
  <c r="AQ653" i="38"/>
  <c r="AK653" i="38"/>
  <c r="AK676" i="38"/>
  <c r="AQ676" i="38"/>
  <c r="AI677" i="38"/>
  <c r="R314" i="38"/>
  <c r="AQ610" i="38"/>
  <c r="AK610" i="38"/>
  <c r="R249" i="38"/>
  <c r="R325" i="38"/>
  <c r="R99" i="38"/>
  <c r="AI444" i="38"/>
  <c r="R102" i="38"/>
  <c r="R60" i="38"/>
  <c r="R37" i="38"/>
  <c r="R33" i="38"/>
  <c r="R89" i="38"/>
  <c r="R46" i="38"/>
  <c r="R20" i="38"/>
  <c r="AI410" i="38"/>
  <c r="R57" i="38"/>
  <c r="AI401" i="38"/>
  <c r="R34" i="38"/>
  <c r="AI448" i="38"/>
  <c r="R21" i="38"/>
  <c r="R36" i="38"/>
  <c r="R24" i="38"/>
  <c r="AI459" i="38"/>
  <c r="R88" i="38"/>
  <c r="AI438" i="38"/>
  <c r="AI445" i="38"/>
  <c r="R61" i="38"/>
  <c r="R330" i="38"/>
  <c r="R233" i="38"/>
  <c r="R138" i="19"/>
  <c r="R60" i="24"/>
  <c r="AI133" i="24"/>
  <c r="AK271" i="19"/>
  <c r="AQ271" i="19"/>
  <c r="R43" i="38"/>
  <c r="AI394" i="38"/>
  <c r="R43" i="25"/>
  <c r="AI99" i="25"/>
  <c r="AI137" i="24"/>
  <c r="R64" i="24"/>
  <c r="AK246" i="19"/>
  <c r="AQ246" i="19"/>
  <c r="AQ373" i="38"/>
  <c r="AK373" i="38"/>
  <c r="AK212" i="19"/>
  <c r="AQ212" i="19"/>
  <c r="AI80" i="22"/>
  <c r="R30" i="22"/>
  <c r="AI383" i="38"/>
  <c r="R32" i="38"/>
  <c r="AK185" i="19"/>
  <c r="AQ185" i="19"/>
  <c r="AQ270" i="19"/>
  <c r="AK270" i="19"/>
  <c r="AK213" i="19"/>
  <c r="AQ213" i="19"/>
  <c r="AI134" i="24"/>
  <c r="R61" i="24"/>
  <c r="AI449" i="38"/>
  <c r="R97" i="38"/>
  <c r="AI453" i="38"/>
  <c r="R101" i="38"/>
  <c r="AI292" i="19"/>
  <c r="AK290" i="19"/>
  <c r="AQ290" i="19"/>
  <c r="AI403" i="38"/>
  <c r="R52" i="38"/>
  <c r="AK255" i="19"/>
  <c r="AQ255" i="19"/>
  <c r="AK264" i="19"/>
  <c r="AQ264" i="19"/>
  <c r="R34" i="24"/>
  <c r="AI107" i="24"/>
  <c r="R53" i="24"/>
  <c r="AI126" i="24"/>
  <c r="AI79" i="25"/>
  <c r="R23" i="25"/>
  <c r="R35" i="24"/>
  <c r="AI108" i="24"/>
  <c r="R36" i="24"/>
  <c r="AI109" i="24"/>
  <c r="AK192" i="19"/>
  <c r="AQ192" i="19"/>
  <c r="AK176" i="19"/>
  <c r="AQ176" i="19"/>
  <c r="AK244" i="19"/>
  <c r="AQ244" i="19"/>
  <c r="AI391" i="38"/>
  <c r="R40" i="38"/>
  <c r="AI452" i="38"/>
  <c r="R100" i="38"/>
  <c r="AI90" i="25"/>
  <c r="R34" i="25"/>
  <c r="AI91" i="25"/>
  <c r="R35" i="25"/>
  <c r="R54" i="24"/>
  <c r="AI127" i="24"/>
  <c r="AK194" i="19"/>
  <c r="AQ194" i="19"/>
  <c r="R49" i="38"/>
  <c r="AI400" i="38"/>
  <c r="AI446" i="38"/>
  <c r="R94" i="38"/>
  <c r="AK250" i="19"/>
  <c r="AQ250" i="19"/>
  <c r="AK180" i="19"/>
  <c r="AQ180" i="19"/>
  <c r="AI128" i="24"/>
  <c r="R55" i="24"/>
  <c r="AI119" i="24"/>
  <c r="R46" i="24"/>
  <c r="AI97" i="24"/>
  <c r="R24" i="24"/>
  <c r="AI102" i="24"/>
  <c r="R29" i="24"/>
  <c r="AK187" i="19"/>
  <c r="AQ187" i="19"/>
  <c r="AI456" i="38"/>
  <c r="R104" i="38"/>
  <c r="AQ275" i="19"/>
  <c r="AK275" i="19"/>
  <c r="R29" i="22"/>
  <c r="AI79" i="22"/>
  <c r="AI439" i="38"/>
  <c r="R87" i="38"/>
  <c r="R40" i="24"/>
  <c r="AI113" i="24"/>
  <c r="AK248" i="19"/>
  <c r="AQ248" i="19"/>
  <c r="AI382" i="38"/>
  <c r="R31" i="38"/>
  <c r="AI450" i="38"/>
  <c r="R98" i="38"/>
  <c r="AI376" i="38"/>
  <c r="R25" i="38"/>
  <c r="AI409" i="38"/>
  <c r="R58" i="38"/>
  <c r="AI447" i="38"/>
  <c r="R95" i="38"/>
  <c r="AI81" i="25"/>
  <c r="R25" i="25"/>
  <c r="AK262" i="19"/>
  <c r="AQ262" i="19"/>
  <c r="AI92" i="25"/>
  <c r="R36" i="25"/>
  <c r="AI392" i="38"/>
  <c r="R41" i="38"/>
  <c r="AI380" i="38"/>
  <c r="R29" i="38"/>
  <c r="L65" i="24"/>
  <c r="R22" i="24"/>
  <c r="AI95" i="24"/>
  <c r="AI80" i="25"/>
  <c r="R24" i="25"/>
  <c r="AQ279" i="19"/>
  <c r="AK279" i="19"/>
  <c r="AI85" i="25"/>
  <c r="AK85" i="25" s="1"/>
  <c r="R29" i="25"/>
  <c r="AI76" i="22"/>
  <c r="R26" i="22"/>
  <c r="AI116" i="24"/>
  <c r="R43" i="24"/>
  <c r="AI98" i="25"/>
  <c r="R42" i="25"/>
  <c r="AI129" i="24"/>
  <c r="R56" i="24"/>
  <c r="R52" i="24"/>
  <c r="AI125" i="24"/>
  <c r="AI130" i="24"/>
  <c r="R57" i="24"/>
  <c r="AK177" i="19"/>
  <c r="AQ177" i="19"/>
  <c r="AI682" i="38"/>
  <c r="AI95" i="25"/>
  <c r="R39" i="25"/>
  <c r="AI105" i="24"/>
  <c r="R32" i="24"/>
  <c r="AI101" i="24"/>
  <c r="R28" i="24"/>
  <c r="R47" i="24"/>
  <c r="AI120" i="24"/>
  <c r="R39" i="38"/>
  <c r="AI390" i="38"/>
  <c r="AI121" i="24"/>
  <c r="R48" i="24"/>
  <c r="AK256" i="19"/>
  <c r="AQ256" i="19"/>
  <c r="AI407" i="38"/>
  <c r="R56" i="38"/>
  <c r="L31" i="22"/>
  <c r="R22" i="22"/>
  <c r="AI72" i="22"/>
  <c r="AQ278" i="19"/>
  <c r="AK278" i="19"/>
  <c r="AK203" i="19"/>
  <c r="AQ203" i="19"/>
  <c r="AK253" i="19"/>
  <c r="AQ253" i="19"/>
  <c r="R26" i="38"/>
  <c r="AI377" i="38"/>
  <c r="AQ515" i="38"/>
  <c r="AK515" i="38"/>
  <c r="R128" i="19"/>
  <c r="AI85" i="22"/>
  <c r="L37" i="22"/>
  <c r="R35" i="22"/>
  <c r="AI73" i="22"/>
  <c r="R23" i="22"/>
  <c r="R36" i="22"/>
  <c r="AI86" i="22"/>
  <c r="AK210" i="19"/>
  <c r="AQ210" i="19"/>
  <c r="AK259" i="19"/>
  <c r="AQ259" i="19"/>
  <c r="AK272" i="19"/>
  <c r="AQ272" i="19"/>
  <c r="AK215" i="19"/>
  <c r="AQ215" i="19"/>
  <c r="AI106" i="24"/>
  <c r="R33" i="24"/>
  <c r="AQ273" i="19"/>
  <c r="AK273" i="19"/>
  <c r="AQ274" i="19"/>
  <c r="AK274" i="19"/>
  <c r="AI402" i="38"/>
  <c r="R51" i="38"/>
  <c r="AK184" i="19"/>
  <c r="AQ184" i="19"/>
  <c r="R51" i="24"/>
  <c r="AI124" i="24"/>
  <c r="AK202" i="19"/>
  <c r="AQ202" i="19"/>
  <c r="AQ291" i="19"/>
  <c r="AK291" i="19"/>
  <c r="AI65" i="20"/>
  <c r="AQ62" i="20"/>
  <c r="AK62" i="20"/>
  <c r="AI374" i="38"/>
  <c r="R23" i="38"/>
  <c r="AK520" i="38"/>
  <c r="AQ520" i="38"/>
  <c r="AK214" i="19"/>
  <c r="AQ214" i="19"/>
  <c r="AI100" i="25"/>
  <c r="R44" i="25"/>
  <c r="AI265" i="19"/>
  <c r="AK200" i="19"/>
  <c r="AQ200" i="19"/>
  <c r="AI405" i="38"/>
  <c r="R54" i="38"/>
  <c r="AI442" i="38"/>
  <c r="R90" i="38"/>
  <c r="AI115" i="24"/>
  <c r="R42" i="24"/>
  <c r="AK188" i="19"/>
  <c r="AQ188" i="19"/>
  <c r="R42" i="19"/>
  <c r="AK277" i="19"/>
  <c r="AQ277" i="19"/>
  <c r="AK245" i="19"/>
  <c r="AQ245" i="19"/>
  <c r="R28" i="22"/>
  <c r="AI78" i="22"/>
  <c r="AK375" i="38"/>
  <c r="AQ375" i="38"/>
  <c r="R28" i="25"/>
  <c r="AI84" i="25"/>
  <c r="R33" i="25"/>
  <c r="AI89" i="25"/>
  <c r="AI93" i="25"/>
  <c r="R37" i="25"/>
  <c r="AK263" i="19"/>
  <c r="AQ263" i="19"/>
  <c r="AI398" i="38"/>
  <c r="R47" i="38"/>
  <c r="R30" i="20"/>
  <c r="L32" i="20"/>
  <c r="AI68" i="20"/>
  <c r="AK260" i="19"/>
  <c r="AQ260" i="19"/>
  <c r="AQ269" i="19"/>
  <c r="AK269" i="19"/>
  <c r="AK189" i="19"/>
  <c r="AQ189" i="19"/>
  <c r="AI282" i="19"/>
  <c r="AK268" i="19"/>
  <c r="AQ268" i="19"/>
  <c r="R42" i="38"/>
  <c r="AI393" i="38"/>
  <c r="AI585" i="38"/>
  <c r="AK178" i="19"/>
  <c r="AQ178" i="19"/>
  <c r="AK276" i="19"/>
  <c r="AQ276" i="19"/>
  <c r="AI457" i="38"/>
  <c r="R105" i="38"/>
  <c r="R41" i="24"/>
  <c r="AI114" i="24"/>
  <c r="AK193" i="19"/>
  <c r="AQ193" i="19"/>
  <c r="R111" i="19"/>
  <c r="AK175" i="19"/>
  <c r="AI196" i="19"/>
  <c r="AQ175" i="19"/>
  <c r="AI78" i="25"/>
  <c r="R22" i="25"/>
  <c r="L45" i="25"/>
  <c r="AI86" i="25"/>
  <c r="R30" i="25"/>
  <c r="AI404" i="38"/>
  <c r="R53" i="38"/>
  <c r="R38" i="25"/>
  <c r="AI94" i="25"/>
  <c r="R38" i="38"/>
  <c r="AI389" i="38"/>
  <c r="AK258" i="19"/>
  <c r="AQ258" i="19"/>
  <c r="AK181" i="19"/>
  <c r="AQ181" i="19"/>
  <c r="AI96" i="24"/>
  <c r="R23" i="24"/>
  <c r="R27" i="24"/>
  <c r="AI100" i="24"/>
  <c r="R44" i="38"/>
  <c r="AI395" i="38"/>
  <c r="L108" i="38"/>
  <c r="AK186" i="19"/>
  <c r="AQ186" i="19"/>
  <c r="L20" i="40"/>
  <c r="AK378" i="38" l="1"/>
  <c r="AQ666" i="38"/>
  <c r="AK666" i="38"/>
  <c r="AK677" i="38"/>
  <c r="AQ677" i="38"/>
  <c r="AI70" i="20"/>
  <c r="AK70" i="20" s="1"/>
  <c r="AK68" i="20"/>
  <c r="AQ68" i="20"/>
  <c r="R37" i="22"/>
  <c r="R45" i="25"/>
  <c r="L48" i="25" s="1"/>
  <c r="R48" i="25" s="1"/>
  <c r="R108" i="38"/>
  <c r="AQ90" i="25"/>
  <c r="AK90" i="25"/>
  <c r="AK76" i="22"/>
  <c r="AQ76" i="22"/>
  <c r="AK377" i="38"/>
  <c r="AQ377" i="38"/>
  <c r="AK382" i="38"/>
  <c r="AQ382" i="38"/>
  <c r="AK439" i="38"/>
  <c r="AQ439" i="38"/>
  <c r="AQ80" i="22"/>
  <c r="AK80" i="22"/>
  <c r="AQ282" i="19"/>
  <c r="AK282" i="19"/>
  <c r="AK78" i="25"/>
  <c r="AQ78" i="25"/>
  <c r="AI101" i="25"/>
  <c r="AQ585" i="38"/>
  <c r="AK196" i="19"/>
  <c r="AQ196" i="19"/>
  <c r="AK65" i="20"/>
  <c r="AQ65" i="20"/>
  <c r="AI81" i="22"/>
  <c r="AK98" i="25"/>
  <c r="AQ98" i="25"/>
  <c r="AI138" i="24"/>
  <c r="AQ81" i="25"/>
  <c r="AK81" i="25"/>
  <c r="AQ137" i="24"/>
  <c r="AK137" i="24"/>
  <c r="AK89" i="25"/>
  <c r="AQ89" i="25"/>
  <c r="AK374" i="38"/>
  <c r="AQ374" i="38"/>
  <c r="AK84" i="25"/>
  <c r="AQ84" i="25"/>
  <c r="L34" i="20"/>
  <c r="N32" i="20" s="1"/>
  <c r="AK265" i="19"/>
  <c r="AQ265" i="19"/>
  <c r="L38" i="22"/>
  <c r="R31" i="22"/>
  <c r="AQ95" i="25"/>
  <c r="AK95" i="25"/>
  <c r="R65" i="24"/>
  <c r="L68" i="24" s="1"/>
  <c r="AK376" i="38"/>
  <c r="AQ376" i="38"/>
  <c r="AK79" i="22"/>
  <c r="AQ79" i="22"/>
  <c r="AQ78" i="22"/>
  <c r="AK78" i="22"/>
  <c r="AK394" i="38"/>
  <c r="AQ394" i="38"/>
  <c r="AK86" i="25"/>
  <c r="AQ86" i="25"/>
  <c r="H53" i="40"/>
  <c r="K53" i="40" s="1"/>
  <c r="R32" i="20"/>
  <c r="R34" i="20" s="1"/>
  <c r="AI87" i="22"/>
  <c r="AK91" i="25"/>
  <c r="AQ91" i="25"/>
  <c r="AQ79" i="25"/>
  <c r="AK79" i="25"/>
  <c r="AK292" i="19"/>
  <c r="AQ292" i="19"/>
  <c r="AQ99" i="25"/>
  <c r="AK99" i="25"/>
  <c r="AK395" i="38"/>
  <c r="AQ395" i="38"/>
  <c r="AK93" i="25"/>
  <c r="AQ93" i="25"/>
  <c r="AK92" i="25"/>
  <c r="AQ92" i="25"/>
  <c r="AK80" i="25"/>
  <c r="AQ80" i="25"/>
  <c r="AI460" i="38"/>
  <c r="L131" i="19"/>
  <c r="AK585" i="38"/>
  <c r="AI72" i="20" l="1"/>
  <c r="P48" i="5" s="1"/>
  <c r="AQ70" i="20"/>
  <c r="R38" i="22"/>
  <c r="L41" i="22" s="1"/>
  <c r="AI91" i="22" s="1"/>
  <c r="AI104" i="25"/>
  <c r="L50" i="25"/>
  <c r="L52" i="25" s="1"/>
  <c r="N50" i="25" s="1"/>
  <c r="R50" i="25"/>
  <c r="R52" i="25" s="1"/>
  <c r="H57" i="40"/>
  <c r="K57" i="40" s="1"/>
  <c r="AQ81" i="22"/>
  <c r="AK81" i="22"/>
  <c r="AK87" i="22"/>
  <c r="AQ87" i="22"/>
  <c r="AI88" i="22"/>
  <c r="AK101" i="25"/>
  <c r="AQ101" i="25"/>
  <c r="B53" i="40"/>
  <c r="L53" i="40" s="1"/>
  <c r="R48" i="6"/>
  <c r="G48" i="3"/>
  <c r="AK138" i="24"/>
  <c r="AQ138" i="24"/>
  <c r="AK460" i="38"/>
  <c r="AQ460" i="38"/>
  <c r="N27" i="20"/>
  <c r="N31" i="20"/>
  <c r="L48" i="6"/>
  <c r="N24" i="20"/>
  <c r="N30" i="20"/>
  <c r="L133" i="19"/>
  <c r="R131" i="19"/>
  <c r="AI285" i="19"/>
  <c r="AI141" i="24"/>
  <c r="R68" i="24"/>
  <c r="L70" i="24"/>
  <c r="L72" i="24" s="1"/>
  <c r="N68" i="24" s="1"/>
  <c r="AQ72" i="20" l="1"/>
  <c r="AK72" i="20"/>
  <c r="R41" i="22"/>
  <c r="H55" i="40" s="1"/>
  <c r="K55" i="40" s="1"/>
  <c r="L43" i="22"/>
  <c r="L45" i="22" s="1"/>
  <c r="N41" i="22" s="1"/>
  <c r="AI287" i="19"/>
  <c r="AK285" i="19"/>
  <c r="AQ285" i="19"/>
  <c r="AI143" i="24"/>
  <c r="AQ143" i="24" s="1"/>
  <c r="AK141" i="24"/>
  <c r="AQ141" i="24"/>
  <c r="AI93" i="22"/>
  <c r="AQ93" i="22" s="1"/>
  <c r="AK91" i="22"/>
  <c r="AQ91" i="22"/>
  <c r="AI106" i="25"/>
  <c r="AQ104" i="25"/>
  <c r="AK104" i="25"/>
  <c r="J48" i="6"/>
  <c r="H52" i="40"/>
  <c r="R133" i="19"/>
  <c r="R139" i="19" s="1"/>
  <c r="L52" i="6"/>
  <c r="N49" i="25"/>
  <c r="N24" i="25"/>
  <c r="N33" i="25"/>
  <c r="N22" i="25"/>
  <c r="N25" i="25"/>
  <c r="N34" i="25"/>
  <c r="N42" i="25"/>
  <c r="N44" i="25"/>
  <c r="N38" i="25"/>
  <c r="N30" i="25"/>
  <c r="N43" i="25"/>
  <c r="N36" i="25"/>
  <c r="N37" i="25"/>
  <c r="N23" i="25"/>
  <c r="N35" i="25"/>
  <c r="N29" i="25"/>
  <c r="N39" i="25"/>
  <c r="N28" i="25"/>
  <c r="N45" i="25"/>
  <c r="N48" i="25"/>
  <c r="L139" i="19"/>
  <c r="I48" i="3"/>
  <c r="R52" i="6"/>
  <c r="G52" i="3"/>
  <c r="B57" i="40"/>
  <c r="L57" i="40" s="1"/>
  <c r="AK88" i="22"/>
  <c r="AQ88" i="22"/>
  <c r="N70" i="24"/>
  <c r="L51" i="6"/>
  <c r="N69" i="24"/>
  <c r="N32" i="24"/>
  <c r="N47" i="24"/>
  <c r="N54" i="24"/>
  <c r="N53" i="24"/>
  <c r="N56" i="24"/>
  <c r="N33" i="24"/>
  <c r="N27" i="24"/>
  <c r="N36" i="24"/>
  <c r="N29" i="24"/>
  <c r="N40" i="24"/>
  <c r="N64" i="24"/>
  <c r="N57" i="24"/>
  <c r="N60" i="24"/>
  <c r="N61" i="24"/>
  <c r="N43" i="24"/>
  <c r="N28" i="24"/>
  <c r="N51" i="24"/>
  <c r="N23" i="24"/>
  <c r="N42" i="24"/>
  <c r="N35" i="24"/>
  <c r="N24" i="24"/>
  <c r="N41" i="24"/>
  <c r="N46" i="24"/>
  <c r="N52" i="24"/>
  <c r="N48" i="24"/>
  <c r="N34" i="24"/>
  <c r="N22" i="24"/>
  <c r="N55" i="24"/>
  <c r="N65" i="24"/>
  <c r="R70" i="24"/>
  <c r="R72" i="24" s="1"/>
  <c r="H56" i="40"/>
  <c r="K56" i="40" s="1"/>
  <c r="X48" i="5"/>
  <c r="R48" i="5"/>
  <c r="N26" i="22" l="1"/>
  <c r="N42" i="22"/>
  <c r="N38" i="22"/>
  <c r="N31" i="22"/>
  <c r="N22" i="22"/>
  <c r="N36" i="22"/>
  <c r="N30" i="22"/>
  <c r="N28" i="22"/>
  <c r="N37" i="22"/>
  <c r="N23" i="22"/>
  <c r="N35" i="22"/>
  <c r="L50" i="6"/>
  <c r="J50" i="6" s="1"/>
  <c r="N29" i="22"/>
  <c r="N43" i="22"/>
  <c r="R43" i="22"/>
  <c r="R45" i="22" s="1"/>
  <c r="AI145" i="24"/>
  <c r="P51" i="5" s="1"/>
  <c r="AK143" i="24"/>
  <c r="K48" i="3"/>
  <c r="AI95" i="22"/>
  <c r="AQ95" i="22" s="1"/>
  <c r="AK93" i="22"/>
  <c r="AQ106" i="25"/>
  <c r="AK106" i="25"/>
  <c r="AI108" i="25"/>
  <c r="AI293" i="19"/>
  <c r="AK287" i="19"/>
  <c r="AQ287" i="19"/>
  <c r="G51" i="3"/>
  <c r="B56" i="40"/>
  <c r="L56" i="40" s="1"/>
  <c r="R51" i="6"/>
  <c r="J52" i="6"/>
  <c r="B52" i="40"/>
  <c r="R47" i="6"/>
  <c r="G47" i="3"/>
  <c r="N103" i="19"/>
  <c r="L47" i="6"/>
  <c r="N132" i="19"/>
  <c r="N117" i="19"/>
  <c r="N97" i="19"/>
  <c r="N124" i="19"/>
  <c r="N136" i="19"/>
  <c r="N92" i="19"/>
  <c r="N121" i="19"/>
  <c r="N94" i="19"/>
  <c r="N107" i="19"/>
  <c r="N102" i="19"/>
  <c r="N115" i="19"/>
  <c r="N127" i="19"/>
  <c r="N93" i="19"/>
  <c r="N106" i="19"/>
  <c r="N33" i="19"/>
  <c r="N137" i="19"/>
  <c r="N122" i="19"/>
  <c r="N32" i="19"/>
  <c r="N27" i="19"/>
  <c r="N57" i="19"/>
  <c r="N109" i="19"/>
  <c r="N104" i="19"/>
  <c r="N91" i="19"/>
  <c r="N123" i="19"/>
  <c r="N21" i="19"/>
  <c r="N34" i="19"/>
  <c r="N39" i="19"/>
  <c r="N52" i="19"/>
  <c r="N24" i="19"/>
  <c r="N126" i="19"/>
  <c r="N51" i="19"/>
  <c r="N49" i="19"/>
  <c r="N48" i="19"/>
  <c r="N120" i="19"/>
  <c r="N119" i="19"/>
  <c r="N118" i="19"/>
  <c r="N37" i="19"/>
  <c r="N46" i="19"/>
  <c r="N60" i="19"/>
  <c r="N56" i="19"/>
  <c r="N114" i="19"/>
  <c r="N53" i="19"/>
  <c r="N98" i="19"/>
  <c r="N22" i="19"/>
  <c r="N99" i="19"/>
  <c r="N35" i="19"/>
  <c r="N30" i="19"/>
  <c r="N23" i="19"/>
  <c r="N61" i="19"/>
  <c r="N105" i="19"/>
  <c r="N47" i="19"/>
  <c r="N125" i="19"/>
  <c r="N101" i="19"/>
  <c r="N28" i="19"/>
  <c r="N59" i="19"/>
  <c r="N26" i="19"/>
  <c r="N96" i="19"/>
  <c r="N40" i="19"/>
  <c r="N90" i="19"/>
  <c r="N38" i="19"/>
  <c r="N108" i="19"/>
  <c r="N116" i="19"/>
  <c r="N31" i="19"/>
  <c r="N58" i="19"/>
  <c r="N110" i="19"/>
  <c r="N138" i="19"/>
  <c r="N128" i="19"/>
  <c r="N42" i="19"/>
  <c r="N111" i="19"/>
  <c r="N131" i="19"/>
  <c r="K52" i="40"/>
  <c r="I52" i="3"/>
  <c r="J51" i="6"/>
  <c r="N133" i="19"/>
  <c r="B55" i="40" l="1"/>
  <c r="L55" i="40" s="1"/>
  <c r="AQ145" i="24"/>
  <c r="AK145" i="24"/>
  <c r="G50" i="3"/>
  <c r="R50" i="6"/>
  <c r="P50" i="5"/>
  <c r="R50" i="5" s="1"/>
  <c r="AK95" i="22"/>
  <c r="K52" i="3"/>
  <c r="P47" i="5"/>
  <c r="AK293" i="19"/>
  <c r="AQ293" i="19"/>
  <c r="AQ108" i="25"/>
  <c r="AK108" i="25"/>
  <c r="P52" i="5"/>
  <c r="L52" i="40"/>
  <c r="I47" i="3"/>
  <c r="X51" i="5"/>
  <c r="R51" i="5"/>
  <c r="J47" i="6"/>
  <c r="I51" i="3"/>
  <c r="X50" i="5" l="1"/>
  <c r="I50" i="3"/>
  <c r="K50" i="3" s="1"/>
  <c r="K51" i="3"/>
  <c r="X52" i="5"/>
  <c r="R52" i="5"/>
  <c r="R47" i="5"/>
  <c r="X47" i="5"/>
  <c r="K47" i="3"/>
  <c r="L65" i="6" l="1"/>
  <c r="P63" i="5"/>
  <c r="P65" i="5" s="1"/>
  <c r="R63" i="6"/>
  <c r="G57" i="3" s="1"/>
  <c r="N63" i="6" l="1"/>
  <c r="N57" i="6"/>
  <c r="N64" i="6"/>
  <c r="N61" i="6"/>
  <c r="N58" i="6"/>
  <c r="I57" i="3"/>
  <c r="K57" i="3" s="1"/>
  <c r="B59" i="40"/>
  <c r="X63" i="5"/>
  <c r="R65" i="6"/>
  <c r="R65" i="5"/>
  <c r="X65" i="5"/>
  <c r="R63" i="5"/>
  <c r="N60" i="6"/>
  <c r="N59" i="6"/>
  <c r="N62" i="6"/>
  <c r="L59" i="40" l="1"/>
  <c r="J110" i="38" l="1"/>
  <c r="L110" i="38" s="1"/>
  <c r="R110" i="38" l="1"/>
  <c r="AI462" i="38"/>
  <c r="L332" i="38"/>
  <c r="AK462" i="38" l="1"/>
  <c r="AI684" i="38"/>
  <c r="AQ462" i="38"/>
  <c r="R332" i="38"/>
  <c r="L335" i="38" s="1"/>
  <c r="AI687" i="38" l="1"/>
  <c r="R335" i="38"/>
  <c r="L338" i="38"/>
  <c r="AQ684" i="38"/>
  <c r="AK684" i="38"/>
  <c r="AI690" i="38" l="1"/>
  <c r="AQ687" i="38"/>
  <c r="AK687" i="38"/>
  <c r="L340" i="38"/>
  <c r="N338" i="38" s="1"/>
  <c r="R338" i="38"/>
  <c r="R340" i="38" s="1"/>
  <c r="H58" i="40"/>
  <c r="AK690" i="38" l="1"/>
  <c r="AQ690" i="38"/>
  <c r="AI692" i="38"/>
  <c r="G53" i="3"/>
  <c r="B58" i="40"/>
  <c r="R53" i="6"/>
  <c r="K58" i="40"/>
  <c r="N90" i="38"/>
  <c r="N108" i="38"/>
  <c r="N330" i="38"/>
  <c r="N104" i="38"/>
  <c r="N29" i="38"/>
  <c r="N96" i="38"/>
  <c r="N24" i="38"/>
  <c r="N31" i="38"/>
  <c r="L53" i="6"/>
  <c r="N51" i="38"/>
  <c r="N325" i="38"/>
  <c r="N99" i="38"/>
  <c r="N94" i="38"/>
  <c r="N45" i="38"/>
  <c r="N21" i="38"/>
  <c r="N39" i="38"/>
  <c r="N53" i="38"/>
  <c r="N38" i="38"/>
  <c r="N52" i="38"/>
  <c r="N40" i="38"/>
  <c r="N103" i="38"/>
  <c r="N44" i="38"/>
  <c r="N88" i="38"/>
  <c r="N55" i="38"/>
  <c r="N50" i="38"/>
  <c r="N107" i="38"/>
  <c r="N59" i="38"/>
  <c r="N56" i="38"/>
  <c r="N33" i="38"/>
  <c r="N105" i="38"/>
  <c r="N28" i="38"/>
  <c r="N48" i="38"/>
  <c r="N43" i="38"/>
  <c r="N25" i="38"/>
  <c r="N58" i="38"/>
  <c r="N46" i="38"/>
  <c r="N27" i="38"/>
  <c r="N37" i="38"/>
  <c r="N61" i="38"/>
  <c r="N233" i="38"/>
  <c r="N41" i="38"/>
  <c r="N36" i="38"/>
  <c r="N95" i="38"/>
  <c r="N89" i="38"/>
  <c r="N20" i="38"/>
  <c r="N54" i="38"/>
  <c r="N57" i="38"/>
  <c r="N102" i="38"/>
  <c r="N26" i="38"/>
  <c r="N60" i="38"/>
  <c r="N106" i="38"/>
  <c r="N23" i="38"/>
  <c r="N92" i="38"/>
  <c r="N97" i="38"/>
  <c r="N34" i="38"/>
  <c r="N249" i="38"/>
  <c r="N86" i="38"/>
  <c r="N93" i="38"/>
  <c r="N340" i="38"/>
  <c r="N91" i="38"/>
  <c r="N47" i="38"/>
  <c r="N98" i="38"/>
  <c r="N101" i="38"/>
  <c r="N42" i="38"/>
  <c r="N314" i="38"/>
  <c r="N49" i="38"/>
  <c r="N32" i="38"/>
  <c r="N35" i="38"/>
  <c r="N22" i="38"/>
  <c r="N30" i="38"/>
  <c r="N87" i="38"/>
  <c r="N100" i="38"/>
  <c r="N110" i="38"/>
  <c r="N332" i="38"/>
  <c r="AK692" i="38" l="1"/>
  <c r="AQ692" i="38"/>
  <c r="P53" i="5"/>
  <c r="J53" i="6"/>
  <c r="L58" i="40"/>
  <c r="I53" i="3"/>
  <c r="X53" i="5" l="1"/>
  <c r="R53" i="5"/>
  <c r="K53" i="3"/>
  <c r="H28" i="28" l="1"/>
  <c r="L25" i="28"/>
  <c r="AA56" i="28"/>
  <c r="L21" i="28"/>
  <c r="AE60" i="28" l="1"/>
  <c r="AI60" i="28" s="1"/>
  <c r="AE56" i="28"/>
  <c r="AA63" i="28"/>
  <c r="R25" i="28"/>
  <c r="J54" i="40" s="1"/>
  <c r="J60" i="40" s="1"/>
  <c r="H49" i="6"/>
  <c r="H54" i="6" s="1"/>
  <c r="P28" i="28"/>
  <c r="H67" i="6" l="1"/>
  <c r="AK60" i="28"/>
  <c r="AM63" i="28"/>
  <c r="H49" i="5"/>
  <c r="H36" i="4"/>
  <c r="P49" i="6"/>
  <c r="P21" i="28"/>
  <c r="R21" i="28" s="1"/>
  <c r="L24" i="28" s="1"/>
  <c r="AO60" i="28"/>
  <c r="J22" i="40" s="1"/>
  <c r="J28" i="40" s="1"/>
  <c r="AI56" i="28"/>
  <c r="T49" i="5" l="1"/>
  <c r="T54" i="5" s="1"/>
  <c r="T67" i="5" s="1"/>
  <c r="P36" i="4"/>
  <c r="AM56" i="28"/>
  <c r="AO56" i="28" s="1"/>
  <c r="AE59" i="28" s="1"/>
  <c r="AI59" i="28" s="1"/>
  <c r="AI61" i="28" s="1"/>
  <c r="AI63" i="28" s="1"/>
  <c r="R24" i="28"/>
  <c r="L26" i="28"/>
  <c r="L28" i="28" s="1"/>
  <c r="N24" i="28" s="1"/>
  <c r="P54" i="6"/>
  <c r="P67" i="6" s="1"/>
  <c r="D54" i="40"/>
  <c r="D60" i="40" s="1"/>
  <c r="AQ60" i="28"/>
  <c r="C22" i="40"/>
  <c r="C28" i="40" s="1"/>
  <c r="H49" i="4"/>
  <c r="H54" i="5"/>
  <c r="AK56" i="28"/>
  <c r="AQ56" i="28" l="1"/>
  <c r="N26" i="28"/>
  <c r="L49" i="6"/>
  <c r="N21" i="28"/>
  <c r="N25" i="28"/>
  <c r="P49" i="5"/>
  <c r="AO59" i="28"/>
  <c r="AE61" i="28"/>
  <c r="AE63" i="28" s="1"/>
  <c r="AK63" i="28" s="1"/>
  <c r="AK59" i="28"/>
  <c r="R26" i="28"/>
  <c r="R28" i="28" s="1"/>
  <c r="H54" i="40"/>
  <c r="H67" i="5"/>
  <c r="D22" i="40"/>
  <c r="P49" i="4"/>
  <c r="C30" i="40"/>
  <c r="N28" i="28" l="1"/>
  <c r="AK61" i="28"/>
  <c r="AG59" i="28"/>
  <c r="AO61" i="28"/>
  <c r="H22" i="40"/>
  <c r="AQ59" i="28"/>
  <c r="AG61" i="28"/>
  <c r="L49" i="5"/>
  <c r="R49" i="5" s="1"/>
  <c r="J36" i="4"/>
  <c r="AG60" i="28"/>
  <c r="AG56" i="28"/>
  <c r="P54" i="5"/>
  <c r="K54" i="40"/>
  <c r="K60" i="40" s="1"/>
  <c r="H60" i="40"/>
  <c r="B54" i="40"/>
  <c r="R49" i="6"/>
  <c r="R54" i="6" s="1"/>
  <c r="R67" i="6" s="1"/>
  <c r="G49" i="3"/>
  <c r="J49" i="6"/>
  <c r="L54" i="6"/>
  <c r="N49" i="6" s="1"/>
  <c r="E22" i="40"/>
  <c r="E28" i="40" s="1"/>
  <c r="D28" i="40"/>
  <c r="P67" i="5" l="1"/>
  <c r="N53" i="6"/>
  <c r="N47" i="6"/>
  <c r="N52" i="6"/>
  <c r="N50" i="6"/>
  <c r="N51" i="6"/>
  <c r="N48" i="6"/>
  <c r="L67" i="6"/>
  <c r="J54" i="6"/>
  <c r="L54" i="5"/>
  <c r="J49" i="5"/>
  <c r="G54" i="3"/>
  <c r="G59" i="3" s="1"/>
  <c r="K22" i="40"/>
  <c r="K28" i="40" s="1"/>
  <c r="H28" i="40"/>
  <c r="J49" i="4"/>
  <c r="N36" i="4" s="1"/>
  <c r="L36" i="4"/>
  <c r="L54" i="40"/>
  <c r="L60" i="40" s="1"/>
  <c r="B60" i="40"/>
  <c r="AO63" i="28"/>
  <c r="AQ61" i="28"/>
  <c r="N47" i="5" l="1"/>
  <c r="L67" i="5"/>
  <c r="R67" i="5" s="1"/>
  <c r="N50" i="5"/>
  <c r="N51" i="5"/>
  <c r="N53" i="5"/>
  <c r="N52" i="5"/>
  <c r="N48" i="5"/>
  <c r="J54" i="5"/>
  <c r="N54" i="6"/>
  <c r="N33" i="6"/>
  <c r="N65" i="6"/>
  <c r="N23" i="6"/>
  <c r="N37" i="6"/>
  <c r="N44" i="6"/>
  <c r="J67" i="6"/>
  <c r="E49" i="3"/>
  <c r="R36" i="4"/>
  <c r="V49" i="5"/>
  <c r="AQ63" i="28"/>
  <c r="N34" i="4"/>
  <c r="N42" i="4"/>
  <c r="N28" i="4"/>
  <c r="N24" i="4"/>
  <c r="N23" i="4"/>
  <c r="N31" i="4"/>
  <c r="N33" i="4"/>
  <c r="N30" i="4"/>
  <c r="N32" i="4"/>
  <c r="N44" i="4"/>
  <c r="N43" i="4"/>
  <c r="N37" i="4"/>
  <c r="N41" i="4"/>
  <c r="N20" i="4"/>
  <c r="N25" i="4"/>
  <c r="N26" i="4"/>
  <c r="N47" i="4"/>
  <c r="N40" i="4"/>
  <c r="N27" i="4"/>
  <c r="N45" i="4"/>
  <c r="N22" i="4"/>
  <c r="N46" i="4"/>
  <c r="N29" i="4"/>
  <c r="N39" i="4"/>
  <c r="N35" i="4"/>
  <c r="N48" i="4"/>
  <c r="N38" i="4"/>
  <c r="L49" i="4"/>
  <c r="G70" i="3"/>
  <c r="N49" i="5"/>
  <c r="R54" i="5"/>
  <c r="V54" i="5" l="1"/>
  <c r="X49" i="5"/>
  <c r="R49" i="4"/>
  <c r="T36" i="4" s="1"/>
  <c r="B22" i="40"/>
  <c r="E54" i="3"/>
  <c r="E59" i="3" s="1"/>
  <c r="I49" i="3"/>
  <c r="I54" i="3" s="1"/>
  <c r="N54" i="5"/>
  <c r="N23" i="5"/>
  <c r="N37" i="5"/>
  <c r="N65" i="5"/>
  <c r="N44" i="5"/>
  <c r="N33" i="5"/>
  <c r="J67" i="5"/>
  <c r="K54" i="3" l="1"/>
  <c r="K49" i="3"/>
  <c r="E70" i="3"/>
  <c r="I59" i="3"/>
  <c r="I70" i="3" s="1"/>
  <c r="L22" i="40"/>
  <c r="L28" i="40" s="1"/>
  <c r="B28" i="40"/>
  <c r="T34" i="4"/>
  <c r="T39" i="4"/>
  <c r="T28" i="4"/>
  <c r="T30" i="4"/>
  <c r="T43" i="4"/>
  <c r="T47" i="4"/>
  <c r="T35" i="4"/>
  <c r="T22" i="4"/>
  <c r="T32" i="4"/>
  <c r="T24" i="4"/>
  <c r="T46" i="4"/>
  <c r="T37" i="4"/>
  <c r="T44" i="4"/>
  <c r="T26" i="4"/>
  <c r="T42" i="4"/>
  <c r="T23" i="4"/>
  <c r="T20" i="4"/>
  <c r="T33" i="4"/>
  <c r="T27" i="4"/>
  <c r="T41" i="4"/>
  <c r="T45" i="4"/>
  <c r="T40" i="4"/>
  <c r="T38" i="4"/>
  <c r="T29" i="4"/>
  <c r="T48" i="4"/>
  <c r="T25" i="4"/>
  <c r="T31" i="4"/>
  <c r="V67" i="5"/>
  <c r="X67" i="5" s="1"/>
  <c r="X54" i="5"/>
  <c r="K70" i="3" l="1"/>
  <c r="K59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Sailers, Bruce L</author>
  </authors>
  <commentList>
    <comment ref="C19" authorId="0" shapeId="0" xr:uid="{70DCAE92-8CD0-4D66-B3E0-26721007CECA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  <comment ref="D19" authorId="0" shapeId="0" xr:uid="{28AA9DF5-CD8B-49DC-8723-F7F884057598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  <comment ref="C20" authorId="0" shapeId="0" xr:uid="{848E848E-1536-4869-8DF7-1C88B76C17FA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  <comment ref="D20" authorId="0" shapeId="0" xr:uid="{850427D1-1A98-4515-A660-6EF9061FABD1}">
      <text>
        <r>
          <rPr>
            <b/>
            <sz val="9"/>
            <color indexed="81"/>
            <rFont val="Tahoma"/>
            <family val="2"/>
          </rPr>
          <t>Sailers, Bruce L:</t>
        </r>
        <r>
          <rPr>
            <sz val="9"/>
            <color indexed="81"/>
            <rFont val="Tahoma"/>
            <family val="2"/>
          </rPr>
          <t xml:space="preserve">
Calibrate this value to match total forecasted fuel expense of $147,263,213</t>
        </r>
      </text>
    </comment>
  </commentList>
</comments>
</file>

<file path=xl/sharedStrings.xml><?xml version="1.0" encoding="utf-8"?>
<sst xmlns="http://schemas.openxmlformats.org/spreadsheetml/2006/main" count="5011" uniqueCount="873">
  <si>
    <t>AUTOMATED RATE CASE FILING SYSTEM</t>
  </si>
  <si>
    <t>SERVICE:</t>
  </si>
  <si>
    <t>(ELECTRIC SERVICE)</t>
  </si>
  <si>
    <t>WITNESS:</t>
  </si>
  <si>
    <t>WITNESS RESPONSIBLE:</t>
  </si>
  <si>
    <t xml:space="preserve">  CURRENT ANNUALIZED</t>
  </si>
  <si>
    <t>PROPOSED</t>
  </si>
  <si>
    <t>% OF REV TO</t>
  </si>
  <si>
    <t>CURRENT</t>
  </si>
  <si>
    <t>REVENUE</t>
  </si>
  <si>
    <t>% INCR IN</t>
  </si>
  <si>
    <t>TOTAL</t>
  </si>
  <si>
    <t>REVENUE LESS</t>
  </si>
  <si>
    <t>TOTAL LESS</t>
  </si>
  <si>
    <t>MOST</t>
  </si>
  <si>
    <t>INCR LESS</t>
  </si>
  <si>
    <t xml:space="preserve">REV LESS </t>
  </si>
  <si>
    <t>LINE</t>
  </si>
  <si>
    <t>RATE</t>
  </si>
  <si>
    <t>CLASS /</t>
  </si>
  <si>
    <t>CUSTOMER</t>
  </si>
  <si>
    <t>% INCREASE</t>
  </si>
  <si>
    <t xml:space="preserve"> NO.</t>
  </si>
  <si>
    <t>CODE</t>
  </si>
  <si>
    <t>DESCRIPTION</t>
  </si>
  <si>
    <t>BILLS(1)</t>
  </si>
  <si>
    <t>SALES</t>
  </si>
  <si>
    <t>RATES</t>
  </si>
  <si>
    <t>(F + H)</t>
  </si>
  <si>
    <t>(F - K)</t>
  </si>
  <si>
    <t>(M / K)</t>
  </si>
  <si>
    <t>(K + H)</t>
  </si>
  <si>
    <t>(M / K1)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</si>
  <si>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</si>
  <si>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</si>
  <si>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</si>
  <si>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</si>
  <si>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</si>
  <si>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</si>
  <si>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</si>
  <si>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</si>
  <si>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</si>
  <si>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</si>
  <si>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</si>
  <si>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(L)</t>
  </si>
  <si>
    <t>(M)</t>
  </si>
  <si>
    <t>(N)</t>
  </si>
  <si>
    <t>(K1)</t>
  </si>
  <si>
    <t>(O)</t>
  </si>
  <si>
    <t>(KWH)</t>
  </si>
  <si>
    <t>($)</t>
  </si>
  <si>
    <t>(%)</t>
  </si>
  <si>
    <t>RS</t>
  </si>
  <si>
    <t>RESIDENTIAL</t>
  </si>
  <si>
    <t>SUMMER:</t>
  </si>
  <si>
    <t>BILLS</t>
  </si>
  <si>
    <t>TOTAL SUMMER</t>
  </si>
  <si>
    <t>WINTER:</t>
  </si>
  <si>
    <t>TOTAL WINTER</t>
  </si>
  <si>
    <t>(1) BILLS THAT TERMINATE IN RESPECTIVE RATE STEPS.</t>
  </si>
  <si>
    <t>TT</t>
  </si>
  <si>
    <t>TIME OF DAY</t>
  </si>
  <si>
    <t>CUSTOMER CHARGE</t>
  </si>
  <si>
    <t>DEMAND CHARGE:</t>
  </si>
  <si>
    <t xml:space="preserve">  ON PEAK KW</t>
  </si>
  <si>
    <t xml:space="preserve">  OFF PEAK KW</t>
  </si>
  <si>
    <t>TOTAL DEMAND</t>
  </si>
  <si>
    <t>ENERGY CHARGE:</t>
  </si>
  <si>
    <t xml:space="preserve">  ALL KWH</t>
  </si>
  <si>
    <t>($/UNIT)</t>
  </si>
  <si>
    <t>SE</t>
  </si>
  <si>
    <t xml:space="preserve">STREET LIGHTING - </t>
  </si>
  <si>
    <t xml:space="preserve"> OVERHEAD EQUIVALENT RATE</t>
  </si>
  <si>
    <t>SC</t>
  </si>
  <si>
    <t xml:space="preserve"> CUST OWNED/CUST MAINT</t>
  </si>
  <si>
    <t>ENERGY ONLY</t>
  </si>
  <si>
    <t>(1) THESE FIGURES REPRESENT NUMBER OF UNITS BILLED.</t>
  </si>
  <si>
    <t>SL</t>
  </si>
  <si>
    <t>STREET LIGHTING</t>
  </si>
  <si>
    <t>OVERHEAD DISTRIBUTION:</t>
  </si>
  <si>
    <t>UNDERGROUND DISTRIBUTION:</t>
  </si>
  <si>
    <t>TL</t>
  </si>
  <si>
    <t>TRAFFIC LIGHTING</t>
  </si>
  <si>
    <t xml:space="preserve">    SERVICE</t>
  </si>
  <si>
    <t>(A) WHERE COMPANY</t>
  </si>
  <si>
    <t xml:space="preserve">  ALL CONSUMPTION</t>
  </si>
  <si>
    <t>NSU</t>
  </si>
  <si>
    <t xml:space="preserve">  2,500 LUMEN MULTIPLE</t>
  </si>
  <si>
    <t xml:space="preserve">  2,500 LUMEN SERIES</t>
  </si>
  <si>
    <t xml:space="preserve">  21,000 LUMEN</t>
  </si>
  <si>
    <t>TOTAL COMPANY OWNED</t>
  </si>
  <si>
    <t>DS</t>
  </si>
  <si>
    <t>DP</t>
  </si>
  <si>
    <t>GSFL</t>
  </si>
  <si>
    <t>EH</t>
  </si>
  <si>
    <t>SP</t>
  </si>
  <si>
    <t>IS</t>
  </si>
  <si>
    <t>OTHER MISC</t>
  </si>
  <si>
    <t xml:space="preserve">    TOTAL</t>
  </si>
  <si>
    <t>PAGE 1 OF 5</t>
  </si>
  <si>
    <t>WORK PAPER REFERENCE NO(S).: SEE BELOW</t>
  </si>
  <si>
    <t>LEVEL</t>
  </si>
  <si>
    <t>DOLLAR</t>
  </si>
  <si>
    <t>PERCENT</t>
  </si>
  <si>
    <t>of</t>
  </si>
  <si>
    <t>INCREASE</t>
  </si>
  <si>
    <t>BILL</t>
  </si>
  <si>
    <t>KWH</t>
  </si>
  <si>
    <t>DEMAND</t>
  </si>
  <si>
    <t>USE</t>
  </si>
  <si>
    <t>(D - C)</t>
  </si>
  <si>
    <t>(E / C)</t>
  </si>
  <si>
    <t>FIRST</t>
  </si>
  <si>
    <t>SECOND</t>
  </si>
  <si>
    <t>THIRD</t>
  </si>
  <si>
    <t>CHARGE</t>
  </si>
  <si>
    <t>STEP</t>
  </si>
  <si>
    <t>(KW)</t>
  </si>
  <si>
    <t>NA</t>
  </si>
  <si>
    <t>WINTER</t>
  </si>
  <si>
    <t>PAGE 2 OF 5</t>
  </si>
  <si>
    <t>CST CHRG</t>
  </si>
  <si>
    <t>ALL KWH</t>
  </si>
  <si>
    <t>PAGE 5 OF 5</t>
  </si>
  <si>
    <t xml:space="preserve">   TT (SUMMER)</t>
  </si>
  <si>
    <t xml:space="preserve">   TT (WINTER)</t>
  </si>
  <si>
    <t>PAGE 3 OF 5</t>
  </si>
  <si>
    <t xml:space="preserve">   DT (SUMMER)</t>
  </si>
  <si>
    <t xml:space="preserve">   DT (WINTER)</t>
  </si>
  <si>
    <t>PROPOSED ANNUALIZED</t>
  </si>
  <si>
    <t>CURRENT ANNUALIZED</t>
  </si>
  <si>
    <t>SERVICE AT SECONDARY</t>
  </si>
  <si>
    <t>DISTRIBUTION VOLTAGE</t>
  </si>
  <si>
    <t>CUSTOMER CHARGE:</t>
  </si>
  <si>
    <t xml:space="preserve">  SINGLE PHASE</t>
  </si>
  <si>
    <t xml:space="preserve">  THREE PHASE</t>
  </si>
  <si>
    <t>TOTAL CUSTOMER CHARGE</t>
  </si>
  <si>
    <t xml:space="preserve">  FIRST 15 KW</t>
  </si>
  <si>
    <t xml:space="preserve">  ADDITIONAL KW</t>
  </si>
  <si>
    <t xml:space="preserve">  FIRST  6000 KWH</t>
  </si>
  <si>
    <t xml:space="preserve">  NEXT 300KWH/KW</t>
  </si>
  <si>
    <t xml:space="preserve">  ADDITIONAL KWH</t>
  </si>
  <si>
    <t>TOTAL ENERGY</t>
  </si>
  <si>
    <t>SERVICE AT</t>
  </si>
  <si>
    <t xml:space="preserve">  PRIMARY VOLTAGE</t>
  </si>
  <si>
    <t>SUB-TOTAL</t>
  </si>
  <si>
    <t>PRIMARY SERV. DIS.</t>
  </si>
  <si>
    <t>FIRST 1000 KW</t>
  </si>
  <si>
    <t>ADDITIONAL KW</t>
  </si>
  <si>
    <t>SERVICE AT PRIMARY</t>
  </si>
  <si>
    <t xml:space="preserve">  ALL KW</t>
  </si>
  <si>
    <t xml:space="preserve">  FIRST 300KWH/KW</t>
  </si>
  <si>
    <t>SMALL FIXED LOADS</t>
  </si>
  <si>
    <t xml:space="preserve">    ALL CONSUMPTION</t>
  </si>
  <si>
    <t>OPTIONAL RATE FOR</t>
  </si>
  <si>
    <t>ELEC. SPACE HEATING</t>
  </si>
  <si>
    <t>SCHEDULE M-2.3</t>
  </si>
  <si>
    <t>SCHEDULE M-2.2</t>
  </si>
  <si>
    <t>PAGE  1  OF  1</t>
  </si>
  <si>
    <t>CLASSIFICATION</t>
  </si>
  <si>
    <t>REVENUE AT</t>
  </si>
  <si>
    <t>CHANGE</t>
  </si>
  <si>
    <t>(D=C-B)</t>
  </si>
  <si>
    <t>(AMOUNT)</t>
  </si>
  <si>
    <t>SCHEDULE M</t>
  </si>
  <si>
    <t>(E=D / B)</t>
  </si>
  <si>
    <t xml:space="preserve">  TOTAL DISTRIBUTION</t>
  </si>
  <si>
    <t xml:space="preserve">  TOTAL TRANSMISSION</t>
  </si>
  <si>
    <t xml:space="preserve">  TOTAL LIGHTING</t>
  </si>
  <si>
    <t>TOTAL REVENUE</t>
  </si>
  <si>
    <t>WORK PAPER REFERENCE NO(S).:</t>
  </si>
  <si>
    <t>TYPICAL BILL COMPARISON</t>
  </si>
  <si>
    <t>SCHEDULE N</t>
  </si>
  <si>
    <t xml:space="preserve"> </t>
  </si>
  <si>
    <t>Summer</t>
  </si>
  <si>
    <t>Winter</t>
  </si>
  <si>
    <t xml:space="preserve">CURRENT RATE DS BILL      </t>
  </si>
  <si>
    <t xml:space="preserve">PROPOSED RATE DS BILL      </t>
  </si>
  <si>
    <t xml:space="preserve"> CURRENT RATE EH BILL      </t>
  </si>
  <si>
    <t xml:space="preserve">PROPOSED RATES EH BILL      </t>
  </si>
  <si>
    <t>PAGE 4 OF 5</t>
  </si>
  <si>
    <t>PRIMARY VOLTAGE</t>
  </si>
  <si>
    <t>CURRENT RATES RS BILL</t>
  </si>
  <si>
    <t>PROPOSED RATES RS BILL</t>
  </si>
  <si>
    <t>PRESENT</t>
  </si>
  <si>
    <t>% OF</t>
  </si>
  <si>
    <t xml:space="preserve">WORK PAPER REFERENCE NO(S).: </t>
  </si>
  <si>
    <t>SCHEDULE M-2.1</t>
  </si>
  <si>
    <t>AVERAGE</t>
  </si>
  <si>
    <t>(F=E/D)</t>
  </si>
  <si>
    <t>% OF REV</t>
  </si>
  <si>
    <t>TO TOTAL</t>
  </si>
  <si>
    <t xml:space="preserve">EXCLUSIVE OF </t>
  </si>
  <si>
    <t>NOTE: DETAIL CONTAINED ON SCHEDULES M-2.2 AND M-2.3.</t>
  </si>
  <si>
    <t>Input Areas in Grey</t>
  </si>
  <si>
    <t xml:space="preserve">  TOTAL RESIDENTIAL</t>
  </si>
  <si>
    <t>(KW/KWH)</t>
  </si>
  <si>
    <t>(¢/KWH)</t>
  </si>
  <si>
    <t>MINIMUM BILLS</t>
  </si>
  <si>
    <t xml:space="preserve">  LOAD RANGE 540 TO 720 HRS</t>
  </si>
  <si>
    <t xml:space="preserve">  LOAD RANGE LESS THAN 540 HRS</t>
  </si>
  <si>
    <t>MERCURY VAPOR :</t>
  </si>
  <si>
    <t>SODIUM VAPOR:</t>
  </si>
  <si>
    <t>DECORATIVE SODIUM VAPOR:</t>
  </si>
  <si>
    <t>MERCURY VAPOR:</t>
  </si>
  <si>
    <t xml:space="preserve">     7,000 LUMEN (OPEN)</t>
  </si>
  <si>
    <t xml:space="preserve">     7,000 LUMEN</t>
  </si>
  <si>
    <t xml:space="preserve">    10,000 LUMEN</t>
  </si>
  <si>
    <t xml:space="preserve">    21,000 LUMEN</t>
  </si>
  <si>
    <t xml:space="preserve">     9,500 LUMEN (OPEN)</t>
  </si>
  <si>
    <t xml:space="preserve">     9,500 LUMEN</t>
  </si>
  <si>
    <t xml:space="preserve">   16,000 LUMEN</t>
  </si>
  <si>
    <t xml:space="preserve">   22,000 LUMEN</t>
  </si>
  <si>
    <t xml:space="preserve">   50,000 LUMEN</t>
  </si>
  <si>
    <t xml:space="preserve">  10,000 LUMEN</t>
  </si>
  <si>
    <t xml:space="preserve">    22,000 LUMEN (RECTILINEAR)</t>
  </si>
  <si>
    <t xml:space="preserve">    50,000 LUMEN (RECTILINEAR)</t>
  </si>
  <si>
    <t xml:space="preserve">  21,000 LUMEN MERCURY VAPOR</t>
  </si>
  <si>
    <t>NON STANDARD STREET LIGHT UNITS</t>
  </si>
  <si>
    <t>(A) COMPANY OWNED</t>
  </si>
  <si>
    <t>(1) BOULEVARD INCANDESCENT(UG):</t>
  </si>
  <si>
    <t>(2) HOLOPHANE DECORATIVE:</t>
  </si>
  <si>
    <t xml:space="preserve">  10,000 LUMEN MV W </t>
  </si>
  <si>
    <t xml:space="preserve">     17' FIBERGLASS POLE</t>
  </si>
  <si>
    <t>(3) STREET LGT UNITS (OH)</t>
  </si>
  <si>
    <t xml:space="preserve">    2,500 LUMEN INDANDESCENT</t>
  </si>
  <si>
    <t xml:space="preserve">    2,500 LUMEN MERCURY VAPOR</t>
  </si>
  <si>
    <t>(B) CUSTOMER OWNED WITH LTD MAINT</t>
  </si>
  <si>
    <t>TOTAL CUSTOMER OWNED</t>
  </si>
  <si>
    <t>MERCURY VAPOR 7,000 LUMEN:</t>
  </si>
  <si>
    <t xml:space="preserve">   TOWN &amp; COUNTRY</t>
  </si>
  <si>
    <t xml:space="preserve">    HOLOPHANE</t>
  </si>
  <si>
    <t xml:space="preserve">    GAS REPLICA</t>
  </si>
  <si>
    <t xml:space="preserve">    ASPEN</t>
  </si>
  <si>
    <t>SODIUM VAPOR 9,500 LUMEN:</t>
  </si>
  <si>
    <t xml:space="preserve">    RECTILINEAR</t>
  </si>
  <si>
    <t xml:space="preserve">  50,000 LUMEN (SETBACK)</t>
  </si>
  <si>
    <t xml:space="preserve">  50,000 LUMEN (RECTILINEAR)</t>
  </si>
  <si>
    <t xml:space="preserve">  22,000 LUMEN (RECTILINEAR)</t>
  </si>
  <si>
    <t>UOLS</t>
  </si>
  <si>
    <t>UNMETERED OUTDOOR LIGHTING SERV</t>
  </si>
  <si>
    <t>BASE RATE</t>
  </si>
  <si>
    <t>RESIDENTIAL SERV</t>
  </si>
  <si>
    <t>DISTRIBUTION SERV</t>
  </si>
  <si>
    <t>SPORTS SERV</t>
  </si>
  <si>
    <t>ELEC SPACE HEATING</t>
  </si>
  <si>
    <t>UNMTRD OUTDR LIGHT</t>
  </si>
  <si>
    <t>NON STD STREET LIGHT</t>
  </si>
  <si>
    <t>BAD CHECK CHARGES</t>
  </si>
  <si>
    <t xml:space="preserve">UOLS </t>
  </si>
  <si>
    <t>RENTS</t>
  </si>
  <si>
    <t>RECONNECTION CHGS</t>
  </si>
  <si>
    <t>RIDER</t>
  </si>
  <si>
    <t>DISTRIBUTION</t>
  </si>
  <si>
    <t>TRANSMISSION</t>
  </si>
  <si>
    <t>DSMR (2)</t>
  </si>
  <si>
    <t>DSMR (3)</t>
  </si>
  <si>
    <t>REAL TIME PRICING</t>
  </si>
  <si>
    <t xml:space="preserve"> CUST OWNED/LTD MAINT</t>
  </si>
  <si>
    <t>STREET LIGHTING -- CO OWNED &amp; MAINTAINED</t>
  </si>
  <si>
    <t>DS-RTP</t>
  </si>
  <si>
    <t>TT-RTP</t>
  </si>
  <si>
    <t xml:space="preserve">  TOTAL REAL TIME PRICING</t>
  </si>
  <si>
    <t xml:space="preserve"> TOTAL REAL TIME PRICING</t>
  </si>
  <si>
    <t>TOTAL OVERHEAD</t>
  </si>
  <si>
    <t>STREET LIGHTING -- CO OWNED &amp; MAINTAINED (CONT'D.)</t>
  </si>
  <si>
    <t>TOTAL UNDERGROUND</t>
  </si>
  <si>
    <t>METAL HALIDE:</t>
  </si>
  <si>
    <t xml:space="preserve">    GRANVILLE ACORN</t>
  </si>
  <si>
    <t xml:space="preserve">    36,000 LUMEN</t>
  </si>
  <si>
    <t xml:space="preserve">    14,000 LUMEN</t>
  </si>
  <si>
    <t xml:space="preserve">    20,500 LUMEN</t>
  </si>
  <si>
    <t xml:space="preserve">  7,000 LUMEN  TOWN &amp; COUNTRY</t>
  </si>
  <si>
    <t xml:space="preserve">  7,000 LUMEN HOLOPHANE</t>
  </si>
  <si>
    <t xml:space="preserve">  7,000 LUMEN ASPEN</t>
  </si>
  <si>
    <t>DECORATIVE MERCURY VAPOR:</t>
  </si>
  <si>
    <t xml:space="preserve">  9,500 LUMEN TOWN &amp; COUNTRY</t>
  </si>
  <si>
    <t xml:space="preserve">  9,500 LUMEN HOLOPHANE</t>
  </si>
  <si>
    <t xml:space="preserve">   27,500 LUMEN</t>
  </si>
  <si>
    <t>DECORATIVE METAL HALIDE:</t>
  </si>
  <si>
    <t xml:space="preserve"> 14,000 LUMEN GRANVILLE</t>
  </si>
  <si>
    <t xml:space="preserve">   TRADITIONAIRE</t>
  </si>
  <si>
    <t>Pole Rate Increases</t>
  </si>
  <si>
    <t>w17</t>
  </si>
  <si>
    <t>w30</t>
  </si>
  <si>
    <t>w35</t>
  </si>
  <si>
    <t>w40</t>
  </si>
  <si>
    <t>a12</t>
  </si>
  <si>
    <t>a28</t>
  </si>
  <si>
    <t>a28h</t>
  </si>
  <si>
    <t>a30</t>
  </si>
  <si>
    <t>f17</t>
  </si>
  <si>
    <t>f30</t>
  </si>
  <si>
    <t>f35</t>
  </si>
  <si>
    <t>s27</t>
  </si>
  <si>
    <t>s27h</t>
  </si>
  <si>
    <t>f12</t>
  </si>
  <si>
    <t>code</t>
  </si>
  <si>
    <t>base fuel</t>
  </si>
  <si>
    <t>annual kwh</t>
  </si>
  <si>
    <t>current</t>
  </si>
  <si>
    <t>proposed</t>
  </si>
  <si>
    <t>($/UNIT)/</t>
  </si>
  <si>
    <t>ADD'L FACILITIES CHARGE:</t>
  </si>
  <si>
    <t>TOTAL ADD'L FACILITIES CHG</t>
  </si>
  <si>
    <t>TT  RTP</t>
  </si>
  <si>
    <t>DT  RTP</t>
  </si>
  <si>
    <t>DS RTP</t>
  </si>
  <si>
    <t>DS  RTP</t>
  </si>
  <si>
    <t>TIME OF DAY SERVICE AT</t>
  </si>
  <si>
    <t>TRANSMISSION VOLTAGE</t>
  </si>
  <si>
    <t xml:space="preserve">  BILLS  (Real-Time Pricing)</t>
  </si>
  <si>
    <t>($/KWH)</t>
  </si>
  <si>
    <t>RESIDENTIAL SERVICE  (RS)</t>
  </si>
  <si>
    <t>DISTRIBUTION SERVICE  (DS)</t>
  </si>
  <si>
    <t>SPORTS SERVICE  (SP)</t>
  </si>
  <si>
    <t>SMALL FIXED LOADS  (GSFL)</t>
  </si>
  <si>
    <t>PRIMARY VOLTAGE  (DP)</t>
  </si>
  <si>
    <t>TIME OF DAY  (TT)</t>
  </si>
  <si>
    <t>DS-REAL TIME PRICING  (DS-RTP)</t>
  </si>
  <si>
    <t>TT-REAL TIME PRICING  (TT-RTP)</t>
  </si>
  <si>
    <t>STREET LIGHTING  (SL)</t>
  </si>
  <si>
    <t>TRAFFIC LIGHTING  (TL)</t>
  </si>
  <si>
    <t>REVENUE (2)</t>
  </si>
  <si>
    <t>RATES(3)</t>
  </si>
  <si>
    <t>RATES(1A)</t>
  </si>
  <si>
    <t>INTERDEPARTMENTAL</t>
  </si>
  <si>
    <t>SPECIAL CONTRACTS</t>
  </si>
  <si>
    <t>($/KW)</t>
  </si>
  <si>
    <t>WS</t>
  </si>
  <si>
    <t>8A</t>
  </si>
  <si>
    <t>($/KWH)/</t>
  </si>
  <si>
    <t>$ PER KWH</t>
  </si>
  <si>
    <t>TYPE OF FILING: _X_ ORIGINAL   ___UPDATED  ___ REVISED</t>
  </si>
  <si>
    <t xml:space="preserve">  STANDARD UNIT-COBRAHEAD</t>
  </si>
  <si>
    <t xml:space="preserve">    MERCURY VAPOR --</t>
  </si>
  <si>
    <t xml:space="preserve">   10,000 LUMEN</t>
  </si>
  <si>
    <t xml:space="preserve">   21,000 LUMEN</t>
  </si>
  <si>
    <t xml:space="preserve">  METAL HALIDE --</t>
  </si>
  <si>
    <t xml:space="preserve">   14,000 LUMEN</t>
  </si>
  <si>
    <t xml:space="preserve">   20,500 LUMEN</t>
  </si>
  <si>
    <t xml:space="preserve">   36,000 LUMEN</t>
  </si>
  <si>
    <t xml:space="preserve">  SODIUM VAPOR--</t>
  </si>
  <si>
    <t xml:space="preserve">    9,500 LUMEN</t>
  </si>
  <si>
    <t>DECORATIVE UNITS:</t>
  </si>
  <si>
    <t xml:space="preserve">   7,000 LUMEN MERCURY VAPOR--</t>
  </si>
  <si>
    <t xml:space="preserve">    TOWN &amp; COUNTRY</t>
  </si>
  <si>
    <t xml:space="preserve"> 14,000 LUMEN METAL HALIDE--</t>
  </si>
  <si>
    <t xml:space="preserve">    TRADITIONAIRE</t>
  </si>
  <si>
    <t xml:space="preserve">  9,500 LUMEN SODIUM VAPOR--</t>
  </si>
  <si>
    <t>SODIUM VAPOR --</t>
  </si>
  <si>
    <t>ANNUAL</t>
  </si>
  <si>
    <t>ID01</t>
  </si>
  <si>
    <t xml:space="preserve">  LOAD MANAGEMENT RIDER</t>
  </si>
  <si>
    <t>EXCLUDES ALL RIDERS AND FUEL</t>
  </si>
  <si>
    <t>FAC (1)</t>
  </si>
  <si>
    <t>GS-FL</t>
  </si>
  <si>
    <t>RIDERS</t>
  </si>
  <si>
    <t>PSM (5)</t>
  </si>
  <si>
    <t>FAC (2)</t>
  </si>
  <si>
    <t xml:space="preserve">  NON-CHURCH "CAP" RATE</t>
  </si>
  <si>
    <t xml:space="preserve">  CHURCH CAP RATE</t>
  </si>
  <si>
    <t>TIME OF DAY SERVICE AT SECONDARY</t>
  </si>
  <si>
    <t>TIME OF DAY SERVICE AT PRIMARY</t>
  </si>
  <si>
    <t xml:space="preserve">DT RTP </t>
  </si>
  <si>
    <t xml:space="preserve">REVENUE </t>
  </si>
  <si>
    <t>TOTAL RETAIL REVENUE</t>
  </si>
  <si>
    <t>DT PRIMARY-REAL TIME PRICING  (DT-RTP PRI)</t>
  </si>
  <si>
    <t>DT-RTP PRI</t>
  </si>
  <si>
    <t>DT-RTP SEC</t>
  </si>
  <si>
    <t xml:space="preserve">  COMMODITY CHARGES</t>
  </si>
  <si>
    <t>ENERGY CHARGE (3):</t>
  </si>
  <si>
    <t>BASE RATE (3):</t>
  </si>
  <si>
    <t>SUPPLIES ENERGY ONLY (3):</t>
  </si>
  <si>
    <t xml:space="preserve"> BILL DATA LESS RIDERS</t>
  </si>
  <si>
    <t>TIME OF DAY PRIMARY</t>
  </si>
  <si>
    <t>DT-SEC</t>
  </si>
  <si>
    <t>TIME OF DAY SECONDARY</t>
  </si>
  <si>
    <t>DT-PRI</t>
  </si>
  <si>
    <t>DT PRIMARY TIME OF DAY (DT-PRI)</t>
  </si>
  <si>
    <t>DT SECONDARY TIME OF DAY  (DT-SEC)</t>
  </si>
  <si>
    <t xml:space="preserve">  ALL  KWH</t>
  </si>
  <si>
    <t>DT SECONDARY-REAL TIME PRICING  (DT-RTP SEC)</t>
  </si>
  <si>
    <t xml:space="preserve">  ON PEAK KWH</t>
  </si>
  <si>
    <t xml:space="preserve">  OFF PEAK KWH</t>
  </si>
  <si>
    <t xml:space="preserve"> LIGHTING</t>
  </si>
  <si>
    <t>All Rates</t>
  </si>
  <si>
    <t>(4) 1.5% OF INSTALLED TRANSFORMER AMD METERING COSTS BUT NOT LESS THAN CUSTOMER CHARGE WHETHER SERVICE IS ON OR DISCONNECTED.</t>
  </si>
  <si>
    <t>SEASONAL SPORTS SERVICE</t>
  </si>
  <si>
    <t xml:space="preserve">   50,000 LUMEN SETBACK</t>
  </si>
  <si>
    <t xml:space="preserve">     9,500 LUMEN RECTILINEAR</t>
  </si>
  <si>
    <t xml:space="preserve">   22,000 LUMEN RECTILINEAR</t>
  </si>
  <si>
    <t xml:space="preserve">   50,000 LUMEN RECTILINEAR</t>
  </si>
  <si>
    <t xml:space="preserve">  22,000 LUMEN RECTILINEAR</t>
  </si>
  <si>
    <t xml:space="preserve">  50,000 LUMEN RECTILINEAR</t>
  </si>
  <si>
    <t xml:space="preserve">  50,000 LUMEN SETBACK</t>
  </si>
  <si>
    <t xml:space="preserve">     9,500 LUMEN </t>
  </si>
  <si>
    <t xml:space="preserve">  7,000 LUMEN GRANVILLE </t>
  </si>
  <si>
    <t xml:space="preserve"> 14,000 LUMEN TRADITIONAIRE</t>
  </si>
  <si>
    <t xml:space="preserve">  9,500 LUMEN TRADITIONAIRE</t>
  </si>
  <si>
    <t xml:space="preserve">  9,500 LUMEN GRANVILLE </t>
  </si>
  <si>
    <t xml:space="preserve"> 14,000 LUMEN GAS REPLICA</t>
  </si>
  <si>
    <t>Tariff Sheet</t>
  </si>
  <si>
    <t>UNDERGROUND DISTRIBUTION (CONT'D.):</t>
  </si>
  <si>
    <t>METAL HALIDE 14,000 LUMEN:</t>
  </si>
  <si>
    <t xml:space="preserve">   GRANVILLE ACORN</t>
  </si>
  <si>
    <t xml:space="preserve">   GAS REPLICA</t>
  </si>
  <si>
    <t>REVENUES AT PRESENT AND PROPOSED RATES</t>
  </si>
  <si>
    <t xml:space="preserve">RESIDENTIAL </t>
  </si>
  <si>
    <t>LIGHTING</t>
  </si>
  <si>
    <t>OTHER MISC REVENUE</t>
  </si>
  <si>
    <t xml:space="preserve">  TOTAL MISC REVENUE</t>
  </si>
  <si>
    <t>MINIMUM BILLS (4)</t>
  </si>
  <si>
    <t>ELECTRIC SPACE HEATING  (EH)</t>
  </si>
  <si>
    <t>UNMETERED OUTDOOR LIGHTING (UOLS)</t>
  </si>
  <si>
    <t>NON STANDARD STREET LIGHTING  (NSU)</t>
  </si>
  <si>
    <t>CUST OWNED STREET LIGHTING SERVICE  (SC)</t>
  </si>
  <si>
    <t>OVERHEAD EQUIV STREET LIGHTING SERVICE  (SE)</t>
  </si>
  <si>
    <t>RECONNECTION CHARGES</t>
  </si>
  <si>
    <t>OTHER MISCELLANEOUS</t>
  </si>
  <si>
    <t xml:space="preserve">  TOTAL MISCELLANEOUS REVENUE</t>
  </si>
  <si>
    <t>OTHER MISCELLANEOUS REVENUE</t>
  </si>
  <si>
    <t xml:space="preserve">CUST OWNED STREET LIGHTING </t>
  </si>
  <si>
    <t>OVR HD EQUIV STREET LIGHTING</t>
  </si>
  <si>
    <t>INCLUDES FUEL AND ALL RIDERS</t>
  </si>
  <si>
    <t>SCHEDULE M-2.2       (CURRENT RATES)</t>
  </si>
  <si>
    <t>SCHEDULE M-2.3       (PROPOSED RATES)</t>
  </si>
  <si>
    <t>BASE FUEL COST:</t>
  </si>
  <si>
    <t>RIDERS:</t>
  </si>
  <si>
    <t xml:space="preserve">  TOTAL RATE RS EXCLUDING RIDERS</t>
  </si>
  <si>
    <t>PROFIT SHARING MECHANISM (PSM)</t>
  </si>
  <si>
    <t>HOME ENERGY ASSISTANCE (HEA)</t>
  </si>
  <si>
    <t>DEMAND SIDE MANAGEMENT RIDER (DSMR)</t>
  </si>
  <si>
    <t xml:space="preserve">  TOTAL RIDERS</t>
  </si>
  <si>
    <t xml:space="preserve">  TOTAL RATE RS INCLUDING RIDERS</t>
  </si>
  <si>
    <t>TOTAL RATE DS EXCLUDING RIDERS</t>
  </si>
  <si>
    <t xml:space="preserve"> TOTAL RATE DS INCLUDING RIDERS</t>
  </si>
  <si>
    <t xml:space="preserve">  TOTAL RATE DT PRIMARY EXCLUDING RIDERS</t>
  </si>
  <si>
    <t xml:space="preserve">  TOTAL RATE DT PRIMARY INCLUDING RIDERS</t>
  </si>
  <si>
    <t xml:space="preserve">  TOTAL RATE DT SECONDARY INCLUDING RIDERS</t>
  </si>
  <si>
    <t xml:space="preserve">  TOTAL RATE DT SECONDARY EXCLUDING RIDERS</t>
  </si>
  <si>
    <t xml:space="preserve">  TOTAL RATE EH EXCLUDING RIDERS</t>
  </si>
  <si>
    <t xml:space="preserve">    TOTAL RATE EH INCLUDING RIDERS</t>
  </si>
  <si>
    <t xml:space="preserve">  TOTAL RATE SP EXCLUDING RIDERS</t>
  </si>
  <si>
    <t xml:space="preserve">  TOTAL RATE GS-FL EXCLUDING RIDERS</t>
  </si>
  <si>
    <t>TOTAL RATE GS-FL INCLUDING RIDERS</t>
  </si>
  <si>
    <t>TOTAL RATE SP INCLUDING RIDERS</t>
  </si>
  <si>
    <t xml:space="preserve">  TOTAL RATE DP EXCLUDING RIDERS</t>
  </si>
  <si>
    <t xml:space="preserve"> TOTAL RATE DP INCLUDING RIDERS</t>
  </si>
  <si>
    <t>TOTAL RATE DP INCLUDING RIDERS</t>
  </si>
  <si>
    <t xml:space="preserve">  TOTAL RATE TT EXCLUDING RIDERS</t>
  </si>
  <si>
    <t xml:space="preserve">  TOTAL RATE TT INCLUDING RIDERS</t>
  </si>
  <si>
    <t xml:space="preserve">  TOTAL RATE DT RTP PRIMARY EXCLUDING RIDERS</t>
  </si>
  <si>
    <t xml:space="preserve">  TOTAL RATE  DT RTP PRIMARY INCLUDING RIDERS</t>
  </si>
  <si>
    <t xml:space="preserve">  TOTAL RATE DT RTP SECONDARY EXCLUDING RIDERS</t>
  </si>
  <si>
    <t xml:space="preserve"> TOTAL RATE DT RTP SECONDARY INCLUDING RIDERS</t>
  </si>
  <si>
    <t xml:space="preserve">  TOTAL RATE  DT RTP SECONDARY INCLUDING RIDERS</t>
  </si>
  <si>
    <t xml:space="preserve">  TOTAL RATE  DS RTP INCLUDING RIDERS</t>
  </si>
  <si>
    <t xml:space="preserve">  TOTAL RATE DS RTP  EXCLUDING RIDERS</t>
  </si>
  <si>
    <t xml:space="preserve">  TOTAL RATE TT RTP  EXCLUDING RIDERS</t>
  </si>
  <si>
    <t xml:space="preserve">  TOTAL RATE  TT RTP INCLUDING RIDERS</t>
  </si>
  <si>
    <t xml:space="preserve">  TOTAL RIDERS NOT INCLUDED IN RATES ABOVE</t>
  </si>
  <si>
    <t xml:space="preserve">  TOTAL RATE TL  EXCLUDING RIDERS</t>
  </si>
  <si>
    <t xml:space="preserve">    TOTAL RATE TL INCLUDING RIDERS</t>
  </si>
  <si>
    <t>TOTAL RATE UOLS INCLUDING RIDERS</t>
  </si>
  <si>
    <t>RIDERS NOT INCLUDED IN RATES ABOVE ($/KWH):</t>
  </si>
  <si>
    <t xml:space="preserve">  TOTAL RATE NSU  EXCLUDING RIDERS</t>
  </si>
  <si>
    <t>TOTAL RATE NSU INCLUDING RIDERS</t>
  </si>
  <si>
    <t xml:space="preserve">  TOTAL RATE SC  EXCLUDING RIDERS</t>
  </si>
  <si>
    <t>TOTAL RATE SC INCLUDING RIDERS</t>
  </si>
  <si>
    <t xml:space="preserve">  TOTAL RATE SE  EXCLUDING RIDERS</t>
  </si>
  <si>
    <t xml:space="preserve">  TOTAL RATE SE INCLUDING RIDERS</t>
  </si>
  <si>
    <t xml:space="preserve">TOTAL RATE SLI NCLUDING RIDERS </t>
  </si>
  <si>
    <t>TOTAL RATE SL INCLUDING RIDERS</t>
  </si>
  <si>
    <t>RIDERS NOT INCLUDED IN RATES ABOVE:</t>
  </si>
  <si>
    <t xml:space="preserve"> 14,500 LUMEN GAS REPLICA </t>
  </si>
  <si>
    <t>POLE AND LINE ATTACHMENTS</t>
  </si>
  <si>
    <t>DUKE ENERGY KENTUCKY, INC.</t>
  </si>
  <si>
    <t>$ PER MONTH</t>
  </si>
  <si>
    <t>ENERGY CHARGE</t>
  </si>
  <si>
    <t xml:space="preserve">  Single Phase</t>
  </si>
  <si>
    <t xml:space="preserve">  Three Phase</t>
  </si>
  <si>
    <t xml:space="preserve">  First 6000</t>
  </si>
  <si>
    <t xml:space="preserve">  Next 300 KWH/KW</t>
  </si>
  <si>
    <t xml:space="preserve">  Additional</t>
  </si>
  <si>
    <t>DEMAND CHARGE</t>
  </si>
  <si>
    <t>$ PER KW</t>
  </si>
  <si>
    <t xml:space="preserve">  First 15 KW</t>
  </si>
  <si>
    <t>CAP RATES</t>
  </si>
  <si>
    <t xml:space="preserve">  NON-CHURCH</t>
  </si>
  <si>
    <t xml:space="preserve">  CHURCH</t>
  </si>
  <si>
    <t xml:space="preserve">  Primary Voltage</t>
  </si>
  <si>
    <t xml:space="preserve">  Summer On-Peak</t>
  </si>
  <si>
    <t xml:space="preserve">  Winter On-Peak</t>
  </si>
  <si>
    <t xml:space="preserve">  Off-Peak</t>
  </si>
  <si>
    <t xml:space="preserve">  Summer Off-Peak</t>
  </si>
  <si>
    <t xml:space="preserve">  Winter Off-Peak</t>
  </si>
  <si>
    <t xml:space="preserve">  Primary Service Discount First 1000 KW</t>
  </si>
  <si>
    <t xml:space="preserve">  Primary Service Discount Additional KW</t>
  </si>
  <si>
    <t xml:space="preserve">  All KWH</t>
  </si>
  <si>
    <t xml:space="preserve">  All KW</t>
  </si>
  <si>
    <t xml:space="preserve">  Minimum Bill</t>
  </si>
  <si>
    <t xml:space="preserve">  Loads &lt; 540 Hours Use per Month</t>
  </si>
  <si>
    <t xml:space="preserve">  Loads Between 540 to 720 Hours Use per Month</t>
  </si>
  <si>
    <t>MINIMUM BILL</t>
  </si>
  <si>
    <t xml:space="preserve">  First 300 KWH/KW</t>
  </si>
  <si>
    <t xml:space="preserve">  Customer Charge</t>
  </si>
  <si>
    <t xml:space="preserve">  Secondary Voltage</t>
  </si>
  <si>
    <t xml:space="preserve">  Transmission Voltage</t>
  </si>
  <si>
    <t>ENERGY DELIVERY CHARGE</t>
  </si>
  <si>
    <t>ANSCILLARY SERVICES CHARGE</t>
  </si>
  <si>
    <t>COMMODITY CHARGE</t>
  </si>
  <si>
    <t xml:space="preserve">  Distribution Service</t>
  </si>
  <si>
    <t xml:space="preserve">  Primary Service</t>
  </si>
  <si>
    <t xml:space="preserve">  Transmission Service</t>
  </si>
  <si>
    <t>PROGRAM CHARGE</t>
  </si>
  <si>
    <t xml:space="preserve">  Program Charge</t>
  </si>
  <si>
    <t xml:space="preserve">PJM AND TRANSMISSION </t>
  </si>
  <si>
    <t>PJM AND TRANSMISSION</t>
  </si>
  <si>
    <t>Lighting kWh on</t>
  </si>
  <si>
    <t>Annual kWh / Light</t>
  </si>
  <si>
    <t>PAGE  xx  OF  20</t>
  </si>
  <si>
    <t>EXCLUDES ALL RIDERS AND FUEL-UNFINISHED-NOT USED</t>
  </si>
  <si>
    <t>On-peak Energy %</t>
  </si>
  <si>
    <t>On-peak Demand %</t>
  </si>
  <si>
    <t>EXCLUDES TRANSMISSION</t>
  </si>
  <si>
    <t xml:space="preserve">  CAP RATE KWH</t>
  </si>
  <si>
    <t xml:space="preserve">  Cap Rate</t>
  </si>
  <si>
    <t>RIDER NAMES:</t>
  </si>
  <si>
    <t>ENVIRONMENTAL SURCHARGE MECHANISM RIDER (ESM)</t>
  </si>
  <si>
    <t>ESM (4)</t>
  </si>
  <si>
    <t>FUEL ADJUSTMENT CLAUSE (FAC):</t>
  </si>
  <si>
    <t>ESM (3)</t>
  </si>
  <si>
    <t xml:space="preserve">  On-Peak Summer</t>
  </si>
  <si>
    <t xml:space="preserve">  On-Peak Winter</t>
  </si>
  <si>
    <t>Total</t>
  </si>
  <si>
    <t xml:space="preserve">  DS &amp; DP (INTERVAL DATA RECORDER)</t>
  </si>
  <si>
    <t xml:space="preserve">  DS (NO INTERVAL DATA RECORDER)</t>
  </si>
  <si>
    <t>TEST PERIOD REVENUES AT CURRENT RATES</t>
  </si>
  <si>
    <t>Increase in Street Lighting rate SL per COSS:</t>
  </si>
  <si>
    <t>TEST PERIOD</t>
  </si>
  <si>
    <t>HEA $ / MONTH</t>
  </si>
  <si>
    <t xml:space="preserve">RATE WS: </t>
  </si>
  <si>
    <t>Energy</t>
  </si>
  <si>
    <t xml:space="preserve">  Distribution Service (DS-Secondary)</t>
  </si>
  <si>
    <t xml:space="preserve">  Primary Service (DT-Secondary)</t>
  </si>
  <si>
    <t>not used</t>
  </si>
  <si>
    <t xml:space="preserve">  9,500 LUMEN ASPEN</t>
  </si>
  <si>
    <t>Residential</t>
  </si>
  <si>
    <t>Non Residential</t>
  </si>
  <si>
    <t>% of REV</t>
  </si>
  <si>
    <t>LED</t>
  </si>
  <si>
    <t>STREET LIGHTING -- LED</t>
  </si>
  <si>
    <t xml:space="preserve">   70W LED Open Deluxe Acorn</t>
  </si>
  <si>
    <t xml:space="preserve">   150W LED Teardrop</t>
  </si>
  <si>
    <t xml:space="preserve">   50W LED Teardrop Pedestrian</t>
  </si>
  <si>
    <t xml:space="preserve">   220W LED Shoebox</t>
  </si>
  <si>
    <t xml:space="preserve">   420W LED Shoebox</t>
  </si>
  <si>
    <t xml:space="preserve">   50W Neighborhood</t>
  </si>
  <si>
    <t xml:space="preserve">   50W Neighborhood with Lens</t>
  </si>
  <si>
    <t>Monthly kwh/light</t>
  </si>
  <si>
    <t>TOTAL LED FIXTURES</t>
  </si>
  <si>
    <t>ENERGY CHARGE (1A)</t>
  </si>
  <si>
    <t>FIXTURE</t>
  </si>
  <si>
    <t>MAINTNCE</t>
  </si>
  <si>
    <t>(E1)</t>
  </si>
  <si>
    <t>(E2)</t>
  </si>
  <si>
    <t>MOST CURRENT</t>
  </si>
  <si>
    <t>(J2)</t>
  </si>
  <si>
    <t>(J1)</t>
  </si>
  <si>
    <t>STREET LIGHTING -- LED (CONT'D)</t>
  </si>
  <si>
    <t>POLES</t>
  </si>
  <si>
    <t>FIXTURES</t>
  </si>
  <si>
    <t xml:space="preserve">   30' Class 7 Wood Pole</t>
  </si>
  <si>
    <t xml:space="preserve">   35' Class 5 Wood Pole</t>
  </si>
  <si>
    <t xml:space="preserve">   40' Class 4 Wood Pole</t>
  </si>
  <si>
    <t xml:space="preserve">   45' Class 4 Wood Pole</t>
  </si>
  <si>
    <t>TOTAL LED POLES</t>
  </si>
  <si>
    <t>TOTAL RATE LED INCLUDING RIDERS</t>
  </si>
  <si>
    <t>LED OUTDOOR LIGHT</t>
  </si>
  <si>
    <t>LED OUTDOOR LIGHTING (LED)</t>
  </si>
  <si>
    <t>BILL(1)(6)</t>
  </si>
  <si>
    <t>BILL (5)</t>
  </si>
  <si>
    <t>PSM (4)</t>
  </si>
  <si>
    <t>BILL (5)(6)</t>
  </si>
  <si>
    <t>Base</t>
  </si>
  <si>
    <t>Total Base and Fuel Revenue per Schedule M</t>
  </si>
  <si>
    <t>Interdepartmental/Special Contracts</t>
  </si>
  <si>
    <t>UOL</t>
  </si>
  <si>
    <t>TT RTP</t>
  </si>
  <si>
    <t>DT RTP-S</t>
  </si>
  <si>
    <t>DT- Sec</t>
  </si>
  <si>
    <t>DT-Pri</t>
  </si>
  <si>
    <t>FAC</t>
  </si>
  <si>
    <t>PSM</t>
  </si>
  <si>
    <t>DSM</t>
  </si>
  <si>
    <t>ESM</t>
  </si>
  <si>
    <t>HEA</t>
  </si>
  <si>
    <t>Revenue</t>
  </si>
  <si>
    <t>Fuel Cost</t>
  </si>
  <si>
    <t>DT RTP-P</t>
  </si>
  <si>
    <t>Riders</t>
  </si>
  <si>
    <t>less Riders &amp;</t>
  </si>
  <si>
    <t xml:space="preserve">   50W Open Monticello LED</t>
  </si>
  <si>
    <t xml:space="preserve">   50W Mitchell Top Hat with Ribs, Bands, and Medallions LED</t>
  </si>
  <si>
    <t xml:space="preserve">   50W Mitchell Top Hat LED</t>
  </si>
  <si>
    <t xml:space="preserve">   50W Mitchell Ribs, Bands, and Medallions LED</t>
  </si>
  <si>
    <t xml:space="preserve">   50W Monticello LED</t>
  </si>
  <si>
    <t xml:space="preserve">   260W Flood LED</t>
  </si>
  <si>
    <t xml:space="preserve">   130W Flood LED</t>
  </si>
  <si>
    <t xml:space="preserve">   150W Clermont LED</t>
  </si>
  <si>
    <t xml:space="preserve">   150W Sanibel LED</t>
  </si>
  <si>
    <t xml:space="preserve">   70W Sanibel LED</t>
  </si>
  <si>
    <t xml:space="preserve">   50W Enterprise LED</t>
  </si>
  <si>
    <t xml:space="preserve">   50W Mini Bell LED</t>
  </si>
  <si>
    <t xml:space="preserve">   50W Open Traditional LED</t>
  </si>
  <si>
    <t xml:space="preserve">   50W Traditional LED</t>
  </si>
  <si>
    <t xml:space="preserve">   50W Deluxe Acorn LED</t>
  </si>
  <si>
    <t xml:space="preserve">   50W Acorn LED</t>
  </si>
  <si>
    <t xml:space="preserve">   280W Standard LED</t>
  </si>
  <si>
    <t xml:space="preserve">   220W Standard LED</t>
  </si>
  <si>
    <t xml:space="preserve">   150W Standard LED</t>
  </si>
  <si>
    <t xml:space="preserve">   110W Standard LED</t>
  </si>
  <si>
    <t xml:space="preserve">   70W Standard LED</t>
  </si>
  <si>
    <t xml:space="preserve">   50W Standard LED</t>
  </si>
  <si>
    <t xml:space="preserve">   530W LED Shoebox</t>
  </si>
  <si>
    <t xml:space="preserve">   50W Mitchell Finial</t>
  </si>
  <si>
    <t xml:space="preserve">   Style A 12 Ft Long Anchor Base Top Tenon Aluminum</t>
  </si>
  <si>
    <t xml:space="preserve">   Style A 15 Ft Long Direct Buried Top Tenon Aluminum</t>
  </si>
  <si>
    <t xml:space="preserve">   Style A 15 Ft Long Anchor Base Top Tenon Aluminum</t>
  </si>
  <si>
    <t xml:space="preserve">   Style A 18 Ft Long Direct Buried Top Tenon Aluminum</t>
  </si>
  <si>
    <t xml:space="preserve">   Style A 17 Ft Long Anchor Base Top Tenon Aluminum</t>
  </si>
  <si>
    <t xml:space="preserve">   Style A 25 Ft Long Direct Buried Top Tenon Aluminum</t>
  </si>
  <si>
    <t xml:space="preserve">   Style A 22 Ft Long Anchor Base Top Tenon Aluminum</t>
  </si>
  <si>
    <t xml:space="preserve">   Style A 30 Ft Long Direct Buried Top Tenon Aluminum</t>
  </si>
  <si>
    <t xml:space="preserve">   Style A 27 Ft Long Anchor Base  Top Tenon Aluminum</t>
  </si>
  <si>
    <t xml:space="preserve">   Style A 35 Ft Long Direct Buried Top Tenon Aluminum</t>
  </si>
  <si>
    <t xml:space="preserve">   Style A 32 Ft Long Anchor Base  Top Tenon Aluminum</t>
  </si>
  <si>
    <t xml:space="preserve">   Style A 41 Ft Long Direct Buried Top Tenon Aluminum</t>
  </si>
  <si>
    <t xml:space="preserve">   Style B 12 Ft Long Anchor Base Post Top Aluminum</t>
  </si>
  <si>
    <t xml:space="preserve">   Style C 12 Ft Long Anchor Base Post Top Aluminum</t>
  </si>
  <si>
    <t xml:space="preserve">   Style C 12 Ft Long Anchor Base Davit Steel</t>
  </si>
  <si>
    <t xml:space="preserve">   Style C 14 Ft Long Anchor Base Top Tenon Steel</t>
  </si>
  <si>
    <t xml:space="preserve">   Style C 21 Ft Long Anchor Base Davit Steel</t>
  </si>
  <si>
    <t xml:space="preserve">   Style C 23 Ft Long Anchor Base Boston Harbor Steel</t>
  </si>
  <si>
    <t xml:space="preserve">   Style D 12 Ft Long Anchor Base Breakaway Aluminum</t>
  </si>
  <si>
    <t xml:space="preserve">   Style E 12 Ft Long Anchor Base Post Top Aluminum</t>
  </si>
  <si>
    <t xml:space="preserve">   Style F 12 Ft Long Anchor Base Post Top Aluminum</t>
  </si>
  <si>
    <t xml:space="preserve">   Legacy Style 39 Ft Direct Buried Single or Twin Side Mount Aluminum Satin Finish</t>
  </si>
  <si>
    <t xml:space="preserve">   Legacy Style 27 Ft Long Anchor Base Side Mount Aluminum Pole Satin Finish Breakaway</t>
  </si>
  <si>
    <t xml:space="preserve">   Legacy Style 33 Ft Long Anchor Base Side Mount Aluminum Pole Satin Finish Breakaway</t>
  </si>
  <si>
    <t xml:space="preserve">   Legacy Style 37 Ft Long Anchor Base Side Mount Aluminum Pole Satin Finish</t>
  </si>
  <si>
    <t xml:space="preserve">   15' Style A - Fluted - for Shroud - Aluminum Direct Buried Pole </t>
  </si>
  <si>
    <t xml:space="preserve">   20' Style A - Fluted - for Shroud - Aluminum Direct Buried Pole </t>
  </si>
  <si>
    <t xml:space="preserve">   15' Style A - Smooth - for Shroud - Aluminum Direct Buried Pole </t>
  </si>
  <si>
    <t xml:space="preserve">   20' Style A - Smooth - for Shroud - Aluminum Direct Buried Pole </t>
  </si>
  <si>
    <t xml:space="preserve">   Shroud - Standard Style for anchor base poles</t>
  </si>
  <si>
    <t xml:space="preserve">   Shroud - Style B Pole for smooth and fluted poles</t>
  </si>
  <si>
    <t xml:space="preserve">   Shroud - Style C Pole for smooth and fluted poles</t>
  </si>
  <si>
    <t xml:space="preserve">   Shroud - Style D Pole for smooth and fluted poles </t>
  </si>
  <si>
    <t>POLE FOUNDATIONS</t>
  </si>
  <si>
    <t>TOTAL LED POLE FOUNDATIONS</t>
  </si>
  <si>
    <t xml:space="preserve">   Flush - Pre-fabricated - Style A Pole</t>
  </si>
  <si>
    <t xml:space="preserve">   Flush - Pre-fabricated - Style B Pole</t>
  </si>
  <si>
    <t xml:space="preserve">   Flush - Pre-fabricated - Style C Pole</t>
  </si>
  <si>
    <t xml:space="preserve">   Flush - Pre-fabricated - Style E Pole</t>
  </si>
  <si>
    <t xml:space="preserve">   Flush - Pre-fabricated - Style F Pole</t>
  </si>
  <si>
    <t xml:space="preserve">   Flush - Pre-fabricated - Style D Pole</t>
  </si>
  <si>
    <t xml:space="preserve">   Reveal - Pre-fabricated - Style A Pole</t>
  </si>
  <si>
    <t xml:space="preserve">   Reveal - Pre-fabricated - Style B Pole</t>
  </si>
  <si>
    <t xml:space="preserve">   Reveal - Pre-fabricated - Style C Pole</t>
  </si>
  <si>
    <t xml:space="preserve">   Reveal - Pre-fabricated - Style D Pole</t>
  </si>
  <si>
    <t xml:space="preserve">   Reveal - Pre-fabricated - Style E Pole</t>
  </si>
  <si>
    <t xml:space="preserve">   Reveal - Pre-fabricated - Style F Pole</t>
  </si>
  <si>
    <t xml:space="preserve">   Screw-in Foundation</t>
  </si>
  <si>
    <t>BRACKETS</t>
  </si>
  <si>
    <t>TOTAL BRACKETS</t>
  </si>
  <si>
    <t xml:space="preserve">   14 inch bracket - wood pole - side mount</t>
  </si>
  <si>
    <t xml:space="preserve">   4 foot bracket - wood pole - side mount</t>
  </si>
  <si>
    <t xml:space="preserve">   6 foot bracket - wood pole - side mount</t>
  </si>
  <si>
    <t xml:space="preserve">   8 foot bracket - wood pole - side mount</t>
  </si>
  <si>
    <t xml:space="preserve">   10 foot bracket - wood pole - side mount</t>
  </si>
  <si>
    <t xml:space="preserve">   12 foot bracket - wood pole - side mount</t>
  </si>
  <si>
    <t xml:space="preserve">   15 foot bracket - wood pole - side mount</t>
  </si>
  <si>
    <t xml:space="preserve">   4 foot bracket - metal pole - side mount</t>
  </si>
  <si>
    <t xml:space="preserve">   6 foot bracket - metal pole - side mount</t>
  </si>
  <si>
    <t xml:space="preserve">   8 foot bracket - metal pole - side mount</t>
  </si>
  <si>
    <t xml:space="preserve">   10 foot bracket - metal pole - side mount</t>
  </si>
  <si>
    <t xml:space="preserve">   12 foot bracket - metal pole - side mount</t>
  </si>
  <si>
    <t xml:space="preserve">   15 foot bracket - metal pole - side mount</t>
  </si>
  <si>
    <t xml:space="preserve">   18 inch bracket - metal pole - double Flood Mount - top mount </t>
  </si>
  <si>
    <t xml:space="preserve">   14 inch bracket - metal pole - single mount - top tenon</t>
  </si>
  <si>
    <t xml:space="preserve">   14 inch bracket - metal pole - double mount - top tenon</t>
  </si>
  <si>
    <t xml:space="preserve">   14 inch bracket - metal pole - triple mount - top tenon</t>
  </si>
  <si>
    <t xml:space="preserve">   14 inch bracket - metal pole - quad mount - top tenon</t>
  </si>
  <si>
    <t xml:space="preserve">   6 foot - metal pole - single - top tenon</t>
  </si>
  <si>
    <t xml:space="preserve">   6 foot - metal pole - double - top tenon</t>
  </si>
  <si>
    <t xml:space="preserve">   4 foot - Boston Harbor - top tenon</t>
  </si>
  <si>
    <t xml:space="preserve">   6 foot - Boston Harbor - top tenon</t>
  </si>
  <si>
    <t xml:space="preserve">   12 foot - Boston Harbor Style C pole double mount - top tenon</t>
  </si>
  <si>
    <t xml:space="preserve">   4 foot - Davit arm - top tenon</t>
  </si>
  <si>
    <t xml:space="preserve">   18 inch - Cobrahead fixture for wood pole</t>
  </si>
  <si>
    <t xml:space="preserve">   18 inch - Flood light for wood pole</t>
  </si>
  <si>
    <t>WIRING EQUIPMENT</t>
  </si>
  <si>
    <t>TOTAL WIRING EQUIPMENT</t>
  </si>
  <si>
    <t xml:space="preserve">   Secondary Pedestal (cost per unit)</t>
  </si>
  <si>
    <t xml:space="preserve">   Handhole (cost per unit)</t>
  </si>
  <si>
    <t>FUEL ADJUSTMENT CLAUSE (FAC)</t>
  </si>
  <si>
    <t>FAC REV</t>
  </si>
  <si>
    <t>Number of Pages</t>
  </si>
  <si>
    <t>Schedule M-2.2</t>
  </si>
  <si>
    <t>Schedule M-2.3</t>
  </si>
  <si>
    <t>(L-K) / K</t>
  </si>
  <si>
    <r>
      <t>FUEL COSTS:</t>
    </r>
    <r>
      <rPr>
        <u/>
        <sz val="14"/>
        <color theme="5" tint="-0.249977111117893"/>
        <rFont val="Arial"/>
        <family val="2"/>
      </rPr>
      <t xml:space="preserve">  </t>
    </r>
  </si>
  <si>
    <t>B. L. Sailers</t>
  </si>
  <si>
    <t>TOTAL RATE LED EXCLUDING RIDERS</t>
  </si>
  <si>
    <t>Schedule M Summary  - Current Rates</t>
  </si>
  <si>
    <t xml:space="preserve">  DISTRIBUTION</t>
  </si>
  <si>
    <t xml:space="preserve">  Distribution</t>
  </si>
  <si>
    <t xml:space="preserve">   150W LED Shoebox</t>
  </si>
  <si>
    <t xml:space="preserve">   50W Sanibel LED</t>
  </si>
  <si>
    <t xml:space="preserve">   40W Acorn No Finial LED</t>
  </si>
  <si>
    <t xml:space="preserve">   50W Ocala Acorn LED</t>
  </si>
  <si>
    <t xml:space="preserve">   50W Deluxe Traditional LED</t>
  </si>
  <si>
    <t xml:space="preserve">   30W Town &amp; Country LED</t>
  </si>
  <si>
    <t xml:space="preserve">   30W Open Town &amp; Country LED</t>
  </si>
  <si>
    <t xml:space="preserve">   150W Enterprise LED</t>
  </si>
  <si>
    <t xml:space="preserve">   220W Enterprise LED</t>
  </si>
  <si>
    <t xml:space="preserve">   50W Clermont LED</t>
  </si>
  <si>
    <t xml:space="preserve">   30W Gaslight Replica LED</t>
  </si>
  <si>
    <t xml:space="preserve">   50W Cobra LED</t>
  </si>
  <si>
    <t xml:space="preserve">   70W Cobra LED</t>
  </si>
  <si>
    <t>Schedule M Summary  - Proposed Rates</t>
  </si>
  <si>
    <t xml:space="preserve">   21' Style A - Fluted - Direct Buried</t>
  </si>
  <si>
    <t xml:space="preserve">   30' Style A - Transformer Base - Anchor Base</t>
  </si>
  <si>
    <t xml:space="preserve">   35' Style A - Transformer Base - Anchor Base</t>
  </si>
  <si>
    <t xml:space="preserve">   19' Style A - Breakaway - Direct Buried</t>
  </si>
  <si>
    <t xml:space="preserve">   24' Style A - Breakaway - Direct Buried</t>
  </si>
  <si>
    <t xml:space="preserve">   27' Style A - Breakaway - Direct Buried</t>
  </si>
  <si>
    <t xml:space="preserve">   32' Style A - Breakaway - Direct Buried</t>
  </si>
  <si>
    <t xml:space="preserve">   37' Style A - Breakaway - Direct Buried</t>
  </si>
  <si>
    <t xml:space="preserve">   42' Style A - Breakaway - Direct Buried</t>
  </si>
  <si>
    <t xml:space="preserve">   17' Style B - Anchor Base</t>
  </si>
  <si>
    <t xml:space="preserve">   17' Style C - Post Top - Anchor Base</t>
  </si>
  <si>
    <t xml:space="preserve">   17' Style C - Davit - Anchor Base</t>
  </si>
  <si>
    <t xml:space="preserve">   17' Style C - Boston Harbor - Anchor Base</t>
  </si>
  <si>
    <t xml:space="preserve">   25' Style D - Boston Harbor - Anchor Base</t>
  </si>
  <si>
    <t xml:space="preserve">   50' Wood - Direct Buried</t>
  </si>
  <si>
    <t xml:space="preserve">   55' Wood - Direct Buried</t>
  </si>
  <si>
    <t xml:space="preserve">   18' Style C - Breakaway - Direct Buried</t>
  </si>
  <si>
    <t xml:space="preserve">   18" Metal - Flood - Bullhorn - Top Tenon</t>
  </si>
  <si>
    <t xml:space="preserve">   4' Transmission - Top Tenon</t>
  </si>
  <si>
    <t xml:space="preserve">   10' Transmission - Top Tenon</t>
  </si>
  <si>
    <t xml:space="preserve">   15' Transmission - Top Tenon</t>
  </si>
  <si>
    <t xml:space="preserve">   18" Transmission - Flood - Top Tenon</t>
  </si>
  <si>
    <t xml:space="preserve">   3' Shepherds Crook - Single - Top Tenon</t>
  </si>
  <si>
    <t xml:space="preserve">   3' Shepherds Crook w/ Scroll - Single - Top Tenon</t>
  </si>
  <si>
    <t xml:space="preserve">   3' Shepherds Crook - Double - Top Tenon</t>
  </si>
  <si>
    <t xml:space="preserve">   3' Shepherds Crook w/ Scroll - Double - Top Tenon</t>
  </si>
  <si>
    <t xml:space="preserve">   3' Shepherds Crook w/ Scroll &amp; Festoon - Single - Top Tenon</t>
  </si>
  <si>
    <t xml:space="preserve">   3' Shepherds Crook w/ Scroll - Wood - Top Tenon</t>
  </si>
  <si>
    <t xml:space="preserve">   17" Masterpiece - Top Tenon - Double Post Mount - Top Tenon</t>
  </si>
  <si>
    <t xml:space="preserve">   Shroud - Style B - Assembly</t>
  </si>
  <si>
    <t xml:space="preserve">   Shroud - Style C - Assembly</t>
  </si>
  <si>
    <t xml:space="preserve">   Shroud - Style D - Assembly</t>
  </si>
  <si>
    <t xml:space="preserve">   Shroud - Style Standard - Assembly 6"/18"</t>
  </si>
  <si>
    <t xml:space="preserve">   Shroud - Style Standard - Assembly 6"/15"</t>
  </si>
  <si>
    <t xml:space="preserve">   Pullbox</t>
  </si>
  <si>
    <t xml:space="preserve">   6AL DUPLEX and Trench (cost per 10 feet)</t>
  </si>
  <si>
    <t xml:space="preserve">   6AL DUPLEX and Trench with conduit (cost per 10 feet)</t>
  </si>
  <si>
    <t xml:space="preserve">   6AL DUPLEX with existing conduit (cost per 10 feet)</t>
  </si>
  <si>
    <t xml:space="preserve">   6AL DUPLEX and Bore with conduit (cost per 10 feet)</t>
  </si>
  <si>
    <t>(I1)</t>
  </si>
  <si>
    <t>(I2)</t>
  </si>
  <si>
    <t>ESM (7)</t>
  </si>
  <si>
    <t>(C+G+H+I1+J)</t>
  </si>
  <si>
    <t>(D+G+H+I2+J)</t>
  </si>
  <si>
    <t>ESM (6)</t>
  </si>
  <si>
    <t>REVENUE(4)</t>
  </si>
  <si>
    <t>(7) CUSTOMER CHARGE IS BASED ON THREE PHASE SECONDARY SERVICE.</t>
  </si>
  <si>
    <t>BILL (5,7)</t>
  </si>
  <si>
    <t>RATE SP:</t>
  </si>
  <si>
    <t>RATE EH:</t>
  </si>
  <si>
    <t>RATE DT:</t>
  </si>
  <si>
    <t>RATE DS:</t>
  </si>
  <si>
    <t xml:space="preserve">RIDER DSMR: </t>
  </si>
  <si>
    <t xml:space="preserve">RIDER PSM : </t>
  </si>
  <si>
    <t>RATE RS:</t>
  </si>
  <si>
    <t xml:space="preserve">Reserved for Future Use: </t>
  </si>
  <si>
    <t>RIDER LM:</t>
  </si>
  <si>
    <t>RATE GSFL:</t>
  </si>
  <si>
    <t>RATE DP:</t>
  </si>
  <si>
    <t>RATE TT:</t>
  </si>
  <si>
    <t>Reserved for Future Use</t>
  </si>
  <si>
    <t>RATE RTP:</t>
  </si>
  <si>
    <t>RIDER ESM :</t>
  </si>
  <si>
    <t>TOTAL POLE CHARGES</t>
  </si>
  <si>
    <t>POLE CHARGES</t>
  </si>
  <si>
    <t>WOOD 17 FOOT LAMINATED</t>
  </si>
  <si>
    <t>WOOD 30 FOOT</t>
  </si>
  <si>
    <t>WOOD 35 FOOT</t>
  </si>
  <si>
    <t>WOOD 40 FOOT</t>
  </si>
  <si>
    <t>ALUMINUM 12 FOOT DECORATIVE</t>
  </si>
  <si>
    <t>ALUMINUM 28 FOOT</t>
  </si>
  <si>
    <t>ALUMINUM 28 FOOT HEAVY DUTY</t>
  </si>
  <si>
    <t>ALUMINUM 30 FOOT ANCHOR BASE</t>
  </si>
  <si>
    <t>FIBERGLASS 17 FOOT</t>
  </si>
  <si>
    <t>FIBERGLASS 12 FOOT DECORATIVE</t>
  </si>
  <si>
    <t>FIBERGLASS 30 FOOT BRONZE</t>
  </si>
  <si>
    <t>FIBERGLASS 35 FOOT BRONZE</t>
  </si>
  <si>
    <t>STEEL 27 FOOT 11 GAUGE</t>
  </si>
  <si>
    <t>STEEL 27 FOOT 3 GAUGE</t>
  </si>
  <si>
    <t xml:space="preserve">  7,000 LUMEN GAS REPLICA</t>
  </si>
  <si>
    <t xml:space="preserve">  9,500 LUMEN RECTILINEAR</t>
  </si>
  <si>
    <t xml:space="preserve">  9,500 LUMEN GAS REPLICA</t>
  </si>
  <si>
    <t xml:space="preserve">   30W Granville Acorn LED</t>
  </si>
  <si>
    <t xml:space="preserve">   30W Style B Bollard LED</t>
  </si>
  <si>
    <t xml:space="preserve">   30W Style C Bollard LED</t>
  </si>
  <si>
    <t xml:space="preserve">   30W Style D Bollard LED</t>
  </si>
  <si>
    <t xml:space="preserve">   30W Style E Bollard LED</t>
  </si>
  <si>
    <t xml:space="preserve">   40W Colonial Bollard LED</t>
  </si>
  <si>
    <t xml:space="preserve">   40W Washington Bollard LED</t>
  </si>
  <si>
    <t xml:space="preserve">   26W Holiday Riser Receptacle LED</t>
  </si>
  <si>
    <t xml:space="preserve">   26W Holiday Bracket Top Receptacle LED</t>
  </si>
  <si>
    <t xml:space="preserve">   26W Holiday Festoon Receptacle LED</t>
  </si>
  <si>
    <t xml:space="preserve">   26W Holiday Post Top Receptacle LED</t>
  </si>
  <si>
    <t xml:space="preserve">   26W Holiday Post Top with Adapter Receptacle LED</t>
  </si>
  <si>
    <t xml:space="preserve">   26W Dual Post Top Receptacle LED</t>
  </si>
  <si>
    <t xml:space="preserve">   26W Dual Post Top with Adapter Receptacle LED</t>
  </si>
  <si>
    <t xml:space="preserve">   26W Dual Bracket Top Receptacle LED</t>
  </si>
  <si>
    <t xml:space="preserve">   50W Senoia LED</t>
  </si>
  <si>
    <t xml:space="preserve">   50W Halo LED</t>
  </si>
  <si>
    <t xml:space="preserve">   30W Standard LED</t>
  </si>
  <si>
    <t xml:space="preserve">   40W Standard LED</t>
  </si>
  <si>
    <t>SHIELDS</t>
  </si>
  <si>
    <t>TOTAL SHIELDS</t>
  </si>
  <si>
    <t xml:space="preserve">   Standard</t>
  </si>
  <si>
    <t xml:space="preserve">   Decorative</t>
  </si>
  <si>
    <t xml:space="preserve">   17' Wood Laminated</t>
  </si>
  <si>
    <t xml:space="preserve">   12' Aluminum (decorative)</t>
  </si>
  <si>
    <t xml:space="preserve">   28' Aluminum</t>
  </si>
  <si>
    <t xml:space="preserve">   28' Aluminum - Heavy Duty</t>
  </si>
  <si>
    <t xml:space="preserve">   30' Aluminum - Anchor Base</t>
  </si>
  <si>
    <t xml:space="preserve">   17' Fiberglass</t>
  </si>
  <si>
    <t xml:space="preserve">   12' Fiberglass - Decorative</t>
  </si>
  <si>
    <t xml:space="preserve">   30'  Fiberglass (Bronze)</t>
  </si>
  <si>
    <t xml:space="preserve">   35'  Fiberglass (Bronze)</t>
  </si>
  <si>
    <t xml:space="preserve">   27' Steel (11 gauge)</t>
  </si>
  <si>
    <t xml:space="preserve">   27' Steel (3 gauge)</t>
  </si>
  <si>
    <t xml:space="preserve">   30W Open Bottom LED</t>
  </si>
  <si>
    <t>FIXTURES (CONT'D)</t>
  </si>
  <si>
    <t>POLES (CONT'D)</t>
  </si>
  <si>
    <t>BRACKETS (CONT'D)</t>
  </si>
  <si>
    <t>Check Total</t>
  </si>
  <si>
    <t>Billed kW</t>
  </si>
  <si>
    <t>2022 Case</t>
  </si>
  <si>
    <t>Difference</t>
  </si>
  <si>
    <t>Approx $/kW</t>
  </si>
  <si>
    <t>From 12 ME 8/24</t>
  </si>
  <si>
    <t xml:space="preserve">   6AL DUPLEX OH wire (cost per 100 feet)</t>
  </si>
  <si>
    <t xml:space="preserve">    OVERHEAD(3)</t>
  </si>
  <si>
    <t xml:space="preserve">    UNDERGROUND(3)</t>
  </si>
  <si>
    <t>Not Other Revenues</t>
  </si>
  <si>
    <t>BASE PERIOD WITH RIDERS</t>
  </si>
  <si>
    <t>6 Months Actual Ending August 31, 2024</t>
  </si>
  <si>
    <t>FOR THE TWELVE MONTHS ENDED February 28, 2025</t>
  </si>
  <si>
    <t>DATA: __X__ BASE PERIOD   ____FORECASTED PERIOD</t>
  </si>
  <si>
    <t>ANNUALIZED BASE YEAR REVENUES AT PROPOSED VS. MOST CURRENT RATES</t>
  </si>
  <si>
    <t>Note that rates below are controlled by the Test</t>
  </si>
  <si>
    <t>Period file and not this toggle.</t>
  </si>
  <si>
    <t>The toggle does control titles</t>
  </si>
  <si>
    <t>CASE NO.   2024-00354</t>
  </si>
  <si>
    <r>
      <t xml:space="preserve">RIDERS NOT INCLUDED IN RATES ABOVE </t>
    </r>
    <r>
      <rPr>
        <b/>
        <i/>
        <sz val="11"/>
        <rFont val="Arial"/>
        <family val="2"/>
      </rPr>
      <t>($ PER KWH)</t>
    </r>
    <r>
      <rPr>
        <b/>
        <i/>
        <sz val="12"/>
        <rFont val="Arial"/>
        <family val="2"/>
      </rPr>
      <t>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</si>
</sst>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;;;"/>
    <numFmt numFmtId="165" formatCode="0.0000_)"/>
    <numFmt numFmtId="166" formatCode="0.00_)"/>
    <numFmt numFmtId="167" formatCode="0.000_)"/>
    <numFmt numFmtId="168" formatCode="#,##0.0000_);\(#,##0.0000\)"/>
    <numFmt numFmtId="169" formatCode="0.0_)"/>
    <numFmt numFmtId="170" formatCode="#,##0.0_);\(#,##0.0\)"/>
    <numFmt numFmtId="171" formatCode="0_)"/>
    <numFmt numFmtId="172" formatCode="#,##0.000000_);\(#,##0.000000\)"/>
    <numFmt numFmtId="173" formatCode="0.00_);\(0.00\)"/>
    <numFmt numFmtId="174" formatCode="0.0000_);\(0.0000\)"/>
    <numFmt numFmtId="175" formatCode="0_);\(0\)"/>
    <numFmt numFmtId="176" formatCode="#,##0.000_);\(#,##0.000\)"/>
    <numFmt numFmtId="177" formatCode="0.000000_);\(0.000000\)"/>
    <numFmt numFmtId="178" formatCode="0.000000%"/>
    <numFmt numFmtId="179" formatCode="&quot;$&quot;#,##0.000000_);\(&quot;$&quot;#,##0.000000\)"/>
    <numFmt numFmtId="180" formatCode="0.000000"/>
    <numFmt numFmtId="181" formatCode="0.0_);\(0.0\)"/>
    <numFmt numFmtId="182" formatCode="0.000000_)"/>
    <numFmt numFmtId="183" formatCode="_(* #,##0_);_(* \(#,##0\);_(* &quot;-&quot;??_);_(@_)"/>
    <numFmt numFmtId="184" formatCode="_(* #,##0.000000_);_(* \(#,##0.000000\);_(* &quot;-&quot;??_);_(@_)"/>
    <numFmt numFmtId="185" formatCode="0.0000%"/>
    <numFmt numFmtId="186" formatCode="0.0"/>
    <numFmt numFmtId="187" formatCode="&quot;$&quot;#,##0.00"/>
  </numFmts>
  <fonts count="55" x14ac:knownFonts="1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2"/>
      <color indexed="12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u val="double"/>
      <sz val="12"/>
      <name val="Arial"/>
      <family val="2"/>
    </font>
    <font>
      <sz val="8"/>
      <name val="Courier"/>
      <family val="3"/>
    </font>
    <font>
      <sz val="20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theme="8" tint="-0.499984740745262"/>
      <name val="Arial"/>
      <family val="2"/>
    </font>
    <font>
      <b/>
      <sz val="12"/>
      <color theme="5" tint="-0.249977111117893"/>
      <name val="Arial"/>
      <family val="2"/>
    </font>
    <font>
      <b/>
      <i/>
      <sz val="12"/>
      <name val="Arial"/>
      <family val="2"/>
    </font>
    <font>
      <b/>
      <i/>
      <sz val="12"/>
      <color theme="5" tint="-0.249977111117893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sz val="12"/>
      <color rgb="FFC00000"/>
      <name val="Arial"/>
      <family val="2"/>
    </font>
    <font>
      <b/>
      <sz val="12"/>
      <color theme="3" tint="-0.249977111117893"/>
      <name val="Arial"/>
      <family val="2"/>
    </font>
    <font>
      <sz val="12"/>
      <color rgb="FFC00000"/>
      <name val="Arial"/>
      <family val="2"/>
    </font>
    <font>
      <b/>
      <sz val="24"/>
      <name val="Arial"/>
      <family val="2"/>
    </font>
    <font>
      <b/>
      <u/>
      <sz val="12"/>
      <name val="Arial"/>
      <family val="2"/>
    </font>
    <font>
      <b/>
      <u/>
      <sz val="14"/>
      <color theme="5" tint="-0.249977111117893"/>
      <name val="Arial"/>
      <family val="2"/>
    </font>
    <font>
      <b/>
      <sz val="10"/>
      <name val="Arial"/>
      <family val="2"/>
    </font>
    <font>
      <sz val="12"/>
      <name val="Courier"/>
      <family val="3"/>
    </font>
    <font>
      <b/>
      <sz val="12"/>
      <color rgb="FFFF0000"/>
      <name val="Arial"/>
      <family val="2"/>
    </font>
    <font>
      <b/>
      <sz val="8"/>
      <color theme="5" tint="-0.249977111117893"/>
      <name val="Arial"/>
      <family val="2"/>
    </font>
    <font>
      <b/>
      <sz val="12"/>
      <color rgb="FF000000"/>
      <name val="Arial"/>
      <family val="2"/>
    </font>
    <font>
      <b/>
      <sz val="8"/>
      <color rgb="FF000080"/>
      <name val="Arial"/>
      <family val="2"/>
    </font>
    <font>
      <b/>
      <sz val="8"/>
      <color rgb="FF000000"/>
      <name val="Arial"/>
      <family val="2"/>
    </font>
    <font>
      <b/>
      <sz val="8"/>
      <color rgb="FF996666"/>
      <name val="Arial"/>
      <family val="2"/>
    </font>
    <font>
      <u/>
      <sz val="14"/>
      <color theme="5" tint="-0.249977111117893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ourier"/>
      <family val="3"/>
    </font>
    <font>
      <sz val="12"/>
      <name val="Courier"/>
      <family val="3"/>
    </font>
    <font>
      <b/>
      <sz val="12"/>
      <color rgb="FF000080"/>
      <name val="Courier"/>
    </font>
    <font>
      <sz val="12"/>
      <color theme="8" tint="0.59999389629810485"/>
      <name val="Arial"/>
      <family val="2"/>
    </font>
    <font>
      <b/>
      <sz val="12"/>
      <color rgb="FF0000FF"/>
      <name val="Arial"/>
      <family val="2"/>
    </font>
    <font>
      <sz val="8"/>
      <color rgb="FF000000"/>
      <name val="Segoe UI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theme="1"/>
      <name val="Cambria"/>
      <family val="1"/>
      <scheme val="major"/>
    </font>
    <font>
      <sz val="12"/>
      <name val="Cambria"/>
      <family val="1"/>
      <scheme val="major"/>
    </font>
    <font>
      <u/>
      <sz val="11"/>
      <color theme="1"/>
      <name val="Cambria"/>
      <family val="1"/>
      <scheme val="major"/>
    </font>
    <font>
      <sz val="12"/>
      <color rgb="FFFF0000"/>
      <name val="Arial"/>
      <family val="2"/>
    </font>
    <font>
      <sz val="12"/>
      <name val="helv"/>
    </font>
    <font>
      <sz val="10"/>
      <name val="Arial"/>
      <family val="2"/>
    </font>
    <font>
      <b/>
      <i/>
      <u/>
      <sz val="12"/>
      <name val="Arial"/>
      <family val="2"/>
    </font>
    <font>
      <i/>
      <sz val="11"/>
      <name val="Arial"/>
      <family val="2"/>
    </font>
    <font>
      <i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70">
    <xf numFmtId="0" fontId="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8" fillId="0" borderId="0" applyFont="0" applyFill="0" applyBorder="0" applyAlignment="0" applyProtection="0"/>
    <xf numFmtId="4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5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39" fontId="3" fillId="0" borderId="0" xfId="0" applyNumberFormat="1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Continuous"/>
    </xf>
    <xf numFmtId="39" fontId="3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centerContinuous"/>
    </xf>
    <xf numFmtId="39" fontId="4" fillId="0" borderId="0" xfId="0" applyNumberFormat="1" applyFont="1"/>
    <xf numFmtId="171" fontId="3" fillId="0" borderId="0" xfId="0" applyNumberFormat="1" applyFont="1"/>
    <xf numFmtId="0" fontId="3" fillId="2" borderId="0" xfId="0" applyFont="1" applyFill="1"/>
    <xf numFmtId="39" fontId="3" fillId="2" borderId="0" xfId="0" applyNumberFormat="1" applyFont="1" applyFill="1"/>
    <xf numFmtId="39" fontId="4" fillId="2" borderId="0" xfId="0" applyNumberFormat="1" applyFont="1" applyFill="1"/>
    <xf numFmtId="0" fontId="0" fillId="3" borderId="0" xfId="0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0" fontId="3" fillId="4" borderId="0" xfId="0" quotePrefix="1" applyFont="1" applyFill="1" applyAlignment="1">
      <alignment horizontal="left"/>
    </xf>
    <xf numFmtId="0" fontId="6" fillId="4" borderId="0" xfId="0" applyFont="1" applyFill="1" applyAlignment="1" applyProtection="1">
      <alignment horizontal="left"/>
      <protection locked="0"/>
    </xf>
    <xf numFmtId="0" fontId="3" fillId="4" borderId="0" xfId="0" applyFont="1" applyFill="1" applyAlignment="1">
      <alignment horizontal="centerContinuous"/>
    </xf>
    <xf numFmtId="0" fontId="4" fillId="4" borderId="0" xfId="0" applyFont="1" applyFill="1" applyAlignment="1" applyProtection="1">
      <alignment horizontal="left"/>
      <protection locked="0"/>
    </xf>
    <xf numFmtId="172" fontId="7" fillId="4" borderId="0" xfId="0" applyNumberFormat="1" applyFont="1" applyFill="1" applyProtection="1">
      <protection locked="0"/>
    </xf>
    <xf numFmtId="0" fontId="4" fillId="4" borderId="0" xfId="0" applyFont="1" applyFill="1" applyProtection="1">
      <protection locked="0"/>
    </xf>
    <xf numFmtId="0" fontId="5" fillId="4" borderId="0" xfId="0" applyFont="1" applyFill="1"/>
    <xf numFmtId="0" fontId="8" fillId="4" borderId="0" xfId="0" applyFont="1" applyFill="1"/>
    <xf numFmtId="0" fontId="6" fillId="5" borderId="2" xfId="0" applyFont="1" applyFill="1" applyBorder="1" applyAlignment="1" applyProtection="1">
      <alignment horizontal="left"/>
      <protection locked="0"/>
    </xf>
    <xf numFmtId="0" fontId="3" fillId="5" borderId="3" xfId="0" applyFont="1" applyFill="1" applyBorder="1" applyAlignment="1">
      <alignment horizontal="centerContinuous"/>
    </xf>
    <xf numFmtId="0" fontId="3" fillId="5" borderId="4" xfId="0" applyFont="1" applyFill="1" applyBorder="1" applyAlignment="1">
      <alignment horizontal="centerContinuous"/>
    </xf>
    <xf numFmtId="0" fontId="5" fillId="5" borderId="4" xfId="0" applyFont="1" applyFill="1" applyBorder="1"/>
    <xf numFmtId="0" fontId="3" fillId="5" borderId="4" xfId="0" applyFont="1" applyFill="1" applyBorder="1"/>
    <xf numFmtId="0" fontId="5" fillId="5" borderId="2" xfId="0" applyFont="1" applyFill="1" applyBorder="1" applyAlignment="1" applyProtection="1">
      <alignment horizontal="left"/>
      <protection locked="0"/>
    </xf>
    <xf numFmtId="0" fontId="5" fillId="5" borderId="3" xfId="0" applyFont="1" applyFill="1" applyBorder="1"/>
    <xf numFmtId="0" fontId="5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Alignment="1" applyProtection="1">
      <alignment horizontal="left"/>
      <protection locked="0"/>
    </xf>
    <xf numFmtId="0" fontId="5" fillId="4" borderId="0" xfId="0" applyFont="1" applyFill="1" applyAlignment="1">
      <alignment horizontal="left"/>
    </xf>
    <xf numFmtId="0" fontId="5" fillId="5" borderId="2" xfId="0" applyFont="1" applyFill="1" applyBorder="1" applyAlignment="1">
      <alignment horizontal="left"/>
    </xf>
    <xf numFmtId="0" fontId="5" fillId="5" borderId="9" xfId="0" applyFont="1" applyFill="1" applyBorder="1"/>
    <xf numFmtId="0" fontId="5" fillId="5" borderId="10" xfId="0" applyFont="1" applyFill="1" applyBorder="1"/>
    <xf numFmtId="0" fontId="3" fillId="5" borderId="3" xfId="0" applyFont="1" applyFill="1" applyBorder="1"/>
    <xf numFmtId="177" fontId="5" fillId="5" borderId="11" xfId="0" applyNumberFormat="1" applyFont="1" applyFill="1" applyBorder="1" applyProtection="1">
      <protection locked="0"/>
    </xf>
    <xf numFmtId="177" fontId="5" fillId="4" borderId="0" xfId="0" applyNumberFormat="1" applyFont="1" applyFill="1" applyAlignment="1" applyProtection="1">
      <alignment horizontal="left"/>
      <protection locked="0"/>
    </xf>
    <xf numFmtId="172" fontId="5" fillId="5" borderId="11" xfId="0" applyNumberFormat="1" applyFont="1" applyFill="1" applyBorder="1" applyAlignment="1">
      <alignment horizontal="right"/>
    </xf>
    <xf numFmtId="177" fontId="13" fillId="6" borderId="11" xfId="0" applyNumberFormat="1" applyFont="1" applyFill="1" applyBorder="1" applyProtection="1">
      <protection locked="0"/>
    </xf>
    <xf numFmtId="39" fontId="15" fillId="0" borderId="0" xfId="0" applyNumberFormat="1" applyFont="1"/>
    <xf numFmtId="0" fontId="18" fillId="0" borderId="0" xfId="0" applyFont="1"/>
    <xf numFmtId="0" fontId="23" fillId="6" borderId="3" xfId="0" applyFont="1" applyFill="1" applyBorder="1"/>
    <xf numFmtId="0" fontId="23" fillId="6" borderId="4" xfId="0" applyFont="1" applyFill="1" applyBorder="1"/>
    <xf numFmtId="0" fontId="25" fillId="4" borderId="0" xfId="0" applyFont="1" applyFill="1" applyAlignment="1">
      <alignment horizontal="center"/>
    </xf>
    <xf numFmtId="0" fontId="21" fillId="6" borderId="3" xfId="0" applyFont="1" applyFill="1" applyBorder="1"/>
    <xf numFmtId="0" fontId="6" fillId="5" borderId="3" xfId="0" applyFont="1" applyFill="1" applyBorder="1" applyAlignment="1" applyProtection="1">
      <alignment horizontal="left"/>
      <protection locked="0"/>
    </xf>
    <xf numFmtId="0" fontId="5" fillId="4" borderId="0" xfId="0" applyFont="1" applyFill="1" applyProtection="1">
      <protection locked="0"/>
    </xf>
    <xf numFmtId="0" fontId="25" fillId="4" borderId="0" xfId="0" applyFont="1" applyFill="1"/>
    <xf numFmtId="0" fontId="26" fillId="4" borderId="0" xfId="0" applyFont="1" applyFill="1"/>
    <xf numFmtId="0" fontId="27" fillId="4" borderId="0" xfId="0" applyFont="1" applyFill="1"/>
    <xf numFmtId="0" fontId="5" fillId="6" borderId="2" xfId="0" applyFont="1" applyFill="1" applyBorder="1" applyAlignment="1">
      <alignment horizontal="left"/>
    </xf>
    <xf numFmtId="0" fontId="16" fillId="4" borderId="0" xfId="0" applyFont="1" applyFill="1" applyProtection="1">
      <protection locked="0"/>
    </xf>
    <xf numFmtId="0" fontId="16" fillId="4" borderId="0" xfId="0" applyFont="1" applyFill="1"/>
    <xf numFmtId="0" fontId="29" fillId="4" borderId="0" xfId="0" applyFont="1" applyFill="1"/>
    <xf numFmtId="0" fontId="30" fillId="4" borderId="0" xfId="0" applyFont="1" applyFill="1" applyProtection="1">
      <protection locked="0"/>
    </xf>
    <xf numFmtId="0" fontId="30" fillId="4" borderId="0" xfId="0" applyFont="1" applyFill="1"/>
    <xf numFmtId="0" fontId="3" fillId="4" borderId="0" xfId="0" applyFont="1" applyFill="1" applyAlignment="1" applyProtection="1">
      <alignment horizontal="left"/>
      <protection locked="0"/>
    </xf>
    <xf numFmtId="173" fontId="5" fillId="5" borderId="11" xfId="0" applyNumberFormat="1" applyFont="1" applyFill="1" applyBorder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172" fontId="3" fillId="4" borderId="0" xfId="0" applyNumberFormat="1" applyFont="1" applyFill="1"/>
    <xf numFmtId="0" fontId="26" fillId="4" borderId="0" xfId="0" quotePrefix="1" applyFont="1" applyFill="1" applyAlignment="1" applyProtection="1">
      <alignment horizontal="left"/>
      <protection locked="0"/>
    </xf>
    <xf numFmtId="0" fontId="5" fillId="5" borderId="2" xfId="0" quotePrefix="1" applyFont="1" applyFill="1" applyBorder="1" applyAlignment="1">
      <alignment horizontal="left"/>
    </xf>
    <xf numFmtId="0" fontId="6" fillId="5" borderId="2" xfId="0" quotePrefix="1" applyFont="1" applyFill="1" applyBorder="1" applyAlignment="1" applyProtection="1">
      <alignment horizontal="left"/>
      <protection locked="0"/>
    </xf>
    <xf numFmtId="0" fontId="3" fillId="4" borderId="12" xfId="0" applyFont="1" applyFill="1" applyBorder="1"/>
    <xf numFmtId="0" fontId="3" fillId="4" borderId="14" xfId="0" applyFont="1" applyFill="1" applyBorder="1"/>
    <xf numFmtId="0" fontId="41" fillId="4" borderId="0" xfId="0" applyFont="1" applyFill="1"/>
    <xf numFmtId="177" fontId="42" fillId="5" borderId="11" xfId="0" applyNumberFormat="1" applyFont="1" applyFill="1" applyBorder="1" applyProtection="1">
      <protection locked="0"/>
    </xf>
    <xf numFmtId="172" fontId="42" fillId="5" borderId="11" xfId="0" applyNumberFormat="1" applyFont="1" applyFill="1" applyBorder="1" applyAlignment="1">
      <alignment horizontal="right"/>
    </xf>
    <xf numFmtId="173" fontId="42" fillId="5" borderId="11" xfId="0" applyNumberFormat="1" applyFont="1" applyFill="1" applyBorder="1" applyProtection="1">
      <protection locked="0"/>
    </xf>
    <xf numFmtId="10" fontId="42" fillId="5" borderId="11" xfId="58" applyNumberFormat="1" applyFont="1" applyFill="1" applyBorder="1" applyAlignment="1" applyProtection="1">
      <alignment horizontal="right"/>
    </xf>
    <xf numFmtId="0" fontId="5" fillId="4" borderId="0" xfId="0" quotePrefix="1" applyFont="1" applyFill="1" applyAlignment="1" applyProtection="1">
      <alignment horizontal="left"/>
      <protection locked="0"/>
    </xf>
    <xf numFmtId="0" fontId="21" fillId="6" borderId="2" xfId="0" quotePrefix="1" applyFont="1" applyFill="1" applyBorder="1" applyAlignment="1">
      <alignment horizontal="left"/>
    </xf>
    <xf numFmtId="0" fontId="46" fillId="0" borderId="0" xfId="59" applyFont="1"/>
    <xf numFmtId="183" fontId="47" fillId="0" borderId="0" xfId="61" applyNumberFormat="1" applyFont="1"/>
    <xf numFmtId="183" fontId="47" fillId="0" borderId="1" xfId="61" applyNumberFormat="1" applyFont="1" applyBorder="1"/>
    <xf numFmtId="0" fontId="46" fillId="0" borderId="0" xfId="59" applyFont="1" applyAlignment="1">
      <alignment horizontal="center" wrapText="1"/>
    </xf>
    <xf numFmtId="0" fontId="46" fillId="0" borderId="0" xfId="59" quotePrefix="1" applyFont="1" applyAlignment="1">
      <alignment horizontal="center" vertical="center"/>
    </xf>
    <xf numFmtId="0" fontId="46" fillId="0" borderId="1" xfId="59" quotePrefix="1" applyFont="1" applyBorder="1" applyAlignment="1">
      <alignment horizontal="centerContinuous" vertical="center"/>
    </xf>
    <xf numFmtId="0" fontId="46" fillId="0" borderId="1" xfId="59" applyFont="1" applyBorder="1" applyAlignment="1">
      <alignment horizontal="centerContinuous"/>
    </xf>
    <xf numFmtId="0" fontId="46" fillId="0" borderId="0" xfId="59" quotePrefix="1" applyFont="1" applyAlignment="1">
      <alignment horizontal="center" wrapText="1"/>
    </xf>
    <xf numFmtId="0" fontId="46" fillId="0" borderId="0" xfId="59" applyFont="1" applyAlignment="1">
      <alignment horizontal="center"/>
    </xf>
    <xf numFmtId="0" fontId="48" fillId="0" borderId="0" xfId="59" quotePrefix="1" applyFont="1" applyAlignment="1">
      <alignment horizontal="center"/>
    </xf>
    <xf numFmtId="0" fontId="48" fillId="0" borderId="0" xfId="59" applyFont="1" applyAlignment="1">
      <alignment horizontal="center"/>
    </xf>
    <xf numFmtId="0" fontId="5" fillId="6" borderId="2" xfId="0" quotePrefix="1" applyFont="1" applyFill="1" applyBorder="1" applyAlignment="1">
      <alignment horizontal="left"/>
    </xf>
    <xf numFmtId="175" fontId="5" fillId="5" borderId="11" xfId="0" applyNumberFormat="1" applyFont="1" applyFill="1" applyBorder="1" applyProtection="1">
      <protection locked="0"/>
    </xf>
    <xf numFmtId="0" fontId="49" fillId="4" borderId="0" xfId="0" applyFont="1" applyFill="1"/>
    <xf numFmtId="10" fontId="5" fillId="0" borderId="0" xfId="58" applyNumberFormat="1" applyFont="1" applyFill="1" applyBorder="1" applyAlignment="1" applyProtection="1">
      <alignment horizontal="center"/>
    </xf>
    <xf numFmtId="183" fontId="46" fillId="0" borderId="0" xfId="59" applyNumberFormat="1" applyFont="1"/>
    <xf numFmtId="183" fontId="46" fillId="0" borderId="0" xfId="56" applyNumberFormat="1" applyFont="1"/>
    <xf numFmtId="44" fontId="47" fillId="0" borderId="0" xfId="57" applyFont="1"/>
    <xf numFmtId="0" fontId="21" fillId="6" borderId="2" xfId="0" applyFont="1" applyFill="1" applyBorder="1"/>
    <xf numFmtId="0" fontId="49" fillId="4" borderId="0" xfId="0" applyFont="1" applyFill="1" applyAlignment="1">
      <alignment horizontal="left"/>
    </xf>
    <xf numFmtId="0" fontId="49" fillId="4" borderId="0" xfId="0" quotePrefix="1" applyFont="1" applyFill="1" applyAlignment="1">
      <alignment horizontal="left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fill"/>
    </xf>
    <xf numFmtId="0" fontId="5" fillId="0" borderId="0" xfId="0" applyFont="1" applyAlignment="1">
      <alignment horizontal="fill"/>
    </xf>
    <xf numFmtId="0" fontId="5" fillId="0" borderId="0" xfId="0" applyFont="1" applyAlignment="1">
      <alignment horizontal="center"/>
    </xf>
    <xf numFmtId="0" fontId="5" fillId="0" borderId="0" xfId="0" quotePrefix="1" applyFont="1" applyAlignment="1">
      <alignment horizontal="center"/>
    </xf>
    <xf numFmtId="0" fontId="5" fillId="0" borderId="1" xfId="0" applyFont="1" applyBorder="1"/>
    <xf numFmtId="0" fontId="20" fillId="0" borderId="0" xfId="0" applyFont="1" applyAlignment="1">
      <alignment horizontal="center"/>
    </xf>
    <xf numFmtId="37" fontId="3" fillId="0" borderId="0" xfId="0" applyNumberFormat="1" applyFont="1"/>
    <xf numFmtId="10" fontId="3" fillId="0" borderId="0" xfId="0" applyNumberFormat="1" applyFont="1" applyAlignment="1">
      <alignment horizontal="center"/>
    </xf>
    <xf numFmtId="183" fontId="5" fillId="0" borderId="0" xfId="56" applyNumberFormat="1" applyFont="1" applyFill="1" applyAlignment="1">
      <alignment horizontal="center"/>
    </xf>
    <xf numFmtId="3" fontId="5" fillId="0" borderId="0" xfId="0" applyNumberFormat="1" applyFont="1"/>
    <xf numFmtId="37" fontId="5" fillId="0" borderId="0" xfId="0" applyNumberFormat="1" applyFont="1"/>
    <xf numFmtId="10" fontId="3" fillId="0" borderId="1" xfId="0" applyNumberFormat="1" applyFont="1" applyBorder="1" applyAlignment="1">
      <alignment horizontal="center"/>
    </xf>
    <xf numFmtId="37" fontId="3" fillId="0" borderId="7" xfId="0" applyNumberFormat="1" applyFont="1" applyBorder="1"/>
    <xf numFmtId="10" fontId="3" fillId="0" borderId="7" xfId="0" applyNumberFormat="1" applyFont="1" applyBorder="1" applyAlignment="1">
      <alignment horizontal="center"/>
    </xf>
    <xf numFmtId="166" fontId="3" fillId="0" borderId="0" xfId="0" applyNumberFormat="1" applyFont="1" applyAlignment="1">
      <alignment horizontal="center"/>
    </xf>
    <xf numFmtId="3" fontId="3" fillId="0" borderId="0" xfId="0" applyNumberFormat="1" applyFont="1"/>
    <xf numFmtId="0" fontId="5" fillId="0" borderId="0" xfId="0" quotePrefix="1" applyFont="1" applyAlignment="1">
      <alignment horizontal="left"/>
    </xf>
    <xf numFmtId="37" fontId="3" fillId="0" borderId="1" xfId="0" applyNumberFormat="1" applyFont="1" applyBorder="1"/>
    <xf numFmtId="9" fontId="3" fillId="0" borderId="0" xfId="58" applyFont="1" applyFill="1" applyBorder="1" applyAlignment="1" applyProtection="1">
      <alignment horizontal="center"/>
    </xf>
    <xf numFmtId="10" fontId="9" fillId="0" borderId="0" xfId="0" applyNumberFormat="1" applyFont="1" applyAlignment="1">
      <alignment horizontal="center"/>
    </xf>
    <xf numFmtId="37" fontId="3" fillId="0" borderId="6" xfId="0" applyNumberFormat="1" applyFont="1" applyBorder="1"/>
    <xf numFmtId="10" fontId="10" fillId="0" borderId="0" xfId="0" applyNumberFormat="1" applyFont="1" applyAlignment="1">
      <alignment horizontal="center"/>
    </xf>
    <xf numFmtId="183" fontId="5" fillId="0" borderId="0" xfId="56" applyNumberFormat="1" applyFont="1" applyFill="1"/>
    <xf numFmtId="22" fontId="5" fillId="0" borderId="0" xfId="0" applyNumberFormat="1" applyFont="1"/>
    <xf numFmtId="0" fontId="17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17" fillId="0" borderId="0" xfId="0" applyFont="1" applyAlignment="1">
      <alignment horizontal="centerContinuous"/>
    </xf>
    <xf numFmtId="0" fontId="17" fillId="0" borderId="1" xfId="0" quotePrefix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20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 indent="1"/>
    </xf>
    <xf numFmtId="0" fontId="17" fillId="0" borderId="0" xfId="0" quotePrefix="1" applyFont="1" applyAlignment="1">
      <alignment horizontal="left" indent="1"/>
    </xf>
    <xf numFmtId="0" fontId="17" fillId="0" borderId="0" xfId="0" applyFont="1"/>
    <xf numFmtId="168" fontId="3" fillId="0" borderId="0" xfId="0" applyNumberFormat="1" applyFont="1" applyAlignment="1">
      <alignment horizontal="right"/>
    </xf>
    <xf numFmtId="166" fontId="3" fillId="0" borderId="0" xfId="0" applyNumberFormat="1" applyFont="1"/>
    <xf numFmtId="39" fontId="3" fillId="0" borderId="0" xfId="0" applyNumberFormat="1" applyFont="1" applyAlignment="1">
      <alignment horizontal="right"/>
    </xf>
    <xf numFmtId="170" fontId="3" fillId="0" borderId="0" xfId="0" applyNumberFormat="1" applyFont="1"/>
    <xf numFmtId="183" fontId="5" fillId="0" borderId="0" xfId="0" applyNumberFormat="1" applyFont="1"/>
    <xf numFmtId="184" fontId="5" fillId="0" borderId="0" xfId="0" applyNumberFormat="1" applyFont="1"/>
    <xf numFmtId="169" fontId="5" fillId="0" borderId="0" xfId="0" applyNumberFormat="1" applyFont="1"/>
    <xf numFmtId="168" fontId="3" fillId="0" borderId="1" xfId="0" applyNumberFormat="1" applyFont="1" applyBorder="1" applyAlignment="1">
      <alignment horizontal="right"/>
    </xf>
    <xf numFmtId="37" fontId="3" fillId="0" borderId="8" xfId="0" applyNumberFormat="1" applyFont="1" applyBorder="1"/>
    <xf numFmtId="168" fontId="3" fillId="0" borderId="6" xfId="0" applyNumberFormat="1" applyFont="1" applyBorder="1" applyAlignment="1">
      <alignment horizontal="right"/>
    </xf>
    <xf numFmtId="39" fontId="3" fillId="0" borderId="8" xfId="0" applyNumberFormat="1" applyFont="1" applyBorder="1" applyAlignment="1">
      <alignment horizontal="right"/>
    </xf>
    <xf numFmtId="0" fontId="17" fillId="0" borderId="0" xfId="0" quotePrefix="1" applyFont="1" applyAlignment="1">
      <alignment horizontal="center"/>
    </xf>
    <xf numFmtId="37" fontId="3" fillId="0" borderId="0" xfId="0" applyNumberFormat="1" applyFont="1" applyProtection="1">
      <protection locked="0"/>
    </xf>
    <xf numFmtId="181" fontId="5" fillId="0" borderId="0" xfId="0" applyNumberFormat="1" applyFont="1"/>
    <xf numFmtId="181" fontId="5" fillId="0" borderId="0" xfId="0" applyNumberFormat="1" applyFont="1" applyAlignment="1">
      <alignment horizontal="centerContinuous"/>
    </xf>
    <xf numFmtId="181" fontId="5" fillId="0" borderId="1" xfId="0" applyNumberFormat="1" applyFont="1" applyBorder="1" applyAlignment="1">
      <alignment horizontal="fill"/>
    </xf>
    <xf numFmtId="181" fontId="5" fillId="0" borderId="0" xfId="0" applyNumberFormat="1" applyFont="1" applyAlignment="1">
      <alignment horizontal="center"/>
    </xf>
    <xf numFmtId="181" fontId="5" fillId="0" borderId="0" xfId="0" quotePrefix="1" applyNumberFormat="1" applyFont="1" applyAlignment="1">
      <alignment horizontal="center"/>
    </xf>
    <xf numFmtId="174" fontId="3" fillId="0" borderId="0" xfId="0" applyNumberFormat="1" applyFont="1" applyAlignment="1">
      <alignment horizontal="center"/>
    </xf>
    <xf numFmtId="181" fontId="3" fillId="0" borderId="0" xfId="0" applyNumberFormat="1" applyFont="1"/>
    <xf numFmtId="39" fontId="3" fillId="0" borderId="1" xfId="0" applyNumberFormat="1" applyFont="1" applyBorder="1"/>
    <xf numFmtId="181" fontId="3" fillId="0" borderId="1" xfId="0" applyNumberFormat="1" applyFont="1" applyBorder="1"/>
    <xf numFmtId="39" fontId="3" fillId="0" borderId="7" xfId="0" applyNumberFormat="1" applyFont="1" applyBorder="1"/>
    <xf numFmtId="181" fontId="3" fillId="0" borderId="7" xfId="0" applyNumberFormat="1" applyFont="1" applyBorder="1"/>
    <xf numFmtId="181" fontId="3" fillId="0" borderId="0" xfId="0" applyNumberFormat="1" applyFont="1" applyAlignment="1">
      <alignment horizontal="right"/>
    </xf>
    <xf numFmtId="37" fontId="5" fillId="0" borderId="0" xfId="0" applyNumberFormat="1" applyFont="1" applyAlignment="1">
      <alignment horizontal="center"/>
    </xf>
    <xf numFmtId="39" fontId="3" fillId="0" borderId="6" xfId="0" applyNumberFormat="1" applyFont="1" applyBorder="1"/>
    <xf numFmtId="181" fontId="3" fillId="0" borderId="6" xfId="0" applyNumberFormat="1" applyFont="1" applyBorder="1"/>
    <xf numFmtId="39" fontId="5" fillId="0" borderId="0" xfId="0" applyNumberFormat="1" applyFont="1"/>
    <xf numFmtId="0" fontId="12" fillId="0" borderId="0" xfId="0" applyFont="1" applyAlignment="1">
      <alignment horizontal="center"/>
    </xf>
    <xf numFmtId="181" fontId="17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quotePrefix="1" applyFont="1" applyAlignment="1">
      <alignment horizontal="center"/>
    </xf>
    <xf numFmtId="181" fontId="19" fillId="0" borderId="0" xfId="0" applyNumberFormat="1" applyFont="1" applyAlignment="1">
      <alignment horizontal="center"/>
    </xf>
    <xf numFmtId="0" fontId="17" fillId="0" borderId="0" xfId="0" quotePrefix="1" applyFont="1" applyAlignment="1">
      <alignment horizontal="left"/>
    </xf>
    <xf numFmtId="174" fontId="3" fillId="0" borderId="0" xfId="0" applyNumberFormat="1" applyFont="1" applyAlignment="1" applyProtection="1">
      <alignment horizontal="center"/>
      <protection locked="0"/>
    </xf>
    <xf numFmtId="166" fontId="3" fillId="0" borderId="0" xfId="0" applyNumberFormat="1" applyFont="1" applyProtection="1">
      <protection locked="0"/>
    </xf>
    <xf numFmtId="37" fontId="5" fillId="0" borderId="0" xfId="0" applyNumberFormat="1" applyFont="1" applyProtection="1">
      <protection locked="0"/>
    </xf>
    <xf numFmtId="5" fontId="5" fillId="0" borderId="0" xfId="0" applyNumberFormat="1" applyFont="1"/>
    <xf numFmtId="0" fontId="5" fillId="0" borderId="5" xfId="0" applyFont="1" applyBorder="1"/>
    <xf numFmtId="169" fontId="3" fillId="0" borderId="0" xfId="0" applyNumberFormat="1" applyFont="1"/>
    <xf numFmtId="0" fontId="5" fillId="0" borderId="0" xfId="0" applyFont="1" applyAlignment="1">
      <alignment horizontal="left" indent="1"/>
    </xf>
    <xf numFmtId="37" fontId="3" fillId="0" borderId="1" xfId="0" applyNumberFormat="1" applyFont="1" applyBorder="1" applyProtection="1">
      <protection locked="0"/>
    </xf>
    <xf numFmtId="0" fontId="19" fillId="0" borderId="0" xfId="0" applyFont="1" applyAlignment="1">
      <alignment horizontal="left"/>
    </xf>
    <xf numFmtId="0" fontId="5" fillId="0" borderId="0" xfId="10" applyFont="1"/>
    <xf numFmtId="7" fontId="3" fillId="0" borderId="0" xfId="0" applyNumberFormat="1" applyFont="1" applyProtection="1">
      <protection locked="0"/>
    </xf>
    <xf numFmtId="7" fontId="5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37" fontId="5" fillId="0" borderId="1" xfId="0" applyNumberFormat="1" applyFont="1" applyBorder="1" applyProtection="1">
      <protection locked="0"/>
    </xf>
    <xf numFmtId="172" fontId="5" fillId="0" borderId="0" xfId="0" applyNumberFormat="1" applyFont="1" applyProtection="1">
      <protection locked="0"/>
    </xf>
    <xf numFmtId="165" fontId="3" fillId="0" borderId="0" xfId="0" applyNumberFormat="1" applyFont="1" applyProtection="1">
      <protection locked="0"/>
    </xf>
    <xf numFmtId="179" fontId="5" fillId="0" borderId="0" xfId="0" applyNumberFormat="1" applyFont="1" applyProtection="1">
      <protection locked="0"/>
    </xf>
    <xf numFmtId="10" fontId="5" fillId="0" borderId="0" xfId="58" applyNumberFormat="1" applyFont="1" applyFill="1" applyProtection="1">
      <protection locked="0"/>
    </xf>
    <xf numFmtId="168" fontId="3" fillId="0" borderId="0" xfId="0" applyNumberFormat="1" applyFont="1" applyProtection="1">
      <protection locked="0"/>
    </xf>
    <xf numFmtId="177" fontId="5" fillId="0" borderId="0" xfId="0" applyNumberFormat="1" applyFont="1" applyProtection="1">
      <protection locked="0"/>
    </xf>
    <xf numFmtId="181" fontId="5" fillId="0" borderId="0" xfId="0" applyNumberFormat="1" applyFont="1" applyAlignment="1">
      <alignment horizontal="left"/>
    </xf>
    <xf numFmtId="181" fontId="5" fillId="0" borderId="0" xfId="0" applyNumberFormat="1" applyFont="1" applyAlignment="1">
      <alignment horizontal="fill"/>
    </xf>
    <xf numFmtId="37" fontId="5" fillId="0" borderId="0" xfId="0" applyNumberFormat="1" applyFont="1" applyAlignment="1">
      <alignment horizontal="right"/>
    </xf>
    <xf numFmtId="169" fontId="3" fillId="0" borderId="7" xfId="0" applyNumberFormat="1" applyFont="1" applyBorder="1"/>
    <xf numFmtId="181" fontId="5" fillId="0" borderId="0" xfId="0" applyNumberFormat="1" applyFont="1" applyAlignment="1">
      <alignment horizontal="right"/>
    </xf>
    <xf numFmtId="183" fontId="5" fillId="0" borderId="0" xfId="56" applyNumberFormat="1" applyFont="1" applyFill="1" applyBorder="1"/>
    <xf numFmtId="177" fontId="3" fillId="0" borderId="0" xfId="0" applyNumberFormat="1" applyFont="1"/>
    <xf numFmtId="169" fontId="3" fillId="0" borderId="6" xfId="0" applyNumberFormat="1" applyFont="1" applyBorder="1"/>
    <xf numFmtId="166" fontId="5" fillId="0" borderId="0" xfId="0" applyNumberFormat="1" applyFont="1"/>
    <xf numFmtId="37" fontId="5" fillId="0" borderId="0" xfId="1" applyNumberFormat="1" applyFont="1"/>
    <xf numFmtId="181" fontId="3" fillId="0" borderId="1" xfId="0" applyNumberFormat="1" applyFont="1" applyBorder="1" applyAlignment="1">
      <alignment horizontal="right"/>
    </xf>
    <xf numFmtId="181" fontId="3" fillId="0" borderId="7" xfId="0" applyNumberFormat="1" applyFont="1" applyBorder="1" applyAlignment="1">
      <alignment horizontal="right"/>
    </xf>
    <xf numFmtId="181" fontId="3" fillId="0" borderId="0" xfId="0" applyNumberFormat="1" applyFont="1" applyProtection="1">
      <protection locked="0"/>
    </xf>
    <xf numFmtId="0" fontId="5" fillId="0" borderId="12" xfId="0" applyFont="1" applyBorder="1"/>
    <xf numFmtId="0" fontId="5" fillId="0" borderId="13" xfId="0" applyFont="1" applyBorder="1"/>
    <xf numFmtId="0" fontId="5" fillId="0" borderId="14" xfId="0" applyFont="1" applyBorder="1"/>
    <xf numFmtId="181" fontId="3" fillId="0" borderId="6" xfId="0" applyNumberFormat="1" applyFont="1" applyBorder="1" applyAlignment="1">
      <alignment horizontal="right"/>
    </xf>
    <xf numFmtId="170" fontId="5" fillId="0" borderId="0" xfId="0" applyNumberFormat="1" applyFont="1"/>
    <xf numFmtId="7" fontId="5" fillId="0" borderId="0" xfId="0" applyNumberFormat="1" applyFont="1" applyAlignment="1">
      <alignment horizontal="center"/>
    </xf>
    <xf numFmtId="7" fontId="5" fillId="0" borderId="0" xfId="0" applyNumberFormat="1" applyFont="1"/>
    <xf numFmtId="37" fontId="5" fillId="0" borderId="0" xfId="0" applyNumberFormat="1" applyFont="1" applyAlignment="1">
      <alignment horizontal="fill"/>
    </xf>
    <xf numFmtId="16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fill"/>
    </xf>
    <xf numFmtId="39" fontId="5" fillId="0" borderId="0" xfId="0" applyNumberFormat="1" applyFont="1" applyAlignment="1">
      <alignment horizontal="center"/>
    </xf>
    <xf numFmtId="171" fontId="5" fillId="0" borderId="0" xfId="0" applyNumberFormat="1" applyFont="1"/>
    <xf numFmtId="0" fontId="53" fillId="0" borderId="0" xfId="0" applyFont="1"/>
    <xf numFmtId="168" fontId="5" fillId="0" borderId="0" xfId="0" applyNumberFormat="1" applyFont="1" applyProtection="1">
      <protection locked="0"/>
    </xf>
    <xf numFmtId="166" fontId="5" fillId="0" borderId="0" xfId="0" applyNumberFormat="1" applyFont="1" applyProtection="1">
      <protection locked="0"/>
    </xf>
    <xf numFmtId="177" fontId="5" fillId="0" borderId="0" xfId="0" applyNumberFormat="1" applyFont="1"/>
    <xf numFmtId="181" fontId="53" fillId="0" borderId="0" xfId="0" applyNumberFormat="1" applyFont="1"/>
    <xf numFmtId="0" fontId="5" fillId="0" borderId="0" xfId="0" applyFont="1" applyProtection="1">
      <protection locked="0"/>
    </xf>
    <xf numFmtId="170" fontId="3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0" fontId="5" fillId="0" borderId="0" xfId="58" applyNumberFormat="1" applyFont="1" applyFill="1" applyProtection="1"/>
    <xf numFmtId="181" fontId="5" fillId="0" borderId="0" xfId="0" applyNumberFormat="1" applyFont="1" applyProtection="1">
      <protection locked="0"/>
    </xf>
    <xf numFmtId="170" fontId="5" fillId="0" borderId="0" xfId="0" applyNumberFormat="1" applyFont="1" applyProtection="1">
      <protection locked="0"/>
    </xf>
    <xf numFmtId="169" fontId="5" fillId="0" borderId="0" xfId="0" applyNumberFormat="1" applyFont="1" applyProtection="1">
      <protection locked="0"/>
    </xf>
    <xf numFmtId="167" fontId="5" fillId="0" borderId="0" xfId="0" applyNumberFormat="1" applyFont="1" applyProtection="1">
      <protection locked="0"/>
    </xf>
    <xf numFmtId="39" fontId="5" fillId="0" borderId="0" xfId="0" applyNumberFormat="1" applyFont="1" applyProtection="1">
      <protection locked="0"/>
    </xf>
    <xf numFmtId="164" fontId="5" fillId="0" borderId="0" xfId="0" applyNumberFormat="1" applyFont="1" applyProtection="1">
      <protection locked="0"/>
    </xf>
    <xf numFmtId="37" fontId="5" fillId="0" borderId="0" xfId="0" applyNumberFormat="1" applyFont="1" applyAlignment="1" applyProtection="1">
      <alignment horizontal="fill"/>
      <protection locked="0"/>
    </xf>
    <xf numFmtId="0" fontId="5" fillId="0" borderId="0" xfId="0" applyFont="1" applyAlignment="1" applyProtection="1">
      <alignment horizontal="left"/>
      <protection locked="0"/>
    </xf>
    <xf numFmtId="39" fontId="5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2" fontId="5" fillId="0" borderId="0" xfId="0" applyNumberFormat="1" applyFont="1"/>
    <xf numFmtId="2" fontId="5" fillId="0" borderId="0" xfId="0" applyNumberFormat="1" applyFont="1" applyAlignment="1">
      <alignment horizontal="right"/>
    </xf>
    <xf numFmtId="169" fontId="3" fillId="0" borderId="1" xfId="0" applyNumberFormat="1" applyFont="1" applyBorder="1"/>
    <xf numFmtId="0" fontId="3" fillId="0" borderId="0" xfId="0" applyFont="1" applyAlignment="1">
      <alignment horizontal="fill"/>
    </xf>
    <xf numFmtId="37" fontId="3" fillId="0" borderId="0" xfId="0" applyNumberFormat="1" applyFont="1" applyAlignment="1">
      <alignment horizontal="right"/>
    </xf>
    <xf numFmtId="177" fontId="3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164" fontId="3" fillId="0" borderId="0" xfId="0" applyNumberFormat="1" applyFont="1" applyProtection="1">
      <protection locked="0"/>
    </xf>
    <xf numFmtId="39" fontId="3" fillId="0" borderId="0" xfId="0" applyNumberFormat="1" applyFont="1" applyProtection="1">
      <protection locked="0"/>
    </xf>
    <xf numFmtId="37" fontId="5" fillId="0" borderId="1" xfId="0" applyNumberFormat="1" applyFont="1" applyBorder="1"/>
    <xf numFmtId="172" fontId="3" fillId="0" borderId="0" xfId="0" applyNumberFormat="1" applyFont="1" applyProtection="1">
      <protection locked="0"/>
    </xf>
    <xf numFmtId="7" fontId="3" fillId="0" borderId="0" xfId="0" applyNumberFormat="1" applyFont="1"/>
    <xf numFmtId="37" fontId="3" fillId="0" borderId="7" xfId="0" applyNumberFormat="1" applyFont="1" applyBorder="1" applyProtection="1">
      <protection locked="0"/>
    </xf>
    <xf numFmtId="7" fontId="3" fillId="0" borderId="0" xfId="0" applyNumberFormat="1" applyFont="1" applyAlignment="1">
      <alignment horizontal="center"/>
    </xf>
    <xf numFmtId="0" fontId="19" fillId="0" borderId="0" xfId="0" quotePrefix="1" applyFont="1" applyAlignment="1">
      <alignment horizontal="left"/>
    </xf>
    <xf numFmtId="37" fontId="3" fillId="0" borderId="6" xfId="0" applyNumberFormat="1" applyFont="1" applyBorder="1" applyProtection="1">
      <protection locked="0"/>
    </xf>
    <xf numFmtId="0" fontId="3" fillId="0" borderId="0" xfId="0" quotePrefix="1" applyFont="1" applyAlignment="1">
      <alignment horizontal="center"/>
    </xf>
    <xf numFmtId="181" fontId="3" fillId="0" borderId="0" xfId="0" applyNumberFormat="1" applyFont="1" applyAlignment="1">
      <alignment horizontal="center"/>
    </xf>
    <xf numFmtId="0" fontId="5" fillId="0" borderId="0" xfId="0" applyFont="1" applyAlignment="1">
      <alignment horizontal="right"/>
    </xf>
    <xf numFmtId="169" fontId="9" fillId="0" borderId="0" xfId="0" applyNumberFormat="1" applyFont="1"/>
    <xf numFmtId="0" fontId="5" fillId="0" borderId="5" xfId="0" applyFont="1" applyBorder="1" applyAlignment="1">
      <alignment horizontal="center"/>
    </xf>
    <xf numFmtId="181" fontId="5" fillId="0" borderId="5" xfId="0" applyNumberFormat="1" applyFont="1" applyBorder="1" applyAlignment="1">
      <alignment horizontal="center"/>
    </xf>
    <xf numFmtId="0" fontId="3" fillId="0" borderId="7" xfId="0" applyFont="1" applyBorder="1"/>
    <xf numFmtId="0" fontId="19" fillId="0" borderId="5" xfId="0" quotePrefix="1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181" fontId="19" fillId="0" borderId="5" xfId="0" applyNumberFormat="1" applyFont="1" applyBorder="1" applyAlignment="1">
      <alignment horizontal="center"/>
    </xf>
    <xf numFmtId="182" fontId="5" fillId="0" borderId="0" xfId="0" applyNumberFormat="1" applyFont="1"/>
    <xf numFmtId="37" fontId="5" fillId="0" borderId="7" xfId="0" applyNumberFormat="1" applyFont="1" applyBorder="1"/>
    <xf numFmtId="0" fontId="5" fillId="0" borderId="1" xfId="0" applyFont="1" applyBorder="1" applyAlignment="1">
      <alignment horizontal="center"/>
    </xf>
    <xf numFmtId="0" fontId="5" fillId="0" borderId="7" xfId="0" applyFont="1" applyBorder="1"/>
    <xf numFmtId="178" fontId="5" fillId="0" borderId="0" xfId="0" applyNumberFormat="1" applyFont="1"/>
    <xf numFmtId="10" fontId="5" fillId="0" borderId="0" xfId="0" applyNumberFormat="1" applyFont="1"/>
    <xf numFmtId="39" fontId="5" fillId="0" borderId="0" xfId="0" applyNumberFormat="1" applyFont="1" applyAlignment="1">
      <alignment horizontal="left"/>
    </xf>
    <xf numFmtId="0" fontId="5" fillId="0" borderId="0" xfId="0" quotePrefix="1" applyFont="1" applyAlignment="1">
      <alignment horizontal="right"/>
    </xf>
    <xf numFmtId="0" fontId="5" fillId="0" borderId="0" xfId="43" applyFont="1"/>
    <xf numFmtId="166" fontId="5" fillId="0" borderId="0" xfId="0" applyNumberFormat="1" applyFont="1" applyAlignment="1">
      <alignment horizontal="right"/>
    </xf>
    <xf numFmtId="39" fontId="3" fillId="0" borderId="0" xfId="0" quotePrefix="1" applyNumberFormat="1" applyFont="1"/>
    <xf numFmtId="183" fontId="5" fillId="0" borderId="0" xfId="56" applyNumberFormat="1" applyFont="1" applyFill="1" applyBorder="1" applyAlignment="1"/>
    <xf numFmtId="0" fontId="5" fillId="0" borderId="0" xfId="1" applyFont="1"/>
    <xf numFmtId="0" fontId="5" fillId="0" borderId="0" xfId="13" applyFont="1"/>
    <xf numFmtId="0" fontId="5" fillId="0" borderId="0" xfId="16" applyFont="1"/>
    <xf numFmtId="0" fontId="5" fillId="0" borderId="0" xfId="17" quotePrefix="1" applyFont="1" applyAlignment="1">
      <alignment horizontal="left"/>
    </xf>
    <xf numFmtId="0" fontId="5" fillId="0" borderId="0" xfId="17" applyFont="1"/>
    <xf numFmtId="0" fontId="5" fillId="0" borderId="0" xfId="19" quotePrefix="1" applyFont="1" applyAlignment="1">
      <alignment horizontal="left"/>
    </xf>
    <xf numFmtId="0" fontId="5" fillId="0" borderId="0" xfId="19" applyFont="1"/>
    <xf numFmtId="0" fontId="19" fillId="0" borderId="0" xfId="0" applyFont="1"/>
    <xf numFmtId="181" fontId="19" fillId="0" borderId="0" xfId="0" applyNumberFormat="1" applyFont="1"/>
    <xf numFmtId="39" fontId="19" fillId="0" borderId="0" xfId="0" applyNumberFormat="1" applyFont="1"/>
    <xf numFmtId="0" fontId="5" fillId="0" borderId="0" xfId="46" applyFont="1"/>
    <xf numFmtId="0" fontId="5" fillId="0" borderId="0" xfId="21" applyFont="1" applyAlignment="1">
      <alignment horizontal="left"/>
    </xf>
    <xf numFmtId="0" fontId="5" fillId="0" borderId="0" xfId="21" applyFont="1"/>
    <xf numFmtId="0" fontId="5" fillId="0" borderId="0" xfId="21" quotePrefix="1" applyFont="1" applyAlignment="1">
      <alignment horizontal="left"/>
    </xf>
    <xf numFmtId="2" fontId="3" fillId="0" borderId="0" xfId="0" applyNumberFormat="1" applyFont="1" applyAlignment="1">
      <alignment horizontal="right"/>
    </xf>
    <xf numFmtId="169" fontId="3" fillId="0" borderId="8" xfId="0" applyNumberFormat="1" applyFont="1" applyBorder="1"/>
    <xf numFmtId="175" fontId="3" fillId="0" borderId="0" xfId="0" applyNumberFormat="1" applyFont="1"/>
    <xf numFmtId="0" fontId="5" fillId="0" borderId="0" xfId="25" applyFont="1"/>
    <xf numFmtId="0" fontId="5" fillId="0" borderId="0" xfId="30" applyFont="1"/>
    <xf numFmtId="0" fontId="5" fillId="0" borderId="0" xfId="31" applyFont="1"/>
    <xf numFmtId="0" fontId="5" fillId="0" borderId="0" xfId="39" applyFont="1"/>
    <xf numFmtId="0" fontId="14" fillId="0" borderId="0" xfId="0" applyFont="1"/>
    <xf numFmtId="181" fontId="14" fillId="0" borderId="0" xfId="0" applyNumberFormat="1" applyFont="1" applyAlignment="1">
      <alignment horizontal="right"/>
    </xf>
    <xf numFmtId="0" fontId="5" fillId="0" borderId="0" xfId="28" applyFont="1" applyAlignment="1">
      <alignment horizontal="left"/>
    </xf>
    <xf numFmtId="0" fontId="5" fillId="0" borderId="0" xfId="28" applyFont="1"/>
    <xf numFmtId="0" fontId="5" fillId="0" borderId="0" xfId="33" applyFont="1"/>
    <xf numFmtId="0" fontId="5" fillId="0" borderId="0" xfId="35" applyFont="1"/>
    <xf numFmtId="0" fontId="5" fillId="0" borderId="0" xfId="37" applyFont="1"/>
    <xf numFmtId="37" fontId="3" fillId="0" borderId="5" xfId="0" applyNumberFormat="1" applyFont="1" applyBorder="1"/>
    <xf numFmtId="181" fontId="3" fillId="0" borderId="8" xfId="0" applyNumberFormat="1" applyFont="1" applyBorder="1"/>
    <xf numFmtId="181" fontId="3" fillId="0" borderId="8" xfId="0" applyNumberFormat="1" applyFont="1" applyBorder="1" applyAlignment="1">
      <alignment horizontal="right"/>
    </xf>
    <xf numFmtId="185" fontId="5" fillId="0" borderId="0" xfId="0" applyNumberFormat="1" applyFont="1"/>
    <xf numFmtId="10" fontId="5" fillId="0" borderId="0" xfId="58" applyNumberFormat="1" applyFont="1" applyFill="1" applyBorder="1"/>
    <xf numFmtId="175" fontId="5" fillId="0" borderId="0" xfId="0" applyNumberFormat="1" applyFont="1"/>
    <xf numFmtId="0" fontId="17" fillId="0" borderId="0" xfId="0" applyFont="1" applyAlignment="1">
      <alignment horizontal="left" vertical="center"/>
    </xf>
    <xf numFmtId="172" fontId="5" fillId="0" borderId="0" xfId="0" applyNumberFormat="1" applyFont="1"/>
    <xf numFmtId="173" fontId="5" fillId="0" borderId="0" xfId="0" applyNumberFormat="1" applyFont="1"/>
    <xf numFmtId="176" fontId="3" fillId="0" borderId="0" xfId="0" applyNumberFormat="1" applyFont="1"/>
    <xf numFmtId="174" fontId="3" fillId="0" borderId="0" xfId="0" applyNumberFormat="1" applyFont="1"/>
    <xf numFmtId="172" fontId="5" fillId="0" borderId="0" xfId="0" applyNumberFormat="1" applyFont="1" applyAlignment="1">
      <alignment horizontal="right"/>
    </xf>
    <xf numFmtId="37" fontId="5" fillId="0" borderId="0" xfId="0" applyNumberFormat="1" applyFont="1" applyAlignment="1">
      <alignment horizontal="left"/>
    </xf>
    <xf numFmtId="170" fontId="3" fillId="0" borderId="6" xfId="0" applyNumberFormat="1" applyFont="1" applyBorder="1"/>
    <xf numFmtId="0" fontId="17" fillId="0" borderId="5" xfId="0" applyFont="1" applyBorder="1" applyAlignment="1">
      <alignment horizontal="center"/>
    </xf>
    <xf numFmtId="0" fontId="17" fillId="0" borderId="5" xfId="0" quotePrefix="1" applyFont="1" applyBorder="1" applyAlignment="1">
      <alignment horizontal="center"/>
    </xf>
    <xf numFmtId="181" fontId="17" fillId="0" borderId="5" xfId="0" applyNumberFormat="1" applyFont="1" applyBorder="1" applyAlignment="1">
      <alignment horizontal="center"/>
    </xf>
    <xf numFmtId="37" fontId="54" fillId="0" borderId="0" xfId="0" applyNumberFormat="1" applyFont="1"/>
    <xf numFmtId="179" fontId="5" fillId="0" borderId="0" xfId="0" applyNumberFormat="1" applyFont="1"/>
    <xf numFmtId="37" fontId="5" fillId="0" borderId="6" xfId="0" applyNumberFormat="1" applyFont="1" applyBorder="1"/>
    <xf numFmtId="39" fontId="5" fillId="0" borderId="0" xfId="0" applyNumberFormat="1" applyFont="1" applyAlignment="1">
      <alignment horizontal="centerContinuous"/>
    </xf>
    <xf numFmtId="0" fontId="3" fillId="0" borderId="6" xfId="0" applyFont="1" applyBorder="1"/>
    <xf numFmtId="39" fontId="19" fillId="0" borderId="0" xfId="0" quotePrefix="1" applyNumberFormat="1" applyFont="1" applyAlignment="1">
      <alignment horizontal="center"/>
    </xf>
    <xf numFmtId="170" fontId="5" fillId="0" borderId="0" xfId="0" applyNumberFormat="1" applyFont="1" applyAlignment="1">
      <alignment horizontal="right"/>
    </xf>
    <xf numFmtId="182" fontId="5" fillId="0" borderId="0" xfId="0" applyNumberFormat="1" applyFont="1" applyProtection="1">
      <protection locked="0"/>
    </xf>
    <xf numFmtId="180" fontId="5" fillId="0" borderId="0" xfId="0" applyNumberFormat="1" applyFont="1"/>
    <xf numFmtId="187" fontId="44" fillId="0" borderId="0" xfId="62" applyNumberFormat="1" applyFont="1"/>
    <xf numFmtId="0" fontId="45" fillId="0" borderId="0" xfId="62" applyFont="1" applyAlignment="1">
      <alignment horizontal="center" vertical="center"/>
    </xf>
    <xf numFmtId="0" fontId="45" fillId="0" borderId="0" xfId="62" applyFont="1" applyAlignment="1">
      <alignment horizontal="center" vertical="center" wrapText="1"/>
    </xf>
    <xf numFmtId="186" fontId="45" fillId="0" borderId="0" xfId="62" applyNumberFormat="1" applyFont="1" applyAlignment="1">
      <alignment horizontal="center"/>
    </xf>
    <xf numFmtId="0" fontId="45" fillId="0" borderId="0" xfId="62" applyFont="1" applyAlignment="1">
      <alignment horizontal="center"/>
    </xf>
    <xf numFmtId="0" fontId="5" fillId="0" borderId="0" xfId="47" applyFont="1"/>
    <xf numFmtId="0" fontId="5" fillId="0" borderId="0" xfId="0" quotePrefix="1" applyFont="1" applyAlignment="1">
      <alignment horizontal="centerContinuous"/>
    </xf>
    <xf numFmtId="170" fontId="3" fillId="0" borderId="7" xfId="0" applyNumberFormat="1" applyFont="1" applyBorder="1"/>
    <xf numFmtId="183" fontId="5" fillId="0" borderId="1" xfId="56" applyNumberFormat="1" applyFont="1" applyFill="1" applyBorder="1" applyAlignment="1">
      <alignment horizontal="center"/>
    </xf>
    <xf numFmtId="175" fontId="3" fillId="0" borderId="7" xfId="0" applyNumberFormat="1" applyFont="1" applyBorder="1"/>
    <xf numFmtId="37" fontId="3" fillId="0" borderId="8" xfId="0" applyNumberFormat="1" applyFont="1" applyBorder="1" applyProtection="1">
      <protection locked="0"/>
    </xf>
    <xf numFmtId="10" fontId="5" fillId="0" borderId="0" xfId="58" applyNumberFormat="1" applyFont="1" applyFill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9" fillId="0" borderId="1" xfId="0" applyFont="1" applyBorder="1" applyAlignment="1">
      <alignment horizontal="center"/>
    </xf>
    <xf numFmtId="39" fontId="3" fillId="0" borderId="0" xfId="0" quotePrefix="1" applyNumberFormat="1" applyFont="1" applyAlignment="1">
      <alignment horizontal="right"/>
    </xf>
    <xf numFmtId="0" fontId="26" fillId="4" borderId="0" xfId="0" applyFont="1" applyFill="1" applyAlignment="1">
      <alignment horizontal="left"/>
    </xf>
    <xf numFmtId="0" fontId="26" fillId="4" borderId="0" xfId="0" quotePrefix="1" applyFont="1" applyFill="1" applyAlignment="1" applyProtection="1">
      <alignment horizontal="left"/>
      <protection locked="0"/>
    </xf>
    <xf numFmtId="0" fontId="26" fillId="4" borderId="0" xfId="0" applyFont="1" applyFill="1" applyAlignment="1" applyProtection="1">
      <alignment horizontal="left"/>
      <protection locked="0"/>
    </xf>
    <xf numFmtId="0" fontId="26" fillId="4" borderId="0" xfId="0" quotePrefix="1" applyFont="1" applyFill="1" applyAlignment="1">
      <alignment horizontal="left"/>
    </xf>
    <xf numFmtId="0" fontId="24" fillId="4" borderId="0" xfId="0" quotePrefix="1" applyFont="1" applyFill="1" applyAlignment="1">
      <alignment horizontal="center"/>
    </xf>
    <xf numFmtId="0" fontId="24" fillId="4" borderId="0" xfId="0" applyFont="1" applyFill="1" applyAlignment="1">
      <alignment horizontal="center"/>
    </xf>
    <xf numFmtId="0" fontId="22" fillId="7" borderId="2" xfId="0" applyFont="1" applyFill="1" applyBorder="1" applyAlignment="1">
      <alignment horizontal="center"/>
    </xf>
    <xf numFmtId="0" fontId="22" fillId="7" borderId="3" xfId="0" applyFont="1" applyFill="1" applyBorder="1" applyAlignment="1">
      <alignment horizontal="center"/>
    </xf>
    <xf numFmtId="0" fontId="22" fillId="7" borderId="4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5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0" xfId="0" applyFont="1" applyAlignment="1">
      <alignment horizontal="center"/>
    </xf>
  </cellXfs>
  <cellStyles count="70">
    <cellStyle name="Comma" xfId="56" builtinId="3"/>
    <cellStyle name="Comma 2" xfId="61" xr:uid="{00000000-0005-0000-0000-000001000000}"/>
    <cellStyle name="Comma 2 2" xfId="68" xr:uid="{BD3E171E-1C2F-4E21-ADC7-76EF4E8FA4ED}"/>
    <cellStyle name="Comma 3" xfId="63" xr:uid="{B844575C-8ADC-4D67-872E-6594CDF4CFC4}"/>
    <cellStyle name="Currency" xfId="57" builtinId="4"/>
    <cellStyle name="Currency 2" xfId="66" xr:uid="{BC34E618-FB5B-49EF-8D23-BFE65EC1FF1B}"/>
    <cellStyle name="Currency 3" xfId="69" xr:uid="{87DCCA76-DF0B-4E0B-9FAB-CA8826172F6D}"/>
    <cellStyle name="Currency 4" xfId="64" xr:uid="{A500E150-305B-4B3E-AAA4-83938CB5FA8B}"/>
    <cellStyle name="Normal" xfId="0" builtinId="0"/>
    <cellStyle name="Normal 10" xfId="10" xr:uid="{00000000-0005-0000-0000-000004000000}"/>
    <cellStyle name="Normal 11" xfId="11" xr:uid="{00000000-0005-0000-0000-000005000000}"/>
    <cellStyle name="Normal 12" xfId="13" xr:uid="{00000000-0005-0000-0000-000006000000}"/>
    <cellStyle name="Normal 12 2" xfId="50" xr:uid="{00000000-0005-0000-0000-000007000000}"/>
    <cellStyle name="Normal 12 3" xfId="51" xr:uid="{00000000-0005-0000-0000-000008000000}"/>
    <cellStyle name="Normal 12 4" xfId="53" xr:uid="{00000000-0005-0000-0000-000009000000}"/>
    <cellStyle name="Normal 12 5" xfId="52" xr:uid="{00000000-0005-0000-0000-00000A000000}"/>
    <cellStyle name="Normal 12 6" xfId="54" xr:uid="{00000000-0005-0000-0000-00000B000000}"/>
    <cellStyle name="Normal 13" xfId="12" xr:uid="{00000000-0005-0000-0000-00000C000000}"/>
    <cellStyle name="Normal 14" xfId="16" xr:uid="{00000000-0005-0000-0000-00000D000000}"/>
    <cellStyle name="Normal 15" xfId="17" xr:uid="{00000000-0005-0000-0000-00000E000000}"/>
    <cellStyle name="Normal 16" xfId="19" xr:uid="{00000000-0005-0000-0000-00000F000000}"/>
    <cellStyle name="Normal 17" xfId="21" xr:uid="{00000000-0005-0000-0000-000010000000}"/>
    <cellStyle name="Normal 18" xfId="23" xr:uid="{00000000-0005-0000-0000-000011000000}"/>
    <cellStyle name="Normal 19" xfId="25" xr:uid="{00000000-0005-0000-0000-000012000000}"/>
    <cellStyle name="Normal 2" xfId="1" xr:uid="{00000000-0005-0000-0000-000013000000}"/>
    <cellStyle name="Normal 2 10" xfId="29" xr:uid="{00000000-0005-0000-0000-000014000000}"/>
    <cellStyle name="Normal 2 11" xfId="32" xr:uid="{00000000-0005-0000-0000-000015000000}"/>
    <cellStyle name="Normal 2 12" xfId="34" xr:uid="{00000000-0005-0000-0000-000016000000}"/>
    <cellStyle name="Normal 2 13" xfId="36" xr:uid="{00000000-0005-0000-0000-000017000000}"/>
    <cellStyle name="Normal 2 14" xfId="38" xr:uid="{00000000-0005-0000-0000-000018000000}"/>
    <cellStyle name="Normal 2 15" xfId="40" xr:uid="{00000000-0005-0000-0000-000019000000}"/>
    <cellStyle name="Normal 2 16" xfId="27" xr:uid="{00000000-0005-0000-0000-00001A000000}"/>
    <cellStyle name="Normal 2 17" xfId="41" xr:uid="{00000000-0005-0000-0000-00001B000000}"/>
    <cellStyle name="Normal 2 18" xfId="44" xr:uid="{00000000-0005-0000-0000-00001C000000}"/>
    <cellStyle name="Normal 2 19" xfId="45" xr:uid="{00000000-0005-0000-0000-00001D000000}"/>
    <cellStyle name="Normal 2 2" xfId="2" xr:uid="{00000000-0005-0000-0000-00001E000000}"/>
    <cellStyle name="Normal 2 20" xfId="48" xr:uid="{00000000-0005-0000-0000-00001F000000}"/>
    <cellStyle name="Normal 2 3" xfId="14" xr:uid="{00000000-0005-0000-0000-000020000000}"/>
    <cellStyle name="Normal 2 4" xfId="15" xr:uid="{00000000-0005-0000-0000-000021000000}"/>
    <cellStyle name="Normal 2 5" xfId="18" xr:uid="{00000000-0005-0000-0000-000022000000}"/>
    <cellStyle name="Normal 2 6" xfId="20" xr:uid="{00000000-0005-0000-0000-000023000000}"/>
    <cellStyle name="Normal 2 7" xfId="22" xr:uid="{00000000-0005-0000-0000-000024000000}"/>
    <cellStyle name="Normal 2 8" xfId="24" xr:uid="{00000000-0005-0000-0000-000025000000}"/>
    <cellStyle name="Normal 2 9" xfId="26" xr:uid="{00000000-0005-0000-0000-000026000000}"/>
    <cellStyle name="Normal 20" xfId="30" xr:uid="{00000000-0005-0000-0000-000027000000}"/>
    <cellStyle name="Normal 21" xfId="31" xr:uid="{00000000-0005-0000-0000-000028000000}"/>
    <cellStyle name="Normal 22" xfId="33" xr:uid="{00000000-0005-0000-0000-000029000000}"/>
    <cellStyle name="Normal 23" xfId="35" xr:uid="{00000000-0005-0000-0000-00002A000000}"/>
    <cellStyle name="Normal 24" xfId="37" xr:uid="{00000000-0005-0000-0000-00002B000000}"/>
    <cellStyle name="Normal 25" xfId="39" xr:uid="{00000000-0005-0000-0000-00002C000000}"/>
    <cellStyle name="Normal 26" xfId="28" xr:uid="{00000000-0005-0000-0000-00002D000000}"/>
    <cellStyle name="Normal 27" xfId="42" xr:uid="{00000000-0005-0000-0000-00002E000000}"/>
    <cellStyle name="Normal 28" xfId="43" xr:uid="{00000000-0005-0000-0000-00002F000000}"/>
    <cellStyle name="Normal 29" xfId="46" xr:uid="{00000000-0005-0000-0000-000030000000}"/>
    <cellStyle name="Normal 3" xfId="3" xr:uid="{00000000-0005-0000-0000-000031000000}"/>
    <cellStyle name="Normal 3 2" xfId="67" xr:uid="{8FE07A52-7991-447D-A37B-F91F75CE5CE8}"/>
    <cellStyle name="Normal 30" xfId="47" xr:uid="{00000000-0005-0000-0000-000032000000}"/>
    <cellStyle name="Normal 31" xfId="55" xr:uid="{00000000-0005-0000-0000-000033000000}"/>
    <cellStyle name="Normal 32" xfId="49" xr:uid="{00000000-0005-0000-0000-000034000000}"/>
    <cellStyle name="Normal 33" xfId="59" xr:uid="{00000000-0005-0000-0000-000035000000}"/>
    <cellStyle name="Normal 34" xfId="62" xr:uid="{FCE9C858-1F8A-4033-A237-94BEA584FCE0}"/>
    <cellStyle name="Normal 4" xfId="4" xr:uid="{00000000-0005-0000-0000-000036000000}"/>
    <cellStyle name="Normal 5" xfId="5" xr:uid="{00000000-0005-0000-0000-000037000000}"/>
    <cellStyle name="Normal 6" xfId="6" xr:uid="{00000000-0005-0000-0000-000038000000}"/>
    <cellStyle name="Normal 7" xfId="7" xr:uid="{00000000-0005-0000-0000-000039000000}"/>
    <cellStyle name="Normal 8" xfId="8" xr:uid="{00000000-0005-0000-0000-00003A000000}"/>
    <cellStyle name="Normal 9" xfId="9" xr:uid="{00000000-0005-0000-0000-00003B000000}"/>
    <cellStyle name="Percent" xfId="58" builtinId="5"/>
    <cellStyle name="Percent 2" xfId="60" xr:uid="{00000000-0005-0000-0000-00003D000000}"/>
    <cellStyle name="Percent 3" xfId="65" xr:uid="{E18A49BD-A1BE-4879-98B3-992808E35AB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66CC"/>
      <color rgb="FF3333FF"/>
      <color rgb="FF255997"/>
      <color rgb="FFB919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externalLink" Target="externalLinks/externalLink9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externalLink" Target="externalLinks/externalLink10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checked="Checked" firstButton="1" fmlaLink="$H$7" lockText="1" noThreeD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4</xdr:row>
          <xdr:rowOff>7620</xdr:rowOff>
        </xdr:from>
        <xdr:to>
          <xdr:col>8</xdr:col>
          <xdr:colOff>0</xdr:colOff>
          <xdr:row>5</xdr:row>
          <xdr:rowOff>7620</xdr:rowOff>
        </xdr:to>
        <xdr:sp macro="" textlink="">
          <xdr:nvSpPr>
            <xdr:cNvPr id="157697" name="Option Button 1" descr="With Riders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00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 Riders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</xdr:colOff>
          <xdr:row>5</xdr:row>
          <xdr:rowOff>0</xdr:rowOff>
        </xdr:from>
        <xdr:to>
          <xdr:col>8</xdr:col>
          <xdr:colOff>0</xdr:colOff>
          <xdr:row>6</xdr:row>
          <xdr:rowOff>0</xdr:rowOff>
        </xdr:to>
        <xdr:sp macro="" textlink="">
          <xdr:nvSpPr>
            <xdr:cNvPr id="157698" name="Option Button 2" hidden="1">
              <a:extLst>
                <a:ext uri="{63B3BB69-23CF-44E3-9099-C40C66FF867C}">
                  <a14:compatExt spid="_x0000_s157698"/>
                </a:ext>
                <a:ext uri="{FF2B5EF4-FFF2-40B4-BE49-F238E27FC236}">
                  <a16:creationId xmlns:a16="http://schemas.microsoft.com/office/drawing/2014/main" id="{00000000-0008-0000-0000-000002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Without Riders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7620</xdr:colOff>
          <xdr:row>3</xdr:row>
          <xdr:rowOff>22860</xdr:rowOff>
        </xdr:from>
        <xdr:to>
          <xdr:col>7</xdr:col>
          <xdr:colOff>7620</xdr:colOff>
          <xdr:row>4</xdr:row>
          <xdr:rowOff>7620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Summary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3</xdr:row>
          <xdr:rowOff>0</xdr:rowOff>
        </xdr:from>
        <xdr:to>
          <xdr:col>20</xdr:col>
          <xdr:colOff>0</xdr:colOff>
          <xdr:row>4</xdr:row>
          <xdr:rowOff>7620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N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Typical Bill Comparison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7</xdr:row>
          <xdr:rowOff>0</xdr:rowOff>
        </xdr:from>
        <xdr:to>
          <xdr:col>2</xdr:col>
          <xdr:colOff>0</xdr:colOff>
          <xdr:row>8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754380</xdr:colOff>
          <xdr:row>9</xdr:row>
          <xdr:rowOff>7620</xdr:rowOff>
        </xdr:from>
        <xdr:to>
          <xdr:col>2</xdr:col>
          <xdr:colOff>7620</xdr:colOff>
          <xdr:row>10</xdr:row>
          <xdr:rowOff>7620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11</xdr:row>
          <xdr:rowOff>0</xdr:rowOff>
        </xdr:from>
        <xdr:to>
          <xdr:col>2</xdr:col>
          <xdr:colOff>0</xdr:colOff>
          <xdr:row>12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M-2.2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</xdr:row>
          <xdr:rowOff>0</xdr:rowOff>
        </xdr:from>
        <xdr:to>
          <xdr:col>4</xdr:col>
          <xdr:colOff>0</xdr:colOff>
          <xdr:row>8</xdr:row>
          <xdr:rowOff>7620</xdr:rowOff>
        </xdr:to>
        <xdr:sp macro="" textlink="">
          <xdr:nvSpPr>
            <xdr:cNvPr id="1030" name="Butto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8</xdr:row>
          <xdr:rowOff>182880</xdr:rowOff>
        </xdr:from>
        <xdr:to>
          <xdr:col>3</xdr:col>
          <xdr:colOff>1089660</xdr:colOff>
          <xdr:row>10</xdr:row>
          <xdr:rowOff>0</xdr:rowOff>
        </xdr:to>
        <xdr:sp macro="" textlink="">
          <xdr:nvSpPr>
            <xdr:cNvPr id="1031" name="Butto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11</xdr:row>
          <xdr:rowOff>7620</xdr:rowOff>
        </xdr:from>
        <xdr:to>
          <xdr:col>4</xdr:col>
          <xdr:colOff>0</xdr:colOff>
          <xdr:row>12</xdr:row>
          <xdr:rowOff>0</xdr:rowOff>
        </xdr:to>
        <xdr:sp macro="" textlink="">
          <xdr:nvSpPr>
            <xdr:cNvPr id="1032" name="Butto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9</xdr:row>
          <xdr:rowOff>7620</xdr:rowOff>
        </xdr:from>
        <xdr:to>
          <xdr:col>5</xdr:col>
          <xdr:colOff>1089660</xdr:colOff>
          <xdr:row>10</xdr:row>
          <xdr:rowOff>7620</xdr:rowOff>
        </xdr:to>
        <xdr:sp macro="" textlink="">
          <xdr:nvSpPr>
            <xdr:cNvPr id="1033" name="Butto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6</xdr:row>
          <xdr:rowOff>190500</xdr:rowOff>
        </xdr:from>
        <xdr:to>
          <xdr:col>6</xdr:col>
          <xdr:colOff>0</xdr:colOff>
          <xdr:row>8</xdr:row>
          <xdr:rowOff>0</xdr:rowOff>
        </xdr:to>
        <xdr:sp macro="" textlink="">
          <xdr:nvSpPr>
            <xdr:cNvPr id="1034" name="Butto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14</xdr:row>
          <xdr:rowOff>182880</xdr:rowOff>
        </xdr:from>
        <xdr:to>
          <xdr:col>4</xdr:col>
          <xdr:colOff>7620</xdr:colOff>
          <xdr:row>15</xdr:row>
          <xdr:rowOff>495300</xdr:rowOff>
        </xdr:to>
        <xdr:sp macro="" textlink="">
          <xdr:nvSpPr>
            <xdr:cNvPr id="1035" name="Butto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1074420</xdr:colOff>
          <xdr:row>10</xdr:row>
          <xdr:rowOff>182880</xdr:rowOff>
        </xdr:from>
        <xdr:to>
          <xdr:col>6</xdr:col>
          <xdr:colOff>0</xdr:colOff>
          <xdr:row>11</xdr:row>
          <xdr:rowOff>495300</xdr:rowOff>
        </xdr:to>
        <xdr:sp macro="" textlink="">
          <xdr:nvSpPr>
            <xdr:cNvPr id="1036" name="Butto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7620</xdr:rowOff>
        </xdr:from>
        <xdr:to>
          <xdr:col>8</xdr:col>
          <xdr:colOff>0</xdr:colOff>
          <xdr:row>10</xdr:row>
          <xdr:rowOff>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9</xdr:row>
          <xdr:rowOff>7620</xdr:rowOff>
        </xdr:from>
        <xdr:to>
          <xdr:col>10</xdr:col>
          <xdr:colOff>7620</xdr:colOff>
          <xdr:row>10</xdr:row>
          <xdr:rowOff>7620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11</xdr:row>
          <xdr:rowOff>7620</xdr:rowOff>
        </xdr:from>
        <xdr:to>
          <xdr:col>8</xdr:col>
          <xdr:colOff>0</xdr:colOff>
          <xdr:row>11</xdr:row>
          <xdr:rowOff>502920</xdr:rowOff>
        </xdr:to>
        <xdr:sp macro="" textlink="">
          <xdr:nvSpPr>
            <xdr:cNvPr id="1039" name="Butto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22860</xdr:colOff>
          <xdr:row>15</xdr:row>
          <xdr:rowOff>0</xdr:rowOff>
        </xdr:from>
        <xdr:to>
          <xdr:col>8</xdr:col>
          <xdr:colOff>22860</xdr:colOff>
          <xdr:row>16</xdr:row>
          <xdr:rowOff>0</xdr:rowOff>
        </xdr:to>
        <xdr:sp macro="" textlink="">
          <xdr:nvSpPr>
            <xdr:cNvPr id="1041" name="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7</xdr:row>
          <xdr:rowOff>7620</xdr:rowOff>
        </xdr:from>
        <xdr:to>
          <xdr:col>12</xdr:col>
          <xdr:colOff>0</xdr:colOff>
          <xdr:row>7</xdr:row>
          <xdr:rowOff>495300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(ALL)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746760</xdr:colOff>
          <xdr:row>9</xdr:row>
          <xdr:rowOff>0</xdr:rowOff>
        </xdr:from>
        <xdr:to>
          <xdr:col>12</xdr:col>
          <xdr:colOff>0</xdr:colOff>
          <xdr:row>10</xdr:row>
          <xdr:rowOff>0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(Summary)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11</xdr:row>
          <xdr:rowOff>0</xdr:rowOff>
        </xdr:from>
        <xdr:to>
          <xdr:col>12</xdr:col>
          <xdr:colOff>0</xdr:colOff>
          <xdr:row>12</xdr:row>
          <xdr:rowOff>22860</xdr:rowOff>
        </xdr:to>
        <xdr:sp macro="" textlink="">
          <xdr:nvSpPr>
            <xdr:cNvPr id="1045" name="Butto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M-2.3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2-23)</a:t>
              </a: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  <a:p>
              <a:pPr algn="ctr" rtl="0">
                <a:defRPr sz="1000"/>
              </a:pPr>
              <a:endParaRPr lang="en-US" sz="800" b="1" i="0" u="none" strike="noStrike" baseline="0">
                <a:solidFill>
                  <a:srgbClr val="000080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7</xdr:row>
          <xdr:rowOff>7620</xdr:rowOff>
        </xdr:from>
        <xdr:to>
          <xdr:col>14</xdr:col>
          <xdr:colOff>0</xdr:colOff>
          <xdr:row>8</xdr:row>
          <xdr:rowOff>7620</xdr:rowOff>
        </xdr:to>
        <xdr:sp macro="" textlink="">
          <xdr:nvSpPr>
            <xdr:cNvPr id="1046" name="Butto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8</xdr:row>
          <xdr:rowOff>182880</xdr:rowOff>
        </xdr:from>
        <xdr:to>
          <xdr:col>13</xdr:col>
          <xdr:colOff>1089660</xdr:colOff>
          <xdr:row>10</xdr:row>
          <xdr:rowOff>7620</xdr:rowOff>
        </xdr:to>
        <xdr:sp macro="" textlink="">
          <xdr:nvSpPr>
            <xdr:cNvPr id="1047" name="Butto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(</a:t>
              </a: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Pg3)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160020</xdr:colOff>
          <xdr:row>11</xdr:row>
          <xdr:rowOff>0</xdr:rowOff>
        </xdr:from>
        <xdr:to>
          <xdr:col>14</xdr:col>
          <xdr:colOff>0</xdr:colOff>
          <xdr:row>12</xdr:row>
          <xdr:rowOff>22860</xdr:rowOff>
        </xdr:to>
        <xdr:sp macro="" textlink="">
          <xdr:nvSpPr>
            <xdr:cNvPr id="1048" name="Butto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DT-PRI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9</xdr:row>
          <xdr:rowOff>7620</xdr:rowOff>
        </xdr:from>
        <xdr:to>
          <xdr:col>15</xdr:col>
          <xdr:colOff>1089660</xdr:colOff>
          <xdr:row>10</xdr:row>
          <xdr:rowOff>7620</xdr:rowOff>
        </xdr:to>
        <xdr:sp macro="" textlink="">
          <xdr:nvSpPr>
            <xdr:cNvPr id="1049" name="Butto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0</xdr:colOff>
          <xdr:row>7</xdr:row>
          <xdr:rowOff>7620</xdr:rowOff>
        </xdr:from>
        <xdr:to>
          <xdr:col>15</xdr:col>
          <xdr:colOff>1089660</xdr:colOff>
          <xdr:row>8</xdr:row>
          <xdr:rowOff>0</xdr:rowOff>
        </xdr:to>
        <xdr:sp macro="" textlink="">
          <xdr:nvSpPr>
            <xdr:cNvPr id="1050" name="Butto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SP &amp; GSFL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15</xdr:row>
          <xdr:rowOff>0</xdr:rowOff>
        </xdr:from>
        <xdr:to>
          <xdr:col>13</xdr:col>
          <xdr:colOff>1089660</xdr:colOff>
          <xdr:row>16</xdr:row>
          <xdr:rowOff>7620</xdr:rowOff>
        </xdr:to>
        <xdr:sp macro="" textlink="">
          <xdr:nvSpPr>
            <xdr:cNvPr id="1051" name="Butto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7620</xdr:colOff>
          <xdr:row>11</xdr:row>
          <xdr:rowOff>7620</xdr:rowOff>
        </xdr:from>
        <xdr:to>
          <xdr:col>15</xdr:col>
          <xdr:colOff>1089660</xdr:colOff>
          <xdr:row>11</xdr:row>
          <xdr:rowOff>495300</xdr:rowOff>
        </xdr:to>
        <xdr:sp macro="" textlink="">
          <xdr:nvSpPr>
            <xdr:cNvPr id="1052" name="Butto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0</xdr:colOff>
          <xdr:row>9</xdr:row>
          <xdr:rowOff>7620</xdr:rowOff>
        </xdr:from>
        <xdr:to>
          <xdr:col>18</xdr:col>
          <xdr:colOff>22860</xdr:colOff>
          <xdr:row>9</xdr:row>
          <xdr:rowOff>502920</xdr:rowOff>
        </xdr:to>
        <xdr:sp macro="" textlink="">
          <xdr:nvSpPr>
            <xdr:cNvPr id="1053" name="Butto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(Pgs 13-14)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30480</xdr:colOff>
          <xdr:row>8</xdr:row>
          <xdr:rowOff>152400</xdr:rowOff>
        </xdr:from>
        <xdr:to>
          <xdr:col>20</xdr:col>
          <xdr:colOff>7620</xdr:colOff>
          <xdr:row>10</xdr:row>
          <xdr:rowOff>0</xdr:rowOff>
        </xdr:to>
        <xdr:sp macro="" textlink="">
          <xdr:nvSpPr>
            <xdr:cNvPr id="1054" name="Butto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SE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(Pg19)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7620</xdr:colOff>
          <xdr:row>11</xdr:row>
          <xdr:rowOff>7620</xdr:rowOff>
        </xdr:from>
        <xdr:to>
          <xdr:col>18</xdr:col>
          <xdr:colOff>7620</xdr:colOff>
          <xdr:row>12</xdr:row>
          <xdr:rowOff>0</xdr:rowOff>
        </xdr:to>
        <xdr:sp macro="" textlink="">
          <xdr:nvSpPr>
            <xdr:cNvPr id="1055" name="Butto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TL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38100</xdr:colOff>
          <xdr:row>15</xdr:row>
          <xdr:rowOff>7620</xdr:rowOff>
        </xdr:from>
        <xdr:to>
          <xdr:col>18</xdr:col>
          <xdr:colOff>38100</xdr:colOff>
          <xdr:row>16</xdr:row>
          <xdr:rowOff>7620</xdr:rowOff>
        </xdr:to>
        <xdr:sp macro="" textlink="">
          <xdr:nvSpPr>
            <xdr:cNvPr id="1057" name="Butto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NSU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(Pg17)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2</xdr:row>
          <xdr:rowOff>213360</xdr:rowOff>
        </xdr:from>
        <xdr:to>
          <xdr:col>13</xdr:col>
          <xdr:colOff>7620</xdr:colOff>
          <xdr:row>4</xdr:row>
          <xdr:rowOff>0</xdr:rowOff>
        </xdr:to>
        <xdr:sp macro="" textlink="">
          <xdr:nvSpPr>
            <xdr:cNvPr id="1059" name="Butto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Sch M-2.1</a:t>
              </a:r>
              <a:endParaRPr lang="en-US" sz="1200" b="1" i="0" u="none" strike="noStrike" baseline="0">
                <a:solidFill>
                  <a:srgbClr val="000080"/>
                </a:solidFill>
                <a:latin typeface="Courier"/>
                <a:cs typeface="Arial"/>
              </a:endParaRP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80"/>
                  </a:solidFill>
                  <a:latin typeface="Arial"/>
                  <a:cs typeface="Arial"/>
                </a:rPr>
                <a:t>Revenue at Average Rates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7620</xdr:colOff>
          <xdr:row>7</xdr:row>
          <xdr:rowOff>7620</xdr:rowOff>
        </xdr:from>
        <xdr:to>
          <xdr:col>10</xdr:col>
          <xdr:colOff>0</xdr:colOff>
          <xdr:row>8</xdr:row>
          <xdr:rowOff>7620</xdr:rowOff>
        </xdr:to>
        <xdr:sp macro="" textlink="">
          <xdr:nvSpPr>
            <xdr:cNvPr id="1060" name="Butto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7620</xdr:colOff>
          <xdr:row>7</xdr:row>
          <xdr:rowOff>7620</xdr:rowOff>
        </xdr:from>
        <xdr:to>
          <xdr:col>20</xdr:col>
          <xdr:colOff>7620</xdr:colOff>
          <xdr:row>7</xdr:row>
          <xdr:rowOff>495300</xdr:rowOff>
        </xdr:to>
        <xdr:sp macro="" textlink="">
          <xdr:nvSpPr>
            <xdr:cNvPr id="1061" name="Butto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SC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(Pg18)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746760</xdr:colOff>
          <xdr:row>13</xdr:row>
          <xdr:rowOff>7620</xdr:rowOff>
        </xdr:from>
        <xdr:to>
          <xdr:col>2</xdr:col>
          <xdr:colOff>7620</xdr:colOff>
          <xdr:row>13</xdr:row>
          <xdr:rowOff>495300</xdr:rowOff>
        </xdr:to>
        <xdr:sp macro="" textlink="">
          <xdr:nvSpPr>
            <xdr:cNvPr id="1062" name="Butto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0</xdr:colOff>
          <xdr:row>13</xdr:row>
          <xdr:rowOff>22860</xdr:rowOff>
        </xdr:from>
        <xdr:to>
          <xdr:col>12</xdr:col>
          <xdr:colOff>0</xdr:colOff>
          <xdr:row>13</xdr:row>
          <xdr:rowOff>495300</xdr:rowOff>
        </xdr:to>
        <xdr:sp macro="" textlink="">
          <xdr:nvSpPr>
            <xdr:cNvPr id="1063" name="Butto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RTP SCH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(Only)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7620</xdr:colOff>
          <xdr:row>13</xdr:row>
          <xdr:rowOff>0</xdr:rowOff>
        </xdr:from>
        <xdr:to>
          <xdr:col>14</xdr:col>
          <xdr:colOff>0</xdr:colOff>
          <xdr:row>13</xdr:row>
          <xdr:rowOff>495300</xdr:rowOff>
        </xdr:to>
        <xdr:sp macro="" textlink="">
          <xdr:nvSpPr>
            <xdr:cNvPr id="1064" name="Butto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1089660</xdr:colOff>
          <xdr:row>12</xdr:row>
          <xdr:rowOff>182880</xdr:rowOff>
        </xdr:from>
        <xdr:to>
          <xdr:col>4</xdr:col>
          <xdr:colOff>7620</xdr:colOff>
          <xdr:row>13</xdr:row>
          <xdr:rowOff>487680</xdr:rowOff>
        </xdr:to>
        <xdr:sp macro="" textlink="">
          <xdr:nvSpPr>
            <xdr:cNvPr id="1065" name="Butto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(Pg5)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22860</xdr:colOff>
          <xdr:row>13</xdr:row>
          <xdr:rowOff>7620</xdr:rowOff>
        </xdr:from>
        <xdr:to>
          <xdr:col>18</xdr:col>
          <xdr:colOff>22860</xdr:colOff>
          <xdr:row>13</xdr:row>
          <xdr:rowOff>502920</xdr:rowOff>
        </xdr:to>
        <xdr:sp macro="" textlink="">
          <xdr:nvSpPr>
            <xdr:cNvPr id="1067" name="Butto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13</xdr:row>
          <xdr:rowOff>0</xdr:rowOff>
        </xdr:from>
        <xdr:to>
          <xdr:col>8</xdr:col>
          <xdr:colOff>0</xdr:colOff>
          <xdr:row>14</xdr:row>
          <xdr:rowOff>7620</xdr:rowOff>
        </xdr:to>
        <xdr:sp macro="" textlink="">
          <xdr:nvSpPr>
            <xdr:cNvPr id="1070" name="Butto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UOLS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(Pg16)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1089660</xdr:colOff>
          <xdr:row>13</xdr:row>
          <xdr:rowOff>0</xdr:rowOff>
        </xdr:from>
        <xdr:to>
          <xdr:col>6</xdr:col>
          <xdr:colOff>0</xdr:colOff>
          <xdr:row>14</xdr:row>
          <xdr:rowOff>0</xdr:rowOff>
        </xdr:to>
        <xdr:sp macro="" textlink="">
          <xdr:nvSpPr>
            <xdr:cNvPr id="1071" name="Butto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</xdr:colOff>
          <xdr:row>15</xdr:row>
          <xdr:rowOff>0</xdr:rowOff>
        </xdr:from>
        <xdr:to>
          <xdr:col>6</xdr:col>
          <xdr:colOff>0</xdr:colOff>
          <xdr:row>15</xdr:row>
          <xdr:rowOff>495300</xdr:rowOff>
        </xdr:to>
        <xdr:sp macro="" textlink="">
          <xdr:nvSpPr>
            <xdr:cNvPr id="1072" name="Butto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7620</xdr:colOff>
          <xdr:row>7</xdr:row>
          <xdr:rowOff>7620</xdr:rowOff>
        </xdr:from>
        <xdr:to>
          <xdr:col>8</xdr:col>
          <xdr:colOff>7620</xdr:colOff>
          <xdr:row>8</xdr:row>
          <xdr:rowOff>0</xdr:rowOff>
        </xdr:to>
        <xdr:sp macro="" textlink="">
          <xdr:nvSpPr>
            <xdr:cNvPr id="1073" name="Butto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175260</xdr:colOff>
          <xdr:row>13</xdr:row>
          <xdr:rowOff>7620</xdr:rowOff>
        </xdr:from>
        <xdr:to>
          <xdr:col>15</xdr:col>
          <xdr:colOff>1089660</xdr:colOff>
          <xdr:row>14</xdr:row>
          <xdr:rowOff>0</xdr:rowOff>
        </xdr:to>
        <xdr:sp macro="" textlink="">
          <xdr:nvSpPr>
            <xdr:cNvPr id="1075" name="Butto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DT-RTP SEC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(Pg10)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152400</xdr:colOff>
          <xdr:row>15</xdr:row>
          <xdr:rowOff>7620</xdr:rowOff>
        </xdr:from>
        <xdr:to>
          <xdr:col>16</xdr:col>
          <xdr:colOff>7620</xdr:colOff>
          <xdr:row>16</xdr:row>
          <xdr:rowOff>0</xdr:rowOff>
        </xdr:to>
        <xdr:sp macro="" textlink="">
          <xdr:nvSpPr>
            <xdr:cNvPr id="1076" name="Butto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DS-RTP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(Pg11)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1074420</xdr:colOff>
          <xdr:row>7</xdr:row>
          <xdr:rowOff>7620</xdr:rowOff>
        </xdr:from>
        <xdr:to>
          <xdr:col>18</xdr:col>
          <xdr:colOff>7620</xdr:colOff>
          <xdr:row>7</xdr:row>
          <xdr:rowOff>495300</xdr:rowOff>
        </xdr:to>
        <xdr:sp macro="" textlink="">
          <xdr:nvSpPr>
            <xdr:cNvPr id="1077" name="Butto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TT-RTP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(Pg12)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22860</xdr:colOff>
          <xdr:row>11</xdr:row>
          <xdr:rowOff>7620</xdr:rowOff>
        </xdr:from>
        <xdr:to>
          <xdr:col>10</xdr:col>
          <xdr:colOff>7620</xdr:colOff>
          <xdr:row>12</xdr:row>
          <xdr:rowOff>7620</xdr:rowOff>
        </xdr:to>
        <xdr:sp macro="" textlink="">
          <xdr:nvSpPr>
            <xdr:cNvPr id="1078" name="Butto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22860</xdr:colOff>
          <xdr:row>11</xdr:row>
          <xdr:rowOff>7620</xdr:rowOff>
        </xdr:from>
        <xdr:to>
          <xdr:col>20</xdr:col>
          <xdr:colOff>7620</xdr:colOff>
          <xdr:row>12</xdr:row>
          <xdr:rowOff>7620</xdr:rowOff>
        </xdr:to>
        <xdr:sp macro="" textlink="">
          <xdr:nvSpPr>
            <xdr:cNvPr id="1080" name="Butto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LED</a:t>
              </a:r>
            </a:p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996666"/>
                  </a:solidFill>
                  <a:latin typeface="Arial"/>
                  <a:cs typeface="Arial"/>
                </a:rPr>
                <a:t>(Pg20-22)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Test%20Period\DEK%20ELEC%20SCH-M%20and%20N%20-%20Test%20Period%20-%20Application%20V2.xlsm" TargetMode="External"/><Relationship Id="rId1" Type="http://schemas.openxmlformats.org/officeDocument/2006/relationships/externalLinkPath" Target="/Rate%20Case%20Filings/DEK%20Electric%20Case%202024-xxx/M%20Schedules/Sched%20M%20Detail/Test%20Period/DEK%20ELEC%20SCH-M%20and%20N%20-%20Test%20Period%20-%20Application%20V2.xlsm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TT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TT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Allocation%20Files\Allocators%20for%20Customer%20Class%20to%20Rate%20Schedules%20-%20w%20Fixed%20SL%20KWH%20Addressed.xlsx" TargetMode="External"/><Relationship Id="rId1" Type="http://schemas.openxmlformats.org/officeDocument/2006/relationships/externalLinkPath" Target="/Rate%20Case%20Filings/DEK%20Electric%20Case%202024-xxx/M%20Schedules/Sched%20M%20Detail/Allocation%20Files/Allocators%20for%20Customer%20Class%20to%20Rate%20Schedules%20-%20w%20Fixed%20SL%20KWH%20Addressed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W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WS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R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RS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S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S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T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T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EH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EH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SP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SP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GSFL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GSF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Rate%20Case%20Filings\DEK%20Electric%20Case%202024-xxx\M%20Schedules\Sched%20M%20Detail\Rate%20Class%20Files%20-%20Application\DEK_DP.xlsx" TargetMode="External"/><Relationship Id="rId1" Type="http://schemas.openxmlformats.org/officeDocument/2006/relationships/externalLinkPath" Target="/Rate%20Case%20Filings/DEK%20Electric%20Case%202024-xxx/M%20Schedules/Sched%20M%20Detail/Rate%20Class%20Files%20-%20Application/DEK_D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"/>
      <sheetName val="PRINT"/>
      <sheetName val="Revenue Check"/>
      <sheetName val="SCH M"/>
      <sheetName val="SCH M-2.1"/>
      <sheetName val="SCH M-2.2"/>
      <sheetName val="SCH M-2.3"/>
      <sheetName val="Rate RS"/>
      <sheetName val="Rate DS"/>
      <sheetName val="Rate DT-Pri"/>
      <sheetName val="Rate DT-Sec"/>
      <sheetName val="Rate EH"/>
      <sheetName val="Rate SP GSFL"/>
      <sheetName val="Rate DP"/>
      <sheetName val="Rate TT"/>
      <sheetName val="Rate DT RTP-P"/>
      <sheetName val="Rate DT RTP-S"/>
      <sheetName val="Rate DS RTP"/>
      <sheetName val="Rate TT RTP"/>
      <sheetName val="Rate SL"/>
      <sheetName val="Rate TL"/>
      <sheetName val="Rate UOLS"/>
      <sheetName val="Rate NSU"/>
      <sheetName val="Rate SC"/>
      <sheetName val="Rate SE"/>
      <sheetName val="Rate LED"/>
      <sheetName val="SCH N"/>
      <sheetName val="BILL CALC"/>
      <sheetName val="Revenue Requirements"/>
      <sheetName val="Proposed Rates"/>
      <sheetName val="TBI"/>
      <sheetName val="RTP Worksheet"/>
    </sheetNames>
    <sheetDataSet>
      <sheetData sheetId="0">
        <row r="19">
          <cell r="C19">
            <v>3.4872127999999998E-3</v>
          </cell>
          <cell r="D19">
            <v>3.4872127999999998E-3</v>
          </cell>
        </row>
        <row r="20">
          <cell r="C20">
            <v>3.3779999999999998E-2</v>
          </cell>
          <cell r="D20">
            <v>3.3779999999999998E-2</v>
          </cell>
        </row>
        <row r="29">
          <cell r="C29">
            <v>1.3519999999999999E-3</v>
          </cell>
          <cell r="D29">
            <v>1.3519999999999999E-3</v>
          </cell>
          <cell r="I29">
            <v>0.3</v>
          </cell>
          <cell r="J29">
            <v>0.3</v>
          </cell>
        </row>
        <row r="30">
          <cell r="C30">
            <v>3.503E-3</v>
          </cell>
          <cell r="D30">
            <v>3.503E-3</v>
          </cell>
        </row>
        <row r="31">
          <cell r="C31">
            <v>5.1400000000000003E-4</v>
          </cell>
          <cell r="D31">
            <v>5.1400000000000003E-4</v>
          </cell>
        </row>
        <row r="34">
          <cell r="C34">
            <v>2.4750000000000002E-3</v>
          </cell>
          <cell r="D34">
            <v>2.4750000000000002E-3</v>
          </cell>
        </row>
        <row r="43">
          <cell r="C43">
            <v>13</v>
          </cell>
          <cell r="D43">
            <v>16</v>
          </cell>
        </row>
        <row r="44">
          <cell r="C44">
            <v>0.111639</v>
          </cell>
          <cell r="D44">
            <v>0.130111</v>
          </cell>
        </row>
        <row r="48">
          <cell r="C48">
            <v>15</v>
          </cell>
          <cell r="D48">
            <v>15</v>
          </cell>
        </row>
        <row r="49">
          <cell r="C49">
            <v>30</v>
          </cell>
          <cell r="D49">
            <v>30</v>
          </cell>
        </row>
        <row r="51">
          <cell r="C51">
            <v>0.114788</v>
          </cell>
          <cell r="D51">
            <v>0.13287399999999999</v>
          </cell>
        </row>
        <row r="52">
          <cell r="C52">
            <v>7.4619000000000005E-2</v>
          </cell>
          <cell r="D52">
            <v>8.6375999999999994E-2</v>
          </cell>
        </row>
        <row r="53">
          <cell r="C53">
            <v>6.3056000000000001E-2</v>
          </cell>
          <cell r="D53">
            <v>7.2988999999999998E-2</v>
          </cell>
        </row>
        <row r="55">
          <cell r="C55">
            <v>0</v>
          </cell>
          <cell r="D55">
            <v>0</v>
          </cell>
        </row>
        <row r="56">
          <cell r="C56">
            <v>10.68</v>
          </cell>
          <cell r="D56">
            <v>12.36</v>
          </cell>
        </row>
        <row r="58">
          <cell r="C58">
            <v>0.30729699999999999</v>
          </cell>
          <cell r="D58">
            <v>0.35571399999999997</v>
          </cell>
        </row>
        <row r="59">
          <cell r="C59">
            <v>0.18865199999999999</v>
          </cell>
          <cell r="D59">
            <v>0.218386</v>
          </cell>
        </row>
        <row r="63">
          <cell r="C63">
            <v>5</v>
          </cell>
          <cell r="D63">
            <v>5</v>
          </cell>
        </row>
        <row r="64">
          <cell r="C64">
            <v>5</v>
          </cell>
          <cell r="D64">
            <v>5</v>
          </cell>
        </row>
        <row r="68">
          <cell r="C68">
            <v>63.5</v>
          </cell>
          <cell r="D68">
            <v>64</v>
          </cell>
        </row>
        <row r="69">
          <cell r="C69">
            <v>127</v>
          </cell>
          <cell r="D69">
            <v>128</v>
          </cell>
        </row>
        <row r="70">
          <cell r="C70">
            <v>138</v>
          </cell>
          <cell r="D70">
            <v>160</v>
          </cell>
        </row>
        <row r="72">
          <cell r="C72">
            <v>5.6746999999999999E-2</v>
          </cell>
          <cell r="D72">
            <v>6.4528000000000002E-2</v>
          </cell>
        </row>
        <row r="73">
          <cell r="C73">
            <v>5.4640000000000001E-2</v>
          </cell>
          <cell r="D73">
            <v>6.2133000000000001E-2</v>
          </cell>
        </row>
        <row r="74">
          <cell r="C74">
            <v>4.8348000000000002E-2</v>
          </cell>
          <cell r="D74">
            <v>5.4975999999999997E-2</v>
          </cell>
        </row>
        <row r="76">
          <cell r="C76">
            <v>14.71</v>
          </cell>
          <cell r="D76">
            <v>16.73</v>
          </cell>
        </row>
        <row r="77">
          <cell r="C77">
            <v>1.32</v>
          </cell>
          <cell r="D77">
            <v>1.5</v>
          </cell>
        </row>
        <row r="78">
          <cell r="C78">
            <v>13.92</v>
          </cell>
          <cell r="D78">
            <v>15.83</v>
          </cell>
        </row>
        <row r="79">
          <cell r="C79">
            <v>1.32</v>
          </cell>
          <cell r="D79">
            <v>1.5</v>
          </cell>
        </row>
        <row r="80">
          <cell r="C80">
            <v>-0.75</v>
          </cell>
          <cell r="D80">
            <v>-0.85</v>
          </cell>
        </row>
        <row r="81">
          <cell r="C81">
            <v>-0.57999999999999996</v>
          </cell>
          <cell r="D81">
            <v>-0.66</v>
          </cell>
        </row>
        <row r="82">
          <cell r="C82">
            <v>6.07</v>
          </cell>
          <cell r="D82">
            <v>7.77</v>
          </cell>
        </row>
        <row r="86">
          <cell r="C86">
            <v>15</v>
          </cell>
          <cell r="D86">
            <v>15</v>
          </cell>
        </row>
        <row r="87">
          <cell r="C87">
            <v>30</v>
          </cell>
          <cell r="D87">
            <v>30</v>
          </cell>
        </row>
        <row r="88">
          <cell r="C88">
            <v>117</v>
          </cell>
          <cell r="D88">
            <v>120</v>
          </cell>
        </row>
        <row r="90">
          <cell r="C90">
            <v>9.0635999999999994E-2</v>
          </cell>
          <cell r="D90">
            <v>0.104834</v>
          </cell>
        </row>
        <row r="92">
          <cell r="C92">
            <v>0</v>
          </cell>
          <cell r="D92">
            <v>0</v>
          </cell>
        </row>
        <row r="96">
          <cell r="C96">
            <v>15</v>
          </cell>
          <cell r="D96">
            <v>15</v>
          </cell>
        </row>
        <row r="98">
          <cell r="C98">
            <v>0.14451900000000001</v>
          </cell>
          <cell r="D98">
            <v>0.16764499999999999</v>
          </cell>
        </row>
        <row r="100">
          <cell r="C100">
            <v>0</v>
          </cell>
          <cell r="D100">
            <v>0</v>
          </cell>
        </row>
        <row r="104">
          <cell r="C104">
            <v>3.79</v>
          </cell>
          <cell r="D104">
            <v>4.37</v>
          </cell>
        </row>
        <row r="106">
          <cell r="C106">
            <v>0.115594</v>
          </cell>
          <cell r="D106">
            <v>0.13300199999999998</v>
          </cell>
        </row>
        <row r="107">
          <cell r="C107">
            <v>0.13156599999999999</v>
          </cell>
          <cell r="D107">
            <v>0.15163599999999999</v>
          </cell>
        </row>
        <row r="109">
          <cell r="C109">
            <v>0</v>
          </cell>
          <cell r="D109">
            <v>0</v>
          </cell>
        </row>
        <row r="113">
          <cell r="C113">
            <v>117</v>
          </cell>
          <cell r="D113">
            <v>120</v>
          </cell>
        </row>
        <row r="115">
          <cell r="C115">
            <v>7.1562000000000001E-2</v>
          </cell>
          <cell r="D115">
            <v>7.6294000000000001E-2</v>
          </cell>
        </row>
        <row r="116">
          <cell r="C116">
            <v>6.2067999999999998E-2</v>
          </cell>
          <cell r="D116">
            <v>6.611199999999999E-2</v>
          </cell>
        </row>
        <row r="117">
          <cell r="C117">
            <v>0.289184</v>
          </cell>
          <cell r="D117">
            <v>0.308166</v>
          </cell>
        </row>
        <row r="119">
          <cell r="C119">
            <v>9.5</v>
          </cell>
          <cell r="D119">
            <v>10.130000000000001</v>
          </cell>
        </row>
        <row r="123">
          <cell r="C123">
            <v>500</v>
          </cell>
          <cell r="D123">
            <v>500</v>
          </cell>
        </row>
        <row r="125">
          <cell r="C125">
            <v>6.7652000000000004E-2</v>
          </cell>
          <cell r="D125">
            <v>7.3557999999999998E-2</v>
          </cell>
        </row>
        <row r="126">
          <cell r="C126">
            <v>6.5057000000000004E-2</v>
          </cell>
          <cell r="D126">
            <v>7.0735999999999993E-2</v>
          </cell>
        </row>
        <row r="127">
          <cell r="C127">
            <v>5.7296E-2</v>
          </cell>
          <cell r="D127">
            <v>6.2296999999999998E-2</v>
          </cell>
        </row>
        <row r="129">
          <cell r="C129">
            <v>9.41</v>
          </cell>
          <cell r="D129">
            <v>10.23</v>
          </cell>
        </row>
        <row r="130">
          <cell r="C130">
            <v>1.43</v>
          </cell>
          <cell r="D130">
            <v>1.55</v>
          </cell>
        </row>
        <row r="131">
          <cell r="C131">
            <v>7.72</v>
          </cell>
          <cell r="D131">
            <v>8.39</v>
          </cell>
        </row>
        <row r="132">
          <cell r="C132">
            <v>1.43</v>
          </cell>
          <cell r="D132">
            <v>1.55</v>
          </cell>
        </row>
        <row r="154">
          <cell r="C154">
            <v>183</v>
          </cell>
          <cell r="D154">
            <v>183</v>
          </cell>
        </row>
        <row r="156">
          <cell r="C156">
            <v>2.0034E-2</v>
          </cell>
          <cell r="D156">
            <v>3.3517999999999999E-2</v>
          </cell>
        </row>
        <row r="157">
          <cell r="C157">
            <v>1.6479000000000001E-2</v>
          </cell>
          <cell r="D157">
            <v>2.8504000000000002E-2</v>
          </cell>
        </row>
        <row r="158">
          <cell r="C158">
            <v>6.9150000000000001E-3</v>
          </cell>
          <cell r="D158">
            <v>1.0567999999999999E-2</v>
          </cell>
        </row>
        <row r="160">
          <cell r="C160">
            <v>3.8117999999999999E-2</v>
          </cell>
          <cell r="D160">
            <v>3.8117999999999999E-2</v>
          </cell>
        </row>
        <row r="161">
          <cell r="C161">
            <v>3.9684999999999998E-2</v>
          </cell>
          <cell r="D161">
            <v>3.9684999999999998E-2</v>
          </cell>
        </row>
        <row r="162">
          <cell r="C162">
            <v>3.4157E-2</v>
          </cell>
          <cell r="D162">
            <v>3.4157E-2</v>
          </cell>
        </row>
        <row r="204">
          <cell r="C204">
            <v>7.0913000000000004E-2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AG1">
            <v>0.14260999999999999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>
        <row r="40">
          <cell r="D40">
            <v>0</v>
          </cell>
        </row>
      </sheetData>
      <sheetData sheetId="5"/>
      <sheetData sheetId="6">
        <row r="68">
          <cell r="C68">
            <v>16379783</v>
          </cell>
          <cell r="E68">
            <v>32690473</v>
          </cell>
          <cell r="F68">
            <v>12153580</v>
          </cell>
          <cell r="H68">
            <v>45833010.049999997</v>
          </cell>
          <cell r="I68">
            <v>90640752.660000011</v>
          </cell>
        </row>
      </sheetData>
      <sheetData sheetId="7">
        <row r="70">
          <cell r="B70">
            <v>5368.5169999999998</v>
          </cell>
          <cell r="C70">
            <v>127759.45600000001</v>
          </cell>
          <cell r="D70">
            <v>8522.7340000000004</v>
          </cell>
          <cell r="E70">
            <v>256717.67600000001</v>
          </cell>
        </row>
      </sheetData>
      <sheetData sheetId="8">
        <row r="69">
          <cell r="B69">
            <v>52</v>
          </cell>
          <cell r="C69">
            <v>104</v>
          </cell>
        </row>
        <row r="71">
          <cell r="G71">
            <v>24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S"/>
      <sheetName val="COM"/>
      <sheetName val="IND"/>
      <sheetName val="OPA"/>
      <sheetName val="SL"/>
      <sheetName val="Fixed SL"/>
      <sheetName val="CU"/>
      <sheetName val="Forecast kWh"/>
      <sheetName val="RAC KWH"/>
      <sheetName val="RES Bills"/>
      <sheetName val="COM Bills"/>
      <sheetName val="IND Bills"/>
      <sheetName val="OPA Bills"/>
      <sheetName val="SL Bills"/>
      <sheetName val="CU Bills"/>
      <sheetName val="Forecast Bills"/>
      <sheetName val="RAC Bills"/>
    </sheetNames>
    <sheetDataSet>
      <sheetData sheetId="0"/>
      <sheetData sheetId="1"/>
      <sheetData sheetId="2"/>
      <sheetData sheetId="3"/>
      <sheetData sheetId="4"/>
      <sheetData sheetId="5">
        <row r="6">
          <cell r="T6">
            <v>1436827.8010000002</v>
          </cell>
        </row>
      </sheetData>
      <sheetData sheetId="6"/>
      <sheetData sheetId="7">
        <row r="21">
          <cell r="U21">
            <v>705518</v>
          </cell>
        </row>
        <row r="38">
          <cell r="U38">
            <v>9081472.0030000005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SIN"/>
      <sheetName val="KWHtoCC"/>
      <sheetName val="RCtoCCtable"/>
      <sheetName val="Forecast KWH"/>
      <sheetName val="Forecast KW"/>
      <sheetName val="Forecast BILLS"/>
    </sheetNames>
    <sheetDataSet>
      <sheetData sheetId="0">
        <row r="6">
          <cell r="AI6">
            <v>7.0913000000000004E-2</v>
          </cell>
        </row>
      </sheetData>
      <sheetData sheetId="1">
        <row r="11">
          <cell r="D11">
            <v>995671.88399999996</v>
          </cell>
        </row>
      </sheetData>
      <sheetData sheetId="2"/>
      <sheetData sheetId="3">
        <row r="68">
          <cell r="B68">
            <v>13877361</v>
          </cell>
        </row>
      </sheetData>
      <sheetData sheetId="4"/>
      <sheetData sheetId="5">
        <row r="69">
          <cell r="B69">
            <v>12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SINRC"/>
      <sheetName val="KWHtoCC"/>
      <sheetName val="RCtoCCtable"/>
      <sheetName val="Forecast KWH"/>
      <sheetName val="Forecast BILLS"/>
    </sheetNames>
    <sheetDataSet>
      <sheetData sheetId="0"/>
      <sheetData sheetId="1">
        <row r="41">
          <cell r="D41">
            <v>107520762.22299999</v>
          </cell>
        </row>
      </sheetData>
      <sheetData sheetId="2"/>
      <sheetData sheetId="3">
        <row r="68">
          <cell r="I68">
            <v>1526476481.0089998</v>
          </cell>
        </row>
      </sheetData>
      <sheetData sheetId="4">
        <row r="69">
          <cell r="I69">
            <v>1673311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SIN"/>
      <sheetName val="DSINSAP"/>
      <sheetName val="kWh"/>
      <sheetName val="kW"/>
      <sheetName val="Bills"/>
      <sheetName val="KWHtoCC"/>
      <sheetName val="Bills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/>
      <sheetData sheetId="5">
        <row r="40">
          <cell r="D40">
            <v>0</v>
          </cell>
        </row>
      </sheetData>
      <sheetData sheetId="6">
        <row r="38">
          <cell r="D38">
            <v>0</v>
          </cell>
        </row>
      </sheetData>
      <sheetData sheetId="7"/>
      <sheetData sheetId="8">
        <row r="68">
          <cell r="B68">
            <v>361837029</v>
          </cell>
          <cell r="D68">
            <v>238242353</v>
          </cell>
          <cell r="E68">
            <v>68532</v>
          </cell>
          <cell r="F68">
            <v>972296</v>
          </cell>
          <cell r="G68">
            <v>-2767</v>
          </cell>
          <cell r="I68">
            <v>541458973.14799953</v>
          </cell>
        </row>
      </sheetData>
      <sheetData sheetId="9">
        <row r="69">
          <cell r="B69">
            <v>1406292</v>
          </cell>
          <cell r="C69">
            <v>2743214</v>
          </cell>
        </row>
      </sheetData>
      <sheetData sheetId="10">
        <row r="69">
          <cell r="C69">
            <v>77629</v>
          </cell>
          <cell r="D69">
            <v>1591</v>
          </cell>
          <cell r="G69">
            <v>12</v>
          </cell>
          <cell r="I69">
            <v>82137</v>
          </cell>
        </row>
        <row r="71">
          <cell r="G71">
            <v>12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TIN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>
        <row r="39">
          <cell r="D39">
            <v>0</v>
          </cell>
        </row>
      </sheetData>
      <sheetData sheetId="5"/>
      <sheetData sheetId="6">
        <row r="68">
          <cell r="B68">
            <v>126553404.05584753</v>
          </cell>
          <cell r="C68">
            <v>49646666.974999994</v>
          </cell>
          <cell r="E68">
            <v>85110731.302000001</v>
          </cell>
          <cell r="G68">
            <v>65816394.282999992</v>
          </cell>
          <cell r="H68">
            <v>279357143.60313225</v>
          </cell>
          <cell r="I68">
            <v>111506442.992</v>
          </cell>
          <cell r="J68">
            <v>1119296</v>
          </cell>
          <cell r="L68">
            <v>224937495.28515249</v>
          </cell>
          <cell r="M68">
            <v>157900437.22586781</v>
          </cell>
        </row>
      </sheetData>
      <sheetData sheetId="7">
        <row r="70">
          <cell r="B70">
            <v>7469.1619355564881</v>
          </cell>
          <cell r="C70">
            <v>350009.57995547005</v>
          </cell>
          <cell r="D70">
            <v>15038.689064443512</v>
          </cell>
          <cell r="E70">
            <v>621652.70904452982</v>
          </cell>
          <cell r="F70">
            <v>5399.4010119620089</v>
          </cell>
          <cell r="G70">
            <v>444209.3925252998</v>
          </cell>
          <cell r="H70">
            <v>15374.516988037991</v>
          </cell>
          <cell r="I70">
            <v>792027.48047470022</v>
          </cell>
          <cell r="J70">
            <v>209044.25899999996</v>
          </cell>
          <cell r="K70">
            <v>392359.89300000004</v>
          </cell>
          <cell r="L70">
            <v>149524</v>
          </cell>
          <cell r="M70">
            <v>243242</v>
          </cell>
        </row>
      </sheetData>
      <sheetData sheetId="8">
        <row r="69">
          <cell r="B69">
            <v>133</v>
          </cell>
          <cell r="C69">
            <v>271</v>
          </cell>
          <cell r="D69">
            <v>466</v>
          </cell>
          <cell r="I69">
            <v>929</v>
          </cell>
        </row>
        <row r="71">
          <cell r="G71">
            <v>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HINSAP"/>
      <sheetName val="KWHtoCC"/>
      <sheetName val="RCtoCCtable"/>
      <sheetName val="Forecast KWH"/>
      <sheetName val="Forecast BILLS"/>
    </sheetNames>
    <sheetDataSet>
      <sheetData sheetId="0"/>
      <sheetData sheetId="1">
        <row r="40">
          <cell r="D40">
            <v>0</v>
          </cell>
        </row>
      </sheetData>
      <sheetData sheetId="2"/>
      <sheetData sheetId="3">
        <row r="68">
          <cell r="I68">
            <v>19400962.346000001</v>
          </cell>
        </row>
      </sheetData>
      <sheetData sheetId="4">
        <row r="69">
          <cell r="B69">
            <v>194</v>
          </cell>
          <cell r="I69">
            <v>770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IN"/>
      <sheetName val="KWHtoCC"/>
      <sheetName val="RCtoCCtable"/>
      <sheetName val="Forecast KWH"/>
      <sheetName val="Forecast BILLS"/>
    </sheetNames>
    <sheetDataSet>
      <sheetData sheetId="0"/>
      <sheetData sheetId="1">
        <row r="40">
          <cell r="D40">
            <v>0</v>
          </cell>
        </row>
      </sheetData>
      <sheetData sheetId="2"/>
      <sheetData sheetId="3">
        <row r="68">
          <cell r="B68">
            <v>326050</v>
          </cell>
        </row>
      </sheetData>
      <sheetData sheetId="4">
        <row r="69">
          <cell r="B69">
            <v>165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SFLIN"/>
      <sheetName val="GSFLINY"/>
      <sheetName val="kwh"/>
      <sheetName val="Bills"/>
      <sheetName val="KWHtoCC"/>
      <sheetName val="RCtoCCtable"/>
      <sheetName val="Forecast KWH"/>
      <sheetName val="Forecast BILLS"/>
    </sheetNames>
    <sheetDataSet>
      <sheetData sheetId="0"/>
      <sheetData sheetId="1"/>
      <sheetData sheetId="2"/>
      <sheetData sheetId="3"/>
      <sheetData sheetId="4">
        <row r="39">
          <cell r="D39">
            <v>0</v>
          </cell>
        </row>
      </sheetData>
      <sheetData sheetId="5"/>
      <sheetData sheetId="6">
        <row r="68">
          <cell r="B68">
            <v>12165</v>
          </cell>
          <cell r="I68">
            <v>6176690.3929999992</v>
          </cell>
        </row>
      </sheetData>
      <sheetData sheetId="7">
        <row r="69">
          <cell r="D69">
            <v>282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PINSAP"/>
      <sheetName val="kWh"/>
      <sheetName val="kW"/>
      <sheetName val="Bills"/>
      <sheetName val="KWHtoCC"/>
      <sheetName val="RCtoCCtable"/>
      <sheetName val="Forecast KWH"/>
      <sheetName val="Forecast KW"/>
      <sheetName val="Forecast BILLS"/>
    </sheetNames>
    <sheetDataSet>
      <sheetData sheetId="0"/>
      <sheetData sheetId="1"/>
      <sheetData sheetId="2"/>
      <sheetData sheetId="3"/>
      <sheetData sheetId="4">
        <row r="39">
          <cell r="D39">
            <v>0</v>
          </cell>
        </row>
      </sheetData>
      <sheetData sheetId="5"/>
      <sheetData sheetId="6">
        <row r="68">
          <cell r="C68">
            <v>882225</v>
          </cell>
          <cell r="D68">
            <v>0</v>
          </cell>
          <cell r="I68">
            <v>6986215.7609999999</v>
          </cell>
        </row>
      </sheetData>
      <sheetData sheetId="7">
        <row r="69">
          <cell r="B69">
            <v>27922</v>
          </cell>
        </row>
      </sheetData>
      <sheetData sheetId="8">
        <row r="69">
          <cell r="B69">
            <v>120</v>
          </cell>
          <cell r="D69">
            <v>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ctrlProp" Target="../ctrlProps/ctrlProp2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vmlDrawing" Target="../drawings/vmlDrawing1.vml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13" Type="http://schemas.openxmlformats.org/officeDocument/2006/relationships/printerSettings" Target="../printerSettings/printerSettings131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12" Type="http://schemas.openxmlformats.org/officeDocument/2006/relationships/printerSettings" Target="../printerSettings/printerSettings130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11" Type="http://schemas.openxmlformats.org/officeDocument/2006/relationships/printerSettings" Target="../printerSettings/printerSettings129.bin"/><Relationship Id="rId5" Type="http://schemas.openxmlformats.org/officeDocument/2006/relationships/printerSettings" Target="../printerSettings/printerSettings123.bin"/><Relationship Id="rId10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9.bin"/><Relationship Id="rId13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4.bin"/><Relationship Id="rId7" Type="http://schemas.openxmlformats.org/officeDocument/2006/relationships/printerSettings" Target="../printerSettings/printerSettings138.bin"/><Relationship Id="rId12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Relationship Id="rId6" Type="http://schemas.openxmlformats.org/officeDocument/2006/relationships/printerSettings" Target="../printerSettings/printerSettings137.bin"/><Relationship Id="rId11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36.bin"/><Relationship Id="rId10" Type="http://schemas.openxmlformats.org/officeDocument/2006/relationships/printerSettings" Target="../printerSettings/printerSettings141.bin"/><Relationship Id="rId4" Type="http://schemas.openxmlformats.org/officeDocument/2006/relationships/printerSettings" Target="../printerSettings/printerSettings135.bin"/><Relationship Id="rId9" Type="http://schemas.openxmlformats.org/officeDocument/2006/relationships/printerSettings" Target="../printerSettings/printerSettings14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26.bin"/><Relationship Id="rId18" Type="http://schemas.openxmlformats.org/officeDocument/2006/relationships/ctrlProp" Target="../ctrlProps/ctrlProp5.xml"/><Relationship Id="rId26" Type="http://schemas.openxmlformats.org/officeDocument/2006/relationships/ctrlProp" Target="../ctrlProps/ctrlProp13.xml"/><Relationship Id="rId39" Type="http://schemas.openxmlformats.org/officeDocument/2006/relationships/ctrlProp" Target="../ctrlProps/ctrlProp26.xml"/><Relationship Id="rId21" Type="http://schemas.openxmlformats.org/officeDocument/2006/relationships/ctrlProp" Target="../ctrlProps/ctrlProp8.xml"/><Relationship Id="rId34" Type="http://schemas.openxmlformats.org/officeDocument/2006/relationships/ctrlProp" Target="../ctrlProps/ctrlProp21.xml"/><Relationship Id="rId42" Type="http://schemas.openxmlformats.org/officeDocument/2006/relationships/ctrlProp" Target="../ctrlProps/ctrlProp29.xml"/><Relationship Id="rId47" Type="http://schemas.openxmlformats.org/officeDocument/2006/relationships/ctrlProp" Target="../ctrlProps/ctrlProp34.xml"/><Relationship Id="rId50" Type="http://schemas.openxmlformats.org/officeDocument/2006/relationships/ctrlProp" Target="../ctrlProps/ctrlProp37.xml"/><Relationship Id="rId55" Type="http://schemas.openxmlformats.org/officeDocument/2006/relationships/ctrlProp" Target="../ctrlProps/ctrlProp42.xml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6" Type="http://schemas.openxmlformats.org/officeDocument/2006/relationships/ctrlProp" Target="../ctrlProps/ctrlProp3.xml"/><Relationship Id="rId29" Type="http://schemas.openxmlformats.org/officeDocument/2006/relationships/ctrlProp" Target="../ctrlProps/ctrlProp16.xml"/><Relationship Id="rId11" Type="http://schemas.openxmlformats.org/officeDocument/2006/relationships/printerSettings" Target="../printerSettings/printerSettings24.bin"/><Relationship Id="rId24" Type="http://schemas.openxmlformats.org/officeDocument/2006/relationships/ctrlProp" Target="../ctrlProps/ctrlProp11.xml"/><Relationship Id="rId32" Type="http://schemas.openxmlformats.org/officeDocument/2006/relationships/ctrlProp" Target="../ctrlProps/ctrlProp19.xml"/><Relationship Id="rId37" Type="http://schemas.openxmlformats.org/officeDocument/2006/relationships/ctrlProp" Target="../ctrlProps/ctrlProp24.xml"/><Relationship Id="rId40" Type="http://schemas.openxmlformats.org/officeDocument/2006/relationships/ctrlProp" Target="../ctrlProps/ctrlProp27.xml"/><Relationship Id="rId45" Type="http://schemas.openxmlformats.org/officeDocument/2006/relationships/ctrlProp" Target="../ctrlProps/ctrlProp32.xml"/><Relationship Id="rId53" Type="http://schemas.openxmlformats.org/officeDocument/2006/relationships/ctrlProp" Target="../ctrlProps/ctrlProp40.xml"/><Relationship Id="rId58" Type="http://schemas.openxmlformats.org/officeDocument/2006/relationships/ctrlProp" Target="../ctrlProps/ctrlProp45.xml"/><Relationship Id="rId5" Type="http://schemas.openxmlformats.org/officeDocument/2006/relationships/printerSettings" Target="../printerSettings/printerSettings18.bin"/><Relationship Id="rId61" Type="http://schemas.openxmlformats.org/officeDocument/2006/relationships/ctrlProp" Target="../ctrlProps/ctrlProp48.xml"/><Relationship Id="rId19" Type="http://schemas.openxmlformats.org/officeDocument/2006/relationships/ctrlProp" Target="../ctrlProps/ctrlProp6.xml"/><Relationship Id="rId14" Type="http://schemas.openxmlformats.org/officeDocument/2006/relationships/drawing" Target="../drawings/drawing2.xml"/><Relationship Id="rId22" Type="http://schemas.openxmlformats.org/officeDocument/2006/relationships/ctrlProp" Target="../ctrlProps/ctrlProp9.xml"/><Relationship Id="rId27" Type="http://schemas.openxmlformats.org/officeDocument/2006/relationships/ctrlProp" Target="../ctrlProps/ctrlProp14.xml"/><Relationship Id="rId30" Type="http://schemas.openxmlformats.org/officeDocument/2006/relationships/ctrlProp" Target="../ctrlProps/ctrlProp17.xml"/><Relationship Id="rId35" Type="http://schemas.openxmlformats.org/officeDocument/2006/relationships/ctrlProp" Target="../ctrlProps/ctrlProp22.xml"/><Relationship Id="rId43" Type="http://schemas.openxmlformats.org/officeDocument/2006/relationships/ctrlProp" Target="../ctrlProps/ctrlProp30.xml"/><Relationship Id="rId48" Type="http://schemas.openxmlformats.org/officeDocument/2006/relationships/ctrlProp" Target="../ctrlProps/ctrlProp35.xml"/><Relationship Id="rId56" Type="http://schemas.openxmlformats.org/officeDocument/2006/relationships/ctrlProp" Target="../ctrlProps/ctrlProp43.xml"/><Relationship Id="rId8" Type="http://schemas.openxmlformats.org/officeDocument/2006/relationships/printerSettings" Target="../printerSettings/printerSettings21.bin"/><Relationship Id="rId51" Type="http://schemas.openxmlformats.org/officeDocument/2006/relationships/ctrlProp" Target="../ctrlProps/ctrlProp38.xml"/><Relationship Id="rId3" Type="http://schemas.openxmlformats.org/officeDocument/2006/relationships/printerSettings" Target="../printerSettings/printerSettings16.bin"/><Relationship Id="rId12" Type="http://schemas.openxmlformats.org/officeDocument/2006/relationships/printerSettings" Target="../printerSettings/printerSettings25.bin"/><Relationship Id="rId17" Type="http://schemas.openxmlformats.org/officeDocument/2006/relationships/ctrlProp" Target="../ctrlProps/ctrlProp4.xml"/><Relationship Id="rId25" Type="http://schemas.openxmlformats.org/officeDocument/2006/relationships/ctrlProp" Target="../ctrlProps/ctrlProp12.xml"/><Relationship Id="rId33" Type="http://schemas.openxmlformats.org/officeDocument/2006/relationships/ctrlProp" Target="../ctrlProps/ctrlProp20.xml"/><Relationship Id="rId38" Type="http://schemas.openxmlformats.org/officeDocument/2006/relationships/ctrlProp" Target="../ctrlProps/ctrlProp25.xml"/><Relationship Id="rId46" Type="http://schemas.openxmlformats.org/officeDocument/2006/relationships/ctrlProp" Target="../ctrlProps/ctrlProp33.xml"/><Relationship Id="rId59" Type="http://schemas.openxmlformats.org/officeDocument/2006/relationships/ctrlProp" Target="../ctrlProps/ctrlProp46.xml"/><Relationship Id="rId20" Type="http://schemas.openxmlformats.org/officeDocument/2006/relationships/ctrlProp" Target="../ctrlProps/ctrlProp7.xml"/><Relationship Id="rId41" Type="http://schemas.openxmlformats.org/officeDocument/2006/relationships/ctrlProp" Target="../ctrlProps/ctrlProp28.xml"/><Relationship Id="rId54" Type="http://schemas.openxmlformats.org/officeDocument/2006/relationships/ctrlProp" Target="../ctrlProps/ctrlProp41.xml"/><Relationship Id="rId62" Type="http://schemas.openxmlformats.org/officeDocument/2006/relationships/ctrlProp" Target="../ctrlProps/ctrlProp49.xml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5" Type="http://schemas.openxmlformats.org/officeDocument/2006/relationships/vmlDrawing" Target="../drawings/vmlDrawing2.vml"/><Relationship Id="rId23" Type="http://schemas.openxmlformats.org/officeDocument/2006/relationships/ctrlProp" Target="../ctrlProps/ctrlProp10.xml"/><Relationship Id="rId28" Type="http://schemas.openxmlformats.org/officeDocument/2006/relationships/ctrlProp" Target="../ctrlProps/ctrlProp15.xml"/><Relationship Id="rId36" Type="http://schemas.openxmlformats.org/officeDocument/2006/relationships/ctrlProp" Target="../ctrlProps/ctrlProp23.xml"/><Relationship Id="rId49" Type="http://schemas.openxmlformats.org/officeDocument/2006/relationships/ctrlProp" Target="../ctrlProps/ctrlProp36.xml"/><Relationship Id="rId57" Type="http://schemas.openxmlformats.org/officeDocument/2006/relationships/ctrlProp" Target="../ctrlProps/ctrlProp44.xml"/><Relationship Id="rId10" Type="http://schemas.openxmlformats.org/officeDocument/2006/relationships/printerSettings" Target="../printerSettings/printerSettings23.bin"/><Relationship Id="rId31" Type="http://schemas.openxmlformats.org/officeDocument/2006/relationships/ctrlProp" Target="../ctrlProps/ctrlProp18.xml"/><Relationship Id="rId44" Type="http://schemas.openxmlformats.org/officeDocument/2006/relationships/ctrlProp" Target="../ctrlProps/ctrlProp31.xml"/><Relationship Id="rId52" Type="http://schemas.openxmlformats.org/officeDocument/2006/relationships/ctrlProp" Target="../ctrlProps/ctrlProp39.xml"/><Relationship Id="rId60" Type="http://schemas.openxmlformats.org/officeDocument/2006/relationships/ctrlProp" Target="../ctrlProps/ctrlProp47.xml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13" Type="http://schemas.openxmlformats.org/officeDocument/2006/relationships/printerSettings" Target="../printerSettings/printerSettings200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8.bin"/><Relationship Id="rId13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207.bin"/><Relationship Id="rId12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6" Type="http://schemas.openxmlformats.org/officeDocument/2006/relationships/printerSettings" Target="../printerSettings/printerSettings206.bin"/><Relationship Id="rId11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10.bin"/><Relationship Id="rId4" Type="http://schemas.openxmlformats.org/officeDocument/2006/relationships/printerSettings" Target="../printerSettings/printerSettings204.bin"/><Relationship Id="rId9" Type="http://schemas.openxmlformats.org/officeDocument/2006/relationships/printerSettings" Target="../printerSettings/printerSettings20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2.bin"/><Relationship Id="rId13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17.bin"/><Relationship Id="rId7" Type="http://schemas.openxmlformats.org/officeDocument/2006/relationships/printerSettings" Target="../printerSettings/printerSettings221.bin"/><Relationship Id="rId12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Relationship Id="rId6" Type="http://schemas.openxmlformats.org/officeDocument/2006/relationships/printerSettings" Target="../printerSettings/printerSettings220.bin"/><Relationship Id="rId11" Type="http://schemas.openxmlformats.org/officeDocument/2006/relationships/printerSettings" Target="../printerSettings/printerSettings225.bin"/><Relationship Id="rId5" Type="http://schemas.openxmlformats.org/officeDocument/2006/relationships/printerSettings" Target="../printerSettings/printerSettings219.bin"/><Relationship Id="rId10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18.bin"/><Relationship Id="rId9" Type="http://schemas.openxmlformats.org/officeDocument/2006/relationships/printerSettings" Target="../printerSettings/printerSettings223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5.bin"/><Relationship Id="rId13" Type="http://schemas.openxmlformats.org/officeDocument/2006/relationships/printerSettings" Target="../printerSettings/printerSettings240.bin"/><Relationship Id="rId3" Type="http://schemas.openxmlformats.org/officeDocument/2006/relationships/printerSettings" Target="../printerSettings/printerSettings230.bin"/><Relationship Id="rId7" Type="http://schemas.openxmlformats.org/officeDocument/2006/relationships/printerSettings" Target="../printerSettings/printerSettings234.bin"/><Relationship Id="rId12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Relationship Id="rId6" Type="http://schemas.openxmlformats.org/officeDocument/2006/relationships/printerSettings" Target="../printerSettings/printerSettings233.bin"/><Relationship Id="rId11" Type="http://schemas.openxmlformats.org/officeDocument/2006/relationships/printerSettings" Target="../printerSettings/printerSettings238.bin"/><Relationship Id="rId5" Type="http://schemas.openxmlformats.org/officeDocument/2006/relationships/printerSettings" Target="../printerSettings/printerSettings232.bin"/><Relationship Id="rId10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31.bin"/><Relationship Id="rId9" Type="http://schemas.openxmlformats.org/officeDocument/2006/relationships/printerSettings" Target="../printerSettings/printerSettings2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13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12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11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59.bin"/><Relationship Id="rId10" Type="http://schemas.openxmlformats.org/officeDocument/2006/relationships/printerSettings" Target="../printerSettings/printerSettings264.bin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5.bin"/><Relationship Id="rId13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0.bin"/><Relationship Id="rId7" Type="http://schemas.openxmlformats.org/officeDocument/2006/relationships/printerSettings" Target="../printerSettings/printerSettings274.bin"/><Relationship Id="rId12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Relationship Id="rId6" Type="http://schemas.openxmlformats.org/officeDocument/2006/relationships/printerSettings" Target="../printerSettings/printerSettings273.bin"/><Relationship Id="rId11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77.bin"/><Relationship Id="rId4" Type="http://schemas.openxmlformats.org/officeDocument/2006/relationships/printerSettings" Target="../printerSettings/printerSettings271.bin"/><Relationship Id="rId9" Type="http://schemas.openxmlformats.org/officeDocument/2006/relationships/printerSettings" Target="../printerSettings/printerSettings27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32.bin"/><Relationship Id="rId10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.bin"/><Relationship Id="rId13" Type="http://schemas.openxmlformats.org/officeDocument/2006/relationships/printerSettings" Target="../printerSettings/printerSettings66.bin"/><Relationship Id="rId3" Type="http://schemas.openxmlformats.org/officeDocument/2006/relationships/printerSettings" Target="../printerSettings/printerSettings56.bin"/><Relationship Id="rId7" Type="http://schemas.openxmlformats.org/officeDocument/2006/relationships/printerSettings" Target="../printerSettings/printerSettings60.bin"/><Relationship Id="rId12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printerSettings" Target="../printerSettings/printerSettings59.bin"/><Relationship Id="rId1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58.bin"/><Relationship Id="rId10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57.bin"/><Relationship Id="rId9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13" Type="http://schemas.openxmlformats.org/officeDocument/2006/relationships/printerSettings" Target="../printerSettings/printerSettings79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12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1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13" Type="http://schemas.openxmlformats.org/officeDocument/2006/relationships/printerSettings" Target="../printerSettings/printerSettings92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12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11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0.bin"/><Relationship Id="rId13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95.bin"/><Relationship Id="rId7" Type="http://schemas.openxmlformats.org/officeDocument/2006/relationships/printerSettings" Target="../printerSettings/printerSettings99.bin"/><Relationship Id="rId12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6" Type="http://schemas.openxmlformats.org/officeDocument/2006/relationships/printerSettings" Target="../printerSettings/printerSettings98.bin"/><Relationship Id="rId11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97.bin"/><Relationship Id="rId10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96.bin"/><Relationship Id="rId9" Type="http://schemas.openxmlformats.org/officeDocument/2006/relationships/printerSettings" Target="../printerSettings/printerSettings10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207"/>
  <sheetViews>
    <sheetView workbookViewId="0">
      <selection sqref="A1:J1"/>
    </sheetView>
  </sheetViews>
  <sheetFormatPr defaultColWidth="8.9140625" defaultRowHeight="15" x14ac:dyDescent="0.25"/>
  <cols>
    <col min="1" max="1" width="4.9140625" style="1" customWidth="1"/>
    <col min="2" max="2" width="34.33203125" style="1" customWidth="1"/>
    <col min="3" max="4" width="12.75" style="1" customWidth="1"/>
    <col min="5" max="5" width="11.75" style="1" customWidth="1"/>
    <col min="6" max="7" width="10.6640625" style="1" customWidth="1"/>
    <col min="8" max="9" width="12.75" style="1" customWidth="1"/>
    <col min="10" max="10" width="10.58203125" style="1" customWidth="1"/>
    <col min="11" max="16384" width="8.9140625" style="1"/>
  </cols>
  <sheetData>
    <row r="1" spans="1:12" ht="27.75" customHeight="1" x14ac:dyDescent="0.5">
      <c r="A1" s="346" t="s">
        <v>863</v>
      </c>
      <c r="B1" s="347"/>
      <c r="C1" s="347"/>
      <c r="D1" s="347"/>
      <c r="E1" s="347"/>
      <c r="F1" s="347"/>
      <c r="G1" s="347"/>
      <c r="H1" s="347"/>
      <c r="I1" s="347"/>
      <c r="J1" s="347"/>
      <c r="K1" s="15"/>
      <c r="L1" s="15"/>
    </row>
    <row r="2" spans="1:12" ht="15.6" x14ac:dyDescent="0.3">
      <c r="A2" s="57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 x14ac:dyDescent="0.25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</row>
    <row r="4" spans="1:12" ht="16.2" thickBot="1" x14ac:dyDescent="0.35">
      <c r="A4" s="24" t="s">
        <v>194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6.2" thickBot="1" x14ac:dyDescent="0.35">
      <c r="A5" s="15"/>
      <c r="B5" s="75" t="s">
        <v>864</v>
      </c>
      <c r="C5" s="48"/>
      <c r="D5" s="45"/>
      <c r="E5" s="45"/>
      <c r="F5" s="46"/>
      <c r="G5" s="15"/>
      <c r="H5" s="67"/>
      <c r="I5" s="95" t="s">
        <v>868</v>
      </c>
      <c r="J5" s="15"/>
      <c r="K5" s="15"/>
      <c r="L5" s="15"/>
    </row>
    <row r="6" spans="1:12" ht="16.2" thickBot="1" x14ac:dyDescent="0.35">
      <c r="A6" s="15"/>
      <c r="B6" s="94" t="str">
        <f>IF(H7=1,"6 Months Actual and 6 Months Projected with Riders","6 Months Actual and 6 Months Projected without Riders")</f>
        <v>6 Months Actual and 6 Months Projected with Riders</v>
      </c>
      <c r="C6" s="48"/>
      <c r="D6" s="45"/>
      <c r="E6" s="45"/>
      <c r="F6" s="46"/>
      <c r="G6" s="15"/>
      <c r="H6" s="68"/>
      <c r="I6" s="96" t="s">
        <v>869</v>
      </c>
      <c r="J6" s="15"/>
      <c r="K6" s="15"/>
      <c r="L6" s="15"/>
    </row>
    <row r="7" spans="1:12" ht="16.2" thickBot="1" x14ac:dyDescent="0.35">
      <c r="A7" s="24"/>
      <c r="B7" s="15"/>
      <c r="C7" s="15"/>
      <c r="D7" s="15"/>
      <c r="E7" s="15"/>
      <c r="F7" s="15"/>
      <c r="G7" s="15"/>
      <c r="H7" s="69">
        <v>1</v>
      </c>
      <c r="I7" s="96" t="s">
        <v>870</v>
      </c>
      <c r="J7" s="15"/>
      <c r="K7" s="15"/>
      <c r="L7" s="15"/>
    </row>
    <row r="8" spans="1:12" ht="16.2" thickBot="1" x14ac:dyDescent="0.35">
      <c r="A8" s="15"/>
      <c r="B8" s="25" t="s">
        <v>477</v>
      </c>
      <c r="C8" s="49"/>
      <c r="D8" s="26"/>
      <c r="E8" s="26"/>
      <c r="F8" s="27"/>
      <c r="G8" s="19"/>
      <c r="H8" s="19"/>
      <c r="I8" s="16"/>
      <c r="J8" s="15"/>
      <c r="K8" s="15"/>
      <c r="L8" s="15"/>
    </row>
    <row r="9" spans="1:12" ht="16.2" thickBot="1" x14ac:dyDescent="0.35">
      <c r="A9" s="15"/>
      <c r="B9" s="18" t="s">
        <v>0</v>
      </c>
      <c r="C9" s="18"/>
      <c r="D9" s="19"/>
      <c r="E9" s="19"/>
      <c r="F9" s="19"/>
      <c r="G9" s="19"/>
      <c r="H9" s="19"/>
      <c r="I9" s="16"/>
      <c r="J9" s="15"/>
      <c r="K9" s="15"/>
      <c r="L9" s="15"/>
    </row>
    <row r="10" spans="1:12" ht="16.2" thickBot="1" x14ac:dyDescent="0.35">
      <c r="A10" s="15"/>
      <c r="B10" s="66" t="s">
        <v>865</v>
      </c>
      <c r="C10" s="49"/>
      <c r="D10" s="26"/>
      <c r="E10" s="26"/>
      <c r="F10" s="26"/>
      <c r="G10" s="27"/>
      <c r="H10" s="19"/>
      <c r="I10" s="16"/>
      <c r="J10" s="15"/>
      <c r="K10" s="15"/>
      <c r="L10" s="15"/>
    </row>
    <row r="11" spans="1:12" ht="16.2" thickBot="1" x14ac:dyDescent="0.35">
      <c r="A11" s="15"/>
      <c r="B11" s="65" t="s">
        <v>871</v>
      </c>
      <c r="C11" s="31"/>
      <c r="D11" s="38"/>
      <c r="E11" s="38"/>
      <c r="F11" s="38"/>
      <c r="G11" s="29"/>
      <c r="H11" s="15"/>
      <c r="I11" s="17"/>
      <c r="J11" s="15"/>
      <c r="K11" s="15"/>
      <c r="L11" s="15"/>
    </row>
    <row r="12" spans="1:12" ht="16.2" thickBot="1" x14ac:dyDescent="0.35">
      <c r="A12" s="15"/>
      <c r="B12" s="23" t="s">
        <v>1</v>
      </c>
      <c r="C12" s="23"/>
      <c r="D12" s="36" t="s">
        <v>2</v>
      </c>
      <c r="E12" s="37"/>
      <c r="F12" s="15"/>
      <c r="G12" s="15"/>
      <c r="H12" s="15"/>
      <c r="I12" s="17"/>
      <c r="J12" s="15"/>
      <c r="K12" s="15"/>
      <c r="L12" s="15"/>
    </row>
    <row r="13" spans="1:12" ht="16.2" thickBot="1" x14ac:dyDescent="0.35">
      <c r="A13" s="15"/>
      <c r="B13" s="30" t="s">
        <v>866</v>
      </c>
      <c r="C13" s="32"/>
      <c r="D13" s="31"/>
      <c r="E13" s="31"/>
      <c r="F13" s="31"/>
      <c r="G13" s="28"/>
      <c r="H13" s="15"/>
      <c r="I13" s="16" t="s">
        <v>709</v>
      </c>
      <c r="J13" s="15"/>
      <c r="K13" s="15"/>
      <c r="L13" s="15"/>
    </row>
    <row r="14" spans="1:12" ht="16.2" thickBot="1" x14ac:dyDescent="0.35">
      <c r="A14" s="15"/>
      <c r="B14" s="30" t="s">
        <v>333</v>
      </c>
      <c r="C14" s="32"/>
      <c r="D14" s="32"/>
      <c r="E14" s="31"/>
      <c r="F14" s="31"/>
      <c r="G14" s="28"/>
      <c r="H14" s="15"/>
      <c r="I14" s="16" t="s">
        <v>710</v>
      </c>
      <c r="J14" s="88">
        <v>24</v>
      </c>
      <c r="K14" s="15"/>
      <c r="L14" s="15"/>
    </row>
    <row r="15" spans="1:12" ht="16.2" thickBot="1" x14ac:dyDescent="0.35">
      <c r="A15" s="15"/>
      <c r="B15" s="54" t="s">
        <v>867</v>
      </c>
      <c r="C15" s="32"/>
      <c r="D15" s="32"/>
      <c r="E15" s="31"/>
      <c r="F15" s="31"/>
      <c r="G15" s="28"/>
      <c r="H15" s="15"/>
      <c r="I15" s="16" t="s">
        <v>711</v>
      </c>
      <c r="J15" s="88">
        <v>24</v>
      </c>
      <c r="K15" s="15"/>
      <c r="L15" s="15"/>
    </row>
    <row r="16" spans="1:12" ht="42" customHeight="1" x14ac:dyDescent="0.25">
      <c r="A16" s="15"/>
      <c r="B16" s="15"/>
      <c r="C16" s="15"/>
      <c r="D16" s="15"/>
      <c r="E16" s="15"/>
      <c r="F16" s="15"/>
      <c r="G16" s="15"/>
      <c r="H16" s="15"/>
      <c r="I16" s="16"/>
      <c r="J16" s="15"/>
      <c r="K16" s="15"/>
      <c r="L16" s="15"/>
    </row>
    <row r="17" spans="1:12" ht="19.5" customHeight="1" x14ac:dyDescent="0.3">
      <c r="A17" s="15"/>
      <c r="B17" s="15"/>
      <c r="C17" s="47" t="s">
        <v>8</v>
      </c>
      <c r="D17" s="47" t="s">
        <v>6</v>
      </c>
      <c r="E17" s="51"/>
      <c r="F17" s="15"/>
      <c r="G17" s="15"/>
      <c r="H17" s="15"/>
      <c r="I17" s="16"/>
      <c r="J17" s="15"/>
      <c r="K17" s="15"/>
      <c r="L17" s="15"/>
    </row>
    <row r="18" spans="1:12" ht="19.5" customHeight="1" thickBot="1" x14ac:dyDescent="0.35">
      <c r="A18" s="15"/>
      <c r="B18" s="52" t="s">
        <v>713</v>
      </c>
      <c r="C18" s="15"/>
      <c r="D18" s="15"/>
      <c r="E18" s="47"/>
      <c r="F18" s="15"/>
      <c r="G18" s="15"/>
      <c r="H18" s="15"/>
      <c r="I18" s="16"/>
      <c r="J18" s="15"/>
      <c r="K18" s="15"/>
      <c r="L18" s="15"/>
    </row>
    <row r="19" spans="1:12" ht="16.2" thickBot="1" x14ac:dyDescent="0.35">
      <c r="A19" s="15"/>
      <c r="B19" s="50" t="s">
        <v>531</v>
      </c>
      <c r="C19" s="39">
        <f>[1]INPUT!C19</f>
        <v>3.4872127999999998E-3</v>
      </c>
      <c r="D19" s="39">
        <f>[1]INPUT!D19</f>
        <v>3.4872127999999998E-3</v>
      </c>
      <c r="E19" s="33" t="s">
        <v>332</v>
      </c>
      <c r="F19" s="55">
        <f>CUR_FAC</f>
        <v>3.4872127999999998E-3</v>
      </c>
      <c r="G19" s="56"/>
      <c r="H19" s="56"/>
      <c r="I19" s="39"/>
      <c r="J19" s="58" t="s">
        <v>546</v>
      </c>
      <c r="K19" s="59"/>
      <c r="L19" s="59"/>
    </row>
    <row r="20" spans="1:12" ht="16.2" thickBot="1" x14ac:dyDescent="0.35">
      <c r="A20" s="15"/>
      <c r="B20" s="33" t="s">
        <v>427</v>
      </c>
      <c r="C20" s="39">
        <f>[1]INPUT!C20</f>
        <v>3.3779999999999998E-2</v>
      </c>
      <c r="D20" s="39">
        <f>[1]INPUT!D20</f>
        <v>3.3779999999999998E-2</v>
      </c>
      <c r="E20" s="33" t="s">
        <v>332</v>
      </c>
      <c r="F20" s="22"/>
      <c r="G20" s="15"/>
      <c r="H20" s="15"/>
      <c r="I20" s="15"/>
      <c r="J20" s="33"/>
      <c r="K20" s="15"/>
      <c r="L20" s="15"/>
    </row>
    <row r="21" spans="1:12" ht="15.6" x14ac:dyDescent="0.3">
      <c r="A21" s="15"/>
      <c r="B21" s="33"/>
      <c r="C21" s="33"/>
      <c r="D21" s="33"/>
      <c r="E21" s="33"/>
      <c r="F21" s="22"/>
      <c r="G21" s="15"/>
      <c r="H21" s="15"/>
      <c r="I21" s="15"/>
      <c r="J21" s="33"/>
      <c r="K21" s="15"/>
      <c r="L21" s="15"/>
    </row>
    <row r="22" spans="1:12" ht="18" thickBot="1" x14ac:dyDescent="0.35">
      <c r="A22" s="15"/>
      <c r="B22" s="344" t="s">
        <v>788</v>
      </c>
      <c r="C22" s="344"/>
      <c r="D22" s="344"/>
      <c r="E22" s="33"/>
      <c r="F22" s="22"/>
      <c r="G22" s="15"/>
      <c r="H22" s="15"/>
      <c r="I22" s="15"/>
      <c r="J22" s="33"/>
      <c r="K22" s="15"/>
      <c r="L22" s="15"/>
    </row>
    <row r="23" spans="1:12" ht="16.2" thickBot="1" x14ac:dyDescent="0.35">
      <c r="A23" s="15"/>
      <c r="B23" s="33" t="s">
        <v>53</v>
      </c>
      <c r="C23" s="41"/>
      <c r="D23" s="41"/>
      <c r="E23" s="33" t="s">
        <v>332</v>
      </c>
      <c r="F23" s="22"/>
      <c r="G23" s="15"/>
      <c r="H23" s="15"/>
      <c r="I23" s="15"/>
      <c r="J23" s="33"/>
      <c r="K23" s="15"/>
      <c r="L23" s="15"/>
    </row>
    <row r="24" spans="1:12" ht="16.2" thickBot="1" x14ac:dyDescent="0.35">
      <c r="A24" s="15"/>
      <c r="B24" s="33" t="s">
        <v>253</v>
      </c>
      <c r="C24" s="41"/>
      <c r="D24" s="41"/>
      <c r="E24" s="33" t="s">
        <v>332</v>
      </c>
      <c r="F24" s="22"/>
      <c r="G24" s="15"/>
      <c r="H24" s="15"/>
      <c r="I24" s="15"/>
      <c r="J24" s="33"/>
      <c r="K24" s="15"/>
      <c r="L24" s="15"/>
    </row>
    <row r="25" spans="1:12" ht="16.2" thickBot="1" x14ac:dyDescent="0.35">
      <c r="A25" s="15"/>
      <c r="B25" s="33" t="s">
        <v>254</v>
      </c>
      <c r="C25" s="41"/>
      <c r="D25" s="41"/>
      <c r="E25" s="33" t="s">
        <v>332</v>
      </c>
      <c r="F25" s="22"/>
      <c r="G25" s="15"/>
      <c r="H25" s="15"/>
      <c r="I25" s="15"/>
      <c r="J25" s="33"/>
      <c r="K25" s="15"/>
      <c r="L25" s="15"/>
    </row>
    <row r="26" spans="1:12" ht="16.2" thickBot="1" x14ac:dyDescent="0.35">
      <c r="A26" s="15"/>
      <c r="B26" s="33" t="s">
        <v>385</v>
      </c>
      <c r="C26" s="42"/>
      <c r="D26" s="41"/>
      <c r="E26" s="33" t="s">
        <v>332</v>
      </c>
      <c r="F26" s="22"/>
      <c r="G26" s="15"/>
      <c r="H26" s="15"/>
      <c r="I26" s="15"/>
      <c r="J26" s="33"/>
      <c r="K26" s="15"/>
      <c r="L26" s="15"/>
    </row>
    <row r="27" spans="1:12" ht="15.6" x14ac:dyDescent="0.3">
      <c r="A27" s="15"/>
      <c r="B27" s="33"/>
      <c r="C27" s="33"/>
      <c r="D27" s="22"/>
      <c r="E27" s="33"/>
      <c r="F27" s="22"/>
      <c r="G27" s="15"/>
      <c r="H27" s="15"/>
      <c r="I27" s="15"/>
      <c r="J27" s="33"/>
      <c r="K27" s="15"/>
      <c r="L27" s="15"/>
    </row>
    <row r="28" spans="1:12" ht="18" thickBot="1" x14ac:dyDescent="0.35">
      <c r="A28" s="15"/>
      <c r="B28" s="64" t="s">
        <v>785</v>
      </c>
      <c r="C28" s="33"/>
      <c r="D28" s="40"/>
      <c r="E28" s="33"/>
      <c r="F28" s="15"/>
      <c r="G28" s="22"/>
      <c r="H28" s="15"/>
      <c r="I28" s="16"/>
      <c r="J28" s="15"/>
      <c r="K28" s="15"/>
      <c r="L28" s="15"/>
    </row>
    <row r="29" spans="1:12" ht="16.2" thickBot="1" x14ac:dyDescent="0.35">
      <c r="A29" s="15"/>
      <c r="B29" s="33" t="s">
        <v>53</v>
      </c>
      <c r="C29" s="39">
        <f>[1]INPUT!C29</f>
        <v>1.3519999999999999E-3</v>
      </c>
      <c r="D29" s="39">
        <f>[1]INPUT!D29</f>
        <v>1.3519999999999999E-3</v>
      </c>
      <c r="E29" s="33" t="s">
        <v>332</v>
      </c>
      <c r="F29" s="70"/>
      <c r="G29" s="70"/>
      <c r="H29" s="15"/>
      <c r="I29" s="39">
        <f>[1]INPUT!I29</f>
        <v>0.3</v>
      </c>
      <c r="J29" s="39">
        <f>[1]INPUT!J29</f>
        <v>0.3</v>
      </c>
      <c r="K29" s="23" t="s">
        <v>541</v>
      </c>
      <c r="L29" s="15"/>
    </row>
    <row r="30" spans="1:12" ht="16.2" thickBot="1" x14ac:dyDescent="0.35">
      <c r="A30" s="15"/>
      <c r="B30" s="33" t="s">
        <v>253</v>
      </c>
      <c r="C30" s="39">
        <f>[1]INPUT!C30</f>
        <v>3.503E-3</v>
      </c>
      <c r="D30" s="39">
        <f>[1]INPUT!D30</f>
        <v>3.503E-3</v>
      </c>
      <c r="E30" s="33" t="s">
        <v>332</v>
      </c>
      <c r="F30" s="70"/>
      <c r="G30" s="70"/>
      <c r="H30" s="15"/>
      <c r="I30" s="16"/>
      <c r="J30" s="15"/>
      <c r="K30" s="15"/>
      <c r="L30" s="15"/>
    </row>
    <row r="31" spans="1:12" ht="16.2" thickBot="1" x14ac:dyDescent="0.35">
      <c r="A31" s="15"/>
      <c r="B31" s="33" t="s">
        <v>254</v>
      </c>
      <c r="C31" s="39">
        <f>[1]INPUT!C31</f>
        <v>5.1400000000000003E-4</v>
      </c>
      <c r="D31" s="39">
        <f>[1]INPUT!D31</f>
        <v>5.1400000000000003E-4</v>
      </c>
      <c r="E31" s="33" t="s">
        <v>332</v>
      </c>
      <c r="F31" s="70"/>
      <c r="G31" s="70"/>
      <c r="H31" s="15"/>
      <c r="I31" s="16"/>
      <c r="J31" s="15"/>
      <c r="K31" s="15"/>
      <c r="L31" s="15"/>
    </row>
    <row r="32" spans="1:12" x14ac:dyDescent="0.25">
      <c r="A32" s="15"/>
      <c r="B32" s="20"/>
      <c r="C32" s="20"/>
      <c r="D32" s="15"/>
      <c r="E32" s="21"/>
      <c r="F32" s="20"/>
      <c r="G32" s="22"/>
      <c r="H32" s="15"/>
      <c r="I32" s="16"/>
      <c r="J32" s="15"/>
      <c r="K32" s="15"/>
      <c r="L32" s="15"/>
    </row>
    <row r="33" spans="1:12" ht="18" thickBot="1" x14ac:dyDescent="0.35">
      <c r="A33" s="15"/>
      <c r="B33" s="345" t="s">
        <v>786</v>
      </c>
      <c r="C33" s="342"/>
      <c r="D33" s="15"/>
      <c r="E33" s="21"/>
      <c r="F33" s="20"/>
      <c r="G33" s="22"/>
      <c r="H33" s="15"/>
      <c r="I33" s="16"/>
      <c r="J33" s="15"/>
      <c r="K33" s="15"/>
      <c r="L33" s="15"/>
    </row>
    <row r="34" spans="1:12" ht="16.2" thickBot="1" x14ac:dyDescent="0.35">
      <c r="A34" s="15"/>
      <c r="B34" s="23" t="s">
        <v>386</v>
      </c>
      <c r="C34" s="39">
        <f>[1]INPUT!C34</f>
        <v>2.4750000000000002E-3</v>
      </c>
      <c r="D34" s="39">
        <f>[1]INPUT!D34</f>
        <v>2.4750000000000002E-3</v>
      </c>
      <c r="E34" s="33" t="s">
        <v>332</v>
      </c>
      <c r="F34" s="71"/>
      <c r="G34" s="71"/>
      <c r="H34" s="15"/>
      <c r="I34" s="16"/>
      <c r="J34" s="15"/>
      <c r="K34" s="15"/>
      <c r="L34" s="15"/>
    </row>
    <row r="35" spans="1:12" x14ac:dyDescent="0.25">
      <c r="A35" s="15"/>
      <c r="B35" s="20"/>
      <c r="C35" s="20"/>
      <c r="D35" s="15"/>
      <c r="E35" s="21"/>
      <c r="F35" s="22"/>
      <c r="G35" s="22"/>
      <c r="H35" s="15"/>
      <c r="I35" s="16"/>
      <c r="J35" s="15"/>
      <c r="K35" s="15"/>
      <c r="L35" s="15"/>
    </row>
    <row r="36" spans="1:12" x14ac:dyDescent="0.25">
      <c r="A36" s="15"/>
      <c r="B36" s="20"/>
      <c r="C36" s="20"/>
      <c r="D36" s="15"/>
      <c r="E36" s="21"/>
      <c r="F36" s="20"/>
      <c r="G36" s="22"/>
      <c r="H36" s="15"/>
      <c r="I36" s="16"/>
      <c r="J36" s="15"/>
      <c r="K36" s="15"/>
      <c r="L36" s="15"/>
    </row>
    <row r="37" spans="1:12" ht="15.6" thickBot="1" x14ac:dyDescent="0.3">
      <c r="A37" s="15"/>
      <c r="B37" s="20"/>
      <c r="C37" s="20"/>
      <c r="D37" s="15"/>
      <c r="E37" s="21"/>
      <c r="F37" s="20"/>
      <c r="G37" s="22"/>
      <c r="H37" s="15"/>
      <c r="I37" s="16"/>
      <c r="J37" s="15"/>
      <c r="K37" s="15"/>
      <c r="L37" s="15"/>
    </row>
    <row r="38" spans="1:12" ht="16.2" thickBot="1" x14ac:dyDescent="0.35">
      <c r="A38" s="15"/>
      <c r="B38" s="34" t="s">
        <v>3</v>
      </c>
      <c r="C38" s="34"/>
      <c r="D38" s="35" t="s">
        <v>714</v>
      </c>
      <c r="E38" s="29"/>
      <c r="F38" s="15"/>
      <c r="G38" s="15"/>
      <c r="H38" s="15"/>
      <c r="I38" s="15"/>
      <c r="J38" s="15"/>
      <c r="K38" s="15"/>
      <c r="L38" s="15"/>
    </row>
    <row r="39" spans="1:12" ht="15.6" x14ac:dyDescent="0.3">
      <c r="A39" s="15"/>
      <c r="B39" s="20"/>
      <c r="C39" s="20"/>
      <c r="D39" s="22"/>
      <c r="E39" s="22"/>
      <c r="F39" s="20"/>
      <c r="G39" s="22"/>
      <c r="H39" s="15"/>
      <c r="I39" s="15"/>
      <c r="J39" s="33"/>
      <c r="K39" s="15"/>
      <c r="L39" s="15"/>
    </row>
    <row r="40" spans="1:12" ht="15.6" x14ac:dyDescent="0.3">
      <c r="A40" s="15"/>
      <c r="B40" s="15"/>
      <c r="C40" s="15"/>
      <c r="D40" s="15"/>
      <c r="E40" s="15"/>
      <c r="F40" s="15"/>
      <c r="G40" s="15"/>
      <c r="H40" s="23"/>
      <c r="I40" s="15"/>
      <c r="J40" s="33"/>
      <c r="K40" s="15"/>
      <c r="L40" s="15"/>
    </row>
    <row r="41" spans="1:12" ht="15.6" x14ac:dyDescent="0.3">
      <c r="A41" s="15"/>
      <c r="B41" s="15"/>
      <c r="C41" s="47" t="s">
        <v>8</v>
      </c>
      <c r="D41" s="47" t="s">
        <v>6</v>
      </c>
      <c r="E41" s="15"/>
      <c r="F41" s="15"/>
      <c r="G41" s="15"/>
      <c r="H41" s="23"/>
      <c r="I41" s="15"/>
      <c r="J41" s="33"/>
      <c r="K41" s="15"/>
      <c r="L41" s="15"/>
    </row>
    <row r="42" spans="1:12" ht="18" thickBot="1" x14ac:dyDescent="0.35">
      <c r="A42" s="15"/>
      <c r="B42" s="343" t="s">
        <v>787</v>
      </c>
      <c r="C42" s="344"/>
      <c r="D42" s="344"/>
      <c r="E42" s="15"/>
      <c r="F42" s="15"/>
      <c r="G42" s="15"/>
      <c r="H42" s="23"/>
      <c r="I42" s="15"/>
      <c r="J42" s="33"/>
      <c r="K42" s="15"/>
      <c r="L42" s="15"/>
    </row>
    <row r="43" spans="1:12" ht="16.2" thickBot="1" x14ac:dyDescent="0.35">
      <c r="A43" s="15"/>
      <c r="B43" s="33" t="s">
        <v>62</v>
      </c>
      <c r="C43" s="39">
        <f>[1]INPUT!C43</f>
        <v>13</v>
      </c>
      <c r="D43" s="39">
        <f>[1]INPUT!D43</f>
        <v>16</v>
      </c>
      <c r="E43" s="33" t="s">
        <v>478</v>
      </c>
      <c r="F43" s="15"/>
      <c r="G43" s="15"/>
      <c r="H43" s="23"/>
      <c r="I43" s="15"/>
      <c r="J43" s="33"/>
      <c r="K43" s="15"/>
      <c r="L43" s="15"/>
    </row>
    <row r="44" spans="1:12" ht="16.2" thickBot="1" x14ac:dyDescent="0.35">
      <c r="A44" s="15"/>
      <c r="B44" s="33" t="s">
        <v>479</v>
      </c>
      <c r="C44" s="39">
        <f>[1]INPUT!C44</f>
        <v>0.111639</v>
      </c>
      <c r="D44" s="39">
        <f>[1]INPUT!D44</f>
        <v>0.130111</v>
      </c>
      <c r="E44" s="33" t="s">
        <v>332</v>
      </c>
      <c r="F44" s="20"/>
      <c r="G44" s="15"/>
      <c r="H44" s="23"/>
      <c r="I44" s="63"/>
      <c r="J44" s="33"/>
      <c r="K44" s="15"/>
      <c r="L44" s="15"/>
    </row>
    <row r="45" spans="1:12" ht="15.6" x14ac:dyDescent="0.3">
      <c r="A45" s="15"/>
      <c r="B45" s="15"/>
      <c r="C45" s="15"/>
      <c r="D45" s="15"/>
      <c r="E45" s="15"/>
      <c r="F45" s="15"/>
      <c r="G45" s="15"/>
      <c r="H45" s="23"/>
      <c r="I45" s="15"/>
      <c r="J45" s="33"/>
      <c r="K45" s="15"/>
      <c r="L45" s="15"/>
    </row>
    <row r="46" spans="1:12" ht="17.399999999999999" x14ac:dyDescent="0.3">
      <c r="A46" s="22"/>
      <c r="B46" s="343" t="s">
        <v>784</v>
      </c>
      <c r="C46" s="344"/>
      <c r="D46" s="344"/>
      <c r="E46" s="15"/>
      <c r="F46" s="15"/>
      <c r="G46" s="15"/>
      <c r="H46" s="23"/>
      <c r="I46" s="15"/>
      <c r="J46" s="33"/>
      <c r="K46" s="15"/>
      <c r="L46" s="15"/>
    </row>
    <row r="47" spans="1:12" ht="16.2" thickBot="1" x14ac:dyDescent="0.35">
      <c r="A47" s="15"/>
      <c r="B47" s="33" t="s">
        <v>62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</row>
    <row r="48" spans="1:12" ht="16.2" thickBot="1" x14ac:dyDescent="0.35">
      <c r="A48" s="15"/>
      <c r="B48" s="33" t="s">
        <v>480</v>
      </c>
      <c r="C48" s="39">
        <f>[1]INPUT!C48</f>
        <v>15</v>
      </c>
      <c r="D48" s="39">
        <f>[1]INPUT!D48</f>
        <v>15</v>
      </c>
      <c r="E48" s="33" t="s">
        <v>478</v>
      </c>
      <c r="F48" s="15"/>
      <c r="G48" s="15"/>
      <c r="H48" s="15"/>
      <c r="I48" s="15"/>
      <c r="J48" s="15"/>
      <c r="K48" s="15"/>
      <c r="L48" s="15"/>
    </row>
    <row r="49" spans="1:12" ht="16.2" thickBot="1" x14ac:dyDescent="0.35">
      <c r="A49" s="15"/>
      <c r="B49" s="33" t="s">
        <v>481</v>
      </c>
      <c r="C49" s="39">
        <f>[1]INPUT!C49</f>
        <v>30</v>
      </c>
      <c r="D49" s="39">
        <f>[1]INPUT!D49</f>
        <v>30</v>
      </c>
      <c r="E49" s="33" t="s">
        <v>478</v>
      </c>
      <c r="F49" s="15"/>
      <c r="G49" s="15"/>
      <c r="H49" s="15"/>
      <c r="I49" s="15"/>
      <c r="J49" s="15"/>
      <c r="K49" s="15"/>
      <c r="L49" s="15"/>
    </row>
    <row r="50" spans="1:12" ht="16.2" thickBot="1" x14ac:dyDescent="0.35">
      <c r="A50" s="15"/>
      <c r="B50" s="33" t="s">
        <v>479</v>
      </c>
      <c r="C50" s="15"/>
      <c r="D50" s="15"/>
      <c r="E50" s="15"/>
      <c r="F50" s="15"/>
      <c r="G50" s="15"/>
      <c r="H50" s="15"/>
      <c r="I50" s="15"/>
      <c r="J50" s="15"/>
      <c r="K50" s="15"/>
      <c r="L50" s="15"/>
    </row>
    <row r="51" spans="1:12" ht="16.2" thickBot="1" x14ac:dyDescent="0.35">
      <c r="A51" s="15"/>
      <c r="B51" s="15" t="s">
        <v>482</v>
      </c>
      <c r="C51" s="39">
        <f>[1]INPUT!C51</f>
        <v>0.114788</v>
      </c>
      <c r="D51" s="39">
        <f>[1]INPUT!D51</f>
        <v>0.13287399999999999</v>
      </c>
      <c r="E51" s="33" t="s">
        <v>332</v>
      </c>
      <c r="F51" s="15"/>
      <c r="G51" s="15"/>
      <c r="H51" s="15"/>
      <c r="I51" s="15"/>
      <c r="J51" s="15"/>
      <c r="K51" s="15"/>
      <c r="L51" s="15"/>
    </row>
    <row r="52" spans="1:12" ht="16.2" thickBot="1" x14ac:dyDescent="0.35">
      <c r="A52" s="15"/>
      <c r="B52" s="15" t="s">
        <v>483</v>
      </c>
      <c r="C52" s="39">
        <f>[1]INPUT!C52</f>
        <v>7.4619000000000005E-2</v>
      </c>
      <c r="D52" s="39">
        <f>[1]INPUT!D52</f>
        <v>8.6375999999999994E-2</v>
      </c>
      <c r="E52" s="33" t="s">
        <v>332</v>
      </c>
      <c r="F52" s="15"/>
      <c r="G52" s="15"/>
      <c r="H52" s="15"/>
      <c r="I52" s="15"/>
      <c r="J52" s="15"/>
      <c r="K52" s="15"/>
      <c r="L52" s="15"/>
    </row>
    <row r="53" spans="1:12" ht="16.2" thickBot="1" x14ac:dyDescent="0.35">
      <c r="A53" s="15"/>
      <c r="B53" s="15" t="s">
        <v>484</v>
      </c>
      <c r="C53" s="39">
        <f>[1]INPUT!C53</f>
        <v>6.3056000000000001E-2</v>
      </c>
      <c r="D53" s="39">
        <f>[1]INPUT!D53</f>
        <v>7.2988999999999998E-2</v>
      </c>
      <c r="E53" s="33" t="s">
        <v>332</v>
      </c>
      <c r="F53" s="15"/>
      <c r="G53" s="15"/>
      <c r="H53" s="15"/>
      <c r="I53" s="15"/>
      <c r="J53" s="15"/>
      <c r="K53" s="15"/>
      <c r="L53" s="15"/>
    </row>
    <row r="54" spans="1:12" ht="16.2" thickBot="1" x14ac:dyDescent="0.35">
      <c r="A54" s="15"/>
      <c r="B54" s="33" t="s">
        <v>485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</row>
    <row r="55" spans="1:12" ht="16.2" thickBot="1" x14ac:dyDescent="0.35">
      <c r="A55" s="15"/>
      <c r="B55" s="15" t="s">
        <v>487</v>
      </c>
      <c r="C55" s="39">
        <f>[1]INPUT!C55</f>
        <v>0</v>
      </c>
      <c r="D55" s="39">
        <f>[1]INPUT!D55</f>
        <v>0</v>
      </c>
      <c r="E55" s="33" t="s">
        <v>486</v>
      </c>
      <c r="F55" s="15"/>
      <c r="G55" s="15"/>
      <c r="H55" s="15"/>
      <c r="I55" s="15"/>
      <c r="J55" s="15"/>
      <c r="K55" s="15"/>
      <c r="L55" s="15"/>
    </row>
    <row r="56" spans="1:12" ht="16.2" thickBot="1" x14ac:dyDescent="0.35">
      <c r="A56" s="15"/>
      <c r="B56" s="15" t="s">
        <v>484</v>
      </c>
      <c r="C56" s="39">
        <f>[1]INPUT!C56</f>
        <v>10.68</v>
      </c>
      <c r="D56" s="39">
        <f>[1]INPUT!D56</f>
        <v>12.36</v>
      </c>
      <c r="E56" s="33" t="s">
        <v>486</v>
      </c>
      <c r="F56" s="15"/>
      <c r="G56" s="15"/>
      <c r="H56" s="15"/>
      <c r="I56" s="15"/>
      <c r="J56" s="15"/>
      <c r="K56" s="15"/>
      <c r="L56" s="15"/>
    </row>
    <row r="57" spans="1:12" ht="16.2" thickBot="1" x14ac:dyDescent="0.35">
      <c r="A57" s="15"/>
      <c r="B57" s="33" t="s">
        <v>488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</row>
    <row r="58" spans="1:12" ht="16.2" thickBot="1" x14ac:dyDescent="0.35">
      <c r="A58" s="15"/>
      <c r="B58" s="15" t="s">
        <v>489</v>
      </c>
      <c r="C58" s="39">
        <f>[1]INPUT!C58</f>
        <v>0.30729699999999999</v>
      </c>
      <c r="D58" s="39">
        <f>[1]INPUT!D58</f>
        <v>0.35571399999999997</v>
      </c>
      <c r="E58" s="33" t="s">
        <v>332</v>
      </c>
      <c r="F58" s="15"/>
      <c r="G58" s="15"/>
      <c r="H58" s="15"/>
      <c r="I58" s="15"/>
      <c r="J58" s="15"/>
      <c r="K58" s="15"/>
      <c r="L58" s="15"/>
    </row>
    <row r="59" spans="1:12" ht="16.2" thickBot="1" x14ac:dyDescent="0.35">
      <c r="A59" s="15"/>
      <c r="B59" s="15" t="s">
        <v>490</v>
      </c>
      <c r="C59" s="39">
        <f>[1]INPUT!C59</f>
        <v>0.18865199999999999</v>
      </c>
      <c r="D59" s="39">
        <f>[1]INPUT!D59</f>
        <v>0.218386</v>
      </c>
      <c r="E59" s="33" t="s">
        <v>332</v>
      </c>
      <c r="F59" s="15"/>
      <c r="G59" s="15"/>
      <c r="H59" s="15"/>
      <c r="I59" s="15"/>
      <c r="J59" s="15"/>
      <c r="K59" s="15"/>
      <c r="L59" s="15"/>
    </row>
    <row r="60" spans="1:12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</row>
    <row r="61" spans="1:12" ht="17.399999999999999" x14ac:dyDescent="0.3">
      <c r="A61" s="15"/>
      <c r="B61" s="343" t="s">
        <v>789</v>
      </c>
      <c r="C61" s="344"/>
      <c r="D61" s="344"/>
      <c r="E61" s="15"/>
      <c r="F61" s="15"/>
      <c r="G61" s="15"/>
      <c r="H61" s="15"/>
      <c r="I61" s="15"/>
      <c r="J61" s="15"/>
      <c r="K61" s="15"/>
      <c r="L61" s="15"/>
    </row>
    <row r="62" spans="1:12" ht="16.2" thickBot="1" x14ac:dyDescent="0.35">
      <c r="A62" s="15"/>
      <c r="B62" s="33" t="s">
        <v>62</v>
      </c>
      <c r="C62" s="15"/>
      <c r="D62" s="15"/>
      <c r="E62" s="15"/>
      <c r="F62" s="15"/>
      <c r="G62" s="15"/>
      <c r="H62" s="15"/>
      <c r="I62" s="15"/>
      <c r="J62" s="15"/>
      <c r="K62" s="15"/>
      <c r="L62" s="15"/>
    </row>
    <row r="63" spans="1:12" ht="16.2" thickBot="1" x14ac:dyDescent="0.35">
      <c r="A63" s="15"/>
      <c r="B63" s="15" t="s">
        <v>537</v>
      </c>
      <c r="C63" s="39">
        <f>[1]INPUT!C63</f>
        <v>5</v>
      </c>
      <c r="D63" s="39">
        <f>[1]INPUT!D63</f>
        <v>5</v>
      </c>
      <c r="E63" s="33" t="s">
        <v>478</v>
      </c>
      <c r="F63" s="15"/>
      <c r="G63" s="15"/>
      <c r="H63" s="15"/>
      <c r="I63" s="15"/>
      <c r="J63" s="15"/>
      <c r="K63" s="15"/>
      <c r="L63" s="15"/>
    </row>
    <row r="64" spans="1:12" ht="16.2" thickBot="1" x14ac:dyDescent="0.35">
      <c r="A64" s="15"/>
      <c r="B64" s="15" t="s">
        <v>536</v>
      </c>
      <c r="C64" s="39">
        <f>[1]INPUT!C64</f>
        <v>5</v>
      </c>
      <c r="D64" s="39">
        <f>[1]INPUT!D64</f>
        <v>5</v>
      </c>
      <c r="E64" s="33" t="s">
        <v>478</v>
      </c>
      <c r="F64" s="15"/>
      <c r="G64" s="15"/>
      <c r="H64" s="15"/>
      <c r="I64" s="15"/>
      <c r="J64" s="15"/>
      <c r="K64" s="15"/>
      <c r="L64" s="15"/>
    </row>
    <row r="65" spans="1:12" x14ac:dyDescent="0.2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</row>
    <row r="66" spans="1:12" ht="17.399999999999999" x14ac:dyDescent="0.3">
      <c r="A66" s="22"/>
      <c r="B66" s="343" t="s">
        <v>783</v>
      </c>
      <c r="C66" s="344"/>
      <c r="D66" s="344"/>
      <c r="E66" s="15"/>
      <c r="F66" s="15"/>
      <c r="G66" s="15"/>
      <c r="H66" s="23"/>
      <c r="I66" s="15"/>
      <c r="J66" s="33"/>
      <c r="K66" s="15"/>
      <c r="L66" s="15"/>
    </row>
    <row r="67" spans="1:12" ht="16.2" thickBot="1" x14ac:dyDescent="0.35">
      <c r="A67" s="15"/>
      <c r="B67" s="33" t="s">
        <v>62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</row>
    <row r="68" spans="1:12" ht="16.2" thickBot="1" x14ac:dyDescent="0.35">
      <c r="A68" s="15"/>
      <c r="B68" s="33" t="s">
        <v>480</v>
      </c>
      <c r="C68" s="39">
        <f>[1]INPUT!C68</f>
        <v>63.5</v>
      </c>
      <c r="D68" s="39">
        <f>[1]INPUT!D68</f>
        <v>64</v>
      </c>
      <c r="E68" s="33" t="s">
        <v>478</v>
      </c>
      <c r="F68" s="15"/>
      <c r="G68" s="15"/>
      <c r="H68" s="15"/>
      <c r="I68" s="15"/>
      <c r="J68" s="15"/>
      <c r="K68" s="15"/>
      <c r="L68" s="15"/>
    </row>
    <row r="69" spans="1:12" ht="16.2" thickBot="1" x14ac:dyDescent="0.35">
      <c r="A69" s="15"/>
      <c r="B69" s="33" t="s">
        <v>481</v>
      </c>
      <c r="C69" s="39">
        <f>[1]INPUT!C69</f>
        <v>127</v>
      </c>
      <c r="D69" s="39">
        <f>[1]INPUT!D69</f>
        <v>128</v>
      </c>
      <c r="E69" s="33" t="s">
        <v>478</v>
      </c>
      <c r="F69" s="15"/>
      <c r="G69" s="15"/>
      <c r="H69" s="15"/>
      <c r="I69" s="15"/>
      <c r="J69" s="15"/>
      <c r="K69" s="15"/>
      <c r="L69" s="15"/>
    </row>
    <row r="70" spans="1:12" ht="16.2" thickBot="1" x14ac:dyDescent="0.35">
      <c r="A70" s="15"/>
      <c r="B70" s="33" t="s">
        <v>491</v>
      </c>
      <c r="C70" s="39">
        <f>[1]INPUT!C70</f>
        <v>138</v>
      </c>
      <c r="D70" s="39">
        <f>[1]INPUT!D70</f>
        <v>160</v>
      </c>
      <c r="E70" s="33" t="s">
        <v>478</v>
      </c>
      <c r="F70" s="15"/>
      <c r="G70" s="15"/>
      <c r="H70" s="15"/>
      <c r="I70" s="15"/>
      <c r="J70" s="15"/>
      <c r="K70" s="15"/>
      <c r="L70" s="15"/>
    </row>
    <row r="71" spans="1:12" ht="16.2" thickBot="1" x14ac:dyDescent="0.35">
      <c r="A71" s="15"/>
      <c r="B71" s="33" t="s">
        <v>479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</row>
    <row r="72" spans="1:12" ht="16.2" thickBot="1" x14ac:dyDescent="0.35">
      <c r="A72" s="15"/>
      <c r="B72" s="15" t="s">
        <v>492</v>
      </c>
      <c r="C72" s="39">
        <f>[1]INPUT!C72</f>
        <v>5.6746999999999999E-2</v>
      </c>
      <c r="D72" s="39">
        <f>[1]INPUT!D72</f>
        <v>6.4528000000000002E-2</v>
      </c>
      <c r="E72" s="33" t="s">
        <v>332</v>
      </c>
      <c r="F72" s="15"/>
      <c r="G72" s="15"/>
      <c r="H72" s="15"/>
      <c r="I72" s="15"/>
      <c r="J72" s="15"/>
      <c r="K72" s="15"/>
      <c r="L72" s="15"/>
    </row>
    <row r="73" spans="1:12" ht="16.2" thickBot="1" x14ac:dyDescent="0.35">
      <c r="A73" s="15"/>
      <c r="B73" s="15" t="s">
        <v>493</v>
      </c>
      <c r="C73" s="39">
        <f>[1]INPUT!C73</f>
        <v>5.4640000000000001E-2</v>
      </c>
      <c r="D73" s="39">
        <f>[1]INPUT!D73</f>
        <v>6.2133000000000001E-2</v>
      </c>
      <c r="E73" s="33" t="s">
        <v>332</v>
      </c>
      <c r="F73" s="15"/>
      <c r="G73" s="15"/>
      <c r="H73" s="15"/>
      <c r="I73" s="15"/>
      <c r="J73" s="15"/>
      <c r="K73" s="15"/>
      <c r="L73" s="15"/>
    </row>
    <row r="74" spans="1:12" ht="16.2" thickBot="1" x14ac:dyDescent="0.35">
      <c r="A74" s="15"/>
      <c r="B74" s="15" t="s">
        <v>494</v>
      </c>
      <c r="C74" s="39">
        <f>[1]INPUT!C74</f>
        <v>4.8348000000000002E-2</v>
      </c>
      <c r="D74" s="39">
        <f>[1]INPUT!D74</f>
        <v>5.4975999999999997E-2</v>
      </c>
      <c r="E74" s="33" t="s">
        <v>332</v>
      </c>
      <c r="F74" s="15"/>
      <c r="G74" s="15"/>
      <c r="H74" s="15"/>
      <c r="I74" s="15"/>
      <c r="J74" s="15"/>
      <c r="K74" s="15"/>
      <c r="L74" s="15"/>
    </row>
    <row r="75" spans="1:12" ht="16.2" thickBot="1" x14ac:dyDescent="0.35">
      <c r="A75" s="15"/>
      <c r="B75" s="33" t="s">
        <v>485</v>
      </c>
      <c r="C75" s="15"/>
      <c r="D75" s="15"/>
      <c r="E75" s="15"/>
      <c r="F75" s="15"/>
      <c r="G75" s="15"/>
      <c r="H75" s="15"/>
      <c r="I75" s="15"/>
      <c r="J75" s="15"/>
      <c r="K75" s="15"/>
      <c r="L75" s="15"/>
    </row>
    <row r="76" spans="1:12" ht="16.2" thickBot="1" x14ac:dyDescent="0.35">
      <c r="A76" s="15"/>
      <c r="B76" s="15" t="s">
        <v>492</v>
      </c>
      <c r="C76" s="39">
        <f>[1]INPUT!C76</f>
        <v>14.71</v>
      </c>
      <c r="D76" s="39">
        <f>[1]INPUT!D76</f>
        <v>16.73</v>
      </c>
      <c r="E76" s="33" t="s">
        <v>486</v>
      </c>
      <c r="F76" s="15"/>
      <c r="G76" s="15"/>
      <c r="H76" s="15"/>
      <c r="I76" s="15"/>
      <c r="J76" s="15"/>
      <c r="K76" s="15"/>
      <c r="L76" s="15"/>
    </row>
    <row r="77" spans="1:12" ht="16.2" thickBot="1" x14ac:dyDescent="0.35">
      <c r="A77" s="15"/>
      <c r="B77" s="15" t="s">
        <v>495</v>
      </c>
      <c r="C77" s="39">
        <f>[1]INPUT!C77</f>
        <v>1.32</v>
      </c>
      <c r="D77" s="39">
        <f>[1]INPUT!D77</f>
        <v>1.5</v>
      </c>
      <c r="E77" s="33" t="s">
        <v>486</v>
      </c>
      <c r="F77" s="15"/>
      <c r="G77" s="15"/>
      <c r="H77" s="15"/>
      <c r="I77" s="15"/>
      <c r="J77" s="15"/>
      <c r="K77" s="15"/>
      <c r="L77" s="15"/>
    </row>
    <row r="78" spans="1:12" ht="16.2" thickBot="1" x14ac:dyDescent="0.35">
      <c r="A78" s="15"/>
      <c r="B78" s="15" t="s">
        <v>493</v>
      </c>
      <c r="C78" s="39">
        <f>[1]INPUT!C78</f>
        <v>13.92</v>
      </c>
      <c r="D78" s="39">
        <f>[1]INPUT!D78</f>
        <v>15.83</v>
      </c>
      <c r="E78" s="33" t="s">
        <v>486</v>
      </c>
      <c r="F78" s="15"/>
      <c r="G78" s="15"/>
      <c r="H78" s="15"/>
      <c r="I78" s="15"/>
      <c r="J78" s="15"/>
      <c r="K78" s="15"/>
      <c r="L78" s="15"/>
    </row>
    <row r="79" spans="1:12" ht="16.2" thickBot="1" x14ac:dyDescent="0.35">
      <c r="A79" s="15"/>
      <c r="B79" s="15" t="s">
        <v>496</v>
      </c>
      <c r="C79" s="39">
        <f>[1]INPUT!C79</f>
        <v>1.32</v>
      </c>
      <c r="D79" s="39">
        <f>[1]INPUT!D79</f>
        <v>1.5</v>
      </c>
      <c r="E79" s="33" t="s">
        <v>486</v>
      </c>
      <c r="F79" s="15"/>
      <c r="G79" s="15"/>
      <c r="H79" s="15"/>
      <c r="I79" s="15"/>
      <c r="J79" s="15"/>
      <c r="K79" s="15"/>
      <c r="L79" s="15"/>
    </row>
    <row r="80" spans="1:12" ht="16.2" thickBot="1" x14ac:dyDescent="0.35">
      <c r="A80" s="15"/>
      <c r="B80" s="15" t="s">
        <v>497</v>
      </c>
      <c r="C80" s="39">
        <f>[1]INPUT!C80</f>
        <v>-0.75</v>
      </c>
      <c r="D80" s="39">
        <f>[1]INPUT!D80</f>
        <v>-0.85</v>
      </c>
      <c r="E80" s="33" t="s">
        <v>486</v>
      </c>
      <c r="F80" s="15"/>
      <c r="G80" s="15"/>
      <c r="H80" s="89"/>
      <c r="I80" s="15"/>
      <c r="J80" s="15"/>
      <c r="K80" s="15"/>
      <c r="L80" s="15"/>
    </row>
    <row r="81" spans="1:12" ht="16.2" thickBot="1" x14ac:dyDescent="0.35">
      <c r="A81" s="15"/>
      <c r="B81" s="15" t="s">
        <v>498</v>
      </c>
      <c r="C81" s="39">
        <f>[1]INPUT!C81</f>
        <v>-0.57999999999999996</v>
      </c>
      <c r="D81" s="39">
        <f>[1]INPUT!D81</f>
        <v>-0.66</v>
      </c>
      <c r="E81" s="33" t="s">
        <v>486</v>
      </c>
      <c r="F81" s="15"/>
      <c r="G81" s="15"/>
      <c r="H81" s="89"/>
      <c r="I81" s="15"/>
      <c r="J81" s="15"/>
      <c r="K81" s="15"/>
      <c r="L81" s="15"/>
    </row>
    <row r="82" spans="1:12" ht="16.2" thickBot="1" x14ac:dyDescent="0.35">
      <c r="A82" s="15"/>
      <c r="B82" s="15" t="s">
        <v>718</v>
      </c>
      <c r="C82" s="39">
        <f>[1]INPUT!C82</f>
        <v>6.07</v>
      </c>
      <c r="D82" s="39">
        <f>[1]INPUT!D82</f>
        <v>7.77</v>
      </c>
      <c r="E82" s="33" t="s">
        <v>486</v>
      </c>
      <c r="F82" s="15"/>
      <c r="G82" s="15"/>
      <c r="H82" s="15"/>
      <c r="I82" s="15"/>
      <c r="J82" s="15"/>
      <c r="K82" s="15"/>
      <c r="L82" s="15"/>
    </row>
    <row r="83" spans="1:12" x14ac:dyDescent="0.2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</row>
    <row r="84" spans="1:12" ht="17.399999999999999" x14ac:dyDescent="0.3">
      <c r="A84" s="22"/>
      <c r="B84" s="343" t="s">
        <v>782</v>
      </c>
      <c r="C84" s="344"/>
      <c r="D84" s="344"/>
      <c r="E84" s="15"/>
      <c r="F84" s="15"/>
      <c r="G84" s="15"/>
      <c r="H84" s="23"/>
      <c r="I84" s="15"/>
      <c r="J84" s="33"/>
      <c r="K84" s="15"/>
      <c r="L84" s="15"/>
    </row>
    <row r="85" spans="1:12" ht="16.2" thickBot="1" x14ac:dyDescent="0.35">
      <c r="A85" s="15"/>
      <c r="B85" s="33" t="s">
        <v>62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2" ht="16.2" thickBot="1" x14ac:dyDescent="0.35">
      <c r="A86" s="15"/>
      <c r="B86" s="33" t="s">
        <v>480</v>
      </c>
      <c r="C86" s="39">
        <f>[1]INPUT!C86</f>
        <v>15</v>
      </c>
      <c r="D86" s="39">
        <f>[1]INPUT!D86</f>
        <v>15</v>
      </c>
      <c r="E86" s="33" t="s">
        <v>478</v>
      </c>
      <c r="F86" s="15"/>
      <c r="G86" s="15"/>
      <c r="H86" s="15"/>
      <c r="I86" s="15"/>
      <c r="J86" s="15"/>
      <c r="K86" s="15"/>
      <c r="L86" s="15"/>
    </row>
    <row r="87" spans="1:12" ht="16.2" thickBot="1" x14ac:dyDescent="0.35">
      <c r="A87" s="15"/>
      <c r="B87" s="33" t="s">
        <v>481</v>
      </c>
      <c r="C87" s="39">
        <f>[1]INPUT!C87</f>
        <v>30</v>
      </c>
      <c r="D87" s="39">
        <f>[1]INPUT!D87</f>
        <v>30</v>
      </c>
      <c r="E87" s="33" t="s">
        <v>478</v>
      </c>
      <c r="F87" s="15"/>
      <c r="G87" s="15"/>
      <c r="H87" s="15"/>
      <c r="I87" s="15"/>
      <c r="J87" s="15"/>
      <c r="K87" s="15"/>
      <c r="L87" s="15"/>
    </row>
    <row r="88" spans="1:12" ht="16.2" thickBot="1" x14ac:dyDescent="0.35">
      <c r="A88" s="15"/>
      <c r="B88" s="33" t="s">
        <v>491</v>
      </c>
      <c r="C88" s="39">
        <f>[1]INPUT!C88</f>
        <v>117</v>
      </c>
      <c r="D88" s="39">
        <f>[1]INPUT!D88</f>
        <v>120</v>
      </c>
      <c r="E88" s="33" t="s">
        <v>478</v>
      </c>
      <c r="F88" s="15"/>
      <c r="G88" s="15"/>
      <c r="H88" s="15"/>
      <c r="I88" s="15"/>
      <c r="J88" s="15"/>
      <c r="K88" s="15"/>
      <c r="L88" s="15"/>
    </row>
    <row r="89" spans="1:12" ht="16.2" thickBot="1" x14ac:dyDescent="0.35">
      <c r="A89" s="15"/>
      <c r="B89" s="33" t="s">
        <v>479</v>
      </c>
      <c r="C89" s="15"/>
      <c r="D89" s="15"/>
      <c r="E89" s="15"/>
      <c r="F89" s="15"/>
      <c r="G89" s="15"/>
      <c r="H89" s="15"/>
      <c r="I89" s="15"/>
      <c r="J89" s="15"/>
      <c r="K89" s="15"/>
      <c r="L89" s="15"/>
    </row>
    <row r="90" spans="1:12" ht="16.2" thickBot="1" x14ac:dyDescent="0.35">
      <c r="A90" s="15"/>
      <c r="B90" s="15" t="s">
        <v>499</v>
      </c>
      <c r="C90" s="39">
        <f>[1]INPUT!C90</f>
        <v>9.0635999999999994E-2</v>
      </c>
      <c r="D90" s="39">
        <f>[1]INPUT!D90</f>
        <v>0.104834</v>
      </c>
      <c r="E90" s="33" t="s">
        <v>332</v>
      </c>
      <c r="F90" s="15"/>
      <c r="G90" s="15"/>
      <c r="H90" s="15"/>
      <c r="I90" s="15"/>
      <c r="J90" s="15"/>
      <c r="K90" s="15"/>
      <c r="L90" s="15"/>
    </row>
    <row r="91" spans="1:12" ht="16.2" thickBot="1" x14ac:dyDescent="0.35">
      <c r="A91" s="15"/>
      <c r="B91" s="33" t="s">
        <v>485</v>
      </c>
      <c r="C91" s="15"/>
      <c r="D91" s="15"/>
      <c r="E91" s="15"/>
      <c r="F91" s="15"/>
      <c r="G91" s="15"/>
      <c r="H91" s="15"/>
      <c r="I91" s="15"/>
      <c r="J91" s="15"/>
      <c r="K91" s="15"/>
      <c r="L91" s="15"/>
    </row>
    <row r="92" spans="1:12" ht="16.2" thickBot="1" x14ac:dyDescent="0.35">
      <c r="A92" s="15"/>
      <c r="B92" s="15" t="s">
        <v>500</v>
      </c>
      <c r="C92" s="39">
        <f>[1]INPUT!C92</f>
        <v>0</v>
      </c>
      <c r="D92" s="39">
        <f>[1]INPUT!D92</f>
        <v>0</v>
      </c>
      <c r="E92" s="33" t="s">
        <v>486</v>
      </c>
      <c r="F92" s="15"/>
      <c r="G92" s="15"/>
      <c r="H92" s="15"/>
      <c r="I92" s="15"/>
      <c r="J92" s="15"/>
      <c r="K92" s="15"/>
      <c r="L92" s="15"/>
    </row>
    <row r="93" spans="1:12" x14ac:dyDescent="0.2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</row>
    <row r="94" spans="1:12" ht="17.399999999999999" x14ac:dyDescent="0.3">
      <c r="A94" s="22"/>
      <c r="B94" s="343" t="s">
        <v>781</v>
      </c>
      <c r="C94" s="344"/>
      <c r="D94" s="344"/>
      <c r="E94" s="15"/>
      <c r="F94" s="15"/>
      <c r="G94" s="15"/>
      <c r="H94" s="23"/>
      <c r="I94" s="15"/>
      <c r="J94" s="33"/>
      <c r="K94" s="15"/>
      <c r="L94" s="15"/>
    </row>
    <row r="95" spans="1:12" ht="16.2" thickBot="1" x14ac:dyDescent="0.35">
      <c r="A95" s="15"/>
      <c r="B95" s="33" t="s">
        <v>62</v>
      </c>
      <c r="C95" s="15"/>
      <c r="D95" s="15"/>
      <c r="E95" s="15"/>
      <c r="F95" s="15"/>
      <c r="G95" s="15"/>
      <c r="H95" s="15"/>
      <c r="I95" s="15"/>
      <c r="J95" s="15"/>
      <c r="K95" s="15"/>
      <c r="L95" s="15"/>
    </row>
    <row r="96" spans="1:12" ht="16.2" thickBot="1" x14ac:dyDescent="0.35">
      <c r="A96" s="15"/>
      <c r="B96" s="33" t="s">
        <v>480</v>
      </c>
      <c r="C96" s="39">
        <f>[1]INPUT!C96</f>
        <v>15</v>
      </c>
      <c r="D96" s="39">
        <f>[1]INPUT!D96</f>
        <v>15</v>
      </c>
      <c r="E96" s="33" t="s">
        <v>478</v>
      </c>
      <c r="F96" s="15"/>
      <c r="G96" s="15"/>
      <c r="H96" s="15"/>
      <c r="I96" s="15"/>
      <c r="J96" s="15"/>
      <c r="K96" s="15"/>
      <c r="L96" s="15"/>
    </row>
    <row r="97" spans="1:12" ht="16.2" thickBot="1" x14ac:dyDescent="0.35">
      <c r="A97" s="15"/>
      <c r="B97" s="33" t="s">
        <v>479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</row>
    <row r="98" spans="1:12" ht="16.2" thickBot="1" x14ac:dyDescent="0.35">
      <c r="A98" s="15"/>
      <c r="B98" s="15" t="s">
        <v>499</v>
      </c>
      <c r="C98" s="39">
        <f>[1]INPUT!C98</f>
        <v>0.14451900000000001</v>
      </c>
      <c r="D98" s="39">
        <f>[1]INPUT!D98</f>
        <v>0.16764499999999999</v>
      </c>
      <c r="E98" s="33" t="s">
        <v>332</v>
      </c>
      <c r="F98" s="15"/>
      <c r="G98" s="15"/>
      <c r="H98" s="15"/>
      <c r="I98" s="15"/>
      <c r="J98" s="15"/>
      <c r="K98" s="15"/>
      <c r="L98" s="15"/>
    </row>
    <row r="99" spans="1:12" ht="16.2" thickBot="1" x14ac:dyDescent="0.35">
      <c r="A99" s="15"/>
      <c r="B99" s="33" t="s">
        <v>485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</row>
    <row r="100" spans="1:12" ht="16.2" thickBot="1" x14ac:dyDescent="0.35">
      <c r="A100" s="15"/>
      <c r="B100" s="15" t="s">
        <v>500</v>
      </c>
      <c r="C100" s="39">
        <f>[1]INPUT!C100</f>
        <v>0</v>
      </c>
      <c r="D100" s="39">
        <f>[1]INPUT!D100</f>
        <v>0</v>
      </c>
      <c r="E100" s="33" t="s">
        <v>486</v>
      </c>
      <c r="F100" s="15"/>
      <c r="G100" s="15"/>
      <c r="H100" s="15"/>
      <c r="I100" s="15"/>
      <c r="J100" s="15"/>
      <c r="K100" s="15"/>
      <c r="L100" s="15"/>
    </row>
    <row r="101" spans="1:12" x14ac:dyDescent="0.2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</row>
    <row r="102" spans="1:12" ht="17.399999999999999" x14ac:dyDescent="0.3">
      <c r="A102" s="22"/>
      <c r="B102" s="343" t="s">
        <v>790</v>
      </c>
      <c r="C102" s="344"/>
      <c r="D102" s="344"/>
      <c r="E102" s="15"/>
      <c r="F102" s="15"/>
      <c r="G102" s="15"/>
      <c r="H102" s="23"/>
      <c r="I102" s="15"/>
      <c r="J102" s="33"/>
      <c r="K102" s="15"/>
      <c r="L102" s="15"/>
    </row>
    <row r="103" spans="1:12" ht="16.2" thickBot="1" x14ac:dyDescent="0.35">
      <c r="A103" s="15"/>
      <c r="B103" s="33" t="s">
        <v>504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</row>
    <row r="104" spans="1:12" ht="16.2" thickBot="1" x14ac:dyDescent="0.35">
      <c r="A104" s="15"/>
      <c r="B104" s="33" t="s">
        <v>501</v>
      </c>
      <c r="C104" s="39">
        <f>[1]INPUT!C104</f>
        <v>3.79</v>
      </c>
      <c r="D104" s="39">
        <f>[1]INPUT!D104</f>
        <v>4.37</v>
      </c>
      <c r="E104" s="33" t="s">
        <v>478</v>
      </c>
      <c r="F104" s="15"/>
      <c r="G104" s="15"/>
      <c r="H104" s="15"/>
      <c r="I104" s="15"/>
      <c r="J104" s="15"/>
      <c r="K104" s="15"/>
      <c r="L104" s="15"/>
    </row>
    <row r="105" spans="1:12" ht="16.2" thickBot="1" x14ac:dyDescent="0.35">
      <c r="A105" s="15"/>
      <c r="B105" s="33" t="s">
        <v>479</v>
      </c>
      <c r="C105" s="15"/>
      <c r="D105" s="15"/>
      <c r="E105" s="15"/>
      <c r="F105" s="15"/>
      <c r="G105" s="15"/>
      <c r="H105" s="15"/>
      <c r="I105" s="15"/>
      <c r="J105" s="15"/>
      <c r="K105" s="15"/>
      <c r="L105" s="15"/>
    </row>
    <row r="106" spans="1:12" ht="16.2" thickBot="1" x14ac:dyDescent="0.35">
      <c r="A106" s="15"/>
      <c r="B106" s="15" t="s">
        <v>503</v>
      </c>
      <c r="C106" s="39">
        <f>[1]INPUT!C106</f>
        <v>0.115594</v>
      </c>
      <c r="D106" s="39">
        <f>[1]INPUT!D106</f>
        <v>0.13300199999999998</v>
      </c>
      <c r="E106" s="33" t="s">
        <v>332</v>
      </c>
      <c r="F106" s="15"/>
      <c r="G106" s="15"/>
      <c r="H106" s="15"/>
      <c r="I106" s="15"/>
      <c r="J106" s="15"/>
      <c r="K106" s="15"/>
      <c r="L106" s="15"/>
    </row>
    <row r="107" spans="1:12" ht="16.2" thickBot="1" x14ac:dyDescent="0.35">
      <c r="A107" s="15"/>
      <c r="B107" s="15" t="s">
        <v>502</v>
      </c>
      <c r="C107" s="39">
        <f>[1]INPUT!C107</f>
        <v>0.13156599999999999</v>
      </c>
      <c r="D107" s="39">
        <f>[1]INPUT!D107</f>
        <v>0.15163599999999999</v>
      </c>
      <c r="E107" s="33" t="s">
        <v>332</v>
      </c>
      <c r="F107" s="15"/>
      <c r="G107" s="15"/>
      <c r="H107" s="15"/>
      <c r="I107" s="15"/>
      <c r="J107" s="15"/>
      <c r="K107" s="15"/>
      <c r="L107" s="15"/>
    </row>
    <row r="108" spans="1:12" ht="16.2" thickBot="1" x14ac:dyDescent="0.35">
      <c r="A108" s="15"/>
      <c r="B108" s="33" t="s">
        <v>485</v>
      </c>
      <c r="C108" s="15"/>
      <c r="D108" s="15"/>
      <c r="E108" s="15"/>
      <c r="F108" s="15"/>
      <c r="G108" s="15"/>
      <c r="H108" s="15"/>
      <c r="I108" s="15"/>
      <c r="J108" s="15"/>
      <c r="K108" s="15"/>
      <c r="L108" s="15"/>
    </row>
    <row r="109" spans="1:12" ht="16.2" thickBot="1" x14ac:dyDescent="0.35">
      <c r="A109" s="15"/>
      <c r="B109" s="15" t="s">
        <v>500</v>
      </c>
      <c r="C109" s="39">
        <f>[1]INPUT!C109</f>
        <v>0</v>
      </c>
      <c r="D109" s="39">
        <f>[1]INPUT!D109</f>
        <v>0</v>
      </c>
      <c r="E109" s="33" t="s">
        <v>486</v>
      </c>
      <c r="F109" s="15"/>
      <c r="G109" s="15"/>
      <c r="H109" s="15"/>
      <c r="I109" s="15"/>
      <c r="J109" s="15"/>
      <c r="K109" s="15"/>
      <c r="L109" s="15"/>
    </row>
    <row r="110" spans="1:12" x14ac:dyDescent="0.2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</row>
    <row r="111" spans="1:12" ht="17.399999999999999" x14ac:dyDescent="0.3">
      <c r="A111" s="22"/>
      <c r="B111" s="343" t="s">
        <v>791</v>
      </c>
      <c r="C111" s="344"/>
      <c r="D111" s="344"/>
      <c r="E111" s="15"/>
      <c r="F111" s="15"/>
      <c r="G111" s="15"/>
      <c r="H111" s="23"/>
      <c r="I111" s="15"/>
      <c r="J111" s="33"/>
      <c r="K111" s="15"/>
      <c r="L111" s="15"/>
    </row>
    <row r="112" spans="1:12" ht="16.2" thickBot="1" x14ac:dyDescent="0.35">
      <c r="A112" s="15"/>
      <c r="B112" s="33" t="s">
        <v>62</v>
      </c>
      <c r="C112" s="15"/>
      <c r="D112" s="15"/>
      <c r="E112" s="15"/>
      <c r="F112" s="15"/>
      <c r="G112" s="15"/>
      <c r="H112" s="15"/>
      <c r="I112" s="15"/>
      <c r="J112" s="15"/>
      <c r="K112" s="15"/>
      <c r="L112" s="15"/>
    </row>
    <row r="113" spans="1:12" ht="16.2" thickBot="1" x14ac:dyDescent="0.35">
      <c r="A113" s="15"/>
      <c r="B113" s="33" t="s">
        <v>491</v>
      </c>
      <c r="C113" s="39">
        <f>[1]INPUT!C113</f>
        <v>117</v>
      </c>
      <c r="D113" s="39">
        <f>[1]INPUT!D113</f>
        <v>120</v>
      </c>
      <c r="E113" s="33" t="s">
        <v>478</v>
      </c>
      <c r="F113" s="15"/>
      <c r="G113" s="15"/>
      <c r="H113" s="15"/>
      <c r="I113" s="15"/>
      <c r="J113" s="15"/>
      <c r="K113" s="15"/>
      <c r="L113" s="15"/>
    </row>
    <row r="114" spans="1:12" ht="16.2" thickBot="1" x14ac:dyDescent="0.35">
      <c r="A114" s="15"/>
      <c r="B114" s="33" t="s">
        <v>479</v>
      </c>
      <c r="C114" s="15"/>
      <c r="D114" s="15"/>
      <c r="E114" s="15"/>
      <c r="F114" s="15"/>
      <c r="G114" s="15"/>
      <c r="H114" s="15"/>
      <c r="I114" s="15"/>
      <c r="J114" s="15"/>
      <c r="K114" s="15"/>
      <c r="L114" s="15"/>
    </row>
    <row r="115" spans="1:12" ht="16.2" thickBot="1" x14ac:dyDescent="0.35">
      <c r="A115" s="15"/>
      <c r="B115" s="15" t="s">
        <v>505</v>
      </c>
      <c r="C115" s="39">
        <f>[1]INPUT!C115</f>
        <v>7.1562000000000001E-2</v>
      </c>
      <c r="D115" s="39">
        <f>[1]INPUT!D115</f>
        <v>7.6294000000000001E-2</v>
      </c>
      <c r="E115" s="33" t="s">
        <v>332</v>
      </c>
      <c r="F115" s="15"/>
      <c r="G115" s="15"/>
      <c r="H115" s="15"/>
      <c r="I115" s="15"/>
      <c r="J115" s="15"/>
      <c r="K115" s="15"/>
      <c r="L115" s="15"/>
    </row>
    <row r="116" spans="1:12" ht="16.2" thickBot="1" x14ac:dyDescent="0.35">
      <c r="A116" s="15"/>
      <c r="B116" s="15" t="s">
        <v>484</v>
      </c>
      <c r="C116" s="39">
        <f>[1]INPUT!C116</f>
        <v>6.2067999999999998E-2</v>
      </c>
      <c r="D116" s="39">
        <f>[1]INPUT!D116</f>
        <v>6.611199999999999E-2</v>
      </c>
      <c r="E116" s="33" t="s">
        <v>332</v>
      </c>
      <c r="F116" s="15"/>
      <c r="G116" s="15"/>
      <c r="H116" s="15"/>
      <c r="I116" s="15"/>
      <c r="J116" s="15"/>
      <c r="K116" s="15"/>
      <c r="L116" s="15"/>
    </row>
    <row r="117" spans="1:12" ht="16.2" thickBot="1" x14ac:dyDescent="0.35">
      <c r="A117" s="15"/>
      <c r="B117" s="15" t="s">
        <v>527</v>
      </c>
      <c r="C117" s="39">
        <f>[1]INPUT!C117</f>
        <v>0.289184</v>
      </c>
      <c r="D117" s="39">
        <f>[1]INPUT!D117</f>
        <v>0.308166</v>
      </c>
      <c r="E117" s="33" t="s">
        <v>332</v>
      </c>
      <c r="F117" s="15"/>
      <c r="G117" s="15"/>
      <c r="H117" s="15"/>
      <c r="I117" s="15"/>
      <c r="J117" s="15"/>
      <c r="K117" s="15"/>
      <c r="L117" s="15"/>
    </row>
    <row r="118" spans="1:12" ht="16.2" thickBot="1" x14ac:dyDescent="0.35">
      <c r="A118" s="15"/>
      <c r="B118" s="33" t="s">
        <v>485</v>
      </c>
      <c r="C118" s="15"/>
      <c r="D118" s="15"/>
      <c r="E118" s="15"/>
      <c r="F118" s="15"/>
      <c r="G118" s="15"/>
      <c r="H118" s="15"/>
      <c r="I118" s="15"/>
      <c r="J118" s="15"/>
      <c r="K118" s="15"/>
      <c r="L118" s="15"/>
    </row>
    <row r="119" spans="1:12" ht="16.2" thickBot="1" x14ac:dyDescent="0.35">
      <c r="A119" s="15"/>
      <c r="B119" s="15" t="s">
        <v>500</v>
      </c>
      <c r="C119" s="39">
        <f>[1]INPUT!C119</f>
        <v>9.5</v>
      </c>
      <c r="D119" s="39">
        <f>[1]INPUT!D119</f>
        <v>10.130000000000001</v>
      </c>
      <c r="E119" s="33" t="s">
        <v>486</v>
      </c>
      <c r="F119" s="15"/>
      <c r="G119" s="15"/>
      <c r="H119" s="15"/>
      <c r="I119" s="15"/>
      <c r="J119" s="15"/>
      <c r="K119" s="15"/>
      <c r="L119" s="15"/>
    </row>
    <row r="120" spans="1:12" x14ac:dyDescent="0.2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</row>
    <row r="121" spans="1:12" ht="17.399999999999999" x14ac:dyDescent="0.3">
      <c r="A121" s="22"/>
      <c r="B121" s="343" t="s">
        <v>792</v>
      </c>
      <c r="C121" s="344"/>
      <c r="D121" s="344"/>
      <c r="E121" s="15"/>
      <c r="F121" s="15"/>
      <c r="G121" s="15"/>
      <c r="H121" s="23"/>
      <c r="I121" s="15"/>
      <c r="J121" s="33"/>
      <c r="K121" s="15"/>
      <c r="L121" s="15"/>
    </row>
    <row r="122" spans="1:12" ht="16.2" thickBot="1" x14ac:dyDescent="0.35">
      <c r="A122" s="15"/>
      <c r="B122" s="33" t="s">
        <v>62</v>
      </c>
      <c r="C122" s="15"/>
      <c r="D122" s="15"/>
      <c r="E122" s="15"/>
      <c r="F122" s="15"/>
      <c r="G122" s="15"/>
      <c r="H122" s="15"/>
      <c r="I122" s="15"/>
      <c r="J122" s="15"/>
      <c r="K122" s="15"/>
      <c r="L122" s="15"/>
    </row>
    <row r="123" spans="1:12" ht="16.2" thickBot="1" x14ac:dyDescent="0.35">
      <c r="A123" s="15"/>
      <c r="B123" s="33" t="s">
        <v>506</v>
      </c>
      <c r="C123" s="39">
        <f>[1]INPUT!C123</f>
        <v>500</v>
      </c>
      <c r="D123" s="39">
        <f>[1]INPUT!D123</f>
        <v>500</v>
      </c>
      <c r="E123" s="33" t="s">
        <v>478</v>
      </c>
      <c r="F123" s="15"/>
      <c r="G123" s="15"/>
      <c r="H123" s="15"/>
      <c r="I123" s="15"/>
      <c r="J123" s="15"/>
      <c r="K123" s="15"/>
      <c r="L123" s="15"/>
    </row>
    <row r="124" spans="1:12" ht="16.2" thickBot="1" x14ac:dyDescent="0.35">
      <c r="A124" s="15"/>
      <c r="B124" s="33" t="s">
        <v>479</v>
      </c>
      <c r="C124" s="15"/>
      <c r="D124" s="15"/>
      <c r="E124" s="15"/>
      <c r="F124" s="15"/>
      <c r="G124" s="15"/>
      <c r="H124" s="15"/>
      <c r="I124" s="15"/>
      <c r="J124" s="15"/>
      <c r="K124" s="15"/>
      <c r="L124" s="15"/>
    </row>
    <row r="125" spans="1:12" ht="16.2" thickBot="1" x14ac:dyDescent="0.35">
      <c r="A125" s="15"/>
      <c r="B125" s="15" t="s">
        <v>533</v>
      </c>
      <c r="C125" s="39">
        <f>[1]INPUT!C125</f>
        <v>6.7652000000000004E-2</v>
      </c>
      <c r="D125" s="39">
        <f>[1]INPUT!D125</f>
        <v>7.3557999999999998E-2</v>
      </c>
      <c r="E125" s="33" t="s">
        <v>332</v>
      </c>
      <c r="F125" s="15"/>
      <c r="G125" s="15"/>
      <c r="H125" s="15"/>
      <c r="I125" s="15"/>
      <c r="J125" s="15"/>
      <c r="K125" s="15"/>
      <c r="L125" s="15"/>
    </row>
    <row r="126" spans="1:12" ht="16.2" thickBot="1" x14ac:dyDescent="0.35">
      <c r="A126" s="15"/>
      <c r="B126" s="15" t="s">
        <v>534</v>
      </c>
      <c r="C126" s="39">
        <f>[1]INPUT!C126</f>
        <v>6.5057000000000004E-2</v>
      </c>
      <c r="D126" s="39">
        <f>[1]INPUT!D126</f>
        <v>7.0735999999999993E-2</v>
      </c>
      <c r="E126" s="33"/>
      <c r="F126" s="15"/>
      <c r="G126" s="15"/>
      <c r="H126" s="15"/>
      <c r="I126" s="15"/>
      <c r="J126" s="15"/>
      <c r="K126" s="15"/>
      <c r="L126" s="15"/>
    </row>
    <row r="127" spans="1:12" ht="16.2" thickBot="1" x14ac:dyDescent="0.35">
      <c r="A127" s="15"/>
      <c r="B127" s="15" t="s">
        <v>494</v>
      </c>
      <c r="C127" s="39">
        <f>[1]INPUT!C127</f>
        <v>5.7296E-2</v>
      </c>
      <c r="D127" s="39">
        <f>[1]INPUT!D127</f>
        <v>6.2296999999999998E-2</v>
      </c>
      <c r="E127" s="33"/>
      <c r="F127" s="15"/>
      <c r="G127" s="15"/>
      <c r="H127" s="15"/>
      <c r="I127" s="15"/>
      <c r="J127" s="15"/>
      <c r="K127" s="15"/>
      <c r="L127" s="15"/>
    </row>
    <row r="128" spans="1:12" ht="16.2" thickBot="1" x14ac:dyDescent="0.35">
      <c r="A128" s="15"/>
      <c r="B128" s="33" t="s">
        <v>485</v>
      </c>
      <c r="C128" s="15"/>
      <c r="D128" s="15"/>
      <c r="E128" s="15"/>
      <c r="F128" s="15"/>
      <c r="G128" s="15"/>
      <c r="H128" s="15"/>
      <c r="I128" s="15"/>
      <c r="J128" s="15"/>
      <c r="K128" s="15"/>
      <c r="L128" s="15"/>
    </row>
    <row r="129" spans="1:12" ht="16.2" thickBot="1" x14ac:dyDescent="0.35">
      <c r="A129" s="15"/>
      <c r="B129" s="15" t="s">
        <v>492</v>
      </c>
      <c r="C129" s="39">
        <f>[1]INPUT!C129</f>
        <v>9.41</v>
      </c>
      <c r="D129" s="39">
        <f>[1]INPUT!D129</f>
        <v>10.23</v>
      </c>
      <c r="E129" s="33" t="s">
        <v>486</v>
      </c>
      <c r="F129" s="15"/>
      <c r="G129" s="15"/>
      <c r="H129" s="15"/>
      <c r="I129" s="15"/>
      <c r="J129" s="15"/>
      <c r="K129" s="15"/>
      <c r="L129" s="15"/>
    </row>
    <row r="130" spans="1:12" ht="16.2" thickBot="1" x14ac:dyDescent="0.35">
      <c r="A130" s="15"/>
      <c r="B130" s="15" t="s">
        <v>495</v>
      </c>
      <c r="C130" s="39">
        <f>[1]INPUT!C130</f>
        <v>1.43</v>
      </c>
      <c r="D130" s="39">
        <f>[1]INPUT!D130</f>
        <v>1.55</v>
      </c>
      <c r="E130" s="33" t="s">
        <v>486</v>
      </c>
      <c r="F130" s="15"/>
      <c r="G130" s="15"/>
      <c r="H130" s="15"/>
      <c r="I130" s="15"/>
      <c r="J130" s="15"/>
      <c r="K130" s="15"/>
      <c r="L130" s="15"/>
    </row>
    <row r="131" spans="1:12" ht="16.2" thickBot="1" x14ac:dyDescent="0.35">
      <c r="A131" s="15"/>
      <c r="B131" s="15" t="s">
        <v>493</v>
      </c>
      <c r="C131" s="39">
        <f>[1]INPUT!C131</f>
        <v>7.72</v>
      </c>
      <c r="D131" s="39">
        <f>[1]INPUT!D131</f>
        <v>8.39</v>
      </c>
      <c r="E131" s="33" t="s">
        <v>486</v>
      </c>
      <c r="F131" s="15"/>
      <c r="G131" s="15"/>
      <c r="H131" s="15"/>
      <c r="I131" s="15"/>
      <c r="J131" s="15"/>
      <c r="K131" s="15"/>
      <c r="L131" s="15"/>
    </row>
    <row r="132" spans="1:12" ht="16.2" thickBot="1" x14ac:dyDescent="0.35">
      <c r="A132" s="15"/>
      <c r="B132" s="15" t="s">
        <v>496</v>
      </c>
      <c r="C132" s="39">
        <f>[1]INPUT!C132</f>
        <v>1.43</v>
      </c>
      <c r="D132" s="39">
        <f>[1]INPUT!D132</f>
        <v>1.55</v>
      </c>
      <c r="E132" s="33" t="s">
        <v>486</v>
      </c>
      <c r="F132" s="15"/>
      <c r="G132" s="15"/>
      <c r="H132" s="15"/>
      <c r="I132" s="15"/>
      <c r="J132" s="15"/>
      <c r="K132" s="15"/>
      <c r="L132" s="15"/>
    </row>
    <row r="133" spans="1:12" x14ac:dyDescent="0.2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</row>
    <row r="134" spans="1:12" ht="17.399999999999999" x14ac:dyDescent="0.3">
      <c r="A134" s="22"/>
      <c r="B134" s="344" t="s">
        <v>793</v>
      </c>
      <c r="C134" s="344"/>
      <c r="D134" s="344"/>
      <c r="E134" s="15"/>
      <c r="F134" s="15"/>
      <c r="G134" s="15"/>
      <c r="H134" s="23"/>
      <c r="I134" s="15"/>
      <c r="J134" s="33"/>
      <c r="K134" s="15"/>
      <c r="L134" s="15"/>
    </row>
    <row r="135" spans="1:12" ht="16.2" thickBot="1" x14ac:dyDescent="0.35">
      <c r="A135" s="15"/>
      <c r="B135" s="33" t="s">
        <v>62</v>
      </c>
      <c r="C135" s="15"/>
      <c r="D135" s="15"/>
      <c r="E135" s="15"/>
      <c r="F135" s="15"/>
      <c r="G135" s="15"/>
      <c r="H135" s="15"/>
      <c r="I135" s="15"/>
      <c r="J135" s="15"/>
      <c r="K135" s="15"/>
      <c r="L135" s="15"/>
    </row>
    <row r="136" spans="1:12" ht="16.2" thickBot="1" x14ac:dyDescent="0.35">
      <c r="A136" s="15"/>
      <c r="B136" s="15" t="s">
        <v>507</v>
      </c>
      <c r="C136" s="41">
        <v>0</v>
      </c>
      <c r="D136" s="41"/>
      <c r="E136" s="33" t="s">
        <v>478</v>
      </c>
      <c r="F136" s="15"/>
      <c r="G136" s="15"/>
      <c r="H136" s="15"/>
      <c r="I136" s="15"/>
      <c r="J136" s="15"/>
      <c r="K136" s="15"/>
      <c r="L136" s="15"/>
    </row>
    <row r="137" spans="1:12" ht="16.2" thickBot="1" x14ac:dyDescent="0.35">
      <c r="A137" s="15"/>
      <c r="B137" s="15" t="s">
        <v>491</v>
      </c>
      <c r="C137" s="41">
        <v>0</v>
      </c>
      <c r="D137" s="41"/>
      <c r="E137" s="33" t="s">
        <v>478</v>
      </c>
      <c r="F137" s="15"/>
      <c r="G137" s="15"/>
      <c r="H137" s="15"/>
      <c r="I137" s="15"/>
      <c r="J137" s="15"/>
      <c r="K137" s="15"/>
      <c r="L137" s="15"/>
    </row>
    <row r="138" spans="1:12" ht="16.2" thickBot="1" x14ac:dyDescent="0.35">
      <c r="A138" s="15"/>
      <c r="B138" s="15" t="s">
        <v>508</v>
      </c>
      <c r="C138" s="41">
        <v>0</v>
      </c>
      <c r="D138" s="41"/>
      <c r="E138" s="33" t="s">
        <v>478</v>
      </c>
      <c r="F138" s="15"/>
      <c r="G138" s="15"/>
      <c r="H138" s="15"/>
      <c r="I138" s="15"/>
      <c r="J138" s="15"/>
      <c r="K138" s="15"/>
      <c r="L138" s="15"/>
    </row>
    <row r="139" spans="1:12" ht="16.2" thickBot="1" x14ac:dyDescent="0.35">
      <c r="A139" s="15"/>
      <c r="B139" s="33" t="s">
        <v>509</v>
      </c>
      <c r="C139" s="15"/>
      <c r="D139" s="15"/>
      <c r="E139" s="15"/>
      <c r="F139" s="15"/>
      <c r="G139" s="15"/>
      <c r="H139" s="15"/>
      <c r="I139" s="15"/>
      <c r="J139" s="15"/>
      <c r="K139" s="15"/>
      <c r="L139" s="15"/>
    </row>
    <row r="140" spans="1:12" ht="16.2" thickBot="1" x14ac:dyDescent="0.35">
      <c r="A140" s="15"/>
      <c r="B140" s="15" t="s">
        <v>507</v>
      </c>
      <c r="C140" s="41">
        <v>0</v>
      </c>
      <c r="D140" s="41"/>
      <c r="E140" s="33" t="s">
        <v>332</v>
      </c>
      <c r="F140" s="15"/>
      <c r="G140" s="15"/>
      <c r="H140" s="15"/>
      <c r="I140" s="15"/>
      <c r="J140" s="15"/>
      <c r="K140" s="15"/>
      <c r="L140" s="15"/>
    </row>
    <row r="141" spans="1:12" ht="16.2" thickBot="1" x14ac:dyDescent="0.35">
      <c r="A141" s="15"/>
      <c r="B141" s="15" t="s">
        <v>491</v>
      </c>
      <c r="C141" s="41">
        <v>0</v>
      </c>
      <c r="D141" s="41"/>
      <c r="E141" s="33" t="s">
        <v>332</v>
      </c>
      <c r="F141" s="15"/>
      <c r="G141" s="15"/>
      <c r="H141" s="15"/>
      <c r="I141" s="15"/>
      <c r="J141" s="15"/>
      <c r="K141" s="15"/>
      <c r="L141" s="15"/>
    </row>
    <row r="142" spans="1:12" ht="16.2" thickBot="1" x14ac:dyDescent="0.35">
      <c r="A142" s="15"/>
      <c r="B142" s="15" t="s">
        <v>508</v>
      </c>
      <c r="C142" s="41">
        <v>0</v>
      </c>
      <c r="D142" s="41"/>
      <c r="E142" s="33" t="s">
        <v>332</v>
      </c>
      <c r="F142" s="15"/>
      <c r="G142" s="15"/>
      <c r="H142" s="15"/>
      <c r="I142" s="15"/>
      <c r="J142" s="15"/>
      <c r="K142" s="15"/>
      <c r="L142" s="15"/>
    </row>
    <row r="143" spans="1:12" ht="16.2" thickBot="1" x14ac:dyDescent="0.35">
      <c r="A143" s="15"/>
      <c r="B143" s="33" t="s">
        <v>510</v>
      </c>
      <c r="C143" s="15"/>
      <c r="D143" s="15"/>
      <c r="E143" s="15"/>
      <c r="F143" s="15"/>
      <c r="G143" s="15"/>
      <c r="H143" s="15"/>
      <c r="I143" s="15"/>
      <c r="J143" s="15"/>
      <c r="K143" s="15"/>
      <c r="L143" s="15"/>
    </row>
    <row r="144" spans="1:12" ht="16.2" thickBot="1" x14ac:dyDescent="0.35">
      <c r="A144" s="15"/>
      <c r="B144" s="15" t="s">
        <v>507</v>
      </c>
      <c r="C144" s="41">
        <v>0</v>
      </c>
      <c r="D144" s="41"/>
      <c r="E144" s="33" t="s">
        <v>332</v>
      </c>
      <c r="F144" s="15"/>
      <c r="G144" s="15"/>
      <c r="H144" s="15"/>
      <c r="I144" s="15"/>
      <c r="J144" s="15"/>
      <c r="K144" s="15"/>
      <c r="L144" s="15"/>
    </row>
    <row r="145" spans="1:12" ht="16.2" thickBot="1" x14ac:dyDescent="0.35">
      <c r="A145" s="15"/>
      <c r="B145" s="15" t="s">
        <v>491</v>
      </c>
      <c r="C145" s="41">
        <v>0</v>
      </c>
      <c r="D145" s="41"/>
      <c r="E145" s="33" t="s">
        <v>332</v>
      </c>
      <c r="F145" s="15"/>
      <c r="G145" s="15"/>
      <c r="H145" s="15"/>
      <c r="I145" s="15"/>
      <c r="J145" s="15"/>
      <c r="K145" s="15"/>
      <c r="L145" s="15"/>
    </row>
    <row r="146" spans="1:12" ht="16.2" thickBot="1" x14ac:dyDescent="0.35">
      <c r="A146" s="15"/>
      <c r="B146" s="15" t="s">
        <v>508</v>
      </c>
      <c r="C146" s="41">
        <v>0</v>
      </c>
      <c r="D146" s="41"/>
      <c r="E146" s="33" t="s">
        <v>332</v>
      </c>
      <c r="F146" s="15"/>
      <c r="G146" s="15"/>
      <c r="H146" s="15"/>
      <c r="I146" s="15"/>
      <c r="J146" s="15"/>
      <c r="K146" s="15"/>
      <c r="L146" s="15"/>
    </row>
    <row r="147" spans="1:12" ht="16.2" thickBot="1" x14ac:dyDescent="0.35">
      <c r="A147" s="15"/>
      <c r="B147" s="33" t="s">
        <v>511</v>
      </c>
      <c r="C147" s="15"/>
      <c r="D147" s="15"/>
      <c r="E147" s="15"/>
      <c r="F147" s="15"/>
      <c r="G147" s="15"/>
      <c r="H147" s="15"/>
      <c r="I147" s="15"/>
      <c r="J147" s="15"/>
      <c r="K147" s="15"/>
      <c r="L147" s="15"/>
    </row>
    <row r="148" spans="1:12" ht="16.2" thickBot="1" x14ac:dyDescent="0.35">
      <c r="A148" s="15"/>
      <c r="B148" s="15" t="s">
        <v>512</v>
      </c>
      <c r="C148" s="41">
        <v>0</v>
      </c>
      <c r="D148" s="41"/>
      <c r="E148" s="33" t="s">
        <v>332</v>
      </c>
      <c r="F148" s="15"/>
      <c r="G148" s="15"/>
      <c r="H148" s="15"/>
      <c r="I148" s="15"/>
      <c r="J148" s="15"/>
      <c r="K148" s="15"/>
      <c r="L148" s="15"/>
    </row>
    <row r="149" spans="1:12" ht="16.2" thickBot="1" x14ac:dyDescent="0.35">
      <c r="A149" s="15"/>
      <c r="B149" s="15" t="s">
        <v>513</v>
      </c>
      <c r="C149" s="41">
        <v>0</v>
      </c>
      <c r="D149" s="41"/>
      <c r="E149" s="33" t="s">
        <v>332</v>
      </c>
      <c r="F149" s="15"/>
      <c r="G149" s="15"/>
      <c r="H149" s="15"/>
      <c r="I149" s="15"/>
      <c r="J149" s="15"/>
      <c r="K149" s="15"/>
      <c r="L149" s="15"/>
    </row>
    <row r="150" spans="1:12" ht="16.2" thickBot="1" x14ac:dyDescent="0.35">
      <c r="A150" s="15"/>
      <c r="B150" s="15" t="s">
        <v>514</v>
      </c>
      <c r="C150" s="41">
        <v>0</v>
      </c>
      <c r="D150" s="41"/>
      <c r="E150" s="33" t="s">
        <v>332</v>
      </c>
      <c r="F150" s="15"/>
      <c r="G150" s="15"/>
      <c r="H150" s="15"/>
      <c r="I150" s="15"/>
      <c r="J150" s="15"/>
      <c r="K150" s="15"/>
      <c r="L150" s="15"/>
    </row>
    <row r="151" spans="1:12" x14ac:dyDescent="0.2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</row>
    <row r="152" spans="1:12" ht="17.399999999999999" x14ac:dyDescent="0.3">
      <c r="A152" s="22"/>
      <c r="B152" s="343" t="s">
        <v>794</v>
      </c>
      <c r="C152" s="344"/>
      <c r="D152" s="344"/>
      <c r="E152" s="15"/>
      <c r="F152" s="15"/>
      <c r="G152" s="15"/>
      <c r="H152" s="23"/>
      <c r="I152" s="15"/>
      <c r="J152" s="33"/>
      <c r="K152" s="15"/>
      <c r="L152" s="15"/>
    </row>
    <row r="153" spans="1:12" ht="16.2" thickBot="1" x14ac:dyDescent="0.35">
      <c r="A153" s="15"/>
      <c r="B153" s="33" t="s">
        <v>515</v>
      </c>
      <c r="C153" s="15"/>
      <c r="D153" s="15"/>
      <c r="E153" s="15"/>
      <c r="F153" s="15"/>
      <c r="G153" s="15"/>
      <c r="H153" s="15"/>
      <c r="I153" s="15"/>
      <c r="J153" s="15"/>
      <c r="K153" s="15"/>
      <c r="L153" s="15"/>
    </row>
    <row r="154" spans="1:12" ht="16.2" thickBot="1" x14ac:dyDescent="0.35">
      <c r="A154" s="15"/>
      <c r="B154" s="15" t="s">
        <v>516</v>
      </c>
      <c r="C154" s="39">
        <f>[1]INPUT!C154</f>
        <v>183</v>
      </c>
      <c r="D154" s="39">
        <f>[1]INPUT!D154</f>
        <v>183</v>
      </c>
      <c r="E154" s="33" t="s">
        <v>478</v>
      </c>
      <c r="F154" s="15"/>
      <c r="G154" s="15"/>
      <c r="H154" s="15"/>
      <c r="I154" s="15"/>
      <c r="J154" s="15"/>
      <c r="K154" s="15"/>
      <c r="L154" s="15"/>
    </row>
    <row r="155" spans="1:12" ht="16.2" thickBot="1" x14ac:dyDescent="0.35">
      <c r="A155" s="15"/>
      <c r="B155" s="33" t="s">
        <v>509</v>
      </c>
      <c r="C155" s="89"/>
      <c r="D155" s="15"/>
      <c r="E155" s="15"/>
      <c r="F155" s="15"/>
      <c r="G155" s="15"/>
      <c r="H155" s="15"/>
      <c r="I155" s="15"/>
      <c r="J155" s="15"/>
      <c r="K155" s="15"/>
      <c r="L155" s="15"/>
    </row>
    <row r="156" spans="1:12" ht="16.2" thickBot="1" x14ac:dyDescent="0.35">
      <c r="A156" s="15"/>
      <c r="B156" s="15" t="s">
        <v>507</v>
      </c>
      <c r="C156" s="39">
        <f>[1]INPUT!C156</f>
        <v>2.0034E-2</v>
      </c>
      <c r="D156" s="39">
        <f>[1]INPUT!D156</f>
        <v>3.3517999999999999E-2</v>
      </c>
      <c r="E156" s="33" t="s">
        <v>332</v>
      </c>
      <c r="F156" s="15"/>
      <c r="G156" s="15"/>
      <c r="H156" s="15"/>
      <c r="I156" s="15"/>
      <c r="J156" s="15"/>
      <c r="K156" s="15"/>
      <c r="L156" s="15"/>
    </row>
    <row r="157" spans="1:12" ht="16.2" thickBot="1" x14ac:dyDescent="0.35">
      <c r="A157" s="15"/>
      <c r="B157" s="15" t="s">
        <v>491</v>
      </c>
      <c r="C157" s="39">
        <f>[1]INPUT!C157</f>
        <v>1.6479000000000001E-2</v>
      </c>
      <c r="D157" s="39">
        <f>[1]INPUT!D157</f>
        <v>2.8504000000000002E-2</v>
      </c>
      <c r="E157" s="33" t="s">
        <v>332</v>
      </c>
      <c r="F157" s="15"/>
      <c r="G157" s="15"/>
      <c r="H157" s="15"/>
      <c r="I157" s="15"/>
      <c r="J157" s="15"/>
      <c r="K157" s="15"/>
      <c r="L157" s="15"/>
    </row>
    <row r="158" spans="1:12" ht="16.2" thickBot="1" x14ac:dyDescent="0.35">
      <c r="A158" s="15"/>
      <c r="B158" s="15" t="s">
        <v>508</v>
      </c>
      <c r="C158" s="39">
        <f>[1]INPUT!C158</f>
        <v>6.9150000000000001E-3</v>
      </c>
      <c r="D158" s="39">
        <f>[1]INPUT!D158</f>
        <v>1.0567999999999999E-2</v>
      </c>
      <c r="E158" s="33" t="s">
        <v>332</v>
      </c>
      <c r="F158" s="15"/>
      <c r="G158" s="15"/>
      <c r="H158" s="15"/>
      <c r="I158" s="15"/>
      <c r="J158" s="15"/>
      <c r="K158" s="15"/>
      <c r="L158" s="15"/>
    </row>
    <row r="159" spans="1:12" ht="16.2" thickBot="1" x14ac:dyDescent="0.35">
      <c r="A159" s="15"/>
      <c r="B159" s="33" t="s">
        <v>511</v>
      </c>
      <c r="C159" s="89"/>
      <c r="D159" s="15"/>
      <c r="E159" s="15"/>
      <c r="F159" s="15"/>
      <c r="G159" s="15"/>
      <c r="H159" s="15"/>
      <c r="I159" s="15"/>
      <c r="J159" s="15"/>
      <c r="K159" s="15"/>
      <c r="L159" s="15"/>
    </row>
    <row r="160" spans="1:12" ht="16.2" thickBot="1" x14ac:dyDescent="0.35">
      <c r="A160" s="15"/>
      <c r="B160" s="15" t="s">
        <v>544</v>
      </c>
      <c r="C160" s="39">
        <f>[1]INPUT!C160</f>
        <v>3.8117999999999999E-2</v>
      </c>
      <c r="D160" s="39">
        <f>[1]INPUT!D160</f>
        <v>3.8117999999999999E-2</v>
      </c>
      <c r="E160" s="33" t="s">
        <v>332</v>
      </c>
      <c r="F160" s="15"/>
      <c r="G160" s="15"/>
      <c r="H160" s="15"/>
      <c r="I160" s="15"/>
      <c r="J160" s="15"/>
      <c r="K160" s="15"/>
      <c r="L160" s="15"/>
    </row>
    <row r="161" spans="1:12" ht="16.2" thickBot="1" x14ac:dyDescent="0.35">
      <c r="A161" s="15"/>
      <c r="B161" s="15" t="s">
        <v>545</v>
      </c>
      <c r="C161" s="39">
        <f>[1]INPUT!C161</f>
        <v>3.9684999999999998E-2</v>
      </c>
      <c r="D161" s="39">
        <f>[1]INPUT!D161</f>
        <v>3.9684999999999998E-2</v>
      </c>
      <c r="E161" s="33" t="s">
        <v>332</v>
      </c>
      <c r="F161" s="15"/>
      <c r="G161" s="15"/>
      <c r="H161" s="15"/>
      <c r="I161" s="15"/>
      <c r="J161" s="15"/>
      <c r="K161" s="15"/>
      <c r="L161" s="15"/>
    </row>
    <row r="162" spans="1:12" ht="16.2" thickBot="1" x14ac:dyDescent="0.35">
      <c r="A162" s="15"/>
      <c r="B162" s="15" t="s">
        <v>514</v>
      </c>
      <c r="C162" s="39">
        <f>[1]INPUT!C162</f>
        <v>3.4157E-2</v>
      </c>
      <c r="D162" s="39">
        <f>[1]INPUT!D162</f>
        <v>3.4157E-2</v>
      </c>
      <c r="E162" s="33" t="s">
        <v>332</v>
      </c>
      <c r="F162" s="15"/>
      <c r="G162" s="15"/>
      <c r="H162" s="15"/>
      <c r="I162" s="15"/>
      <c r="J162" s="15"/>
      <c r="K162" s="15"/>
      <c r="L162" s="15"/>
    </row>
    <row r="163" spans="1:12" x14ac:dyDescent="0.2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</row>
    <row r="164" spans="1:12" ht="18" thickBot="1" x14ac:dyDescent="0.35">
      <c r="A164" s="15"/>
      <c r="B164" s="342" t="s">
        <v>795</v>
      </c>
      <c r="C164" s="342"/>
      <c r="D164" s="15"/>
      <c r="E164" s="21"/>
      <c r="F164" s="22"/>
      <c r="G164" s="15"/>
      <c r="H164" s="15"/>
      <c r="I164" s="16"/>
      <c r="J164" s="15"/>
      <c r="K164" s="15"/>
      <c r="L164" s="15"/>
    </row>
    <row r="165" spans="1:12" ht="16.2" thickBot="1" x14ac:dyDescent="0.35">
      <c r="A165" s="15"/>
      <c r="B165" s="23" t="s">
        <v>548</v>
      </c>
      <c r="C165" s="39">
        <f>IF($H$7=1,F165,0)</f>
        <v>4.1418127002653491E-3</v>
      </c>
      <c r="D165" s="39">
        <f>IF($H$7=1,G165,0)</f>
        <v>3.4815119650567325E-3</v>
      </c>
      <c r="E165" s="74" t="s">
        <v>550</v>
      </c>
      <c r="F165" s="73">
        <v>4.1418127002653491E-3</v>
      </c>
      <c r="G165" s="73">
        <v>3.4815119650567325E-3</v>
      </c>
      <c r="H165" s="15"/>
      <c r="I165" s="16"/>
      <c r="J165" s="15"/>
      <c r="K165" s="15"/>
      <c r="L165" s="15"/>
    </row>
    <row r="166" spans="1:12" ht="16.2" thickBot="1" x14ac:dyDescent="0.35">
      <c r="A166" s="15"/>
      <c r="B166" s="23" t="s">
        <v>549</v>
      </c>
      <c r="C166" s="39">
        <f>IF($H$7=1,F166,0)</f>
        <v>6.3863133253205971E-3</v>
      </c>
      <c r="D166" s="39">
        <f>IF($H$7=1,G166,0)</f>
        <v>5.3681872802409589E-3</v>
      </c>
      <c r="E166" s="74" t="s">
        <v>550</v>
      </c>
      <c r="F166" s="73">
        <f>(0.1306/0.0847)*F165</f>
        <v>6.3863133253205971E-3</v>
      </c>
      <c r="G166" s="73">
        <f>(0.1306/0.0847)*G165</f>
        <v>5.3681872802409589E-3</v>
      </c>
      <c r="H166" s="15"/>
      <c r="I166" s="16"/>
      <c r="J166" s="15"/>
      <c r="K166" s="15"/>
      <c r="L166" s="15"/>
    </row>
    <row r="167" spans="1:12" x14ac:dyDescent="0.25">
      <c r="A167" s="15"/>
      <c r="B167" s="20"/>
      <c r="C167" s="20"/>
      <c r="D167" s="15"/>
      <c r="E167" s="21"/>
      <c r="F167" s="22"/>
      <c r="G167" s="15"/>
      <c r="H167" s="15"/>
      <c r="I167" s="16"/>
      <c r="J167" s="15"/>
      <c r="K167" s="15"/>
      <c r="L167" s="15"/>
    </row>
    <row r="168" spans="1:12" ht="18" thickBot="1" x14ac:dyDescent="0.35">
      <c r="A168" s="15"/>
      <c r="B168" s="342"/>
      <c r="C168" s="342"/>
      <c r="D168" s="15"/>
      <c r="E168" s="21"/>
      <c r="F168" s="22"/>
      <c r="G168" s="15"/>
      <c r="H168" s="15"/>
      <c r="I168" s="16"/>
      <c r="J168" s="15"/>
      <c r="K168" s="15"/>
      <c r="L168" s="15"/>
    </row>
    <row r="169" spans="1:12" ht="16.2" thickBot="1" x14ac:dyDescent="0.35">
      <c r="A169" s="15"/>
      <c r="B169" s="33"/>
      <c r="C169" s="39"/>
      <c r="D169" s="39"/>
      <c r="E169" s="33"/>
      <c r="F169" s="73"/>
      <c r="G169" s="70"/>
      <c r="H169" s="15"/>
      <c r="I169" s="16"/>
      <c r="J169" s="16"/>
      <c r="K169" s="23"/>
      <c r="L169" s="15"/>
    </row>
    <row r="170" spans="1:12" ht="16.2" thickBot="1" x14ac:dyDescent="0.35">
      <c r="A170" s="15"/>
      <c r="B170" s="33"/>
      <c r="C170" s="39"/>
      <c r="D170" s="39"/>
      <c r="E170" s="33"/>
      <c r="F170" s="73"/>
      <c r="G170" s="70"/>
      <c r="H170" s="15"/>
      <c r="I170" s="16"/>
      <c r="J170" s="15"/>
      <c r="K170" s="15"/>
      <c r="L170" s="15"/>
    </row>
    <row r="171" spans="1:12" ht="16.2" thickBot="1" x14ac:dyDescent="0.35">
      <c r="A171" s="15"/>
      <c r="B171" s="33"/>
      <c r="C171" s="39"/>
      <c r="D171" s="39"/>
      <c r="E171" s="33"/>
      <c r="F171" s="70"/>
      <c r="G171" s="70"/>
      <c r="H171" s="15"/>
      <c r="I171" s="16"/>
      <c r="J171" s="15"/>
      <c r="K171" s="15"/>
      <c r="L171" s="15"/>
    </row>
    <row r="172" spans="1:12" ht="16.2" thickBot="1" x14ac:dyDescent="0.35">
      <c r="A172" s="15"/>
      <c r="B172" s="33"/>
      <c r="C172" s="39"/>
      <c r="D172" s="39"/>
      <c r="E172" s="33"/>
      <c r="F172" s="70"/>
      <c r="G172" s="70"/>
      <c r="H172" s="15"/>
      <c r="I172" s="16"/>
      <c r="J172" s="15"/>
      <c r="K172" s="15"/>
      <c r="L172" s="15"/>
    </row>
    <row r="173" spans="1:12" ht="16.2" thickBot="1" x14ac:dyDescent="0.35">
      <c r="A173" s="15"/>
      <c r="B173" s="33"/>
      <c r="C173" s="39"/>
      <c r="D173" s="39"/>
      <c r="E173" s="33"/>
      <c r="F173" s="70"/>
      <c r="G173" s="70"/>
      <c r="H173" s="15"/>
      <c r="I173" s="16"/>
      <c r="J173" s="15"/>
      <c r="K173" s="15"/>
      <c r="L173" s="15"/>
    </row>
    <row r="174" spans="1:12" ht="16.2" thickBot="1" x14ac:dyDescent="0.35">
      <c r="A174" s="15"/>
      <c r="B174" s="33"/>
      <c r="C174" s="39"/>
      <c r="D174" s="39"/>
      <c r="E174" s="33"/>
      <c r="F174" s="70"/>
      <c r="G174" s="70"/>
      <c r="H174" s="15"/>
      <c r="I174" s="16"/>
      <c r="J174" s="15"/>
      <c r="K174" s="15"/>
      <c r="L174" s="15"/>
    </row>
    <row r="175" spans="1:12" ht="16.2" thickBot="1" x14ac:dyDescent="0.35">
      <c r="A175" s="15"/>
      <c r="B175" s="33"/>
      <c r="C175" s="39"/>
      <c r="D175" s="39"/>
      <c r="E175" s="33"/>
      <c r="F175" s="70"/>
      <c r="G175" s="70"/>
      <c r="H175" s="15"/>
      <c r="I175" s="16"/>
      <c r="J175" s="15"/>
      <c r="K175" s="15"/>
      <c r="L175" s="15"/>
    </row>
    <row r="176" spans="1:12" ht="16.2" thickBot="1" x14ac:dyDescent="0.35">
      <c r="A176" s="15"/>
      <c r="B176" s="33"/>
      <c r="C176" s="39"/>
      <c r="D176" s="39"/>
      <c r="E176" s="33"/>
      <c r="F176" s="70"/>
      <c r="G176" s="70"/>
      <c r="H176" s="15"/>
      <c r="I176" s="16"/>
      <c r="J176" s="15"/>
      <c r="K176" s="15"/>
      <c r="L176" s="15"/>
    </row>
    <row r="177" spans="1:12" ht="16.2" thickBot="1" x14ac:dyDescent="0.35">
      <c r="A177" s="15"/>
      <c r="B177" s="33"/>
      <c r="C177" s="61"/>
      <c r="D177" s="61"/>
      <c r="E177" s="33"/>
      <c r="F177" s="72"/>
      <c r="G177" s="72"/>
      <c r="H177" s="15"/>
      <c r="I177" s="16"/>
      <c r="J177" s="15"/>
      <c r="K177" s="15"/>
      <c r="L177" s="15"/>
    </row>
    <row r="178" spans="1:12" ht="16.2" thickBot="1" x14ac:dyDescent="0.35">
      <c r="A178" s="15"/>
      <c r="B178" s="33"/>
      <c r="C178" s="39"/>
      <c r="D178" s="39"/>
      <c r="E178" s="33"/>
      <c r="F178" s="70"/>
      <c r="G178" s="70"/>
      <c r="H178" s="15"/>
      <c r="I178" s="16"/>
      <c r="J178" s="15"/>
      <c r="K178" s="15"/>
      <c r="L178" s="15"/>
    </row>
    <row r="179" spans="1:12" ht="16.2" thickBot="1" x14ac:dyDescent="0.35">
      <c r="A179" s="15"/>
      <c r="B179" s="33"/>
      <c r="C179" s="61"/>
      <c r="D179" s="61"/>
      <c r="E179" s="33"/>
      <c r="F179" s="72"/>
      <c r="G179" s="72"/>
      <c r="H179" s="15"/>
      <c r="I179" s="16"/>
      <c r="J179" s="15"/>
      <c r="K179" s="15"/>
      <c r="L179" s="15"/>
    </row>
    <row r="180" spans="1:12" ht="15.6" x14ac:dyDescent="0.3">
      <c r="A180" s="15"/>
      <c r="B180" s="60" t="s">
        <v>525</v>
      </c>
      <c r="C180" s="22"/>
      <c r="D180" s="22"/>
      <c r="E180" s="33"/>
      <c r="F180" s="22"/>
      <c r="G180" s="15"/>
      <c r="H180" s="15"/>
      <c r="I180" s="16"/>
      <c r="J180" s="15"/>
      <c r="K180" s="15"/>
      <c r="L180" s="15"/>
    </row>
    <row r="181" spans="1:12" x14ac:dyDescent="0.25">
      <c r="A181" s="15"/>
      <c r="B181" s="20"/>
      <c r="C181" s="20"/>
      <c r="D181" s="15"/>
      <c r="E181" s="21"/>
      <c r="F181" s="22"/>
      <c r="G181" s="15"/>
      <c r="H181" s="15"/>
      <c r="I181" s="16"/>
      <c r="J181" s="15"/>
      <c r="K181" s="15"/>
      <c r="L181" s="15"/>
    </row>
    <row r="182" spans="1:12" ht="18" thickBot="1" x14ac:dyDescent="0.35">
      <c r="A182" s="15"/>
      <c r="B182" s="342"/>
      <c r="C182" s="342"/>
      <c r="D182" s="15"/>
      <c r="E182" s="21"/>
      <c r="F182" s="22"/>
      <c r="G182" s="15"/>
      <c r="H182" s="15"/>
      <c r="I182" s="16"/>
      <c r="J182" s="15"/>
      <c r="K182" s="15"/>
      <c r="L182" s="15"/>
    </row>
    <row r="183" spans="1:12" ht="16.2" thickBot="1" x14ac:dyDescent="0.35">
      <c r="A183" s="15"/>
      <c r="B183" s="33"/>
      <c r="C183" s="39"/>
      <c r="D183" s="39"/>
      <c r="E183" s="33"/>
      <c r="F183" s="70"/>
      <c r="G183" s="70"/>
      <c r="H183" s="15"/>
      <c r="I183" s="16"/>
      <c r="J183" s="16"/>
      <c r="K183" s="23"/>
      <c r="L183" s="15"/>
    </row>
    <row r="184" spans="1:12" ht="16.2" thickBot="1" x14ac:dyDescent="0.35">
      <c r="A184" s="15"/>
      <c r="B184" s="33"/>
      <c r="C184" s="39"/>
      <c r="D184" s="39"/>
      <c r="E184" s="33"/>
      <c r="F184" s="70"/>
      <c r="G184" s="70"/>
      <c r="H184" s="15"/>
      <c r="I184" s="16"/>
      <c r="J184" s="15"/>
      <c r="K184" s="15"/>
      <c r="L184" s="15"/>
    </row>
    <row r="185" spans="1:12" ht="16.2" thickBot="1" x14ac:dyDescent="0.35">
      <c r="A185" s="15"/>
      <c r="B185" s="33"/>
      <c r="C185" s="39"/>
      <c r="D185" s="39"/>
      <c r="E185" s="33"/>
      <c r="F185" s="70"/>
      <c r="G185" s="70"/>
      <c r="H185" s="15"/>
      <c r="I185" s="16"/>
      <c r="J185" s="15"/>
      <c r="K185" s="15"/>
      <c r="L185" s="15"/>
    </row>
    <row r="186" spans="1:12" ht="16.2" thickBot="1" x14ac:dyDescent="0.35">
      <c r="A186" s="15"/>
      <c r="B186" s="33"/>
      <c r="C186" s="39"/>
      <c r="D186" s="39"/>
      <c r="E186" s="33"/>
      <c r="F186" s="70"/>
      <c r="G186" s="70"/>
      <c r="H186" s="15"/>
      <c r="I186" s="16"/>
      <c r="J186" s="15"/>
      <c r="K186" s="15"/>
      <c r="L186" s="15"/>
    </row>
    <row r="187" spans="1:12" ht="16.2" thickBot="1" x14ac:dyDescent="0.35">
      <c r="A187" s="15"/>
      <c r="B187" s="33"/>
      <c r="C187" s="39"/>
      <c r="D187" s="39"/>
      <c r="E187" s="33"/>
      <c r="F187" s="70"/>
      <c r="G187" s="70"/>
      <c r="H187" s="15"/>
      <c r="I187" s="16"/>
      <c r="J187" s="15"/>
      <c r="K187" s="15"/>
      <c r="L187" s="15"/>
    </row>
    <row r="188" spans="1:12" ht="16.2" thickBot="1" x14ac:dyDescent="0.35">
      <c r="A188" s="15"/>
      <c r="B188" s="33"/>
      <c r="C188" s="39"/>
      <c r="D188" s="39"/>
      <c r="E188" s="33"/>
      <c r="F188" s="70"/>
      <c r="G188" s="70"/>
      <c r="H188" s="15"/>
      <c r="I188" s="16"/>
      <c r="J188" s="15"/>
      <c r="K188" s="15"/>
      <c r="L188" s="15"/>
    </row>
    <row r="189" spans="1:12" ht="16.2" thickBot="1" x14ac:dyDescent="0.35">
      <c r="A189" s="15"/>
      <c r="B189" s="33"/>
      <c r="C189" s="39"/>
      <c r="D189" s="39"/>
      <c r="E189" s="33"/>
      <c r="F189" s="70"/>
      <c r="G189" s="70"/>
      <c r="H189" s="15"/>
      <c r="I189" s="16"/>
      <c r="J189" s="15"/>
      <c r="K189" s="15"/>
      <c r="L189" s="15"/>
    </row>
    <row r="190" spans="1:12" ht="16.2" thickBot="1" x14ac:dyDescent="0.35">
      <c r="A190" s="15"/>
      <c r="B190" s="33"/>
      <c r="C190" s="39"/>
      <c r="D190" s="39"/>
      <c r="E190" s="33"/>
      <c r="F190" s="70"/>
      <c r="G190" s="70"/>
      <c r="H190" s="15"/>
      <c r="I190" s="16"/>
      <c r="J190" s="15"/>
      <c r="K190" s="15"/>
      <c r="L190" s="15"/>
    </row>
    <row r="191" spans="1:12" ht="16.2" thickBot="1" x14ac:dyDescent="0.35">
      <c r="A191" s="15"/>
      <c r="B191" s="33"/>
      <c r="C191" s="39"/>
      <c r="D191" s="39"/>
      <c r="E191" s="33"/>
      <c r="F191" s="70"/>
      <c r="G191" s="70"/>
      <c r="H191" s="15"/>
      <c r="I191" s="16"/>
      <c r="J191" s="15"/>
      <c r="K191" s="15"/>
      <c r="L191" s="15"/>
    </row>
    <row r="192" spans="1:12" ht="16.2" thickBot="1" x14ac:dyDescent="0.35">
      <c r="A192" s="15"/>
      <c r="B192" s="33"/>
      <c r="C192" s="39"/>
      <c r="D192" s="39"/>
      <c r="E192" s="33"/>
      <c r="F192" s="70"/>
      <c r="G192" s="70"/>
      <c r="H192" s="15"/>
      <c r="I192" s="16"/>
      <c r="J192" s="15"/>
      <c r="K192" s="15"/>
      <c r="L192" s="15"/>
    </row>
    <row r="193" spans="1:12" x14ac:dyDescent="0.25">
      <c r="A193" s="15"/>
      <c r="B193" s="20"/>
      <c r="C193" s="20"/>
      <c r="D193" s="15"/>
      <c r="E193" s="21"/>
      <c r="F193" s="20"/>
      <c r="G193" s="22"/>
      <c r="H193" s="15"/>
      <c r="I193" s="16"/>
      <c r="J193" s="15"/>
      <c r="K193" s="15"/>
      <c r="L193" s="15"/>
    </row>
    <row r="194" spans="1:12" ht="16.2" thickBot="1" x14ac:dyDescent="0.35">
      <c r="A194" s="15"/>
      <c r="B194" s="33" t="s">
        <v>528</v>
      </c>
      <c r="C194" s="20"/>
      <c r="D194" s="15"/>
      <c r="E194" s="21"/>
      <c r="F194" s="20"/>
      <c r="G194" s="22"/>
      <c r="H194" s="15"/>
      <c r="I194" s="16"/>
      <c r="J194" s="15"/>
      <c r="K194" s="15"/>
      <c r="L194" s="15"/>
    </row>
    <row r="195" spans="1:12" ht="16.2" thickBot="1" x14ac:dyDescent="0.35">
      <c r="A195" s="15"/>
      <c r="B195" s="30" t="s">
        <v>431</v>
      </c>
      <c r="C195" s="32"/>
      <c r="D195" s="31"/>
      <c r="E195" s="31"/>
      <c r="F195" s="31"/>
      <c r="G195" s="28"/>
      <c r="H195" s="15"/>
      <c r="I195" s="16"/>
      <c r="J195" s="15"/>
      <c r="K195" s="15"/>
      <c r="L195" s="15"/>
    </row>
    <row r="196" spans="1:12" ht="16.2" thickBot="1" x14ac:dyDescent="0.35">
      <c r="A196" s="15"/>
      <c r="B196" s="30" t="s">
        <v>432</v>
      </c>
      <c r="C196" s="32"/>
      <c r="D196" s="32"/>
      <c r="E196" s="31"/>
      <c r="F196" s="31"/>
      <c r="G196" s="28"/>
      <c r="H196" s="15"/>
      <c r="I196" s="16"/>
      <c r="J196" s="15"/>
      <c r="K196" s="15"/>
      <c r="L196" s="15"/>
    </row>
    <row r="197" spans="1:12" ht="16.2" thickBot="1" x14ac:dyDescent="0.35">
      <c r="A197" s="15"/>
      <c r="B197" s="54" t="s">
        <v>529</v>
      </c>
      <c r="C197" s="32"/>
      <c r="D197" s="32"/>
      <c r="E197" s="31"/>
      <c r="F197" s="31"/>
      <c r="G197" s="28"/>
      <c r="H197" s="15"/>
      <c r="I197" s="16"/>
      <c r="J197" s="15"/>
      <c r="K197" s="15"/>
      <c r="L197" s="15"/>
    </row>
    <row r="198" spans="1:12" ht="16.2" thickBot="1" x14ac:dyDescent="0.35">
      <c r="A198" s="15"/>
      <c r="B198" s="87" t="s">
        <v>707</v>
      </c>
      <c r="C198" s="32"/>
      <c r="D198" s="32"/>
      <c r="E198" s="31"/>
      <c r="F198" s="31"/>
      <c r="G198" s="28"/>
      <c r="H198" s="15"/>
      <c r="I198" s="16"/>
      <c r="J198" s="15"/>
      <c r="K198" s="15"/>
      <c r="L198" s="15"/>
    </row>
    <row r="199" spans="1:12" ht="16.2" thickBot="1" x14ac:dyDescent="0.35">
      <c r="A199" s="15"/>
      <c r="B199" s="54" t="s">
        <v>430</v>
      </c>
      <c r="C199" s="32"/>
      <c r="D199" s="32"/>
      <c r="E199" s="31"/>
      <c r="F199" s="31"/>
      <c r="G199" s="28"/>
      <c r="H199" s="15"/>
      <c r="I199" s="16"/>
      <c r="J199" s="15"/>
      <c r="K199" s="15"/>
      <c r="L199" s="15"/>
    </row>
    <row r="200" spans="1:12" ht="16.2" thickBot="1" x14ac:dyDescent="0.35">
      <c r="A200" s="15"/>
      <c r="B200" s="54"/>
      <c r="C200" s="32"/>
      <c r="D200" s="32"/>
      <c r="E200" s="31"/>
      <c r="F200" s="31"/>
      <c r="G200" s="28"/>
      <c r="H200" s="15"/>
      <c r="I200" s="16"/>
      <c r="J200" s="15"/>
      <c r="K200" s="15"/>
      <c r="L200" s="15"/>
    </row>
    <row r="201" spans="1:12" ht="16.2" thickBot="1" x14ac:dyDescent="0.35">
      <c r="A201" s="15"/>
      <c r="B201" s="54"/>
      <c r="C201" s="32"/>
      <c r="D201" s="32"/>
      <c r="E201" s="31"/>
      <c r="F201" s="31"/>
      <c r="G201" s="28"/>
      <c r="H201" s="15"/>
      <c r="I201" s="16"/>
      <c r="J201" s="15"/>
      <c r="K201" s="15"/>
      <c r="L201" s="15"/>
    </row>
    <row r="202" spans="1:12" x14ac:dyDescent="0.25">
      <c r="A202" s="15"/>
      <c r="B202" s="20"/>
      <c r="C202" s="20"/>
      <c r="D202" s="15"/>
      <c r="E202" s="21"/>
      <c r="F202" s="20"/>
      <c r="G202" s="22"/>
      <c r="H202" s="15"/>
      <c r="I202" s="16"/>
      <c r="J202" s="15"/>
      <c r="K202" s="15"/>
      <c r="L202" s="15"/>
    </row>
    <row r="203" spans="1:12" ht="18" thickBot="1" x14ac:dyDescent="0.35">
      <c r="A203" s="15"/>
      <c r="B203" s="342" t="s">
        <v>542</v>
      </c>
      <c r="C203" s="342"/>
      <c r="D203" s="15"/>
      <c r="E203" s="21"/>
      <c r="F203" s="20"/>
      <c r="G203" s="22"/>
      <c r="H203" s="15"/>
      <c r="I203" s="16"/>
      <c r="J203" s="15"/>
      <c r="K203" s="15"/>
      <c r="L203" s="15"/>
    </row>
    <row r="204" spans="1:12" ht="16.2" thickBot="1" x14ac:dyDescent="0.35">
      <c r="A204" s="15"/>
      <c r="B204" s="33" t="s">
        <v>543</v>
      </c>
      <c r="C204" s="39">
        <f>[1]INPUT!C204</f>
        <v>7.0913000000000004E-2</v>
      </c>
      <c r="D204" s="39">
        <f>C204</f>
        <v>7.0913000000000004E-2</v>
      </c>
      <c r="E204" s="33" t="s">
        <v>332</v>
      </c>
      <c r="F204" s="53"/>
      <c r="G204" s="15"/>
      <c r="H204" s="15"/>
      <c r="I204" s="16"/>
      <c r="J204" s="16"/>
      <c r="K204" s="23"/>
      <c r="L204" s="15"/>
    </row>
    <row r="207" spans="1:12" x14ac:dyDescent="0.25">
      <c r="B207" s="62"/>
    </row>
  </sheetData>
  <customSheetViews>
    <customSheetView guid="{F562D92E-120C-4AE9-9663-89E64D41DC53}" topLeftCell="A5">
      <selection activeCell="C15" sqref="C15"/>
      <pageMargins left="0.75" right="0.75" top="1" bottom="1" header="0.5" footer="0.5"/>
      <pageSetup orientation="portrait" r:id="rId1"/>
      <headerFooter alignWithMargins="0">
        <oddHeader>&amp;A</oddHeader>
        <oddFooter>Page &amp;P</oddFooter>
      </headerFooter>
    </customSheetView>
    <customSheetView guid="{35F19056-2E6F-4935-B863-78836FE990BF}" showPageBreaks="1" showRuler="0">
      <selection activeCell="C15" sqref="C15"/>
      <pageMargins left="0.75" right="0.75" top="1" bottom="1" header="0.5" footer="0.5"/>
      <pageSetup orientation="portrait" r:id="rId2"/>
      <headerFooter alignWithMargins="0">
        <oddHeader>&amp;A</oddHeader>
        <oddFooter>Page &amp;P</oddFooter>
      </headerFooter>
    </customSheetView>
    <customSheetView guid="{18BDED73-BFA0-442E-87EC-CED86EE4CF94}" showRuler="0">
      <selection activeCell="B4" sqref="B4"/>
      <pageMargins left="0.75" right="0.75" top="1" bottom="1" header="0.5" footer="0.5"/>
      <pageSetup orientation="portrait" r:id="rId3"/>
      <headerFooter alignWithMargins="0">
        <oddHeader>&amp;A</oddHeader>
        <oddFooter>Page &amp;P</oddFooter>
      </headerFooter>
    </customSheetView>
    <customSheetView guid="{0BC1F393-8A13-47D5-BC6C-0C99615B5AB9}" showRuler="0">
      <selection activeCell="C14" sqref="C14"/>
      <pageMargins left="0.75" right="0.75" top="1" bottom="1" header="0.5" footer="0.5"/>
      <pageSetup orientation="portrait" r:id="rId4"/>
      <headerFooter alignWithMargins="0">
        <oddHeader>&amp;A</oddHeader>
        <oddFooter>Page &amp;P</oddFooter>
      </headerFooter>
    </customSheetView>
    <customSheetView guid="{6B3D5C27-2FDE-4561-9575-1E98BFB869D0}" showRuler="0">
      <selection activeCell="C15" sqref="C15"/>
      <pageMargins left="0.75" right="0.75" top="1" bottom="1" header="0.5" footer="0.5"/>
      <pageSetup orientation="portrait" r:id="rId5"/>
      <headerFooter alignWithMargins="0">
        <oddHeader>&amp;A</oddHeader>
        <oddFooter>Page &amp;P</oddFooter>
      </headerFooter>
    </customSheetView>
    <customSheetView guid="{8FB94551-8874-4095-B8FB-5316E0D2FD2C}" showRuler="0">
      <pageMargins left="0.75" right="0.75" top="1" bottom="1" header="0.5" footer="0.5"/>
      <pageSetup orientation="portrait" r:id="rId6"/>
      <headerFooter alignWithMargins="0">
        <oddHeader>&amp;A</oddHeader>
        <oddFooter>Page &amp;P</oddFooter>
      </headerFooter>
    </customSheetView>
    <customSheetView guid="{8FC77C99-DBF7-40B8-99B8-01B75826CDCB}" showRuler="0">
      <selection activeCell="C13" sqref="C13"/>
      <pageMargins left="0.75" right="0.75" top="1" bottom="1" header="0.5" footer="0.5"/>
      <pageSetup orientation="portrait" r:id="rId7"/>
      <headerFooter alignWithMargins="0">
        <oddHeader>&amp;A</oddHeader>
        <oddFooter>Page &amp;P</oddFooter>
      </headerFooter>
    </customSheetView>
    <customSheetView guid="{2EA35095-1ADC-4CC7-8C3C-B487D65FA247}" showRuler="0">
      <selection activeCell="B4" sqref="B4"/>
      <pageMargins left="0.75" right="0.75" top="1" bottom="1" header="0.5" footer="0.5"/>
      <pageSetup orientation="portrait" r:id="rId8"/>
      <headerFooter alignWithMargins="0">
        <oddHeader>&amp;A</oddHeader>
        <oddFooter>Page &amp;P</oddFooter>
      </headerFooter>
    </customSheetView>
    <customSheetView guid="{2431C9E5-7CC2-4B8D-99C3-962247B1DBF5}" showRuler="0">
      <selection activeCell="B4" sqref="B4"/>
      <pageMargins left="0.75" right="0.75" top="1" bottom="1" header="0.5" footer="0.5"/>
      <pageSetup orientation="portrait" r:id="rId9"/>
      <headerFooter alignWithMargins="0">
        <oddHeader>&amp;A</oddHeader>
        <oddFooter>Page &amp;P</oddFooter>
      </headerFooter>
    </customSheetView>
    <customSheetView guid="{4BC93440-BA85-4935-A8C9-66DC6AE5DE5E}" showRuler="0">
      <selection activeCell="C15" sqref="C15"/>
      <pageMargins left="0.75" right="0.75" top="1" bottom="1" header="0.5" footer="0.5"/>
      <pageSetup orientation="portrait" r:id="rId10"/>
      <headerFooter alignWithMargins="0">
        <oddHeader>&amp;A</oddHeader>
        <oddFooter>Page &amp;P</oddFooter>
      </headerFooter>
    </customSheetView>
    <customSheetView guid="{0C49E549-011E-46F4-A82E-2CC8951A9C1E}" showRuler="0">
      <selection activeCell="C17" sqref="C17"/>
      <pageMargins left="0.75" right="0.75" top="1" bottom="1" header="0.5" footer="0.5"/>
      <pageSetup orientation="portrait" r:id="rId11"/>
      <headerFooter alignWithMargins="0">
        <oddHeader>&amp;A</oddHeader>
        <oddFooter>Page &amp;P</oddFooter>
      </headerFooter>
    </customSheetView>
    <customSheetView guid="{195DF303-1BBD-4236-94B5-47432850B006}" showRuler="0">
      <pageMargins left="0.75" right="0.75" top="1" bottom="1" header="0.5" footer="0.5"/>
      <pageSetup orientation="portrait" r:id="rId12"/>
      <headerFooter alignWithMargins="0">
        <oddHeader>&amp;A</oddHeader>
        <oddFooter>Page &amp;P</oddFooter>
      </headerFooter>
    </customSheetView>
  </customSheetViews>
  <mergeCells count="18">
    <mergeCell ref="B22:D22"/>
    <mergeCell ref="B164:C164"/>
    <mergeCell ref="B168:C168"/>
    <mergeCell ref="B134:D134"/>
    <mergeCell ref="A1:J1"/>
    <mergeCell ref="B42:D42"/>
    <mergeCell ref="B46:D46"/>
    <mergeCell ref="B111:D111"/>
    <mergeCell ref="B61:D61"/>
    <mergeCell ref="B66:D66"/>
    <mergeCell ref="B84:D84"/>
    <mergeCell ref="B94:D94"/>
    <mergeCell ref="B102:D102"/>
    <mergeCell ref="B203:C203"/>
    <mergeCell ref="B152:D152"/>
    <mergeCell ref="B33:C33"/>
    <mergeCell ref="B121:D121"/>
    <mergeCell ref="B182:C182"/>
  </mergeCells>
  <phoneticPr fontId="11" type="noConversion"/>
  <pageMargins left="0.75" right="0.75" top="1" bottom="1" header="0.5" footer="0.5"/>
  <pageSetup orientation="portrait" r:id="rId13"/>
  <headerFooter alignWithMargins="0">
    <oddHeader>&amp;A</oddHeader>
    <oddFooter>Page &amp;P</oddFooter>
  </headerFooter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7" r:id="rId16" name="Option Button 1">
              <controlPr defaultSize="0" autoFill="0" autoLine="0" autoPict="0" altText="With Riders">
                <anchor moveWithCells="1">
                  <from>
                    <xdr:col>7</xdr:col>
                    <xdr:colOff>68580</xdr:colOff>
                    <xdr:row>4</xdr:row>
                    <xdr:rowOff>7620</xdr:rowOff>
                  </from>
                  <to>
                    <xdr:col>8</xdr:col>
                    <xdr:colOff>0</xdr:colOff>
                    <xdr:row>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98" r:id="rId17" name="Option Button 2">
              <controlPr defaultSize="0" autoFill="0" autoLine="0" autoPict="0">
                <anchor moveWithCells="1">
                  <from>
                    <xdr:col>7</xdr:col>
                    <xdr:colOff>68580</xdr:colOff>
                    <xdr:row>5</xdr:row>
                    <xdr:rowOff>0</xdr:rowOff>
                  </from>
                  <to>
                    <xdr:col>8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syncVertical="1" syncRef="A1" transitionEvaluation="1" transitionEntry="1" codeName="Sheet8">
    <pageSetUpPr fitToPage="1"/>
  </sheetPr>
  <dimension ref="A1:BW1101"/>
  <sheetViews>
    <sheetView zoomScale="75" workbookViewId="0"/>
  </sheetViews>
  <sheetFormatPr defaultColWidth="9.75" defaultRowHeight="15.6" x14ac:dyDescent="0.3"/>
  <cols>
    <col min="1" max="1" width="5" style="98" customWidth="1"/>
    <col min="2" max="2" width="0.6640625" style="98" customWidth="1"/>
    <col min="3" max="3" width="7.75" style="98" customWidth="1"/>
    <col min="4" max="4" width="35.4140625" style="98" customWidth="1"/>
    <col min="5" max="5" width="0.7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66406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2.75" style="98" customWidth="1"/>
    <col min="17" max="17" width="0.58203125" style="98" customWidth="1"/>
    <col min="18" max="18" width="17.25" style="98" customWidth="1"/>
    <col min="19" max="19" width="6.6640625" style="98" customWidth="1"/>
    <col min="20" max="20" width="5.25" style="98" customWidth="1"/>
    <col min="21" max="21" width="0.58203125" style="98" customWidth="1"/>
    <col min="22" max="22" width="9.4140625" style="98" customWidth="1"/>
    <col min="23" max="23" width="36.58203125" style="98" customWidth="1"/>
    <col min="24" max="24" width="0.7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4140625" style="98" customWidth="1"/>
    <col min="29" max="29" width="11.4140625" style="98" customWidth="1"/>
    <col min="30" max="30" width="0.332031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66406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4 OF "&amp;TEXT(Page_Num_2.3,"00")</f>
        <v>PAGE 4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196</v>
      </c>
      <c r="I19" s="166"/>
      <c r="J19" s="167" t="s">
        <v>331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378</v>
      </c>
      <c r="D20" s="124" t="s">
        <v>375</v>
      </c>
      <c r="E20" s="99"/>
      <c r="F20" s="1"/>
      <c r="G20" s="1"/>
      <c r="H20" s="215"/>
      <c r="I20" s="215"/>
      <c r="J20" s="167" t="s">
        <v>328</v>
      </c>
      <c r="K20" s="215"/>
      <c r="L20" s="215"/>
      <c r="M20" s="215"/>
      <c r="N20" s="215"/>
      <c r="O20" s="215"/>
      <c r="P20" s="215"/>
      <c r="Q20" s="215"/>
      <c r="R20" s="215"/>
      <c r="T20" s="99"/>
      <c r="U20" s="99"/>
    </row>
    <row r="21" spans="1:40" x14ac:dyDescent="0.3">
      <c r="A21" s="98">
        <v>2</v>
      </c>
      <c r="C21" s="124" t="s">
        <v>54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x14ac:dyDescent="0.3">
      <c r="A22" s="98">
        <v>3</v>
      </c>
      <c r="C22" s="124" t="s">
        <v>133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10"/>
      <c r="T22" s="99"/>
      <c r="V22" s="110"/>
      <c r="Y22" s="110"/>
      <c r="Z22" s="181"/>
      <c r="AA22" s="110"/>
      <c r="AB22" s="110"/>
      <c r="AC22" s="141"/>
      <c r="AD22" s="141"/>
      <c r="AE22" s="110"/>
      <c r="AF22" s="110"/>
      <c r="AH22" s="141"/>
      <c r="AI22" s="110"/>
      <c r="AJ22" s="110"/>
      <c r="AL22" s="110"/>
      <c r="AM22" s="141"/>
      <c r="AN22" s="141"/>
    </row>
    <row r="23" spans="1:40" x14ac:dyDescent="0.3">
      <c r="A23" s="98">
        <v>4</v>
      </c>
      <c r="C23" s="99" t="s">
        <v>144</v>
      </c>
      <c r="F23" s="172">
        <f>'[5]Forecast BILLS'!$B$69</f>
        <v>133</v>
      </c>
      <c r="G23" s="1"/>
      <c r="H23" s="147"/>
      <c r="I23" s="1"/>
      <c r="J23" s="181">
        <f>INPUT!D70</f>
        <v>160</v>
      </c>
      <c r="K23" s="1"/>
      <c r="L23" s="106">
        <f>ROUND(+F23*J23,0)</f>
        <v>21280</v>
      </c>
      <c r="M23" s="1"/>
      <c r="N23" s="156">
        <f>ROUND((+L23/$L$65)*100,1)</f>
        <v>0</v>
      </c>
      <c r="O23" s="1"/>
      <c r="P23" s="106"/>
      <c r="Q23" s="1"/>
      <c r="R23" s="106">
        <f>L23+P23</f>
        <v>21280</v>
      </c>
      <c r="S23" s="110"/>
      <c r="T23" s="99"/>
      <c r="V23" s="110">
        <v>138</v>
      </c>
      <c r="Y23" s="110"/>
      <c r="Z23" s="216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ht="20.100000000000001" customHeight="1" x14ac:dyDescent="0.3">
      <c r="A24" s="98">
        <v>5</v>
      </c>
      <c r="C24" s="124" t="s">
        <v>136</v>
      </c>
      <c r="F24" s="112">
        <f>SUM(F23:F23)</f>
        <v>133</v>
      </c>
      <c r="G24" s="1"/>
      <c r="H24" s="106"/>
      <c r="I24" s="1"/>
      <c r="J24" s="171"/>
      <c r="K24" s="1"/>
      <c r="L24" s="112">
        <f>SUM(L23:L23)</f>
        <v>21280</v>
      </c>
      <c r="M24" s="1"/>
      <c r="N24" s="158">
        <f>ROUND((+L24/$L$65)*100,1)</f>
        <v>0</v>
      </c>
      <c r="O24" s="1"/>
      <c r="P24" s="112"/>
      <c r="Q24" s="106"/>
      <c r="R24" s="112">
        <f>SUM(R23:R23)</f>
        <v>21280</v>
      </c>
      <c r="S24" s="110"/>
      <c r="V24" s="192"/>
      <c r="Y24" s="192"/>
      <c r="Z24" s="217"/>
      <c r="AA24" s="192"/>
      <c r="AB24" s="192"/>
      <c r="AC24" s="192"/>
      <c r="AD24" s="192"/>
      <c r="AE24" s="192"/>
      <c r="AF24" s="192"/>
      <c r="AI24" s="192"/>
      <c r="AJ24" s="192"/>
      <c r="AK24" s="194"/>
      <c r="AL24" s="192"/>
      <c r="AM24" s="141"/>
      <c r="AN24" s="141"/>
    </row>
    <row r="25" spans="1:40" x14ac:dyDescent="0.3">
      <c r="A25" s="98">
        <v>6</v>
      </c>
      <c r="C25" s="124" t="s">
        <v>63</v>
      </c>
      <c r="F25" s="147"/>
      <c r="G25" s="1"/>
      <c r="H25" s="147"/>
      <c r="I25" s="1"/>
      <c r="J25" s="240"/>
      <c r="K25" s="1"/>
      <c r="L25" s="106"/>
      <c r="M25" s="1"/>
      <c r="N25" s="154"/>
      <c r="O25" s="1"/>
      <c r="P25" s="106"/>
      <c r="Q25" s="106"/>
      <c r="R25" s="106"/>
      <c r="S25" s="110"/>
      <c r="V25" s="172"/>
      <c r="Y25" s="172"/>
      <c r="Z25" s="217"/>
      <c r="AA25" s="110"/>
      <c r="AB25" s="110"/>
      <c r="AC25" s="141"/>
      <c r="AD25" s="141"/>
      <c r="AE25" s="110"/>
      <c r="AF25" s="110"/>
      <c r="AI25" s="110"/>
      <c r="AJ25" s="110"/>
      <c r="AL25" s="110"/>
      <c r="AM25" s="141"/>
      <c r="AN25" s="141"/>
    </row>
    <row r="26" spans="1:40" x14ac:dyDescent="0.3">
      <c r="A26" s="98">
        <v>7</v>
      </c>
      <c r="C26" s="99" t="s">
        <v>64</v>
      </c>
      <c r="F26" s="147"/>
      <c r="G26" s="1"/>
      <c r="H26" s="172">
        <f>'[5]Forecast KW'!$C$70</f>
        <v>350009.57995547005</v>
      </c>
      <c r="I26" s="1"/>
      <c r="J26" s="181">
        <f>INPUT!D76</f>
        <v>16.73</v>
      </c>
      <c r="K26" s="1"/>
      <c r="L26" s="106">
        <f>ROUND(+H26*J26,0)</f>
        <v>5855660</v>
      </c>
      <c r="M26" s="1"/>
      <c r="N26" s="154">
        <f>ROUND((+L26/$L$65)*100,1)</f>
        <v>10.9</v>
      </c>
      <c r="O26" s="1"/>
      <c r="P26" s="106"/>
      <c r="Q26" s="106"/>
      <c r="R26" s="106">
        <f>L26+P26</f>
        <v>5855660</v>
      </c>
      <c r="S26" s="110"/>
      <c r="V26" s="232">
        <v>16.71</v>
      </c>
      <c r="Y26" s="172"/>
      <c r="Z26" s="217"/>
      <c r="AA26" s="110"/>
      <c r="AB26" s="110"/>
      <c r="AC26" s="141"/>
      <c r="AD26" s="141"/>
      <c r="AE26" s="110"/>
      <c r="AF26" s="110"/>
      <c r="AH26" s="141"/>
      <c r="AI26" s="110"/>
      <c r="AJ26" s="110"/>
      <c r="AL26" s="110"/>
      <c r="AM26" s="141"/>
      <c r="AN26" s="141"/>
    </row>
    <row r="27" spans="1:40" x14ac:dyDescent="0.3">
      <c r="A27" s="98">
        <v>8</v>
      </c>
      <c r="C27" s="99" t="s">
        <v>65</v>
      </c>
      <c r="F27" s="147"/>
      <c r="G27" s="1"/>
      <c r="H27" s="172">
        <f>'[5]Forecast KW'!$B$70</f>
        <v>7469.1619355564881</v>
      </c>
      <c r="I27" s="1"/>
      <c r="J27" s="181">
        <f>INPUT!D77</f>
        <v>1.5</v>
      </c>
      <c r="K27" s="1"/>
      <c r="L27" s="106">
        <f>ROUND(+H27*J27,0)</f>
        <v>11204</v>
      </c>
      <c r="M27" s="1"/>
      <c r="N27" s="154">
        <f>ROUND((+L27/$L$65)*100,1)</f>
        <v>0</v>
      </c>
      <c r="O27" s="1"/>
      <c r="P27" s="106"/>
      <c r="Q27" s="106"/>
      <c r="R27" s="106">
        <f>L27+P27</f>
        <v>11204</v>
      </c>
      <c r="S27" s="110"/>
      <c r="T27" s="99"/>
      <c r="V27" s="228">
        <v>1.5</v>
      </c>
      <c r="Y27" s="110"/>
      <c r="Z27" s="216"/>
      <c r="AA27" s="110"/>
      <c r="AB27" s="110"/>
      <c r="AC27" s="141"/>
      <c r="AD27" s="141"/>
      <c r="AE27" s="110"/>
      <c r="AF27" s="110"/>
      <c r="AH27" s="141"/>
      <c r="AI27" s="110"/>
      <c r="AJ27" s="110"/>
      <c r="AL27" s="110"/>
      <c r="AM27" s="141"/>
      <c r="AN27" s="141"/>
    </row>
    <row r="28" spans="1:40" x14ac:dyDescent="0.3">
      <c r="A28" s="98">
        <v>9</v>
      </c>
      <c r="C28" s="99" t="s">
        <v>717</v>
      </c>
      <c r="F28" s="147"/>
      <c r="G28" s="1"/>
      <c r="H28" s="172">
        <f>H26+H27</f>
        <v>357478.74189102656</v>
      </c>
      <c r="I28" s="1"/>
      <c r="J28" s="181">
        <f>INPUT!$D$82</f>
        <v>7.77</v>
      </c>
      <c r="K28" s="1"/>
      <c r="L28" s="106">
        <f>ROUND(+H28*J28,0)</f>
        <v>2777610</v>
      </c>
      <c r="M28" s="1"/>
      <c r="N28" s="156">
        <f>ROUND((+L28/$L$65)*100,1)</f>
        <v>5.2</v>
      </c>
      <c r="O28" s="1"/>
      <c r="P28" s="106"/>
      <c r="Q28" s="106"/>
      <c r="R28" s="106">
        <f>L28+P28</f>
        <v>2777610</v>
      </c>
      <c r="S28" s="110"/>
      <c r="T28" s="99"/>
      <c r="V28" s="228">
        <v>7.77</v>
      </c>
      <c r="Y28" s="110"/>
      <c r="Z28" s="216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ht="20.100000000000001" customHeight="1" x14ac:dyDescent="0.3">
      <c r="A29" s="98">
        <v>10</v>
      </c>
      <c r="C29" s="124" t="s">
        <v>145</v>
      </c>
      <c r="F29" s="106"/>
      <c r="G29" s="1"/>
      <c r="H29" s="112">
        <f>SUM(H26:H27)</f>
        <v>357478.74189102656</v>
      </c>
      <c r="I29" s="1"/>
      <c r="J29" s="171"/>
      <c r="K29" s="1"/>
      <c r="L29" s="112">
        <f>SUM(L26:L28)</f>
        <v>8644474</v>
      </c>
      <c r="M29" s="1"/>
      <c r="N29" s="158">
        <f>ROUND((+L29/$L$65)*100,1)</f>
        <v>16.100000000000001</v>
      </c>
      <c r="O29" s="1"/>
      <c r="P29" s="112"/>
      <c r="Q29" s="147"/>
      <c r="R29" s="112">
        <f>SUM(R26:R28)</f>
        <v>8644474</v>
      </c>
      <c r="S29" s="110"/>
      <c r="V29" s="192"/>
      <c r="Y29" s="192"/>
      <c r="Z29" s="217"/>
      <c r="AA29" s="192"/>
      <c r="AB29" s="192"/>
      <c r="AC29" s="192"/>
      <c r="AD29" s="192"/>
      <c r="AE29" s="192"/>
      <c r="AF29" s="192"/>
      <c r="AI29" s="192"/>
      <c r="AJ29" s="192"/>
      <c r="AK29" s="194"/>
      <c r="AL29" s="192"/>
      <c r="AM29" s="141"/>
      <c r="AN29" s="141"/>
    </row>
    <row r="30" spans="1:40" x14ac:dyDescent="0.3">
      <c r="A30" s="98">
        <v>11</v>
      </c>
      <c r="C30" s="124" t="s">
        <v>146</v>
      </c>
      <c r="F30" s="106"/>
      <c r="G30" s="1"/>
      <c r="H30" s="106"/>
      <c r="I30" s="1"/>
      <c r="J30" s="171"/>
      <c r="K30" s="1"/>
      <c r="L30" s="106"/>
      <c r="M30" s="1"/>
      <c r="N30" s="154"/>
      <c r="O30" s="1"/>
      <c r="P30" s="106"/>
      <c r="Q30" s="147"/>
      <c r="R30" s="106"/>
      <c r="S30" s="110"/>
      <c r="V30" s="233"/>
      <c r="Y30" s="192"/>
      <c r="Z30" s="217"/>
      <c r="AA30" s="192"/>
      <c r="AB30" s="192"/>
      <c r="AC30" s="192"/>
      <c r="AD30" s="192"/>
      <c r="AE30" s="192"/>
      <c r="AF30" s="192"/>
      <c r="AI30" s="192"/>
      <c r="AJ30" s="192"/>
      <c r="AK30" s="194"/>
      <c r="AL30" s="192"/>
      <c r="AM30" s="141"/>
      <c r="AN30" s="141"/>
    </row>
    <row r="31" spans="1:40" x14ac:dyDescent="0.3">
      <c r="A31" s="98">
        <v>12</v>
      </c>
      <c r="C31" s="176" t="s">
        <v>147</v>
      </c>
      <c r="F31" s="106"/>
      <c r="G31" s="1"/>
      <c r="H31" s="172">
        <f>ROUND('[5]Forecast KW'!$J$70/('[5]Forecast KW'!$J$70+'[5]Forecast KW'!$K$70)*H29,0)</f>
        <v>124257</v>
      </c>
      <c r="I31" s="1"/>
      <c r="J31" s="181">
        <f>INPUT!D80</f>
        <v>-0.85</v>
      </c>
      <c r="K31" s="1"/>
      <c r="L31" s="106">
        <f>ROUND(+H31*J31,0)</f>
        <v>-105618</v>
      </c>
      <c r="M31" s="1"/>
      <c r="N31" s="154">
        <f>ROUND((+L31/$L$65)*100,1)</f>
        <v>-0.2</v>
      </c>
      <c r="O31" s="1"/>
      <c r="P31" s="106"/>
      <c r="Q31" s="147"/>
      <c r="R31" s="106">
        <f>L31+P31</f>
        <v>-105618</v>
      </c>
      <c r="S31" s="110"/>
      <c r="T31" s="99"/>
      <c r="V31" s="234">
        <v>-0.85</v>
      </c>
      <c r="Z31" s="217"/>
      <c r="AA31" s="110"/>
      <c r="AB31" s="110"/>
      <c r="AC31" s="141"/>
      <c r="AD31" s="141"/>
      <c r="AE31" s="110"/>
      <c r="AF31" s="110"/>
      <c r="AH31" s="141"/>
      <c r="AI31" s="110"/>
      <c r="AJ31" s="110"/>
      <c r="AL31" s="110"/>
      <c r="AM31" s="141"/>
      <c r="AN31" s="141"/>
    </row>
    <row r="32" spans="1:40" x14ac:dyDescent="0.3">
      <c r="A32" s="98">
        <v>13</v>
      </c>
      <c r="C32" s="176" t="s">
        <v>148</v>
      </c>
      <c r="F32" s="1"/>
      <c r="G32" s="1"/>
      <c r="H32" s="183">
        <f>H29-H31</f>
        <v>233221.74189102656</v>
      </c>
      <c r="I32" s="1"/>
      <c r="J32" s="181">
        <f>INPUT!D81</f>
        <v>-0.66</v>
      </c>
      <c r="K32" s="1"/>
      <c r="L32" s="106">
        <f>ROUND(+H32*J32,0)</f>
        <v>-153926</v>
      </c>
      <c r="M32" s="1"/>
      <c r="N32" s="154">
        <f>ROUND((+L32/$L$65)*100,1)</f>
        <v>-0.3</v>
      </c>
      <c r="O32" s="1"/>
      <c r="P32" s="106"/>
      <c r="Q32" s="106"/>
      <c r="R32" s="106">
        <f>L32+P32</f>
        <v>-153926</v>
      </c>
      <c r="S32" s="110"/>
      <c r="V32" s="235">
        <v>-0.66</v>
      </c>
      <c r="Y32" s="192"/>
      <c r="Z32" s="217"/>
      <c r="AA32" s="192"/>
      <c r="AB32" s="192"/>
      <c r="AC32" s="192"/>
      <c r="AD32" s="192"/>
      <c r="AE32" s="192"/>
      <c r="AF32" s="192"/>
      <c r="AI32" s="192"/>
      <c r="AJ32" s="192"/>
      <c r="AK32" s="194"/>
      <c r="AL32" s="192"/>
    </row>
    <row r="33" spans="1:38" ht="20.100000000000001" customHeight="1" x14ac:dyDescent="0.3">
      <c r="A33" s="98">
        <v>14</v>
      </c>
      <c r="C33" s="124" t="s">
        <v>66</v>
      </c>
      <c r="F33" s="106"/>
      <c r="G33" s="1"/>
      <c r="H33" s="112">
        <f>SUM(H31:H32)</f>
        <v>357478.74189102656</v>
      </c>
      <c r="I33" s="1"/>
      <c r="J33" s="136"/>
      <c r="K33" s="1"/>
      <c r="L33" s="112">
        <f>L29+L31+L32</f>
        <v>8384930</v>
      </c>
      <c r="M33" s="1"/>
      <c r="N33" s="158">
        <f>ROUND((+L33/$L$65)*100,1)</f>
        <v>15.6</v>
      </c>
      <c r="O33" s="1"/>
      <c r="P33" s="112"/>
      <c r="Q33" s="106"/>
      <c r="R33" s="112">
        <f>R29+R31+R32</f>
        <v>8384930</v>
      </c>
      <c r="S33" s="110"/>
      <c r="AA33" s="110"/>
      <c r="AB33" s="110"/>
      <c r="AC33" s="110"/>
      <c r="AD33" s="110"/>
      <c r="AI33" s="110"/>
      <c r="AJ33" s="110"/>
      <c r="AL33" s="110"/>
    </row>
    <row r="34" spans="1:38" x14ac:dyDescent="0.3">
      <c r="A34" s="98">
        <v>15</v>
      </c>
      <c r="C34" s="169" t="s">
        <v>371</v>
      </c>
      <c r="F34" s="106"/>
      <c r="G34" s="1"/>
      <c r="H34" s="106"/>
      <c r="I34" s="1"/>
      <c r="J34" s="136"/>
      <c r="K34" s="1"/>
      <c r="L34" s="106"/>
      <c r="M34" s="1"/>
      <c r="N34" s="154"/>
      <c r="O34" s="1"/>
      <c r="P34" s="106"/>
      <c r="Q34" s="106"/>
      <c r="R34" s="106"/>
      <c r="Y34" s="99"/>
    </row>
    <row r="35" spans="1:38" x14ac:dyDescent="0.3">
      <c r="A35" s="98">
        <v>16</v>
      </c>
      <c r="C35" s="99" t="s">
        <v>383</v>
      </c>
      <c r="F35" s="106"/>
      <c r="G35" s="1"/>
      <c r="H35" s="110">
        <f>'[5]Forecast KWH'!$C$68</f>
        <v>49646666.974999994</v>
      </c>
      <c r="I35" s="1"/>
      <c r="J35" s="184">
        <f>INPUT!D72</f>
        <v>6.4528000000000002E-2</v>
      </c>
      <c r="K35" s="1"/>
      <c r="L35" s="106">
        <f>ROUND((+H35*J35),0)-P35</f>
        <v>3203600</v>
      </c>
      <c r="M35" s="1"/>
      <c r="N35" s="175">
        <f>ROUND((+L35/$L$65)*100,1)</f>
        <v>6</v>
      </c>
      <c r="O35" s="1"/>
      <c r="P35" s="106"/>
      <c r="Q35" s="106"/>
      <c r="R35" s="106">
        <f>L35+P35</f>
        <v>3203600</v>
      </c>
      <c r="V35" s="98">
        <v>6.4471000000000001E-2</v>
      </c>
      <c r="Y35" s="99"/>
    </row>
    <row r="36" spans="1:38" x14ac:dyDescent="0.3">
      <c r="A36" s="98">
        <v>17</v>
      </c>
      <c r="C36" s="99" t="s">
        <v>384</v>
      </c>
      <c r="F36" s="117"/>
      <c r="G36" s="1"/>
      <c r="H36" s="183">
        <f>'[5]Forecast KWH'!$B$68</f>
        <v>126553404.05584753</v>
      </c>
      <c r="I36" s="1"/>
      <c r="J36" s="184">
        <f>INPUT!D74</f>
        <v>5.4975999999999997E-2</v>
      </c>
      <c r="K36" s="1"/>
      <c r="L36" s="117">
        <f>ROUND((+H36*J36),0)-P36</f>
        <v>6957400</v>
      </c>
      <c r="M36" s="1"/>
      <c r="N36" s="236">
        <f>ROUND((+L36/$L$65)*100,1)</f>
        <v>13</v>
      </c>
      <c r="O36" s="1"/>
      <c r="P36" s="117"/>
      <c r="Q36" s="106"/>
      <c r="R36" s="117">
        <f>L36+P36</f>
        <v>6957400</v>
      </c>
      <c r="V36" s="98">
        <v>5.4931000000000001E-2</v>
      </c>
    </row>
    <row r="37" spans="1:38" ht="24.75" customHeight="1" x14ac:dyDescent="0.3">
      <c r="A37" s="98">
        <v>18</v>
      </c>
      <c r="C37" s="124" t="s">
        <v>56</v>
      </c>
      <c r="F37" s="112">
        <f>F24</f>
        <v>133</v>
      </c>
      <c r="G37" s="1"/>
      <c r="H37" s="112">
        <f>H35+H36</f>
        <v>176200071.03084752</v>
      </c>
      <c r="I37" s="1"/>
      <c r="J37" s="171"/>
      <c r="K37" s="1"/>
      <c r="L37" s="112">
        <f>L24+L33+L35+L36</f>
        <v>18567210</v>
      </c>
      <c r="M37" s="1"/>
      <c r="N37" s="193">
        <f>ROUND((+L37/$L$65)*100,1)</f>
        <v>34.6</v>
      </c>
      <c r="O37" s="1"/>
      <c r="P37" s="112"/>
      <c r="Q37" s="1"/>
      <c r="R37" s="112">
        <f>R24+R33+R35+R36</f>
        <v>18567210</v>
      </c>
      <c r="AK37" s="190"/>
      <c r="AL37" s="99"/>
    </row>
    <row r="38" spans="1:38" x14ac:dyDescent="0.3">
      <c r="C38" s="99"/>
      <c r="F38" s="106"/>
      <c r="G38" s="1"/>
      <c r="H38" s="106"/>
      <c r="I38" s="1"/>
      <c r="J38" s="171"/>
      <c r="K38" s="1"/>
      <c r="L38" s="106"/>
      <c r="M38" s="1"/>
      <c r="N38" s="154"/>
      <c r="O38" s="1"/>
      <c r="P38" s="106"/>
      <c r="Q38" s="1"/>
      <c r="R38" s="106"/>
      <c r="AK38" s="190"/>
      <c r="AL38" s="99"/>
    </row>
    <row r="39" spans="1:38" x14ac:dyDescent="0.3">
      <c r="A39" s="98">
        <v>19</v>
      </c>
      <c r="C39" s="124" t="s">
        <v>57</v>
      </c>
      <c r="F39" s="147"/>
      <c r="G39" s="1"/>
      <c r="H39" s="241">
        <f>185857814-185857934</f>
        <v>-120</v>
      </c>
      <c r="I39" s="1"/>
      <c r="J39" s="171"/>
      <c r="K39" s="1"/>
      <c r="L39" s="106"/>
      <c r="M39" s="1"/>
      <c r="N39" s="154"/>
      <c r="O39" s="1"/>
      <c r="P39" s="106"/>
      <c r="Q39" s="1"/>
      <c r="R39" s="106"/>
    </row>
    <row r="40" spans="1:38" x14ac:dyDescent="0.3">
      <c r="A40" s="98">
        <v>20</v>
      </c>
      <c r="C40" s="124" t="s">
        <v>133</v>
      </c>
      <c r="F40" s="1"/>
      <c r="G40" s="1"/>
      <c r="H40" s="1"/>
      <c r="I40" s="1"/>
      <c r="J40" s="1"/>
      <c r="K40" s="1"/>
      <c r="L40" s="1"/>
      <c r="M40" s="1"/>
      <c r="N40" s="154"/>
      <c r="O40" s="1"/>
      <c r="P40" s="1"/>
      <c r="Q40" s="237"/>
      <c r="R40" s="1"/>
    </row>
    <row r="41" spans="1:38" x14ac:dyDescent="0.3">
      <c r="A41" s="98">
        <v>21</v>
      </c>
      <c r="C41" s="99" t="s">
        <v>144</v>
      </c>
      <c r="F41" s="172">
        <f>'[5]Forecast BILLS'!$C$69</f>
        <v>271</v>
      </c>
      <c r="G41" s="1"/>
      <c r="H41" s="147"/>
      <c r="I41" s="1"/>
      <c r="J41" s="180">
        <f>J23</f>
        <v>160</v>
      </c>
      <c r="K41" s="1"/>
      <c r="L41" s="106">
        <f>ROUND(+F41*J41,0)</f>
        <v>43360</v>
      </c>
      <c r="M41" s="1"/>
      <c r="N41" s="156">
        <f>ROUND((+L41/$L$65)*100,1)</f>
        <v>0.1</v>
      </c>
      <c r="O41" s="1"/>
      <c r="P41" s="106"/>
      <c r="Q41" s="2"/>
      <c r="R41" s="106">
        <f>L41+P41</f>
        <v>43360</v>
      </c>
      <c r="V41" s="98">
        <v>138</v>
      </c>
    </row>
    <row r="42" spans="1:38" ht="20.100000000000001" customHeight="1" x14ac:dyDescent="0.3">
      <c r="A42" s="98">
        <v>22</v>
      </c>
      <c r="C42" s="124" t="s">
        <v>136</v>
      </c>
      <c r="F42" s="112">
        <f>SUM(F41:F41)</f>
        <v>271</v>
      </c>
      <c r="G42" s="1"/>
      <c r="H42" s="106"/>
      <c r="I42" s="1"/>
      <c r="J42" s="171"/>
      <c r="K42" s="1"/>
      <c r="L42" s="112">
        <f>SUM(L41:L41)</f>
        <v>43360</v>
      </c>
      <c r="M42" s="1"/>
      <c r="N42" s="158">
        <f>ROUND((+L42/$L$65)*100,1)</f>
        <v>0.1</v>
      </c>
      <c r="O42" s="1"/>
      <c r="P42" s="112"/>
      <c r="Q42" s="2"/>
      <c r="R42" s="112">
        <f>SUM(R41:R41)</f>
        <v>43360</v>
      </c>
    </row>
    <row r="43" spans="1:38" x14ac:dyDescent="0.3">
      <c r="A43" s="98">
        <v>23</v>
      </c>
      <c r="C43" s="124" t="s">
        <v>63</v>
      </c>
      <c r="F43" s="147"/>
      <c r="G43" s="1"/>
      <c r="H43" s="147"/>
      <c r="I43" s="1"/>
      <c r="J43" s="240"/>
      <c r="K43" s="1"/>
      <c r="L43" s="106"/>
      <c r="M43" s="1"/>
      <c r="N43" s="154"/>
      <c r="O43" s="1"/>
      <c r="P43" s="106"/>
      <c r="Q43" s="237"/>
      <c r="R43" s="106"/>
    </row>
    <row r="44" spans="1:38" x14ac:dyDescent="0.3">
      <c r="A44" s="98">
        <v>24</v>
      </c>
      <c r="C44" s="99" t="s">
        <v>64</v>
      </c>
      <c r="F44" s="147"/>
      <c r="G44" s="1"/>
      <c r="H44" s="172">
        <f>'[5]Forecast KW'!$E$70</f>
        <v>621652.70904452982</v>
      </c>
      <c r="I44" s="1"/>
      <c r="J44" s="181">
        <f>INPUT!D78</f>
        <v>15.83</v>
      </c>
      <c r="K44" s="1"/>
      <c r="L44" s="106">
        <f>ROUND(+H44*J44,0)</f>
        <v>9840762</v>
      </c>
      <c r="M44" s="1"/>
      <c r="N44" s="154">
        <f>ROUND((+L44/$L$65)*100,1)</f>
        <v>18.3</v>
      </c>
      <c r="O44" s="1"/>
      <c r="P44" s="106"/>
      <c r="Q44" s="2"/>
      <c r="R44" s="106">
        <f>L44+P44</f>
        <v>9840762</v>
      </c>
      <c r="V44" s="98">
        <v>15.81</v>
      </c>
    </row>
    <row r="45" spans="1:38" x14ac:dyDescent="0.3">
      <c r="A45" s="98">
        <v>25</v>
      </c>
      <c r="C45" s="99" t="s">
        <v>65</v>
      </c>
      <c r="F45" s="147"/>
      <c r="G45" s="1"/>
      <c r="H45" s="172">
        <f>'[5]Forecast KW'!$D$70</f>
        <v>15038.689064443512</v>
      </c>
      <c r="I45" s="1"/>
      <c r="J45" s="181">
        <f>INPUT!D79</f>
        <v>1.5</v>
      </c>
      <c r="K45" s="1"/>
      <c r="L45" s="106">
        <f>ROUND(+H45*J45,0)</f>
        <v>22558</v>
      </c>
      <c r="M45" s="1"/>
      <c r="N45" s="154">
        <f>ROUND((+L45/$L$65)*100,1)</f>
        <v>0</v>
      </c>
      <c r="O45" s="1"/>
      <c r="P45" s="106"/>
      <c r="Q45" s="1"/>
      <c r="R45" s="106">
        <f>L45+P45</f>
        <v>22558</v>
      </c>
      <c r="V45" s="98">
        <v>1.5</v>
      </c>
    </row>
    <row r="46" spans="1:38" x14ac:dyDescent="0.3">
      <c r="A46" s="98">
        <v>26</v>
      </c>
      <c r="C46" s="99" t="s">
        <v>717</v>
      </c>
      <c r="F46" s="147"/>
      <c r="G46" s="1"/>
      <c r="H46" s="172">
        <f>H44+H45</f>
        <v>636691.39810897328</v>
      </c>
      <c r="I46" s="1"/>
      <c r="J46" s="181">
        <f>INPUT!$D$82</f>
        <v>7.77</v>
      </c>
      <c r="K46" s="1"/>
      <c r="L46" s="106">
        <f>ROUND(+H46*J46,0)</f>
        <v>4947092</v>
      </c>
      <c r="M46" s="1"/>
      <c r="N46" s="156">
        <f>ROUND((+L46/$L$65)*100,1)</f>
        <v>9.1999999999999993</v>
      </c>
      <c r="O46" s="1"/>
      <c r="P46" s="106"/>
      <c r="Q46" s="1"/>
      <c r="R46" s="106">
        <f>L46+P46</f>
        <v>4947092</v>
      </c>
      <c r="V46" s="98">
        <v>7.77</v>
      </c>
    </row>
    <row r="47" spans="1:38" ht="20.100000000000001" customHeight="1" x14ac:dyDescent="0.3">
      <c r="A47" s="98">
        <v>27</v>
      </c>
      <c r="C47" s="124" t="s">
        <v>145</v>
      </c>
      <c r="F47" s="106"/>
      <c r="G47" s="1"/>
      <c r="H47" s="112">
        <f>SUM(H44:H45)</f>
        <v>636691.39810897328</v>
      </c>
      <c r="I47" s="1"/>
      <c r="J47" s="171"/>
      <c r="K47" s="1"/>
      <c r="L47" s="112">
        <f>SUM(L44:L46)</f>
        <v>14810412</v>
      </c>
      <c r="M47" s="1"/>
      <c r="N47" s="158">
        <f>ROUND((+L47/$L$65)*100,1)+0.1</f>
        <v>27.700000000000003</v>
      </c>
      <c r="O47" s="1"/>
      <c r="P47" s="112"/>
      <c r="Q47" s="1"/>
      <c r="R47" s="112">
        <f>SUM(R44:R46)</f>
        <v>14810412</v>
      </c>
    </row>
    <row r="48" spans="1:38" x14ac:dyDescent="0.3">
      <c r="A48" s="98">
        <v>28</v>
      </c>
      <c r="C48" s="124" t="s">
        <v>146</v>
      </c>
      <c r="F48" s="106"/>
      <c r="G48" s="1"/>
      <c r="H48" s="106"/>
      <c r="I48" s="1"/>
      <c r="J48" s="171"/>
      <c r="K48" s="1"/>
      <c r="L48" s="106"/>
      <c r="M48" s="1"/>
      <c r="N48" s="154"/>
      <c r="O48" s="1"/>
      <c r="P48" s="106"/>
      <c r="Q48" s="1"/>
      <c r="R48" s="106"/>
    </row>
    <row r="49" spans="1:22" x14ac:dyDescent="0.3">
      <c r="A49" s="98">
        <v>29</v>
      </c>
      <c r="C49" s="176" t="s">
        <v>147</v>
      </c>
      <c r="F49" s="106"/>
      <c r="G49" s="1"/>
      <c r="H49" s="172">
        <f>ROUND(('[5]Forecast KW'!$L$70/('[5]Forecast KW'!$L$70+'[5]Forecast KW'!$M$70))*H47,0)</f>
        <v>242385</v>
      </c>
      <c r="I49" s="1"/>
      <c r="J49" s="180">
        <f>J31</f>
        <v>-0.85</v>
      </c>
      <c r="K49" s="1"/>
      <c r="L49" s="106">
        <f>ROUND(+H49*J49,0)</f>
        <v>-206027</v>
      </c>
      <c r="M49" s="1"/>
      <c r="N49" s="154">
        <f>ROUND((+L49/$L$65)*100,1)</f>
        <v>-0.4</v>
      </c>
      <c r="O49" s="1"/>
      <c r="P49" s="106"/>
      <c r="Q49" s="1"/>
      <c r="R49" s="106">
        <f>L49+P49</f>
        <v>-206027</v>
      </c>
      <c r="V49" s="98">
        <v>-0.85</v>
      </c>
    </row>
    <row r="50" spans="1:22" x14ac:dyDescent="0.3">
      <c r="A50" s="98">
        <v>30</v>
      </c>
      <c r="C50" s="176" t="s">
        <v>148</v>
      </c>
      <c r="F50" s="1"/>
      <c r="G50" s="1"/>
      <c r="H50" s="183">
        <f>H47-H49</f>
        <v>394306.39810897328</v>
      </c>
      <c r="I50" s="1"/>
      <c r="J50" s="180">
        <f>J32</f>
        <v>-0.66</v>
      </c>
      <c r="K50" s="1"/>
      <c r="L50" s="106">
        <f>ROUND(+H50*J50,0)</f>
        <v>-260242</v>
      </c>
      <c r="M50" s="1"/>
      <c r="N50" s="156">
        <f>ROUND((+L50/$L$65)*100,1)</f>
        <v>-0.5</v>
      </c>
      <c r="O50" s="1"/>
      <c r="P50" s="106"/>
      <c r="Q50" s="238"/>
      <c r="R50" s="106">
        <f>L50+P50</f>
        <v>-260242</v>
      </c>
      <c r="V50" s="98">
        <v>-0.66</v>
      </c>
    </row>
    <row r="51" spans="1:22" ht="20.100000000000001" customHeight="1" x14ac:dyDescent="0.3">
      <c r="A51" s="98">
        <v>31</v>
      </c>
      <c r="C51" s="124" t="s">
        <v>66</v>
      </c>
      <c r="F51" s="106"/>
      <c r="G51" s="1"/>
      <c r="H51" s="112">
        <f>SUM(H49:H50)</f>
        <v>636691.39810897328</v>
      </c>
      <c r="I51" s="1"/>
      <c r="J51" s="136"/>
      <c r="K51" s="1"/>
      <c r="L51" s="112">
        <f>L47+L49+L50</f>
        <v>14344143</v>
      </c>
      <c r="M51" s="1"/>
      <c r="N51" s="158">
        <f>ROUND((+L51/$L$65)*100,1)</f>
        <v>26.7</v>
      </c>
      <c r="O51" s="1"/>
      <c r="P51" s="112"/>
      <c r="Q51" s="238"/>
      <c r="R51" s="112">
        <f>R47+R49+R50</f>
        <v>14344143</v>
      </c>
    </row>
    <row r="52" spans="1:22" x14ac:dyDescent="0.3">
      <c r="A52" s="98">
        <v>32</v>
      </c>
      <c r="C52" s="169" t="s">
        <v>371</v>
      </c>
      <c r="F52" s="106"/>
      <c r="G52" s="1"/>
      <c r="H52" s="106"/>
      <c r="I52" s="1"/>
      <c r="J52" s="136"/>
      <c r="K52" s="1"/>
      <c r="L52" s="106"/>
      <c r="M52" s="1"/>
      <c r="N52" s="154"/>
      <c r="O52" s="1"/>
      <c r="P52" s="106"/>
      <c r="Q52" s="106"/>
      <c r="R52" s="106"/>
    </row>
    <row r="53" spans="1:22" x14ac:dyDescent="0.3">
      <c r="A53" s="98">
        <v>33</v>
      </c>
      <c r="C53" s="99" t="s">
        <v>383</v>
      </c>
      <c r="F53" s="106"/>
      <c r="G53" s="1"/>
      <c r="H53" s="110">
        <f>'[5]Forecast KWH'!$E$68</f>
        <v>85110731.302000001</v>
      </c>
      <c r="I53" s="1"/>
      <c r="J53" s="189">
        <f>INPUT!D73</f>
        <v>6.2133000000000001E-2</v>
      </c>
      <c r="K53" s="1"/>
      <c r="L53" s="106">
        <f>ROUND((+H53*J53),0)-P53</f>
        <v>5288185</v>
      </c>
      <c r="M53" s="1"/>
      <c r="N53" s="175">
        <f>ROUND((+L53/$L$65)*100,1)</f>
        <v>9.8000000000000007</v>
      </c>
      <c r="O53" s="1"/>
      <c r="P53" s="106"/>
      <c r="Q53" s="106"/>
      <c r="R53" s="106">
        <f>L53+P53</f>
        <v>5288185</v>
      </c>
      <c r="V53" s="98">
        <v>6.2078000000000001E-2</v>
      </c>
    </row>
    <row r="54" spans="1:22" x14ac:dyDescent="0.3">
      <c r="A54" s="98">
        <v>34</v>
      </c>
      <c r="C54" s="99" t="s">
        <v>384</v>
      </c>
      <c r="F54" s="177"/>
      <c r="G54" s="1"/>
      <c r="H54" s="183">
        <f>'[5]Forecast KWH'!$L$68</f>
        <v>224937495.28515249</v>
      </c>
      <c r="I54" s="1"/>
      <c r="J54" s="239">
        <f>J36</f>
        <v>5.4975999999999997E-2</v>
      </c>
      <c r="K54" s="1"/>
      <c r="L54" s="117">
        <f>ROUND((+H54*J54),0)-P54</f>
        <v>12366164</v>
      </c>
      <c r="M54" s="1"/>
      <c r="N54" s="236">
        <f>ROUND((+L54/$L$65)*100,1)-0.1</f>
        <v>22.9</v>
      </c>
      <c r="O54" s="1"/>
      <c r="P54" s="117"/>
      <c r="Q54" s="106"/>
      <c r="R54" s="117">
        <f>L54+P54</f>
        <v>12366164</v>
      </c>
      <c r="V54" s="98">
        <v>5.4931000000000001E-2</v>
      </c>
    </row>
    <row r="55" spans="1:22" ht="21.75" customHeight="1" x14ac:dyDescent="0.3">
      <c r="A55" s="98">
        <v>35</v>
      </c>
      <c r="C55" s="124" t="s">
        <v>58</v>
      </c>
      <c r="F55" s="112">
        <f>F42</f>
        <v>271</v>
      </c>
      <c r="G55" s="1"/>
      <c r="H55" s="112">
        <f>H53+H54</f>
        <v>310048226.58715248</v>
      </c>
      <c r="I55" s="1"/>
      <c r="J55" s="239"/>
      <c r="K55" s="1"/>
      <c r="L55" s="112">
        <f>L42+L51+L53+L54</f>
        <v>32041852</v>
      </c>
      <c r="M55" s="1"/>
      <c r="N55" s="193">
        <f>ROUND((+L55/$L$65)*100,1)</f>
        <v>59.7</v>
      </c>
      <c r="O55" s="1"/>
      <c r="P55" s="112"/>
      <c r="Q55" s="1"/>
      <c r="R55" s="112">
        <f>R42+R51+R53+R54</f>
        <v>32041852</v>
      </c>
    </row>
    <row r="56" spans="1:22" ht="20.100000000000001" customHeight="1" x14ac:dyDescent="0.3">
      <c r="A56" s="98">
        <v>36</v>
      </c>
      <c r="C56" s="169" t="s">
        <v>437</v>
      </c>
      <c r="F56" s="117">
        <f>F37+F55</f>
        <v>404</v>
      </c>
      <c r="G56" s="1"/>
      <c r="H56" s="117">
        <f>H37+H55</f>
        <v>486248297.61800003</v>
      </c>
      <c r="I56" s="1"/>
      <c r="J56" s="239"/>
      <c r="K56" s="1"/>
      <c r="L56" s="112">
        <f>L37+L55</f>
        <v>50609062</v>
      </c>
      <c r="M56" s="1"/>
      <c r="N56" s="193">
        <f>ROUND((+L56/$L$65)*100,1)</f>
        <v>94.2</v>
      </c>
      <c r="O56" s="1"/>
      <c r="P56" s="112"/>
      <c r="Q56" s="238"/>
      <c r="R56" s="112">
        <f>L56+P56</f>
        <v>50609062</v>
      </c>
    </row>
    <row r="57" spans="1:22" x14ac:dyDescent="0.3">
      <c r="C57" s="99"/>
      <c r="F57" s="106"/>
      <c r="G57" s="1"/>
      <c r="H57" s="106"/>
      <c r="I57" s="1"/>
      <c r="J57" s="239"/>
      <c r="K57" s="1"/>
      <c r="L57" s="106"/>
      <c r="M57" s="1"/>
      <c r="N57" s="154"/>
      <c r="O57" s="1"/>
      <c r="P57" s="106"/>
      <c r="Q57" s="238"/>
      <c r="R57" s="106"/>
    </row>
    <row r="58" spans="1:22" x14ac:dyDescent="0.3">
      <c r="A58" s="98">
        <v>37</v>
      </c>
      <c r="C58" s="124" t="s">
        <v>428</v>
      </c>
      <c r="F58" s="106"/>
      <c r="G58" s="1"/>
      <c r="H58" s="106"/>
      <c r="I58" s="1"/>
      <c r="J58" s="239"/>
      <c r="K58" s="1"/>
      <c r="L58" s="106"/>
      <c r="M58" s="1"/>
      <c r="N58" s="154"/>
      <c r="O58" s="1"/>
      <c r="P58" s="106"/>
      <c r="Q58" s="238"/>
      <c r="R58" s="106"/>
    </row>
    <row r="59" spans="1:22" x14ac:dyDescent="0.3">
      <c r="A59" s="98">
        <v>38</v>
      </c>
      <c r="C59" s="176" t="str">
        <f>DSMR_Name</f>
        <v>DEMAND SIDE MANAGEMENT RIDER (DSMR)</v>
      </c>
      <c r="F59" s="106"/>
      <c r="G59" s="1"/>
      <c r="H59" s="106"/>
      <c r="I59" s="1"/>
      <c r="J59" s="218">
        <f>PRO_DSM_DIST</f>
        <v>3.503E-3</v>
      </c>
      <c r="K59" s="1"/>
      <c r="L59" s="106">
        <f>ROUND($H$56*J59,0)</f>
        <v>1703328</v>
      </c>
      <c r="M59" s="1"/>
      <c r="N59" s="154">
        <f>ROUND((+L59/$L$65)*100,1)</f>
        <v>3.2</v>
      </c>
      <c r="O59" s="1"/>
      <c r="P59" s="106"/>
      <c r="Q59" s="238"/>
      <c r="R59" s="106">
        <f>L59+P59</f>
        <v>1703328</v>
      </c>
    </row>
    <row r="60" spans="1:22" x14ac:dyDescent="0.3">
      <c r="A60" s="98">
        <v>39</v>
      </c>
      <c r="C60" s="176" t="str">
        <f>ESM_Name</f>
        <v>ENVIRONMENTAL SURCHARGE MECHANISM RIDER (ESM)</v>
      </c>
      <c r="F60" s="106"/>
      <c r="G60" s="1"/>
      <c r="H60" s="106"/>
      <c r="I60" s="1"/>
      <c r="J60" s="187">
        <f>PRO_ESM_NONRES</f>
        <v>5.3681872802409589E-3</v>
      </c>
      <c r="K60" s="1"/>
      <c r="L60" s="106">
        <f>ROUND((R56-(PRO_BASE_FUEL*H56)+R59+R62)*J60,0)</f>
        <v>199108</v>
      </c>
      <c r="M60" s="1"/>
      <c r="N60" s="154">
        <f>ROUND((+L60/$L$65)*100,1)</f>
        <v>0.4</v>
      </c>
      <c r="O60" s="1"/>
      <c r="P60" s="106"/>
      <c r="Q60" s="238"/>
      <c r="R60" s="106">
        <f>L60+P60</f>
        <v>199108</v>
      </c>
    </row>
    <row r="61" spans="1:22" x14ac:dyDescent="0.3">
      <c r="A61" s="98">
        <v>40</v>
      </c>
      <c r="C61" s="176" t="str">
        <f>FAC_Name</f>
        <v>FUEL ADJUSTMENT CLAUSE (FAC)</v>
      </c>
      <c r="F61" s="106"/>
      <c r="G61" s="1"/>
      <c r="H61" s="106"/>
      <c r="I61" s="1"/>
      <c r="J61" s="218">
        <f>PRO_FAC</f>
        <v>3.4872127999999998E-3</v>
      </c>
      <c r="K61" s="1"/>
      <c r="L61" s="106"/>
      <c r="M61" s="1"/>
      <c r="N61" s="154"/>
      <c r="O61" s="1"/>
      <c r="P61" s="106">
        <f>ROUND(H56*PRO_FAC,0)</f>
        <v>1695651</v>
      </c>
      <c r="Q61" s="238"/>
      <c r="R61" s="106">
        <f>L61+P61</f>
        <v>1695651</v>
      </c>
    </row>
    <row r="62" spans="1:22" x14ac:dyDescent="0.3">
      <c r="A62" s="98">
        <v>41</v>
      </c>
      <c r="C62" s="176" t="str">
        <f>PSM_Name</f>
        <v>PROFIT SHARING MECHANISM (PSM)</v>
      </c>
      <c r="F62" s="106"/>
      <c r="G62" s="1"/>
      <c r="H62" s="106"/>
      <c r="I62" s="1"/>
      <c r="J62" s="218">
        <f>PRO_PSM</f>
        <v>2.4750000000000002E-3</v>
      </c>
      <c r="K62" s="1"/>
      <c r="L62" s="117">
        <f>ROUND(H56*PRO_PSM,0)</f>
        <v>1203465</v>
      </c>
      <c r="M62" s="1"/>
      <c r="N62" s="156">
        <f>ROUND((+L62/$L$65)*100,1)</f>
        <v>2.2000000000000002</v>
      </c>
      <c r="O62" s="1"/>
      <c r="P62" s="117"/>
      <c r="Q62" s="238"/>
      <c r="R62" s="106">
        <f>L62+P62</f>
        <v>1203465</v>
      </c>
    </row>
    <row r="63" spans="1:22" ht="20.100000000000001" customHeight="1" x14ac:dyDescent="0.3">
      <c r="A63" s="98">
        <v>42</v>
      </c>
      <c r="C63" s="124" t="s">
        <v>433</v>
      </c>
      <c r="F63" s="117"/>
      <c r="G63" s="1"/>
      <c r="H63" s="117"/>
      <c r="I63" s="1"/>
      <c r="J63" s="171"/>
      <c r="K63" s="1"/>
      <c r="L63" s="112">
        <f>SUM(L59:L62)</f>
        <v>3105901</v>
      </c>
      <c r="M63" s="1"/>
      <c r="N63" s="158">
        <f>ROUND((+L63/$L$65)*100,1)</f>
        <v>5.8</v>
      </c>
      <c r="O63" s="1"/>
      <c r="P63" s="112">
        <f>SUM(P59:P62)</f>
        <v>1695651</v>
      </c>
      <c r="Q63" s="238"/>
      <c r="R63" s="112">
        <f>SUM(R59:R62)</f>
        <v>4801552</v>
      </c>
    </row>
    <row r="64" spans="1:22" x14ac:dyDescent="0.3">
      <c r="C64" s="99"/>
      <c r="F64" s="106"/>
      <c r="G64" s="1"/>
      <c r="H64" s="106"/>
      <c r="I64" s="1"/>
      <c r="J64" s="171"/>
      <c r="K64" s="1"/>
      <c r="L64" s="106"/>
      <c r="M64" s="1"/>
      <c r="N64" s="154"/>
      <c r="O64" s="1"/>
      <c r="P64" s="106"/>
      <c r="Q64" s="238"/>
      <c r="R64" s="106"/>
    </row>
    <row r="65" spans="1:43" ht="20.100000000000001" customHeight="1" thickBot="1" x14ac:dyDescent="0.35">
      <c r="A65" s="98">
        <v>43</v>
      </c>
      <c r="C65" s="169" t="s">
        <v>438</v>
      </c>
      <c r="F65" s="120">
        <f>F56</f>
        <v>404</v>
      </c>
      <c r="G65" s="1"/>
      <c r="H65" s="120">
        <f>H56</f>
        <v>486248297.61800003</v>
      </c>
      <c r="I65" s="1"/>
      <c r="J65" s="1"/>
      <c r="K65" s="1"/>
      <c r="L65" s="120">
        <f>L56+L63</f>
        <v>53714963</v>
      </c>
      <c r="M65" s="1"/>
      <c r="N65" s="162">
        <v>100</v>
      </c>
      <c r="O65" s="1"/>
      <c r="P65" s="120">
        <f>P56+P63</f>
        <v>1695651</v>
      </c>
      <c r="Q65" s="147"/>
      <c r="R65" s="120">
        <f>R56+R63</f>
        <v>55410614</v>
      </c>
    </row>
    <row r="66" spans="1:43" ht="16.2" thickTop="1" x14ac:dyDescent="0.3">
      <c r="F66" s="1"/>
      <c r="G66" s="1"/>
      <c r="H66" s="1"/>
      <c r="I66" s="1"/>
      <c r="J66" s="1"/>
      <c r="K66" s="1"/>
      <c r="L66" s="1"/>
      <c r="M66" s="1"/>
      <c r="N66" s="154"/>
      <c r="O66" s="1"/>
      <c r="P66" s="1"/>
      <c r="Q66" s="238"/>
      <c r="R66" s="1"/>
    </row>
    <row r="67" spans="1:43" x14ac:dyDescent="0.3">
      <c r="C67" s="178" t="s">
        <v>59</v>
      </c>
      <c r="L67" s="110"/>
      <c r="N67" s="148"/>
      <c r="P67" s="110"/>
      <c r="Q67" s="110"/>
      <c r="R67" s="110"/>
    </row>
    <row r="68" spans="1:43" x14ac:dyDescent="0.3">
      <c r="C68" s="178" t="str">
        <f>"(2) REFLECTS FUEL COMPONENT OF "&amp;TEXT(PRO_FAC,"$0.000000;($0.000000)")&amp;"  PER KWH."</f>
        <v>(2) REFLECTS FUEL COMPONENT OF $0.003487  PER KWH.</v>
      </c>
      <c r="L68" s="110"/>
      <c r="N68" s="148"/>
      <c r="P68" s="110"/>
      <c r="Q68" s="110"/>
      <c r="R68" s="110"/>
    </row>
    <row r="69" spans="1:43" x14ac:dyDescent="0.3">
      <c r="C69" s="178" t="str">
        <f>"(3) REFLECTS FUEL COST RECOVERY INCLUDED IN BASE RATES OF "&amp;TEXT(PRO_BASE_FUEL,"$0.000000;($0.000000)")&amp;"  PER KWH."</f>
        <v>(3) REFLECTS FUEL COST RECOVERY INCLUDED IN BASE RATES OF $0.033780  PER KWH.</v>
      </c>
      <c r="F69" s="192"/>
      <c r="H69" s="192"/>
      <c r="J69" s="192"/>
      <c r="L69" s="217"/>
      <c r="N69" s="224"/>
      <c r="P69" s="192"/>
      <c r="Q69" s="192"/>
      <c r="R69" s="192"/>
    </row>
    <row r="70" spans="1:43" x14ac:dyDescent="0.3">
      <c r="F70" s="110"/>
      <c r="H70" s="110"/>
      <c r="J70" s="110"/>
      <c r="L70" s="198"/>
      <c r="N70" s="148"/>
      <c r="P70" s="110"/>
      <c r="Q70" s="110"/>
      <c r="R70" s="110"/>
    </row>
    <row r="71" spans="1:43" x14ac:dyDescent="0.3">
      <c r="C71" s="99"/>
      <c r="F71" s="110"/>
      <c r="H71" s="110"/>
      <c r="J71" s="110"/>
      <c r="L71" s="198"/>
      <c r="N71" s="198"/>
      <c r="P71" s="110"/>
      <c r="Q71" s="110"/>
      <c r="R71" s="110"/>
    </row>
    <row r="72" spans="1:43" x14ac:dyDescent="0.3">
      <c r="F72" s="110"/>
      <c r="H72" s="110"/>
      <c r="J72" s="110"/>
      <c r="L72" s="198"/>
      <c r="N72" s="198"/>
      <c r="P72" s="110"/>
      <c r="Q72" s="110"/>
      <c r="R72" s="110"/>
    </row>
    <row r="73" spans="1:43" x14ac:dyDescent="0.3">
      <c r="A73" s="99"/>
      <c r="F73" s="110"/>
      <c r="H73" s="110"/>
      <c r="L73" s="198"/>
      <c r="N73" s="198"/>
      <c r="P73" s="110"/>
      <c r="Q73" s="110"/>
      <c r="R73" s="110"/>
      <c r="T73" s="97" t="str">
        <f>NAME</f>
        <v>DUKE ENERGY KENTUCKY, INC.</v>
      </c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149"/>
      <c r="AH73" s="97"/>
      <c r="AI73" s="97"/>
      <c r="AJ73" s="97"/>
      <c r="AK73" s="149"/>
      <c r="AL73" s="97"/>
      <c r="AM73" s="97"/>
      <c r="AN73" s="97"/>
      <c r="AO73" s="97"/>
      <c r="AP73" s="97"/>
      <c r="AQ73" s="149"/>
    </row>
    <row r="74" spans="1:43" x14ac:dyDescent="0.3">
      <c r="A74" s="99"/>
      <c r="F74" s="110"/>
      <c r="H74" s="110"/>
      <c r="J74" s="110"/>
      <c r="L74" s="198"/>
      <c r="N74" s="198"/>
      <c r="P74" s="110"/>
      <c r="Q74" s="110"/>
      <c r="R74" s="110"/>
      <c r="T74" s="97" t="str">
        <f>CASE_NO</f>
        <v>CASE NO.   2024-00354</v>
      </c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149"/>
      <c r="AH74" s="97"/>
      <c r="AI74" s="97"/>
      <c r="AJ74" s="97"/>
      <c r="AK74" s="149"/>
      <c r="AL74" s="97"/>
      <c r="AM74" s="97"/>
      <c r="AN74" s="97"/>
      <c r="AO74" s="97"/>
      <c r="AP74" s="97"/>
      <c r="AQ74" s="149"/>
    </row>
    <row r="75" spans="1:43" x14ac:dyDescent="0.3">
      <c r="F75" s="179"/>
      <c r="T75" s="97" t="str">
        <f>TITLE</f>
        <v>ANNUALIZED BASE YEAR REVENUES AT PROPOSED VS. MOST CURRENT RATES</v>
      </c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149"/>
      <c r="AH75" s="97"/>
      <c r="AI75" s="97"/>
      <c r="AJ75" s="97"/>
      <c r="AK75" s="149"/>
      <c r="AL75" s="97"/>
      <c r="AM75" s="97"/>
      <c r="AN75" s="97"/>
      <c r="AO75" s="97"/>
      <c r="AP75" s="97"/>
      <c r="AQ75" s="149"/>
    </row>
    <row r="76" spans="1:43" x14ac:dyDescent="0.3">
      <c r="T76" s="97" t="str">
        <f>DATE</f>
        <v>FOR THE TWELVE MONTHS ENDED February 28, 2025</v>
      </c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149"/>
      <c r="AH76" s="97"/>
      <c r="AI76" s="97"/>
      <c r="AJ76" s="97"/>
      <c r="AK76" s="149"/>
      <c r="AL76" s="97"/>
      <c r="AM76" s="97"/>
      <c r="AN76" s="97"/>
      <c r="AO76" s="97"/>
      <c r="AP76" s="97"/>
      <c r="AQ76" s="149"/>
    </row>
    <row r="77" spans="1:43" x14ac:dyDescent="0.3">
      <c r="P77" s="110"/>
      <c r="Q77" s="110"/>
      <c r="R77" s="110"/>
      <c r="T77" s="97" t="str">
        <f>SERVICE</f>
        <v>(ELECTRIC SERVICE)</v>
      </c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149"/>
      <c r="AH77" s="97"/>
      <c r="AI77" s="97"/>
      <c r="AJ77" s="97"/>
      <c r="AK77" s="149"/>
      <c r="AL77" s="97"/>
      <c r="AM77" s="97"/>
      <c r="AN77" s="97"/>
      <c r="AO77" s="97"/>
      <c r="AP77" s="97"/>
      <c r="AQ77" s="149"/>
    </row>
    <row r="78" spans="1:43" x14ac:dyDescent="0.3">
      <c r="T78" s="98" t="str">
        <f>DATA_PERIOD</f>
        <v>DATA: __X__ BASE PERIOD   ____FORECASTED PERIOD</v>
      </c>
      <c r="AO78" s="99" t="s">
        <v>157</v>
      </c>
      <c r="AP78" s="99"/>
    </row>
    <row r="79" spans="1:43" x14ac:dyDescent="0.3">
      <c r="T79" s="98" t="str">
        <f>TYPE</f>
        <v>TYPE OF FILING: _X_ ORIGINAL   ___UPDATED  ___ REVISED</v>
      </c>
      <c r="AO79" s="116" t="str">
        <f>"PAGE 4 OF "&amp;TEXT(Page_Num_2.2,"00")</f>
        <v>PAGE 4 OF 24</v>
      </c>
      <c r="AP79" s="99"/>
    </row>
    <row r="80" spans="1:43" x14ac:dyDescent="0.3">
      <c r="H80" s="99"/>
      <c r="J80" s="99"/>
      <c r="T80" s="99" t="s">
        <v>170</v>
      </c>
      <c r="AO80" s="99" t="s">
        <v>3</v>
      </c>
      <c r="AP80" s="99"/>
    </row>
    <row r="81" spans="1:43" x14ac:dyDescent="0.3">
      <c r="T81" s="124" t="str">
        <f>TIME</f>
        <v>6 Months Actual and 6 Months Projected with Riders</v>
      </c>
      <c r="AO81" s="98" t="str">
        <f>WIT</f>
        <v>B. L. Sailers</v>
      </c>
    </row>
    <row r="82" spans="1:43" x14ac:dyDescent="0.3">
      <c r="T82" s="124" t="str">
        <f>INPUT!B5</f>
        <v>6 Months Actual Ending August 31, 2024</v>
      </c>
    </row>
    <row r="83" spans="1:43" x14ac:dyDescent="0.3">
      <c r="P83" s="99"/>
      <c r="T83" s="97" t="s">
        <v>130</v>
      </c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149"/>
      <c r="AH83" s="97"/>
      <c r="AI83" s="97"/>
      <c r="AJ83" s="97"/>
      <c r="AK83" s="149"/>
      <c r="AL83" s="97"/>
      <c r="AM83" s="97"/>
      <c r="AN83" s="97"/>
      <c r="AO83" s="97"/>
      <c r="AP83" s="97"/>
      <c r="AQ83" s="149"/>
    </row>
    <row r="84" spans="1:43" x14ac:dyDescent="0.3">
      <c r="R84" s="99"/>
      <c r="T84" s="100"/>
      <c r="U84" s="100"/>
      <c r="V84" s="100"/>
      <c r="W84" s="100"/>
      <c r="X84" s="100"/>
      <c r="Y84" s="100"/>
      <c r="Z84" s="100"/>
      <c r="AA84" s="100"/>
      <c r="AB84" s="100"/>
      <c r="AC84" s="100"/>
      <c r="AD84" s="100"/>
      <c r="AE84" s="100"/>
      <c r="AF84" s="100"/>
      <c r="AG84" s="150"/>
      <c r="AH84" s="100"/>
      <c r="AI84" s="100"/>
      <c r="AJ84" s="100"/>
      <c r="AK84" s="150"/>
      <c r="AL84" s="100"/>
      <c r="AM84" s="100"/>
      <c r="AN84" s="100"/>
      <c r="AO84" s="100"/>
      <c r="AP84" s="100"/>
      <c r="AQ84" s="150"/>
    </row>
    <row r="85" spans="1:43" ht="18" customHeight="1" x14ac:dyDescent="0.3">
      <c r="R85" s="99"/>
      <c r="AE85" s="102" t="s">
        <v>8</v>
      </c>
      <c r="AF85" s="102"/>
      <c r="AG85" s="151" t="s">
        <v>7</v>
      </c>
      <c r="AH85" s="102"/>
      <c r="AI85" s="102" t="s">
        <v>9</v>
      </c>
      <c r="AJ85" s="102"/>
      <c r="AK85" s="151" t="s">
        <v>10</v>
      </c>
      <c r="AL85" s="102"/>
      <c r="AO85" s="102" t="s">
        <v>8</v>
      </c>
      <c r="AP85" s="102"/>
      <c r="AQ85" s="151" t="s">
        <v>11</v>
      </c>
    </row>
    <row r="86" spans="1:43" x14ac:dyDescent="0.3">
      <c r="A86" s="99"/>
      <c r="R86" s="99"/>
      <c r="AC86" s="102" t="s">
        <v>14</v>
      </c>
      <c r="AD86" s="102"/>
      <c r="AE86" s="102" t="s">
        <v>12</v>
      </c>
      <c r="AF86" s="102"/>
      <c r="AG86" s="151" t="s">
        <v>13</v>
      </c>
      <c r="AH86" s="102"/>
      <c r="AI86" s="102" t="s">
        <v>15</v>
      </c>
      <c r="AJ86" s="102"/>
      <c r="AK86" s="151" t="s">
        <v>16</v>
      </c>
      <c r="AL86" s="102"/>
      <c r="AO86" s="102" t="s">
        <v>11</v>
      </c>
      <c r="AP86" s="102"/>
      <c r="AQ86" s="151" t="s">
        <v>9</v>
      </c>
    </row>
    <row r="87" spans="1:43" x14ac:dyDescent="0.3">
      <c r="O87" s="99"/>
      <c r="T87" s="102" t="s">
        <v>17</v>
      </c>
      <c r="V87" s="102" t="s">
        <v>18</v>
      </c>
      <c r="W87" s="102" t="s">
        <v>19</v>
      </c>
      <c r="X87" s="102"/>
      <c r="Y87" s="102" t="s">
        <v>20</v>
      </c>
      <c r="AC87" s="102" t="s">
        <v>8</v>
      </c>
      <c r="AD87" s="102"/>
      <c r="AE87" s="102" t="s">
        <v>593</v>
      </c>
      <c r="AF87" s="102"/>
      <c r="AG87" s="151" t="s">
        <v>593</v>
      </c>
      <c r="AH87" s="102"/>
      <c r="AI87" s="103" t="s">
        <v>708</v>
      </c>
      <c r="AJ87" s="102"/>
      <c r="AK87" s="152" t="s">
        <v>708</v>
      </c>
      <c r="AL87" s="102"/>
      <c r="AM87" s="102" t="s">
        <v>593</v>
      </c>
      <c r="AN87" s="102"/>
      <c r="AO87" s="102" t="s">
        <v>9</v>
      </c>
      <c r="AP87" s="102"/>
      <c r="AQ87" s="151" t="s">
        <v>21</v>
      </c>
    </row>
    <row r="88" spans="1:43" x14ac:dyDescent="0.3">
      <c r="A88" s="101"/>
      <c r="B88" s="101"/>
      <c r="C88" s="101"/>
      <c r="D88" s="101"/>
      <c r="E88" s="101"/>
      <c r="F88" s="101"/>
      <c r="G88" s="101"/>
      <c r="H88" s="101"/>
      <c r="J88" s="101"/>
      <c r="L88" s="101"/>
      <c r="N88" s="101"/>
      <c r="O88" s="101"/>
      <c r="P88" s="101"/>
      <c r="Q88" s="101"/>
      <c r="R88" s="101"/>
      <c r="T88" s="102" t="s">
        <v>22</v>
      </c>
      <c r="V88" s="102" t="s">
        <v>23</v>
      </c>
      <c r="W88" s="102" t="s">
        <v>24</v>
      </c>
      <c r="X88" s="102"/>
      <c r="Y88" s="102" t="s">
        <v>25</v>
      </c>
      <c r="AA88" s="102" t="s">
        <v>26</v>
      </c>
      <c r="AB88" s="102"/>
      <c r="AC88" s="102" t="s">
        <v>27</v>
      </c>
      <c r="AD88" s="102"/>
      <c r="AE88" s="102" t="s">
        <v>9</v>
      </c>
      <c r="AF88" s="102"/>
      <c r="AG88" s="151" t="s">
        <v>9</v>
      </c>
      <c r="AH88" s="102"/>
      <c r="AI88" s="131" t="s">
        <v>29</v>
      </c>
      <c r="AJ88" s="131"/>
      <c r="AK88" s="165" t="s">
        <v>30</v>
      </c>
      <c r="AL88" s="102"/>
      <c r="AM88" s="102" t="s">
        <v>323</v>
      </c>
      <c r="AN88" s="102"/>
      <c r="AO88" s="131" t="s">
        <v>31</v>
      </c>
      <c r="AP88" s="131"/>
      <c r="AQ88" s="165" t="s">
        <v>32</v>
      </c>
    </row>
    <row r="89" spans="1:43" x14ac:dyDescent="0.3">
      <c r="O89" s="102"/>
      <c r="P89" s="102"/>
      <c r="R89" s="102"/>
      <c r="V89" s="131" t="s">
        <v>33</v>
      </c>
      <c r="W89" s="131" t="s">
        <v>34</v>
      </c>
      <c r="X89" s="131"/>
      <c r="Y89" s="131" t="s">
        <v>35</v>
      </c>
      <c r="Z89" s="134"/>
      <c r="AA89" s="131" t="s">
        <v>36</v>
      </c>
      <c r="AB89" s="131"/>
      <c r="AC89" s="131" t="s">
        <v>42</v>
      </c>
      <c r="AD89" s="131"/>
      <c r="AE89" s="131" t="s">
        <v>43</v>
      </c>
      <c r="AF89" s="131"/>
      <c r="AG89" s="165" t="s">
        <v>44</v>
      </c>
      <c r="AH89" s="131"/>
      <c r="AI89" s="131" t="s">
        <v>45</v>
      </c>
      <c r="AJ89" s="131"/>
      <c r="AK89" s="165" t="s">
        <v>46</v>
      </c>
      <c r="AL89" s="131"/>
      <c r="AM89" s="131" t="s">
        <v>40</v>
      </c>
      <c r="AN89" s="131"/>
      <c r="AO89" s="131" t="s">
        <v>47</v>
      </c>
      <c r="AP89" s="131"/>
      <c r="AQ89" s="165" t="s">
        <v>48</v>
      </c>
    </row>
    <row r="90" spans="1:43" x14ac:dyDescent="0.3">
      <c r="O90" s="102"/>
      <c r="P90" s="102"/>
      <c r="R90" s="102"/>
      <c r="T90" s="100"/>
      <c r="U90" s="100"/>
      <c r="V90" s="100"/>
      <c r="W90" s="100"/>
      <c r="X90" s="100"/>
      <c r="Y90" s="100"/>
      <c r="Z90" s="100"/>
      <c r="AA90" s="100"/>
      <c r="AB90" s="100"/>
      <c r="AC90" s="100"/>
      <c r="AD90" s="100"/>
      <c r="AE90" s="100"/>
      <c r="AF90" s="100"/>
      <c r="AG90" s="150"/>
      <c r="AH90" s="100"/>
      <c r="AI90" s="100"/>
      <c r="AJ90" s="100"/>
      <c r="AK90" s="150"/>
      <c r="AL90" s="100"/>
      <c r="AM90" s="100"/>
      <c r="AN90" s="100"/>
      <c r="AO90" s="100"/>
      <c r="AP90" s="100"/>
      <c r="AQ90" s="150"/>
    </row>
    <row r="91" spans="1:43" ht="17.100000000000001" customHeight="1" x14ac:dyDescent="0.3">
      <c r="A91" s="102"/>
      <c r="C91" s="102"/>
      <c r="D91" s="102"/>
      <c r="E91" s="102"/>
      <c r="F91" s="102"/>
      <c r="L91" s="102"/>
      <c r="N91" s="102"/>
      <c r="O91" s="102"/>
      <c r="P91" s="102"/>
      <c r="Q91" s="102"/>
      <c r="R91" s="102"/>
      <c r="AA91" s="167" t="s">
        <v>196</v>
      </c>
      <c r="AB91" s="166"/>
      <c r="AC91" s="167" t="s">
        <v>331</v>
      </c>
      <c r="AD91" s="166"/>
      <c r="AE91" s="166" t="s">
        <v>50</v>
      </c>
      <c r="AF91" s="166"/>
      <c r="AG91" s="168" t="s">
        <v>51</v>
      </c>
      <c r="AH91" s="166"/>
      <c r="AI91" s="166" t="s">
        <v>50</v>
      </c>
      <c r="AJ91" s="166"/>
      <c r="AK91" s="168" t="s">
        <v>51</v>
      </c>
      <c r="AL91" s="166"/>
      <c r="AM91" s="166" t="s">
        <v>50</v>
      </c>
      <c r="AN91" s="166"/>
      <c r="AO91" s="166" t="s">
        <v>50</v>
      </c>
      <c r="AP91" s="166"/>
      <c r="AQ91" s="168" t="s">
        <v>51</v>
      </c>
    </row>
    <row r="92" spans="1:43" x14ac:dyDescent="0.3">
      <c r="A92" s="102"/>
      <c r="C92" s="102"/>
      <c r="D92" s="102"/>
      <c r="E92" s="102"/>
      <c r="F92" s="102"/>
      <c r="H92" s="102"/>
      <c r="J92" s="102"/>
      <c r="L92" s="102"/>
      <c r="N92" s="102"/>
      <c r="O92" s="102"/>
      <c r="P92" s="102"/>
      <c r="Q92" s="102"/>
      <c r="R92" s="102"/>
      <c r="T92" s="98">
        <v>1</v>
      </c>
      <c r="V92" s="124" t="s">
        <v>378</v>
      </c>
      <c r="W92" s="124" t="s">
        <v>375</v>
      </c>
      <c r="X92" s="99"/>
      <c r="Y92" s="1"/>
      <c r="Z92" s="1"/>
      <c r="AA92" s="215"/>
      <c r="AB92" s="215"/>
      <c r="AC92" s="167" t="s">
        <v>328</v>
      </c>
      <c r="AD92" s="215"/>
      <c r="AE92" s="215"/>
      <c r="AF92" s="215"/>
      <c r="AG92" s="219"/>
      <c r="AH92" s="215"/>
      <c r="AI92" s="215"/>
      <c r="AJ92" s="215"/>
      <c r="AK92" s="219"/>
      <c r="AL92" s="215"/>
      <c r="AM92" s="215"/>
      <c r="AN92" s="215"/>
      <c r="AO92" s="215"/>
      <c r="AP92" s="215"/>
      <c r="AQ92" s="219"/>
    </row>
    <row r="93" spans="1:43" x14ac:dyDescent="0.3">
      <c r="C93" s="102"/>
      <c r="D93" s="102"/>
      <c r="E93" s="102"/>
      <c r="F93" s="102"/>
      <c r="H93" s="102"/>
      <c r="J93" s="102"/>
      <c r="L93" s="102"/>
      <c r="N93" s="102"/>
      <c r="O93" s="102"/>
      <c r="P93" s="102"/>
      <c r="Q93" s="102"/>
      <c r="R93" s="102"/>
      <c r="T93" s="98">
        <v>2</v>
      </c>
      <c r="V93" s="124" t="s">
        <v>54</v>
      </c>
      <c r="Y93" s="1"/>
      <c r="Z93" s="1"/>
      <c r="AA93" s="1"/>
      <c r="AB93" s="1"/>
      <c r="AC93" s="1"/>
      <c r="AD93" s="1"/>
      <c r="AE93" s="1"/>
      <c r="AF93" s="1"/>
      <c r="AG93" s="154"/>
      <c r="AH93" s="1"/>
      <c r="AI93" s="1"/>
      <c r="AJ93" s="1"/>
      <c r="AK93" s="154"/>
      <c r="AL93" s="1"/>
      <c r="AM93" s="1"/>
      <c r="AN93" s="1"/>
      <c r="AO93" s="1"/>
      <c r="AP93" s="1"/>
      <c r="AQ93" s="154"/>
    </row>
    <row r="94" spans="1:43" x14ac:dyDescent="0.3">
      <c r="H94" s="102"/>
      <c r="J94" s="102"/>
      <c r="L94" s="102"/>
      <c r="N94" s="102"/>
      <c r="O94" s="102"/>
      <c r="P94" s="102"/>
      <c r="Q94" s="102"/>
      <c r="R94" s="102"/>
      <c r="T94" s="98">
        <v>3</v>
      </c>
      <c r="V94" s="124" t="s">
        <v>133</v>
      </c>
      <c r="Y94" s="1"/>
      <c r="Z94" s="1"/>
      <c r="AA94" s="1"/>
      <c r="AB94" s="1"/>
      <c r="AC94" s="1"/>
      <c r="AD94" s="1"/>
      <c r="AE94" s="1"/>
      <c r="AF94" s="1"/>
      <c r="AG94" s="154"/>
      <c r="AH94" s="1"/>
      <c r="AI94" s="1"/>
      <c r="AJ94" s="1"/>
      <c r="AK94" s="154"/>
      <c r="AL94" s="1"/>
      <c r="AM94" s="1"/>
      <c r="AN94" s="1"/>
      <c r="AO94" s="1"/>
      <c r="AP94" s="1"/>
      <c r="AQ94" s="154"/>
    </row>
    <row r="95" spans="1:43" x14ac:dyDescent="0.3">
      <c r="T95" s="98">
        <v>4</v>
      </c>
      <c r="V95" s="99" t="s">
        <v>144</v>
      </c>
      <c r="Y95" s="106">
        <f>F23</f>
        <v>133</v>
      </c>
      <c r="Z95" s="1"/>
      <c r="AA95" s="147"/>
      <c r="AB95" s="147"/>
      <c r="AC95" s="181">
        <f>INPUT!C70</f>
        <v>138</v>
      </c>
      <c r="AD95" s="180"/>
      <c r="AE95" s="106">
        <f>ROUND(+Y95*AC95,0)</f>
        <v>18354</v>
      </c>
      <c r="AF95" s="1"/>
      <c r="AG95" s="156">
        <f>ROUND((+AE95/$AE$137)*100,1)</f>
        <v>0</v>
      </c>
      <c r="AH95" s="1"/>
      <c r="AI95" s="106">
        <f>L23-AE95</f>
        <v>2926</v>
      </c>
      <c r="AJ95" s="106"/>
      <c r="AK95" s="156">
        <f>IF(AE95=0,0,ROUND((AI95/AE95)*100,1))</f>
        <v>15.9</v>
      </c>
      <c r="AL95" s="138"/>
      <c r="AM95" s="106"/>
      <c r="AN95" s="1"/>
      <c r="AO95" s="106">
        <f>AE95+AM95</f>
        <v>18354</v>
      </c>
      <c r="AP95" s="1"/>
      <c r="AQ95" s="156">
        <f>ROUND((+AI95/AO95)*100,1)</f>
        <v>15.9</v>
      </c>
    </row>
    <row r="96" spans="1:43" ht="20.100000000000001" customHeight="1" x14ac:dyDescent="0.3">
      <c r="C96" s="99"/>
      <c r="F96" s="172"/>
      <c r="H96" s="172"/>
      <c r="J96" s="172"/>
      <c r="L96" s="181"/>
      <c r="N96" s="181"/>
      <c r="O96" s="110"/>
      <c r="P96" s="141"/>
      <c r="R96" s="110"/>
      <c r="T96" s="98">
        <v>5</v>
      </c>
      <c r="V96" s="124" t="s">
        <v>136</v>
      </c>
      <c r="Y96" s="112">
        <f>F24</f>
        <v>133</v>
      </c>
      <c r="Z96" s="1"/>
      <c r="AA96" s="106"/>
      <c r="AB96" s="106"/>
      <c r="AC96" s="136"/>
      <c r="AD96" s="136"/>
      <c r="AE96" s="112">
        <f>SUM(AE95:AE95)</f>
        <v>18354</v>
      </c>
      <c r="AF96" s="1"/>
      <c r="AG96" s="158">
        <f>ROUND((+AE96/$AE$137)*100,1)</f>
        <v>0</v>
      </c>
      <c r="AH96" s="1"/>
      <c r="AI96" s="112">
        <f>SUM(AI95:AI95)</f>
        <v>2926</v>
      </c>
      <c r="AJ96" s="106"/>
      <c r="AK96" s="158">
        <f>IF(AE96=0,0,ROUND((AI96/AE96)*100,1))</f>
        <v>15.9</v>
      </c>
      <c r="AL96" s="138"/>
      <c r="AM96" s="112"/>
      <c r="AN96" s="1"/>
      <c r="AO96" s="112">
        <f>SUM(AO95:AO95)</f>
        <v>18354</v>
      </c>
      <c r="AP96" s="1"/>
      <c r="AQ96" s="158">
        <f>ROUND((+AI96/AO96)*100,1)</f>
        <v>15.9</v>
      </c>
    </row>
    <row r="97" spans="3:43" x14ac:dyDescent="0.3">
      <c r="C97" s="99"/>
      <c r="F97" s="172"/>
      <c r="H97" s="172"/>
      <c r="J97" s="172"/>
      <c r="L97" s="181"/>
      <c r="N97" s="181"/>
      <c r="O97" s="110"/>
      <c r="P97" s="141"/>
      <c r="R97" s="110"/>
      <c r="T97" s="98">
        <v>6</v>
      </c>
      <c r="V97" s="124" t="s">
        <v>63</v>
      </c>
      <c r="Y97" s="147"/>
      <c r="Z97" s="1"/>
      <c r="AA97" s="147"/>
      <c r="AB97" s="147"/>
      <c r="AC97" s="240"/>
      <c r="AD97" s="240"/>
      <c r="AE97" s="106"/>
      <c r="AF97" s="1"/>
      <c r="AG97" s="154"/>
      <c r="AH97" s="1"/>
      <c r="AI97" s="106"/>
      <c r="AJ97" s="106"/>
      <c r="AK97" s="154"/>
      <c r="AL97" s="175"/>
      <c r="AM97" s="106"/>
      <c r="AN97" s="1"/>
      <c r="AO97" s="106"/>
      <c r="AP97" s="1"/>
      <c r="AQ97" s="154"/>
    </row>
    <row r="98" spans="3:43" x14ac:dyDescent="0.3">
      <c r="F98" s="192"/>
      <c r="H98" s="110"/>
      <c r="J98" s="110"/>
      <c r="L98" s="217"/>
      <c r="N98" s="217"/>
      <c r="O98" s="192"/>
      <c r="P98" s="192"/>
      <c r="Q98" s="192"/>
      <c r="R98" s="192"/>
      <c r="T98" s="98">
        <v>7</v>
      </c>
      <c r="V98" s="99" t="s">
        <v>64</v>
      </c>
      <c r="Y98" s="147"/>
      <c r="Z98" s="1"/>
      <c r="AA98" s="106">
        <f>H26</f>
        <v>350009.57995547005</v>
      </c>
      <c r="AB98" s="106"/>
      <c r="AC98" s="181">
        <f>INPUT!C76</f>
        <v>14.71</v>
      </c>
      <c r="AD98" s="180"/>
      <c r="AE98" s="106">
        <f>ROUND(+AA98*AC98,0)</f>
        <v>5148641</v>
      </c>
      <c r="AF98" s="1"/>
      <c r="AG98" s="154">
        <f>ROUND((+AE98/$AE$137)*100,1)</f>
        <v>11</v>
      </c>
      <c r="AH98" s="1"/>
      <c r="AI98" s="106">
        <f>L26-AE98</f>
        <v>707019</v>
      </c>
      <c r="AJ98" s="106"/>
      <c r="AK98" s="154">
        <f t="shared" ref="AK98:AK109" si="0">IF(AE98=0,0,ROUND((AI98/AE98)*100,1))</f>
        <v>13.7</v>
      </c>
      <c r="AL98" s="138"/>
      <c r="AM98" s="106"/>
      <c r="AN98" s="1"/>
      <c r="AO98" s="106">
        <f>AE98+AM98</f>
        <v>5148641</v>
      </c>
      <c r="AP98" s="1"/>
      <c r="AQ98" s="154">
        <f>ROUND((+AI98/AO98)*100,1)</f>
        <v>13.7</v>
      </c>
    </row>
    <row r="99" spans="3:43" x14ac:dyDescent="0.3">
      <c r="C99" s="99"/>
      <c r="F99" s="110"/>
      <c r="H99" s="110"/>
      <c r="J99" s="110"/>
      <c r="L99" s="217"/>
      <c r="N99" s="217"/>
      <c r="O99" s="110"/>
      <c r="P99" s="141"/>
      <c r="Q99" s="110"/>
      <c r="R99" s="110"/>
      <c r="T99" s="98">
        <v>8</v>
      </c>
      <c r="V99" s="99" t="s">
        <v>65</v>
      </c>
      <c r="Y99" s="147"/>
      <c r="Z99" s="1"/>
      <c r="AA99" s="106">
        <f>H27</f>
        <v>7469.1619355564881</v>
      </c>
      <c r="AB99" s="106"/>
      <c r="AC99" s="181">
        <f>INPUT!C77</f>
        <v>1.32</v>
      </c>
      <c r="AD99" s="180"/>
      <c r="AE99" s="106">
        <f>ROUND(+AA99*AC99,0)</f>
        <v>9859</v>
      </c>
      <c r="AF99" s="1"/>
      <c r="AG99" s="154">
        <f>ROUND((+AE99/$AE$137)*100,1)</f>
        <v>0</v>
      </c>
      <c r="AH99" s="1"/>
      <c r="AI99" s="106">
        <f>L27-AE99</f>
        <v>1345</v>
      </c>
      <c r="AJ99" s="106"/>
      <c r="AK99" s="154">
        <f t="shared" si="0"/>
        <v>13.6</v>
      </c>
      <c r="AL99" s="138"/>
      <c r="AM99" s="106"/>
      <c r="AN99" s="1"/>
      <c r="AO99" s="106">
        <f>AE99+AM99</f>
        <v>9859</v>
      </c>
      <c r="AP99" s="1"/>
      <c r="AQ99" s="154">
        <f>ROUND((+AI99/AO99)*100,1)</f>
        <v>13.6</v>
      </c>
    </row>
    <row r="100" spans="3:43" x14ac:dyDescent="0.3">
      <c r="C100" s="99"/>
      <c r="F100" s="110"/>
      <c r="H100" s="110"/>
      <c r="J100" s="110"/>
      <c r="L100" s="217"/>
      <c r="N100" s="217"/>
      <c r="O100" s="110"/>
      <c r="P100" s="141"/>
      <c r="Q100" s="110"/>
      <c r="R100" s="110"/>
      <c r="T100" s="98">
        <v>9</v>
      </c>
      <c r="V100" s="99" t="s">
        <v>717</v>
      </c>
      <c r="Y100" s="147"/>
      <c r="Z100" s="1"/>
      <c r="AA100" s="117">
        <f>AA98+AA99</f>
        <v>357478.74189102656</v>
      </c>
      <c r="AB100" s="106"/>
      <c r="AC100" s="181">
        <f>INPUT!$C$82</f>
        <v>6.07</v>
      </c>
      <c r="AD100" s="180"/>
      <c r="AE100" s="106">
        <f>ROUND(+AA100*AC100,0)</f>
        <v>2169896</v>
      </c>
      <c r="AF100" s="1"/>
      <c r="AG100" s="156">
        <f>ROUND((+AE100/$AE$137)*100,1)</f>
        <v>4.5999999999999996</v>
      </c>
      <c r="AH100" s="1"/>
      <c r="AI100" s="106">
        <f>L28-AE100</f>
        <v>607714</v>
      </c>
      <c r="AJ100" s="106"/>
      <c r="AK100" s="156">
        <f>IF(AE100=0,0,ROUND((AI100/AE100)*100,1))</f>
        <v>28</v>
      </c>
      <c r="AL100" s="138"/>
      <c r="AM100" s="106"/>
      <c r="AN100" s="1"/>
      <c r="AO100" s="106">
        <f>AE100+AM100</f>
        <v>2169896</v>
      </c>
      <c r="AP100" s="1"/>
      <c r="AQ100" s="156">
        <f>ROUND((+AI100/AO100)*100,1)</f>
        <v>28</v>
      </c>
    </row>
    <row r="101" spans="3:43" ht="19.5" customHeight="1" x14ac:dyDescent="0.3">
      <c r="C101" s="99"/>
      <c r="F101" s="172"/>
      <c r="H101" s="172"/>
      <c r="J101" s="172"/>
      <c r="L101" s="227"/>
      <c r="N101" s="227"/>
      <c r="O101" s="110"/>
      <c r="P101" s="141"/>
      <c r="Q101" s="110"/>
      <c r="R101" s="110"/>
      <c r="S101" s="110"/>
      <c r="T101" s="98">
        <v>10</v>
      </c>
      <c r="V101" s="124" t="s">
        <v>145</v>
      </c>
      <c r="Y101" s="106"/>
      <c r="Z101" s="1"/>
      <c r="AA101" s="112">
        <f>H29</f>
        <v>357478.74189102656</v>
      </c>
      <c r="AB101" s="106"/>
      <c r="AC101" s="171"/>
      <c r="AD101" s="171"/>
      <c r="AE101" s="112">
        <f>SUM(AE98:AE100)</f>
        <v>7328396</v>
      </c>
      <c r="AF101" s="1"/>
      <c r="AG101" s="158">
        <f>ROUND((+AE101/$AE$137)*100,1)</f>
        <v>15.6</v>
      </c>
      <c r="AH101" s="1"/>
      <c r="AI101" s="112">
        <f>SUM(AI98:AI100)</f>
        <v>1316078</v>
      </c>
      <c r="AJ101" s="106"/>
      <c r="AK101" s="158">
        <f t="shared" si="0"/>
        <v>18</v>
      </c>
      <c r="AL101" s="138"/>
      <c r="AM101" s="112"/>
      <c r="AN101" s="1"/>
      <c r="AO101" s="112">
        <f>SUM(AO98:AO100)</f>
        <v>7328396</v>
      </c>
      <c r="AP101" s="1"/>
      <c r="AQ101" s="158">
        <f>ROUND((+AI101/AO101)*100,1)</f>
        <v>18</v>
      </c>
    </row>
    <row r="102" spans="3:43" x14ac:dyDescent="0.3">
      <c r="C102" s="99"/>
      <c r="F102" s="172"/>
      <c r="H102" s="172"/>
      <c r="J102" s="172"/>
      <c r="L102" s="181"/>
      <c r="N102" s="181"/>
      <c r="O102" s="110"/>
      <c r="P102" s="141"/>
      <c r="Q102" s="110"/>
      <c r="R102" s="110"/>
      <c r="T102" s="98">
        <v>11</v>
      </c>
      <c r="V102" s="124" t="s">
        <v>146</v>
      </c>
      <c r="Y102" s="106"/>
      <c r="Z102" s="1"/>
      <c r="AA102" s="106"/>
      <c r="AB102" s="106"/>
      <c r="AC102" s="171"/>
      <c r="AD102" s="171"/>
      <c r="AE102" s="106"/>
      <c r="AF102" s="1"/>
      <c r="AG102" s="154"/>
      <c r="AH102" s="1"/>
      <c r="AI102" s="106"/>
      <c r="AJ102" s="106"/>
      <c r="AK102" s="154"/>
      <c r="AL102" s="138"/>
      <c r="AM102" s="106"/>
      <c r="AN102" s="1"/>
      <c r="AO102" s="106"/>
      <c r="AP102" s="1"/>
      <c r="AQ102" s="154"/>
    </row>
    <row r="103" spans="3:43" x14ac:dyDescent="0.3">
      <c r="F103" s="110"/>
      <c r="H103" s="192"/>
      <c r="J103" s="192"/>
      <c r="L103" s="217"/>
      <c r="N103" s="217"/>
      <c r="O103" s="192"/>
      <c r="P103" s="192"/>
      <c r="Q103" s="192"/>
      <c r="R103" s="192"/>
      <c r="T103" s="98">
        <v>12</v>
      </c>
      <c r="V103" s="176" t="s">
        <v>147</v>
      </c>
      <c r="Y103" s="106"/>
      <c r="Z103" s="1"/>
      <c r="AA103" s="106">
        <f>H31</f>
        <v>124257</v>
      </c>
      <c r="AB103" s="106"/>
      <c r="AC103" s="181">
        <f>INPUT!C80</f>
        <v>-0.75</v>
      </c>
      <c r="AD103" s="242"/>
      <c r="AE103" s="106">
        <f>ROUND(+AA103*AC103,0)</f>
        <v>-93193</v>
      </c>
      <c r="AF103" s="1"/>
      <c r="AG103" s="154">
        <f>ROUND((+AE103/$AE$137)*100,1)</f>
        <v>-0.2</v>
      </c>
      <c r="AH103" s="1"/>
      <c r="AI103" s="106">
        <f>L31-AE103</f>
        <v>-12425</v>
      </c>
      <c r="AJ103" s="106"/>
      <c r="AK103" s="154">
        <f t="shared" si="0"/>
        <v>13.3</v>
      </c>
      <c r="AL103" s="138"/>
      <c r="AM103" s="106"/>
      <c r="AN103" s="1"/>
      <c r="AO103" s="106">
        <f>AE103+AM103</f>
        <v>-93193</v>
      </c>
      <c r="AP103" s="1"/>
      <c r="AQ103" s="154">
        <f>ROUND((+AI103/AO103)*100,1)</f>
        <v>13.3</v>
      </c>
    </row>
    <row r="104" spans="3:43" x14ac:dyDescent="0.3">
      <c r="C104" s="99"/>
      <c r="F104" s="110"/>
      <c r="H104" s="110"/>
      <c r="J104" s="110"/>
      <c r="L104" s="217"/>
      <c r="N104" s="217"/>
      <c r="O104" s="110"/>
      <c r="P104" s="141"/>
      <c r="Q104" s="110"/>
      <c r="R104" s="110"/>
      <c r="T104" s="98">
        <v>13</v>
      </c>
      <c r="V104" s="176" t="s">
        <v>148</v>
      </c>
      <c r="Y104" s="1"/>
      <c r="Z104" s="1"/>
      <c r="AA104" s="117">
        <f>H32</f>
        <v>233221.74189102656</v>
      </c>
      <c r="AB104" s="106"/>
      <c r="AC104" s="181">
        <f>INPUT!C81</f>
        <v>-0.57999999999999996</v>
      </c>
      <c r="AD104" s="242"/>
      <c r="AE104" s="106">
        <f>ROUND(+AA104*AC104,0)</f>
        <v>-135269</v>
      </c>
      <c r="AF104" s="1"/>
      <c r="AG104" s="156">
        <f>ROUND((+AE104/$AE$137)*100,1)</f>
        <v>-0.3</v>
      </c>
      <c r="AH104" s="1"/>
      <c r="AI104" s="106">
        <f>L32-AE104</f>
        <v>-18657</v>
      </c>
      <c r="AJ104" s="106"/>
      <c r="AK104" s="156">
        <f t="shared" si="0"/>
        <v>13.8</v>
      </c>
      <c r="AL104" s="138"/>
      <c r="AM104" s="106"/>
      <c r="AN104" s="1"/>
      <c r="AO104" s="106">
        <f>AE104+AM104</f>
        <v>-135269</v>
      </c>
      <c r="AP104" s="1"/>
      <c r="AQ104" s="156">
        <f>ROUND((+AI104/AO104)*100,1)</f>
        <v>13.8</v>
      </c>
    </row>
    <row r="105" spans="3:43" ht="20.100000000000001" customHeight="1" x14ac:dyDescent="0.3">
      <c r="C105" s="99"/>
      <c r="F105" s="110"/>
      <c r="H105" s="110"/>
      <c r="J105" s="110"/>
      <c r="L105" s="217"/>
      <c r="N105" s="217"/>
      <c r="O105" s="110"/>
      <c r="P105" s="110"/>
      <c r="Q105" s="110"/>
      <c r="R105" s="110"/>
      <c r="T105" s="98">
        <v>14</v>
      </c>
      <c r="V105" s="124" t="s">
        <v>66</v>
      </c>
      <c r="Y105" s="106"/>
      <c r="Z105" s="1"/>
      <c r="AA105" s="117">
        <f>H33</f>
        <v>357478.74189102656</v>
      </c>
      <c r="AB105" s="106"/>
      <c r="AC105" s="136"/>
      <c r="AD105" s="136"/>
      <c r="AE105" s="112">
        <f>AE101+AE103+AE104</f>
        <v>7099934</v>
      </c>
      <c r="AF105" s="1"/>
      <c r="AG105" s="158">
        <f>ROUND((+AE105/$AE$137)*100,1)</f>
        <v>15.2</v>
      </c>
      <c r="AH105" s="1"/>
      <c r="AI105" s="112">
        <f>AI101+AI103+AI104</f>
        <v>1284996</v>
      </c>
      <c r="AJ105" s="106"/>
      <c r="AK105" s="158">
        <f t="shared" si="0"/>
        <v>18.100000000000001</v>
      </c>
      <c r="AL105" s="138"/>
      <c r="AM105" s="112"/>
      <c r="AN105" s="1"/>
      <c r="AO105" s="112">
        <f>AO101+AO103+AO104</f>
        <v>7099934</v>
      </c>
      <c r="AP105" s="1"/>
      <c r="AQ105" s="158">
        <f>ROUND((+AI105/AO105)*100,1)</f>
        <v>18.100000000000001</v>
      </c>
    </row>
    <row r="106" spans="3:43" x14ac:dyDescent="0.3">
      <c r="C106" s="99"/>
      <c r="H106" s="172"/>
      <c r="J106" s="172"/>
      <c r="L106" s="228"/>
      <c r="N106" s="228"/>
      <c r="O106" s="110"/>
      <c r="P106" s="141"/>
      <c r="Q106" s="110"/>
      <c r="R106" s="110"/>
      <c r="T106" s="98">
        <v>15</v>
      </c>
      <c r="V106" s="169" t="s">
        <v>371</v>
      </c>
      <c r="Y106" s="106"/>
      <c r="Z106" s="1"/>
      <c r="AA106" s="106"/>
      <c r="AB106" s="106"/>
      <c r="AC106" s="136"/>
      <c r="AD106" s="136"/>
      <c r="AE106" s="106"/>
      <c r="AF106" s="1"/>
      <c r="AG106" s="154"/>
      <c r="AH106" s="1"/>
      <c r="AI106" s="106"/>
      <c r="AJ106" s="106"/>
      <c r="AK106" s="154"/>
      <c r="AL106" s="138"/>
      <c r="AM106" s="106"/>
      <c r="AN106" s="1"/>
      <c r="AO106" s="106"/>
      <c r="AP106" s="1"/>
      <c r="AQ106" s="154"/>
    </row>
    <row r="107" spans="3:43" x14ac:dyDescent="0.3">
      <c r="C107" s="99"/>
      <c r="H107" s="172"/>
      <c r="J107" s="172"/>
      <c r="L107" s="228"/>
      <c r="N107" s="228"/>
      <c r="O107" s="110"/>
      <c r="P107" s="141"/>
      <c r="Q107" s="110"/>
      <c r="R107" s="110"/>
      <c r="T107" s="98">
        <v>16</v>
      </c>
      <c r="V107" s="99" t="s">
        <v>383</v>
      </c>
      <c r="Y107" s="106"/>
      <c r="Z107" s="1"/>
      <c r="AA107" s="106">
        <f>H35</f>
        <v>49646666.974999994</v>
      </c>
      <c r="AB107" s="1"/>
      <c r="AC107" s="184">
        <f>INPUT!C72</f>
        <v>5.6746999999999999E-2</v>
      </c>
      <c r="AD107" s="136"/>
      <c r="AE107" s="106">
        <f>ROUND((+AA107*AC107),0)-AM107</f>
        <v>2817299</v>
      </c>
      <c r="AF107" s="1"/>
      <c r="AG107" s="154">
        <f>ROUND((+AE107/$AE$137)*100,1)</f>
        <v>6</v>
      </c>
      <c r="AH107" s="1"/>
      <c r="AI107" s="106">
        <f>L35-AE107</f>
        <v>386301</v>
      </c>
      <c r="AJ107" s="106"/>
      <c r="AK107" s="154">
        <f>IF(AE107=0,0,ROUND((AI107/AE107)*100,1))</f>
        <v>13.7</v>
      </c>
      <c r="AL107" s="138"/>
      <c r="AM107" s="106"/>
      <c r="AN107" s="1"/>
      <c r="AO107" s="106">
        <f>AE107+AM107</f>
        <v>2817299</v>
      </c>
      <c r="AP107" s="1"/>
      <c r="AQ107" s="154">
        <f>ROUND((+AI107/AO107)*100,1)</f>
        <v>13.7</v>
      </c>
    </row>
    <row r="108" spans="3:43" x14ac:dyDescent="0.3">
      <c r="F108" s="110"/>
      <c r="H108" s="110"/>
      <c r="J108" s="110"/>
      <c r="L108" s="217"/>
      <c r="N108" s="217"/>
      <c r="O108" s="192"/>
      <c r="P108" s="192"/>
      <c r="Q108" s="192"/>
      <c r="R108" s="192"/>
      <c r="T108" s="98">
        <v>17</v>
      </c>
      <c r="V108" s="99" t="s">
        <v>384</v>
      </c>
      <c r="Y108" s="177"/>
      <c r="Z108" s="1"/>
      <c r="AA108" s="117">
        <f>H36</f>
        <v>126553404.05584753</v>
      </c>
      <c r="AB108" s="106"/>
      <c r="AC108" s="184">
        <f>INPUT!C74</f>
        <v>4.8348000000000002E-2</v>
      </c>
      <c r="AD108" s="185"/>
      <c r="AE108" s="117">
        <f>ROUND((+AA108*AC108),0)-AM108</f>
        <v>6118604</v>
      </c>
      <c r="AF108" s="1"/>
      <c r="AG108" s="156">
        <f>ROUND((+AE108/$AE$137)*100,1)</f>
        <v>13.1</v>
      </c>
      <c r="AH108" s="1"/>
      <c r="AI108" s="117">
        <f>L36-AE108</f>
        <v>838796</v>
      </c>
      <c r="AJ108" s="106"/>
      <c r="AK108" s="156">
        <f t="shared" si="0"/>
        <v>13.7</v>
      </c>
      <c r="AL108" s="138"/>
      <c r="AM108" s="117"/>
      <c r="AN108" s="1"/>
      <c r="AO108" s="117">
        <f>AE108+AM108</f>
        <v>6118604</v>
      </c>
      <c r="AP108" s="1"/>
      <c r="AQ108" s="156">
        <f>ROUND((+AI108/AO108)*100,1)</f>
        <v>13.7</v>
      </c>
    </row>
    <row r="109" spans="3:43" ht="22.5" customHeight="1" x14ac:dyDescent="0.3">
      <c r="F109" s="110"/>
      <c r="H109" s="110"/>
      <c r="J109" s="110"/>
      <c r="L109" s="217"/>
      <c r="N109" s="217"/>
      <c r="O109" s="192"/>
      <c r="P109" s="192"/>
      <c r="Q109" s="192"/>
      <c r="R109" s="192"/>
      <c r="T109" s="98">
        <v>18</v>
      </c>
      <c r="V109" s="124" t="s">
        <v>56</v>
      </c>
      <c r="Y109" s="112">
        <f>F37</f>
        <v>133</v>
      </c>
      <c r="Z109" s="1"/>
      <c r="AA109" s="112">
        <f>H37</f>
        <v>176200071.03084752</v>
      </c>
      <c r="AB109" s="106"/>
      <c r="AC109" s="171"/>
      <c r="AD109" s="171"/>
      <c r="AE109" s="112">
        <f>AE96+AE105+AE107+AE108</f>
        <v>16054191</v>
      </c>
      <c r="AF109" s="1"/>
      <c r="AG109" s="158">
        <f>ROUND((+AE109/$AE$137)*100,1)</f>
        <v>34.299999999999997</v>
      </c>
      <c r="AH109" s="1"/>
      <c r="AI109" s="112">
        <f>AI96+AI105+AI107+AI108</f>
        <v>2513019</v>
      </c>
      <c r="AJ109" s="106"/>
      <c r="AK109" s="158">
        <f t="shared" si="0"/>
        <v>15.7</v>
      </c>
      <c r="AL109" s="138"/>
      <c r="AM109" s="112"/>
      <c r="AN109" s="1"/>
      <c r="AO109" s="112">
        <f>AO96+AO105+AO107+AO108</f>
        <v>16054191</v>
      </c>
      <c r="AP109" s="1"/>
      <c r="AQ109" s="158">
        <f>ROUND((+AI109/AO109)*100,1)</f>
        <v>15.7</v>
      </c>
    </row>
    <row r="110" spans="3:43" x14ac:dyDescent="0.3">
      <c r="F110" s="110"/>
      <c r="H110" s="110"/>
      <c r="J110" s="110"/>
      <c r="L110" s="217"/>
      <c r="N110" s="217"/>
      <c r="O110" s="192"/>
      <c r="P110" s="192"/>
      <c r="Q110" s="192"/>
      <c r="R110" s="192"/>
      <c r="V110" s="99"/>
      <c r="Y110" s="106"/>
      <c r="Z110" s="1"/>
      <c r="AA110" s="106"/>
      <c r="AB110" s="106"/>
      <c r="AC110" s="171"/>
      <c r="AD110" s="171"/>
      <c r="AE110" s="106"/>
      <c r="AF110" s="1"/>
      <c r="AG110" s="154"/>
      <c r="AH110" s="1"/>
      <c r="AI110" s="106"/>
      <c r="AJ110" s="106"/>
      <c r="AK110" s="154"/>
      <c r="AL110" s="138"/>
      <c r="AM110" s="106"/>
      <c r="AN110" s="1"/>
      <c r="AO110" s="106"/>
      <c r="AP110" s="1"/>
      <c r="AQ110" s="154"/>
    </row>
    <row r="111" spans="3:43" x14ac:dyDescent="0.3">
      <c r="C111" s="99"/>
      <c r="F111" s="110"/>
      <c r="H111" s="172"/>
      <c r="J111" s="172"/>
      <c r="L111" s="222"/>
      <c r="N111" s="222"/>
      <c r="O111" s="110"/>
      <c r="P111" s="141"/>
      <c r="Q111" s="110"/>
      <c r="R111" s="110"/>
      <c r="T111" s="98">
        <v>19</v>
      </c>
      <c r="V111" s="124" t="s">
        <v>57</v>
      </c>
      <c r="Y111" s="147"/>
      <c r="Z111" s="1"/>
      <c r="AA111" s="147"/>
      <c r="AB111" s="147"/>
      <c r="AC111" s="171"/>
      <c r="AD111" s="171"/>
      <c r="AE111" s="106"/>
      <c r="AF111" s="1"/>
      <c r="AG111" s="154"/>
      <c r="AH111" s="1"/>
      <c r="AI111" s="106"/>
      <c r="AJ111" s="106"/>
      <c r="AK111" s="154"/>
      <c r="AL111" s="1"/>
      <c r="AM111" s="106"/>
      <c r="AN111" s="1"/>
      <c r="AO111" s="106"/>
      <c r="AP111" s="1"/>
      <c r="AQ111" s="154"/>
    </row>
    <row r="112" spans="3:43" x14ac:dyDescent="0.3">
      <c r="C112" s="99"/>
      <c r="F112" s="110"/>
      <c r="H112" s="110"/>
      <c r="J112" s="110"/>
      <c r="L112" s="217"/>
      <c r="N112" s="217"/>
      <c r="O112" s="110"/>
      <c r="P112" s="141"/>
      <c r="Q112" s="110"/>
      <c r="R112" s="110"/>
      <c r="S112" s="110"/>
      <c r="T112" s="98">
        <v>20</v>
      </c>
      <c r="V112" s="124" t="s">
        <v>133</v>
      </c>
      <c r="Y112" s="1"/>
      <c r="Z112" s="1"/>
      <c r="AA112" s="1"/>
      <c r="AB112" s="1"/>
      <c r="AC112" s="1"/>
      <c r="AD112" s="1"/>
      <c r="AE112" s="1"/>
      <c r="AF112" s="1"/>
      <c r="AG112" s="154"/>
      <c r="AH112" s="1"/>
      <c r="AI112" s="1"/>
      <c r="AJ112" s="1"/>
      <c r="AK112" s="154"/>
      <c r="AL112" s="1"/>
      <c r="AM112" s="1"/>
      <c r="AN112" s="1"/>
      <c r="AO112" s="1"/>
      <c r="AP112" s="1"/>
      <c r="AQ112" s="154"/>
    </row>
    <row r="113" spans="3:43" x14ac:dyDescent="0.3">
      <c r="T113" s="98">
        <v>21</v>
      </c>
      <c r="V113" s="99" t="s">
        <v>144</v>
      </c>
      <c r="Y113" s="106">
        <f>F41</f>
        <v>271</v>
      </c>
      <c r="Z113" s="1"/>
      <c r="AA113" s="147"/>
      <c r="AB113" s="147"/>
      <c r="AC113" s="180">
        <f>AC95</f>
        <v>138</v>
      </c>
      <c r="AD113" s="180"/>
      <c r="AE113" s="106">
        <f>ROUND(+Y113*AC113,0)</f>
        <v>37398</v>
      </c>
      <c r="AF113" s="1"/>
      <c r="AG113" s="156">
        <f>ROUND((+AE113/$AE$137)*100,1)</f>
        <v>0.1</v>
      </c>
      <c r="AH113" s="1"/>
      <c r="AI113" s="106">
        <f>L41-AE113</f>
        <v>5962</v>
      </c>
      <c r="AJ113" s="106"/>
      <c r="AK113" s="156">
        <f>IF(AE113=0,0,ROUND((AI113/AE113)*100,1))</f>
        <v>15.9</v>
      </c>
      <c r="AL113" s="138"/>
      <c r="AM113" s="106"/>
      <c r="AN113" s="1"/>
      <c r="AO113" s="106">
        <f>AE113+AM113</f>
        <v>37398</v>
      </c>
      <c r="AP113" s="1"/>
      <c r="AQ113" s="156">
        <f>ROUND((+AI113/AO113)*100,1)</f>
        <v>15.9</v>
      </c>
    </row>
    <row r="114" spans="3:43" ht="20.100000000000001" customHeight="1" x14ac:dyDescent="0.3">
      <c r="C114" s="99"/>
      <c r="F114" s="172"/>
      <c r="H114" s="172"/>
      <c r="J114" s="172"/>
      <c r="L114" s="181"/>
      <c r="N114" s="181"/>
      <c r="O114" s="110"/>
      <c r="P114" s="141"/>
      <c r="R114" s="110"/>
      <c r="T114" s="98">
        <v>22</v>
      </c>
      <c r="V114" s="124" t="s">
        <v>136</v>
      </c>
      <c r="Y114" s="112">
        <f>F42</f>
        <v>271</v>
      </c>
      <c r="Z114" s="1"/>
      <c r="AA114" s="106"/>
      <c r="AB114" s="106"/>
      <c r="AC114" s="171"/>
      <c r="AD114" s="171"/>
      <c r="AE114" s="112">
        <f>SUM(AE113:AE113)</f>
        <v>37398</v>
      </c>
      <c r="AF114" s="1"/>
      <c r="AG114" s="158">
        <f>ROUND((+AE114/$AE$137)*100,1)</f>
        <v>0.1</v>
      </c>
      <c r="AH114" s="1"/>
      <c r="AI114" s="112">
        <f>SUM(AI113:AI113)</f>
        <v>5962</v>
      </c>
      <c r="AJ114" s="106"/>
      <c r="AK114" s="158">
        <f>IF(AE114=0,0,ROUND((AI114/AE114)*100,1))</f>
        <v>15.9</v>
      </c>
      <c r="AL114" s="138"/>
      <c r="AM114" s="112"/>
      <c r="AN114" s="1"/>
      <c r="AO114" s="112">
        <f>SUM(AO113:AO113)</f>
        <v>37398</v>
      </c>
      <c r="AP114" s="1"/>
      <c r="AQ114" s="158">
        <f>ROUND((+AI114/AO114)*100,1)</f>
        <v>15.9</v>
      </c>
    </row>
    <row r="115" spans="3:43" x14ac:dyDescent="0.3">
      <c r="C115" s="99"/>
      <c r="F115" s="172"/>
      <c r="H115" s="172"/>
      <c r="J115" s="172"/>
      <c r="L115" s="181"/>
      <c r="N115" s="181"/>
      <c r="O115" s="110"/>
      <c r="P115" s="141"/>
      <c r="R115" s="110"/>
      <c r="T115" s="98">
        <v>23</v>
      </c>
      <c r="V115" s="124" t="s">
        <v>63</v>
      </c>
      <c r="Y115" s="147"/>
      <c r="Z115" s="1"/>
      <c r="AA115" s="147"/>
      <c r="AB115" s="147"/>
      <c r="AC115" s="240"/>
      <c r="AD115" s="240"/>
      <c r="AE115" s="106"/>
      <c r="AF115" s="1"/>
      <c r="AG115" s="154"/>
      <c r="AH115" s="1"/>
      <c r="AI115" s="106"/>
      <c r="AJ115" s="106"/>
      <c r="AK115" s="154"/>
      <c r="AL115" s="175"/>
      <c r="AM115" s="106"/>
      <c r="AN115" s="1"/>
      <c r="AO115" s="106"/>
      <c r="AP115" s="1"/>
      <c r="AQ115" s="154"/>
    </row>
    <row r="116" spans="3:43" x14ac:dyDescent="0.3">
      <c r="F116" s="192"/>
      <c r="H116" s="110"/>
      <c r="J116" s="110"/>
      <c r="L116" s="217"/>
      <c r="N116" s="217"/>
      <c r="O116" s="192"/>
      <c r="P116" s="192"/>
      <c r="Q116" s="192"/>
      <c r="R116" s="192"/>
      <c r="T116" s="98">
        <v>24</v>
      </c>
      <c r="V116" s="99" t="s">
        <v>64</v>
      </c>
      <c r="Y116" s="147"/>
      <c r="Z116" s="1"/>
      <c r="AA116" s="106">
        <f>H44</f>
        <v>621652.70904452982</v>
      </c>
      <c r="AB116" s="106"/>
      <c r="AC116" s="181">
        <f>INPUT!C78</f>
        <v>13.92</v>
      </c>
      <c r="AD116" s="180"/>
      <c r="AE116" s="106">
        <f>ROUND(+AA116*AC116,0)</f>
        <v>8653406</v>
      </c>
      <c r="AF116" s="1"/>
      <c r="AG116" s="154">
        <f>ROUND((+AE116/$AE$137)*100,1)</f>
        <v>18.5</v>
      </c>
      <c r="AH116" s="1"/>
      <c r="AI116" s="106">
        <f>L44-AE116</f>
        <v>1187356</v>
      </c>
      <c r="AJ116" s="106"/>
      <c r="AK116" s="154">
        <f>IF(AE116=0,0,ROUND((AI116/AE116)*100,1))</f>
        <v>13.7</v>
      </c>
      <c r="AL116" s="138"/>
      <c r="AM116" s="106"/>
      <c r="AN116" s="1"/>
      <c r="AO116" s="106">
        <f>AE116+AM116</f>
        <v>8653406</v>
      </c>
      <c r="AP116" s="1"/>
      <c r="AQ116" s="154">
        <f>ROUND((+AI116/AO116)*100,1)</f>
        <v>13.7</v>
      </c>
    </row>
    <row r="117" spans="3:43" x14ac:dyDescent="0.3">
      <c r="C117" s="99"/>
      <c r="F117" s="110"/>
      <c r="H117" s="110"/>
      <c r="J117" s="110"/>
      <c r="L117" s="217"/>
      <c r="N117" s="217"/>
      <c r="O117" s="110"/>
      <c r="P117" s="141"/>
      <c r="Q117" s="110"/>
      <c r="R117" s="110"/>
      <c r="T117" s="98">
        <v>26</v>
      </c>
      <c r="V117" s="99" t="s">
        <v>65</v>
      </c>
      <c r="Y117" s="147"/>
      <c r="Z117" s="1"/>
      <c r="AA117" s="106">
        <f>H45</f>
        <v>15038.689064443512</v>
      </c>
      <c r="AB117" s="106"/>
      <c r="AC117" s="181">
        <f>INPUT!C79</f>
        <v>1.32</v>
      </c>
      <c r="AD117" s="180"/>
      <c r="AE117" s="106">
        <f>ROUND(+AA117*AC117,0)</f>
        <v>19851</v>
      </c>
      <c r="AF117" s="1"/>
      <c r="AG117" s="154">
        <f>ROUND((+AE117/$AE$137)*100,1)</f>
        <v>0</v>
      </c>
      <c r="AH117" s="1"/>
      <c r="AI117" s="106">
        <f>L45-AE117</f>
        <v>2707</v>
      </c>
      <c r="AJ117" s="106"/>
      <c r="AK117" s="154">
        <f>IF(AE117=0,0,ROUND((AI117/AE117)*100,1))</f>
        <v>13.6</v>
      </c>
      <c r="AL117" s="138"/>
      <c r="AM117" s="106"/>
      <c r="AN117" s="1"/>
      <c r="AO117" s="106">
        <f>AE117+AM117</f>
        <v>19851</v>
      </c>
      <c r="AP117" s="1"/>
      <c r="AQ117" s="154">
        <f>ROUND((+AI117/AO117)*100,1)</f>
        <v>13.6</v>
      </c>
    </row>
    <row r="118" spans="3:43" x14ac:dyDescent="0.3">
      <c r="C118" s="99"/>
      <c r="F118" s="110"/>
      <c r="H118" s="110"/>
      <c r="J118" s="110"/>
      <c r="L118" s="217"/>
      <c r="N118" s="217"/>
      <c r="O118" s="110"/>
      <c r="P118" s="141"/>
      <c r="Q118" s="110"/>
      <c r="R118" s="110"/>
      <c r="V118" s="99" t="s">
        <v>717</v>
      </c>
      <c r="Y118" s="147"/>
      <c r="Z118" s="1"/>
      <c r="AA118" s="117">
        <f>AA116+AA117</f>
        <v>636691.39810897328</v>
      </c>
      <c r="AB118" s="106"/>
      <c r="AC118" s="181">
        <f>AC100</f>
        <v>6.07</v>
      </c>
      <c r="AD118" s="180"/>
      <c r="AE118" s="106">
        <f>ROUND(+AA118*AC118,0)</f>
        <v>3864717</v>
      </c>
      <c r="AF118" s="1"/>
      <c r="AG118" s="156">
        <f>ROUND((+AE118/$AE$137)*100,1)</f>
        <v>8.3000000000000007</v>
      </c>
      <c r="AH118" s="1"/>
      <c r="AI118" s="106">
        <f>L46-AE118</f>
        <v>1082375</v>
      </c>
      <c r="AJ118" s="106"/>
      <c r="AK118" s="156">
        <f>IF(AE118=0,0,ROUND((AI118/AE118)*100,1))</f>
        <v>28</v>
      </c>
      <c r="AL118" s="138"/>
      <c r="AM118" s="106"/>
      <c r="AN118" s="1"/>
      <c r="AO118" s="106">
        <f>AE118+AM118</f>
        <v>3864717</v>
      </c>
      <c r="AP118" s="1"/>
      <c r="AQ118" s="156">
        <f>ROUND((+AI118/AO118)*100,1)</f>
        <v>28</v>
      </c>
    </row>
    <row r="119" spans="3:43" ht="20.100000000000001" customHeight="1" x14ac:dyDescent="0.3">
      <c r="C119" s="99"/>
      <c r="F119" s="172"/>
      <c r="H119" s="172"/>
      <c r="J119" s="172"/>
      <c r="L119" s="227"/>
      <c r="N119" s="227"/>
      <c r="O119" s="110"/>
      <c r="P119" s="141"/>
      <c r="Q119" s="110"/>
      <c r="R119" s="110"/>
      <c r="S119" s="110"/>
      <c r="T119" s="98">
        <v>26</v>
      </c>
      <c r="V119" s="124" t="s">
        <v>145</v>
      </c>
      <c r="Y119" s="106"/>
      <c r="Z119" s="1"/>
      <c r="AA119" s="112">
        <f>H47</f>
        <v>636691.39810897328</v>
      </c>
      <c r="AB119" s="106"/>
      <c r="AC119" s="171"/>
      <c r="AD119" s="171"/>
      <c r="AE119" s="112">
        <f>SUM(AE116:AE118)</f>
        <v>12537974</v>
      </c>
      <c r="AF119" s="1"/>
      <c r="AG119" s="158">
        <f>ROUND((+AE119/$AE$137)*100,1)</f>
        <v>26.8</v>
      </c>
      <c r="AH119" s="1"/>
      <c r="AI119" s="112">
        <f>SUM(AI116:AI118)</f>
        <v>2272438</v>
      </c>
      <c r="AJ119" s="106"/>
      <c r="AK119" s="158">
        <f>IF(AE119=0,0,ROUND((AI119/AE119)*100,1))</f>
        <v>18.100000000000001</v>
      </c>
      <c r="AL119" s="138"/>
      <c r="AM119" s="112"/>
      <c r="AN119" s="1"/>
      <c r="AO119" s="112">
        <f>SUM(AO116:AO118)</f>
        <v>12537974</v>
      </c>
      <c r="AP119" s="1"/>
      <c r="AQ119" s="158">
        <f>ROUND((+AI119/AO119)*100,1)</f>
        <v>18.100000000000001</v>
      </c>
    </row>
    <row r="120" spans="3:43" x14ac:dyDescent="0.3">
      <c r="C120" s="99"/>
      <c r="F120" s="172"/>
      <c r="H120" s="172"/>
      <c r="J120" s="172"/>
      <c r="L120" s="181"/>
      <c r="N120" s="181"/>
      <c r="O120" s="110"/>
      <c r="P120" s="141"/>
      <c r="Q120" s="110"/>
      <c r="R120" s="110"/>
      <c r="T120" s="98">
        <v>27</v>
      </c>
      <c r="V120" s="124" t="s">
        <v>146</v>
      </c>
      <c r="Y120" s="106"/>
      <c r="Z120" s="1"/>
      <c r="AA120" s="106"/>
      <c r="AB120" s="106"/>
      <c r="AC120" s="171"/>
      <c r="AD120" s="171"/>
      <c r="AE120" s="106"/>
      <c r="AF120" s="1"/>
      <c r="AG120" s="154"/>
      <c r="AH120" s="1"/>
      <c r="AI120" s="106"/>
      <c r="AJ120" s="106"/>
      <c r="AK120" s="154"/>
      <c r="AL120" s="138"/>
      <c r="AM120" s="106"/>
      <c r="AN120" s="1"/>
      <c r="AO120" s="106"/>
      <c r="AP120" s="1"/>
      <c r="AQ120" s="154"/>
    </row>
    <row r="121" spans="3:43" x14ac:dyDescent="0.3">
      <c r="F121" s="110"/>
      <c r="H121" s="192"/>
      <c r="J121" s="192"/>
      <c r="L121" s="217"/>
      <c r="N121" s="217"/>
      <c r="O121" s="192"/>
      <c r="P121" s="192"/>
      <c r="Q121" s="192"/>
      <c r="R121" s="192"/>
      <c r="T121" s="98">
        <v>28</v>
      </c>
      <c r="V121" s="176" t="s">
        <v>147</v>
      </c>
      <c r="Y121" s="106"/>
      <c r="Z121" s="1"/>
      <c r="AA121" s="106">
        <f>H49</f>
        <v>242385</v>
      </c>
      <c r="AB121" s="106"/>
      <c r="AC121" s="180">
        <f>AC103</f>
        <v>-0.75</v>
      </c>
      <c r="AD121" s="242"/>
      <c r="AE121" s="106">
        <f>ROUND(+AA121*AC121,0)</f>
        <v>-181789</v>
      </c>
      <c r="AF121" s="1"/>
      <c r="AG121" s="154">
        <f>ROUND((+AE121/$AE$137)*100,1)</f>
        <v>-0.4</v>
      </c>
      <c r="AH121" s="1"/>
      <c r="AI121" s="106">
        <f>L49-AE121</f>
        <v>-24238</v>
      </c>
      <c r="AJ121" s="106"/>
      <c r="AK121" s="154">
        <f>IF(AE121=0,0,ROUND((AI121/AE121)*100,1))</f>
        <v>13.3</v>
      </c>
      <c r="AL121" s="138"/>
      <c r="AM121" s="106"/>
      <c r="AN121" s="1"/>
      <c r="AO121" s="106">
        <f>AE121+AM121</f>
        <v>-181789</v>
      </c>
      <c r="AP121" s="1"/>
      <c r="AQ121" s="154">
        <f>ROUND((+AI121/AO121)*100,1)</f>
        <v>13.3</v>
      </c>
    </row>
    <row r="122" spans="3:43" ht="20.100000000000001" customHeight="1" x14ac:dyDescent="0.3">
      <c r="C122" s="99"/>
      <c r="F122" s="110"/>
      <c r="H122" s="110"/>
      <c r="J122" s="110"/>
      <c r="L122" s="217"/>
      <c r="N122" s="217"/>
      <c r="O122" s="110"/>
      <c r="P122" s="141"/>
      <c r="Q122" s="110"/>
      <c r="R122" s="110"/>
      <c r="T122" s="98">
        <v>29</v>
      </c>
      <c r="V122" s="176" t="s">
        <v>148</v>
      </c>
      <c r="Y122" s="1"/>
      <c r="Z122" s="1"/>
      <c r="AA122" s="117">
        <f>H50</f>
        <v>394306.39810897328</v>
      </c>
      <c r="AB122" s="106"/>
      <c r="AC122" s="180">
        <f>AC104</f>
        <v>-0.57999999999999996</v>
      </c>
      <c r="AD122" s="242"/>
      <c r="AE122" s="106">
        <f>ROUND(+AA122*AC122,0)</f>
        <v>-228698</v>
      </c>
      <c r="AF122" s="1"/>
      <c r="AG122" s="156">
        <f>ROUND((+AE122/$AE$137)*100,1)</f>
        <v>-0.5</v>
      </c>
      <c r="AH122" s="1"/>
      <c r="AI122" s="106">
        <f>L50-AE122</f>
        <v>-31544</v>
      </c>
      <c r="AJ122" s="106"/>
      <c r="AK122" s="156">
        <f>IF(AE122=0,0,ROUND((AI122/AE122)*100,1))</f>
        <v>13.8</v>
      </c>
      <c r="AL122" s="138"/>
      <c r="AM122" s="106"/>
      <c r="AN122" s="1"/>
      <c r="AO122" s="106">
        <f>AE122+AM122</f>
        <v>-228698</v>
      </c>
      <c r="AP122" s="1"/>
      <c r="AQ122" s="156">
        <f>ROUND((+AI122/AO122)*100,1)</f>
        <v>13.8</v>
      </c>
    </row>
    <row r="123" spans="3:43" ht="20.100000000000001" customHeight="1" x14ac:dyDescent="0.3">
      <c r="C123" s="99"/>
      <c r="F123" s="110"/>
      <c r="H123" s="110"/>
      <c r="J123" s="110"/>
      <c r="L123" s="217"/>
      <c r="N123" s="217"/>
      <c r="O123" s="110"/>
      <c r="P123" s="110"/>
      <c r="Q123" s="110"/>
      <c r="R123" s="110"/>
      <c r="T123" s="98">
        <v>30</v>
      </c>
      <c r="V123" s="124" t="s">
        <v>66</v>
      </c>
      <c r="Y123" s="106"/>
      <c r="Z123" s="1"/>
      <c r="AA123" s="117">
        <f>H51</f>
        <v>636691.39810897328</v>
      </c>
      <c r="AB123" s="106"/>
      <c r="AC123" s="136"/>
      <c r="AD123" s="136"/>
      <c r="AE123" s="112">
        <f>AE119+AE121+AE122</f>
        <v>12127487</v>
      </c>
      <c r="AF123" s="1"/>
      <c r="AG123" s="158">
        <f>ROUND((+AE123/$AE$137)*100,1)</f>
        <v>25.9</v>
      </c>
      <c r="AH123" s="1"/>
      <c r="AI123" s="112">
        <f>AI119+AI121+AI122</f>
        <v>2216656</v>
      </c>
      <c r="AJ123" s="106"/>
      <c r="AK123" s="158">
        <f>IF(AE123=0,0,ROUND((AI123/AE123)*100,1))</f>
        <v>18.3</v>
      </c>
      <c r="AL123" s="138"/>
      <c r="AM123" s="112"/>
      <c r="AN123" s="1"/>
      <c r="AO123" s="112">
        <f>AO119+AO121+AO122</f>
        <v>12127487</v>
      </c>
      <c r="AP123" s="1"/>
      <c r="AQ123" s="158">
        <f>ROUND((+AI123/AO123)*100,1)</f>
        <v>18.3</v>
      </c>
    </row>
    <row r="124" spans="3:43" x14ac:dyDescent="0.3">
      <c r="C124" s="99"/>
      <c r="H124" s="172"/>
      <c r="J124" s="172"/>
      <c r="L124" s="228"/>
      <c r="N124" s="228"/>
      <c r="O124" s="110"/>
      <c r="P124" s="141"/>
      <c r="Q124" s="110"/>
      <c r="R124" s="110"/>
      <c r="T124" s="98">
        <v>31</v>
      </c>
      <c r="V124" s="169" t="s">
        <v>371</v>
      </c>
      <c r="Y124" s="106"/>
      <c r="Z124" s="1"/>
      <c r="AA124" s="106"/>
      <c r="AB124" s="106"/>
      <c r="AC124" s="136"/>
      <c r="AD124" s="136"/>
      <c r="AE124" s="106"/>
      <c r="AF124" s="1"/>
      <c r="AG124" s="154"/>
      <c r="AH124" s="1"/>
      <c r="AI124" s="106"/>
      <c r="AJ124" s="106"/>
      <c r="AK124" s="154"/>
      <c r="AL124" s="138"/>
      <c r="AM124" s="106"/>
      <c r="AN124" s="1"/>
      <c r="AO124" s="106"/>
      <c r="AP124" s="1"/>
      <c r="AQ124" s="154"/>
    </row>
    <row r="125" spans="3:43" x14ac:dyDescent="0.3">
      <c r="C125" s="99"/>
      <c r="H125" s="172"/>
      <c r="J125" s="172"/>
      <c r="L125" s="228"/>
      <c r="N125" s="228"/>
      <c r="O125" s="110"/>
      <c r="P125" s="141"/>
      <c r="Q125" s="110"/>
      <c r="R125" s="110"/>
      <c r="T125" s="98">
        <v>32</v>
      </c>
      <c r="V125" s="99" t="s">
        <v>383</v>
      </c>
      <c r="Y125" s="106"/>
      <c r="Z125" s="1"/>
      <c r="AA125" s="106">
        <f>H53</f>
        <v>85110731.302000001</v>
      </c>
      <c r="AB125" s="106"/>
      <c r="AC125" s="189">
        <f>INPUT!C73</f>
        <v>5.4640000000000001E-2</v>
      </c>
      <c r="AD125" s="185"/>
      <c r="AE125" s="106">
        <f>ROUND((+AA125*AC125),0)-AM125</f>
        <v>4650450</v>
      </c>
      <c r="AF125" s="1"/>
      <c r="AG125" s="154">
        <f>ROUND((+AE125/$AE$137)*100,1)</f>
        <v>9.9</v>
      </c>
      <c r="AH125" s="1"/>
      <c r="AI125" s="106">
        <f>L53-AE125</f>
        <v>637735</v>
      </c>
      <c r="AJ125" s="106"/>
      <c r="AK125" s="154">
        <f>IF(AE125=0,0,ROUND((AI125/AE125)*100,1))</f>
        <v>13.7</v>
      </c>
      <c r="AL125" s="138"/>
      <c r="AM125" s="106"/>
      <c r="AN125" s="1"/>
      <c r="AO125" s="106">
        <f>AE125+AM125</f>
        <v>4650450</v>
      </c>
      <c r="AP125" s="1"/>
      <c r="AQ125" s="154">
        <f>ROUND((+AI125/AO125)*100,1)</f>
        <v>13.7</v>
      </c>
    </row>
    <row r="126" spans="3:43" x14ac:dyDescent="0.3">
      <c r="F126" s="110"/>
      <c r="H126" s="110"/>
      <c r="J126" s="110"/>
      <c r="L126" s="217"/>
      <c r="N126" s="217"/>
      <c r="O126" s="192"/>
      <c r="P126" s="192"/>
      <c r="Q126" s="192"/>
      <c r="R126" s="192"/>
      <c r="T126" s="98">
        <v>33</v>
      </c>
      <c r="V126" s="99" t="s">
        <v>384</v>
      </c>
      <c r="Y126" s="177"/>
      <c r="Z126" s="1"/>
      <c r="AA126" s="106">
        <f>H54</f>
        <v>224937495.28515249</v>
      </c>
      <c r="AB126" s="106"/>
      <c r="AC126" s="239">
        <f>AC108</f>
        <v>4.8348000000000002E-2</v>
      </c>
      <c r="AD126" s="185"/>
      <c r="AE126" s="117">
        <f>ROUND((+AA126*AC126),0)-AM126</f>
        <v>10875278</v>
      </c>
      <c r="AF126" s="1"/>
      <c r="AG126" s="156">
        <f>ROUND((+AE126/$AE$137)*100,1)</f>
        <v>23.2</v>
      </c>
      <c r="AH126" s="1"/>
      <c r="AI126" s="117">
        <f>L54-AE126</f>
        <v>1490886</v>
      </c>
      <c r="AJ126" s="106"/>
      <c r="AK126" s="156">
        <f>IF(AE126=0,0,ROUND((AI126/AE126)*100,1))</f>
        <v>13.7</v>
      </c>
      <c r="AL126" s="138"/>
      <c r="AM126" s="117"/>
      <c r="AN126" s="1"/>
      <c r="AO126" s="117">
        <f>AE126+AM126</f>
        <v>10875278</v>
      </c>
      <c r="AP126" s="1"/>
      <c r="AQ126" s="156">
        <f>ROUND((+AI126/AO126)*100,1)</f>
        <v>13.7</v>
      </c>
    </row>
    <row r="127" spans="3:43" ht="22.5" customHeight="1" x14ac:dyDescent="0.3">
      <c r="F127" s="110"/>
      <c r="H127" s="110"/>
      <c r="J127" s="110"/>
      <c r="L127" s="217"/>
      <c r="N127" s="217"/>
      <c r="O127" s="192"/>
      <c r="P127" s="192"/>
      <c r="Q127" s="192"/>
      <c r="R127" s="192"/>
      <c r="T127" s="98">
        <v>34</v>
      </c>
      <c r="V127" s="124" t="s">
        <v>58</v>
      </c>
      <c r="Y127" s="112">
        <f>F55</f>
        <v>271</v>
      </c>
      <c r="Z127" s="1"/>
      <c r="AA127" s="112">
        <f>H55</f>
        <v>310048226.58715248</v>
      </c>
      <c r="AB127" s="106"/>
      <c r="AC127" s="239"/>
      <c r="AD127" s="171"/>
      <c r="AE127" s="112">
        <f>AE114+AE123+AE125+AE126</f>
        <v>27690613</v>
      </c>
      <c r="AF127" s="1"/>
      <c r="AG127" s="158">
        <f>ROUND((+AE127/$AE$137)*100,1)</f>
        <v>59.1</v>
      </c>
      <c r="AH127" s="1"/>
      <c r="AI127" s="112">
        <f>AI114+AI123+AI125+AI126</f>
        <v>4351239</v>
      </c>
      <c r="AJ127" s="106"/>
      <c r="AK127" s="158">
        <f>IF(AE127=0,0,ROUND((AI127/AE127)*100,1))</f>
        <v>15.7</v>
      </c>
      <c r="AL127" s="138"/>
      <c r="AM127" s="112"/>
      <c r="AN127" s="1"/>
      <c r="AO127" s="112">
        <f>AO114+AO123+AO125+AO126</f>
        <v>27690613</v>
      </c>
      <c r="AP127" s="1"/>
      <c r="AQ127" s="158">
        <f>ROUND((+AI127/AO127)*100,1)</f>
        <v>15.7</v>
      </c>
    </row>
    <row r="128" spans="3:43" ht="22.5" customHeight="1" x14ac:dyDescent="0.3">
      <c r="F128" s="110"/>
      <c r="H128" s="110"/>
      <c r="J128" s="110"/>
      <c r="L128" s="217"/>
      <c r="N128" s="217"/>
      <c r="O128" s="192"/>
      <c r="P128" s="192"/>
      <c r="Q128" s="192"/>
      <c r="R128" s="192"/>
      <c r="T128" s="98">
        <v>35</v>
      </c>
      <c r="V128" s="169" t="s">
        <v>437</v>
      </c>
      <c r="Y128" s="117">
        <f>Y109+Y127</f>
        <v>404</v>
      </c>
      <c r="Z128" s="1"/>
      <c r="AA128" s="117">
        <f>AA109+AA127</f>
        <v>486248297.61800003</v>
      </c>
      <c r="AB128" s="1"/>
      <c r="AC128" s="239"/>
      <c r="AD128" s="171"/>
      <c r="AE128" s="112">
        <f>AE127+AE109</f>
        <v>43744804</v>
      </c>
      <c r="AF128" s="1"/>
      <c r="AG128" s="158">
        <f>ROUND((+AE128/$AE$137)*100,1)</f>
        <v>93.4</v>
      </c>
      <c r="AH128" s="1"/>
      <c r="AI128" s="117">
        <f>AI127+AI109</f>
        <v>6864258</v>
      </c>
      <c r="AJ128" s="106"/>
      <c r="AK128" s="158">
        <f>IF(AE128=0,0,ROUND((AI128/AE128)*100,1))</f>
        <v>15.7</v>
      </c>
      <c r="AL128" s="138"/>
      <c r="AM128" s="112"/>
      <c r="AN128" s="1"/>
      <c r="AO128" s="112">
        <f>AO127+AO109</f>
        <v>43744804</v>
      </c>
      <c r="AP128" s="1"/>
      <c r="AQ128" s="158">
        <f>ROUND((+AI128/AO128)*100,1)</f>
        <v>15.7</v>
      </c>
    </row>
    <row r="129" spans="3:43" ht="15.75" customHeight="1" x14ac:dyDescent="0.3">
      <c r="F129" s="110"/>
      <c r="H129" s="110"/>
      <c r="J129" s="110"/>
      <c r="L129" s="217"/>
      <c r="N129" s="217"/>
      <c r="O129" s="192"/>
      <c r="P129" s="192"/>
      <c r="Q129" s="192"/>
      <c r="R129" s="192"/>
      <c r="V129" s="99"/>
      <c r="Y129" s="106"/>
      <c r="Z129" s="1"/>
      <c r="AA129" s="106"/>
      <c r="AB129" s="1"/>
      <c r="AC129" s="239"/>
      <c r="AD129" s="171"/>
      <c r="AE129" s="106"/>
      <c r="AF129" s="1"/>
      <c r="AG129" s="154"/>
      <c r="AH129" s="1"/>
      <c r="AI129" s="106"/>
      <c r="AJ129" s="106"/>
      <c r="AK129" s="154"/>
      <c r="AL129" s="138"/>
      <c r="AM129" s="110"/>
      <c r="AN129" s="1"/>
      <c r="AO129" s="106"/>
      <c r="AP129" s="1"/>
      <c r="AQ129" s="154"/>
    </row>
    <row r="130" spans="3:43" ht="15.75" customHeight="1" x14ac:dyDescent="0.3">
      <c r="F130" s="110"/>
      <c r="H130" s="110"/>
      <c r="J130" s="110"/>
      <c r="L130" s="217"/>
      <c r="N130" s="217"/>
      <c r="O130" s="192"/>
      <c r="P130" s="192"/>
      <c r="Q130" s="192"/>
      <c r="R130" s="192"/>
      <c r="T130" s="98">
        <f t="shared" ref="T130:T135" si="1">A58</f>
        <v>37</v>
      </c>
      <c r="V130" s="124" t="s">
        <v>428</v>
      </c>
      <c r="Y130" s="106"/>
      <c r="Z130" s="1"/>
      <c r="AA130" s="106"/>
      <c r="AB130" s="1"/>
      <c r="AC130" s="239"/>
      <c r="AD130" s="171"/>
      <c r="AE130" s="106"/>
      <c r="AF130" s="1"/>
      <c r="AG130" s="154"/>
      <c r="AH130" s="1"/>
      <c r="AI130" s="106"/>
      <c r="AJ130" s="106"/>
      <c r="AK130" s="154"/>
      <c r="AL130" s="138"/>
      <c r="AM130" s="110"/>
      <c r="AN130" s="1"/>
      <c r="AO130" s="106"/>
      <c r="AP130" s="1"/>
      <c r="AQ130" s="154"/>
    </row>
    <row r="131" spans="3:43" ht="15.75" customHeight="1" x14ac:dyDescent="0.3">
      <c r="F131" s="110"/>
      <c r="H131" s="110"/>
      <c r="J131" s="110"/>
      <c r="L131" s="217"/>
      <c r="N131" s="217"/>
      <c r="O131" s="192"/>
      <c r="P131" s="192"/>
      <c r="Q131" s="192"/>
      <c r="R131" s="192"/>
      <c r="T131" s="98">
        <f t="shared" si="1"/>
        <v>38</v>
      </c>
      <c r="V131" s="176" t="str">
        <f>C59</f>
        <v>DEMAND SIDE MANAGEMENT RIDER (DSMR)</v>
      </c>
      <c r="Y131" s="106"/>
      <c r="Z131" s="1"/>
      <c r="AA131" s="106"/>
      <c r="AB131" s="1"/>
      <c r="AC131" s="218">
        <f>DSM_DIST</f>
        <v>3.503E-3</v>
      </c>
      <c r="AD131" s="171"/>
      <c r="AE131" s="106">
        <f>ROUND($AA$128*AC131,0)</f>
        <v>1703328</v>
      </c>
      <c r="AF131" s="1"/>
      <c r="AG131" s="154">
        <f>ROUND((+AE131/$AE$137)*100,1)</f>
        <v>3.6</v>
      </c>
      <c r="AH131" s="1"/>
      <c r="AI131" s="106">
        <f>L59-AE131</f>
        <v>0</v>
      </c>
      <c r="AJ131" s="106"/>
      <c r="AK131" s="154">
        <f>IF(AE131=0,0,ROUND((AI131/AE131)*100,1))</f>
        <v>0</v>
      </c>
      <c r="AL131" s="138"/>
      <c r="AM131" s="110"/>
      <c r="AN131" s="1"/>
      <c r="AO131" s="106">
        <f>AE131+AM131</f>
        <v>1703328</v>
      </c>
      <c r="AP131" s="1"/>
      <c r="AQ131" s="154">
        <f>IF(AO131=0,0,ROUND((+AI131/AO131)*100,1))</f>
        <v>0</v>
      </c>
    </row>
    <row r="132" spans="3:43" ht="15.75" customHeight="1" x14ac:dyDescent="0.3">
      <c r="F132" s="110"/>
      <c r="H132" s="110"/>
      <c r="J132" s="110"/>
      <c r="L132" s="217"/>
      <c r="N132" s="217"/>
      <c r="O132" s="192"/>
      <c r="P132" s="192"/>
      <c r="Q132" s="192"/>
      <c r="R132" s="192"/>
      <c r="T132" s="98">
        <f t="shared" si="1"/>
        <v>39</v>
      </c>
      <c r="V132" s="176" t="str">
        <f>C60</f>
        <v>ENVIRONMENTAL SURCHARGE MECHANISM RIDER (ESM)</v>
      </c>
      <c r="Y132" s="106"/>
      <c r="Z132" s="1"/>
      <c r="AA132" s="106"/>
      <c r="AB132" s="1"/>
      <c r="AC132" s="223">
        <f>CUR_ESM_NonRes</f>
        <v>6.3863133253205971E-3</v>
      </c>
      <c r="AD132" s="171"/>
      <c r="AE132" s="106">
        <f>ROUND((AO128-(CUR_BASE_FUEL*AA128)+AO131+AO134)*AC132,0)</f>
        <v>193034</v>
      </c>
      <c r="AF132" s="1"/>
      <c r="AG132" s="154">
        <f>ROUND((+AE132/$AE$137)*100,1)</f>
        <v>0.4</v>
      </c>
      <c r="AH132" s="1"/>
      <c r="AI132" s="106">
        <f>L60-AE132</f>
        <v>6074</v>
      </c>
      <c r="AJ132" s="106"/>
      <c r="AK132" s="154">
        <f>IF(AE132=0,0,ROUND((AI132/AE132)*100,1))</f>
        <v>3.1</v>
      </c>
      <c r="AL132" s="138"/>
      <c r="AM132" s="110"/>
      <c r="AN132" s="1"/>
      <c r="AO132" s="106">
        <f>AE132+AM132</f>
        <v>193034</v>
      </c>
      <c r="AP132" s="1"/>
      <c r="AQ132" s="154">
        <f>IF(AO132=0,0,ROUND((+AI132/AO132)*100,1))</f>
        <v>3.1</v>
      </c>
    </row>
    <row r="133" spans="3:43" ht="15.75" customHeight="1" x14ac:dyDescent="0.3">
      <c r="F133" s="110"/>
      <c r="H133" s="110"/>
      <c r="J133" s="110"/>
      <c r="L133" s="217"/>
      <c r="N133" s="217"/>
      <c r="O133" s="192"/>
      <c r="P133" s="192"/>
      <c r="Q133" s="192"/>
      <c r="R133" s="192"/>
      <c r="T133" s="98">
        <f t="shared" si="1"/>
        <v>40</v>
      </c>
      <c r="V133" s="176" t="str">
        <f>C61</f>
        <v>FUEL ADJUSTMENT CLAUSE (FAC)</v>
      </c>
      <c r="Y133" s="106"/>
      <c r="Z133" s="1"/>
      <c r="AA133" s="106"/>
      <c r="AB133" s="1"/>
      <c r="AC133" s="218">
        <f>CUR_FAC</f>
        <v>3.4872127999999998E-3</v>
      </c>
      <c r="AD133" s="171"/>
      <c r="AE133" s="106"/>
      <c r="AF133" s="1"/>
      <c r="AG133" s="154"/>
      <c r="AH133" s="1"/>
      <c r="AI133" s="106"/>
      <c r="AJ133" s="106"/>
      <c r="AK133" s="154"/>
      <c r="AL133" s="138"/>
      <c r="AM133" s="106">
        <f>ROUND(AA128*CUR_FAC,0)</f>
        <v>1695651</v>
      </c>
      <c r="AN133" s="1"/>
      <c r="AO133" s="106">
        <f>AE133+AM133</f>
        <v>1695651</v>
      </c>
      <c r="AP133" s="1"/>
      <c r="AQ133" s="154">
        <f>IF(AO133=0,0,ROUND((+AI133/AO133)*100,1))</f>
        <v>0</v>
      </c>
    </row>
    <row r="134" spans="3:43" ht="15.75" customHeight="1" x14ac:dyDescent="0.3">
      <c r="F134" s="110"/>
      <c r="H134" s="110"/>
      <c r="J134" s="110"/>
      <c r="L134" s="217"/>
      <c r="N134" s="217"/>
      <c r="O134" s="192"/>
      <c r="P134" s="192"/>
      <c r="Q134" s="192"/>
      <c r="R134" s="192"/>
      <c r="T134" s="98">
        <f t="shared" si="1"/>
        <v>41</v>
      </c>
      <c r="V134" s="176" t="str">
        <f>C62</f>
        <v>PROFIT SHARING MECHANISM (PSM)</v>
      </c>
      <c r="Y134" s="106"/>
      <c r="Z134" s="1"/>
      <c r="AA134" s="106"/>
      <c r="AB134" s="1"/>
      <c r="AC134" s="218">
        <f>RS_PSM</f>
        <v>2.4750000000000002E-3</v>
      </c>
      <c r="AD134" s="171"/>
      <c r="AE134" s="117">
        <f>ROUND(AA128*RS_PSM,0)</f>
        <v>1203465</v>
      </c>
      <c r="AF134" s="1"/>
      <c r="AG134" s="156">
        <f>ROUND((+AE134/$AE$137)*100,1)</f>
        <v>2.6</v>
      </c>
      <c r="AH134" s="1"/>
      <c r="AI134" s="117">
        <f>L62-AE134</f>
        <v>0</v>
      </c>
      <c r="AJ134" s="106"/>
      <c r="AK134" s="156">
        <f>IF(AE134=0,0,ROUND((AI134/AE134)*100,1))</f>
        <v>0</v>
      </c>
      <c r="AL134" s="138"/>
      <c r="AM134" s="243"/>
      <c r="AN134" s="1"/>
      <c r="AO134" s="117">
        <f>AE134+AM134</f>
        <v>1203465</v>
      </c>
      <c r="AP134" s="1"/>
      <c r="AQ134" s="156">
        <f>IF(AO134=0,0,ROUND((+AI134/AO134)*100,1))</f>
        <v>0</v>
      </c>
    </row>
    <row r="135" spans="3:43" ht="22.5" customHeight="1" x14ac:dyDescent="0.3">
      <c r="F135" s="110"/>
      <c r="H135" s="110"/>
      <c r="J135" s="110"/>
      <c r="L135" s="217"/>
      <c r="N135" s="217"/>
      <c r="O135" s="192"/>
      <c r="P135" s="192"/>
      <c r="Q135" s="192"/>
      <c r="R135" s="192"/>
      <c r="T135" s="98">
        <f t="shared" si="1"/>
        <v>42</v>
      </c>
      <c r="V135" s="124" t="s">
        <v>433</v>
      </c>
      <c r="Y135" s="117"/>
      <c r="Z135" s="1"/>
      <c r="AA135" s="117"/>
      <c r="AB135" s="1"/>
      <c r="AC135" s="171"/>
      <c r="AD135" s="171"/>
      <c r="AE135" s="112">
        <f>SUM(AE131:AE134)</f>
        <v>3099827</v>
      </c>
      <c r="AF135" s="1"/>
      <c r="AG135" s="158">
        <f>ROUND((+AE135/$AE$137)*100,1)</f>
        <v>6.6</v>
      </c>
      <c r="AH135" s="1"/>
      <c r="AI135" s="112">
        <f>SUM(AI131:AI134)</f>
        <v>6074</v>
      </c>
      <c r="AJ135" s="106"/>
      <c r="AK135" s="158">
        <f>IF(AE135=0,0,ROUND((AI135/AE135)*100,1))</f>
        <v>0.2</v>
      </c>
      <c r="AL135" s="138"/>
      <c r="AM135" s="112">
        <f>AM133</f>
        <v>1695651</v>
      </c>
      <c r="AN135" s="1"/>
      <c r="AO135" s="112">
        <f>SUM(AO131:AO134)</f>
        <v>4795478</v>
      </c>
      <c r="AP135" s="1"/>
      <c r="AQ135" s="158">
        <f>ROUND((+AI135/AO135)*100,1)</f>
        <v>0.1</v>
      </c>
    </row>
    <row r="136" spans="3:43" x14ac:dyDescent="0.3">
      <c r="F136" s="110"/>
      <c r="H136" s="110"/>
      <c r="J136" s="110"/>
      <c r="L136" s="217"/>
      <c r="N136" s="217"/>
      <c r="O136" s="192"/>
      <c r="P136" s="192"/>
      <c r="Q136" s="192"/>
      <c r="R136" s="192"/>
      <c r="V136" s="99"/>
      <c r="Y136" s="106"/>
      <c r="Z136" s="1"/>
      <c r="AA136" s="106"/>
      <c r="AB136" s="106"/>
      <c r="AC136" s="171"/>
      <c r="AD136" s="171"/>
      <c r="AE136" s="106"/>
      <c r="AF136" s="1"/>
      <c r="AG136" s="154"/>
      <c r="AH136" s="1"/>
      <c r="AI136" s="106"/>
      <c r="AJ136" s="106"/>
      <c r="AK136" s="154"/>
      <c r="AL136" s="138"/>
      <c r="AM136" s="106"/>
      <c r="AN136" s="1"/>
      <c r="AO136" s="106"/>
      <c r="AP136" s="1"/>
      <c r="AQ136" s="154"/>
    </row>
    <row r="137" spans="3:43" ht="20.100000000000001" customHeight="1" thickBot="1" x14ac:dyDescent="0.35">
      <c r="F137" s="192"/>
      <c r="H137" s="192"/>
      <c r="J137" s="192"/>
      <c r="L137" s="217"/>
      <c r="N137" s="217"/>
      <c r="O137" s="192"/>
      <c r="P137" s="192"/>
      <c r="Q137" s="192"/>
      <c r="R137" s="192"/>
      <c r="T137" s="98">
        <f>A65</f>
        <v>43</v>
      </c>
      <c r="V137" s="169" t="s">
        <v>438</v>
      </c>
      <c r="Y137" s="120">
        <f>F65</f>
        <v>404</v>
      </c>
      <c r="Z137" s="1"/>
      <c r="AA137" s="120">
        <f>H65</f>
        <v>486248297.61800003</v>
      </c>
      <c r="AB137" s="106"/>
      <c r="AC137" s="1"/>
      <c r="AD137" s="1"/>
      <c r="AE137" s="120">
        <f>AE128+AE135</f>
        <v>46844631</v>
      </c>
      <c r="AF137" s="1"/>
      <c r="AG137" s="162">
        <v>100</v>
      </c>
      <c r="AH137" s="1"/>
      <c r="AI137" s="120">
        <f>AI128+AI135</f>
        <v>6870332</v>
      </c>
      <c r="AJ137" s="106"/>
      <c r="AK137" s="162">
        <f>IF(AE137=0,0,ROUND((AI137/AE137)*100,1))</f>
        <v>14.7</v>
      </c>
      <c r="AL137" s="138"/>
      <c r="AM137" s="120">
        <f>AM128+AM135</f>
        <v>1695651</v>
      </c>
      <c r="AN137" s="1"/>
      <c r="AO137" s="120">
        <f>AO128+AO135</f>
        <v>48540282</v>
      </c>
      <c r="AP137" s="1"/>
      <c r="AQ137" s="162">
        <f>ROUND((+AI137/AO137)*100,1)</f>
        <v>14.2</v>
      </c>
    </row>
    <row r="138" spans="3:43" ht="16.2" thickTop="1" x14ac:dyDescent="0.3">
      <c r="F138" s="192"/>
      <c r="H138" s="192"/>
      <c r="J138" s="192"/>
      <c r="K138" s="217"/>
      <c r="L138" s="217"/>
      <c r="N138" s="192"/>
      <c r="O138" s="192"/>
      <c r="P138" s="192"/>
      <c r="Q138" s="192"/>
      <c r="R138" s="192"/>
      <c r="S138" s="110"/>
      <c r="Y138" s="1"/>
      <c r="Z138" s="1"/>
      <c r="AA138" s="1"/>
      <c r="AB138" s="1"/>
      <c r="AC138" s="1"/>
      <c r="AD138" s="1"/>
      <c r="AE138" s="1"/>
      <c r="AF138" s="1"/>
      <c r="AG138" s="154"/>
      <c r="AH138" s="1"/>
      <c r="AI138" s="1"/>
      <c r="AJ138" s="1"/>
      <c r="AK138" s="154"/>
      <c r="AL138" s="1"/>
      <c r="AM138" s="1"/>
      <c r="AN138" s="1"/>
      <c r="AO138" s="1"/>
      <c r="AP138" s="1"/>
      <c r="AQ138" s="154"/>
    </row>
    <row r="139" spans="3:43" x14ac:dyDescent="0.3">
      <c r="C139" s="99"/>
      <c r="V139" s="178" t="s">
        <v>59</v>
      </c>
      <c r="AE139" s="110"/>
      <c r="AF139" s="110"/>
      <c r="AM139" s="110"/>
      <c r="AO139" s="110"/>
    </row>
    <row r="140" spans="3:43" x14ac:dyDescent="0.3">
      <c r="C140" s="99"/>
      <c r="V140" s="178" t="str">
        <f>"(2) REFLECTS FUEL COMPONENT OF "&amp;TEXT(CUR_FAC,"$0.000000;($0.000000)")&amp;"  PER KWH."</f>
        <v>(2) REFLECTS FUEL COMPONENT OF $0.003487  PER KWH.</v>
      </c>
      <c r="AE140" s="110"/>
      <c r="AF140" s="110"/>
      <c r="AM140" s="110"/>
      <c r="AO140" s="110"/>
    </row>
    <row r="141" spans="3:43" x14ac:dyDescent="0.3">
      <c r="C141" s="99"/>
      <c r="F141" s="110"/>
      <c r="H141" s="110"/>
      <c r="J141" s="110"/>
      <c r="N141" s="110"/>
      <c r="O141" s="110"/>
      <c r="P141" s="141"/>
      <c r="Q141" s="172"/>
      <c r="R141" s="110"/>
      <c r="T141" s="99"/>
      <c r="V141" s="178" t="str">
        <f>"(3) REFLECTS FUEL COST RECOVERY INCLUDED IN BASE RATES OF "&amp;TEXT(CUR_BASE_FUEL,"$0.000000;($0.000000)")&amp;"  PER KWH."</f>
        <v>(3) REFLECTS FUEL COST RECOVERY INCLUDED IN BASE RATES OF $0.033780  PER KWH.</v>
      </c>
      <c r="Y141" s="110"/>
      <c r="Z141" s="228"/>
      <c r="AA141" s="110"/>
      <c r="AB141" s="110"/>
      <c r="AC141" s="141"/>
      <c r="AD141" s="141"/>
      <c r="AE141" s="110"/>
      <c r="AF141" s="110"/>
      <c r="AI141" s="207"/>
      <c r="AJ141" s="207"/>
      <c r="AL141" s="110"/>
      <c r="AO141" s="141"/>
    </row>
    <row r="142" spans="3:43" x14ac:dyDescent="0.3">
      <c r="F142" s="192"/>
      <c r="H142" s="192"/>
      <c r="J142" s="192"/>
      <c r="K142" s="217"/>
      <c r="L142" s="217"/>
      <c r="N142" s="192"/>
      <c r="O142" s="192"/>
      <c r="P142" s="192"/>
      <c r="Q142" s="192"/>
      <c r="R142" s="192"/>
      <c r="Y142" s="110"/>
      <c r="Z142" s="217"/>
      <c r="AA142" s="192"/>
      <c r="AB142" s="192"/>
      <c r="AC142" s="192"/>
      <c r="AD142" s="192"/>
      <c r="AE142" s="192"/>
      <c r="AF142" s="192"/>
      <c r="AK142" s="194"/>
      <c r="AL142" s="192"/>
      <c r="AO142" s="141"/>
      <c r="AQ142" s="194"/>
    </row>
    <row r="143" spans="3:43" x14ac:dyDescent="0.3">
      <c r="T143" s="99"/>
      <c r="V143" s="110"/>
      <c r="Y143" s="110"/>
      <c r="Z143" s="198"/>
      <c r="AA143" s="110"/>
      <c r="AB143" s="110"/>
      <c r="AC143" s="141"/>
      <c r="AD143" s="141"/>
      <c r="AE143" s="110"/>
      <c r="AF143" s="110"/>
      <c r="AI143" s="207"/>
      <c r="AJ143" s="207"/>
      <c r="AL143" s="110"/>
      <c r="AO143" s="141"/>
    </row>
    <row r="144" spans="3:43" x14ac:dyDescent="0.3">
      <c r="C144" s="99"/>
      <c r="N144" s="110"/>
      <c r="O144" s="110"/>
      <c r="P144" s="110"/>
      <c r="Q144" s="110"/>
      <c r="R144" s="110"/>
      <c r="S144" s="110"/>
      <c r="V144" s="110"/>
      <c r="Y144" s="110"/>
      <c r="Z144" s="217"/>
      <c r="AA144" s="192"/>
      <c r="AB144" s="192"/>
      <c r="AC144" s="192"/>
      <c r="AD144" s="192"/>
      <c r="AE144" s="192"/>
      <c r="AF144" s="192"/>
      <c r="AK144" s="194"/>
      <c r="AL144" s="192"/>
      <c r="AO144" s="141"/>
      <c r="AQ144" s="194"/>
    </row>
    <row r="145" spans="1:43" x14ac:dyDescent="0.3">
      <c r="A145" s="99"/>
      <c r="T145" s="99"/>
      <c r="V145" s="110"/>
      <c r="Y145" s="110"/>
      <c r="Z145" s="198"/>
      <c r="AA145" s="110"/>
      <c r="AB145" s="110"/>
      <c r="AC145" s="141"/>
      <c r="AD145" s="141"/>
      <c r="AE145" s="110"/>
      <c r="AF145" s="110"/>
      <c r="AI145" s="207"/>
      <c r="AJ145" s="207"/>
      <c r="AL145" s="110"/>
      <c r="AO145" s="141"/>
    </row>
    <row r="146" spans="1:43" x14ac:dyDescent="0.3">
      <c r="T146" s="99"/>
      <c r="V146" s="172"/>
      <c r="Y146" s="110"/>
      <c r="Z146" s="222"/>
      <c r="AA146" s="110"/>
      <c r="AB146" s="110"/>
      <c r="AC146" s="141"/>
      <c r="AD146" s="141"/>
      <c r="AE146" s="110"/>
      <c r="AF146" s="110"/>
      <c r="AI146" s="207"/>
      <c r="AJ146" s="207"/>
      <c r="AL146" s="110"/>
      <c r="AO146" s="141"/>
    </row>
    <row r="147" spans="1:43" x14ac:dyDescent="0.3">
      <c r="H147" s="99"/>
      <c r="J147" s="99"/>
      <c r="V147" s="192"/>
      <c r="Y147" s="192"/>
      <c r="Z147" s="217"/>
      <c r="AA147" s="192"/>
      <c r="AB147" s="192"/>
      <c r="AC147" s="192"/>
      <c r="AD147" s="192"/>
      <c r="AE147" s="192"/>
      <c r="AF147" s="192"/>
      <c r="AK147" s="194"/>
      <c r="AL147" s="192"/>
      <c r="AO147" s="141"/>
      <c r="AQ147" s="194"/>
    </row>
    <row r="148" spans="1:43" x14ac:dyDescent="0.3">
      <c r="T148" s="99"/>
      <c r="V148" s="110"/>
      <c r="Y148" s="110"/>
      <c r="Z148" s="217"/>
      <c r="AA148" s="110"/>
      <c r="AB148" s="110"/>
      <c r="AC148" s="141"/>
      <c r="AD148" s="141"/>
      <c r="AE148" s="110"/>
      <c r="AF148" s="110"/>
      <c r="AI148" s="141"/>
      <c r="AJ148" s="141"/>
      <c r="AL148" s="110"/>
      <c r="AO148" s="141"/>
    </row>
    <row r="149" spans="1:43" x14ac:dyDescent="0.3">
      <c r="M149" s="99"/>
      <c r="N149" s="99"/>
      <c r="V149" s="192"/>
      <c r="Y149" s="192"/>
      <c r="Z149" s="217"/>
      <c r="AA149" s="192"/>
      <c r="AB149" s="192"/>
      <c r="AC149" s="192"/>
      <c r="AD149" s="192"/>
      <c r="AE149" s="192"/>
      <c r="AF149" s="192"/>
      <c r="AK149" s="194"/>
      <c r="AL149" s="192"/>
      <c r="AO149" s="141"/>
      <c r="AQ149" s="194"/>
    </row>
    <row r="150" spans="1:43" x14ac:dyDescent="0.3">
      <c r="R150" s="99"/>
      <c r="T150" s="99"/>
      <c r="V150" s="172"/>
      <c r="Y150" s="172"/>
      <c r="Z150" s="217"/>
      <c r="AA150" s="110"/>
      <c r="AB150" s="110"/>
      <c r="AC150" s="141"/>
      <c r="AD150" s="141"/>
      <c r="AE150" s="110"/>
      <c r="AF150" s="110"/>
      <c r="AL150" s="110"/>
      <c r="AO150" s="141"/>
    </row>
    <row r="151" spans="1:43" x14ac:dyDescent="0.3">
      <c r="R151" s="99"/>
    </row>
    <row r="152" spans="1:43" x14ac:dyDescent="0.3">
      <c r="A152" s="99"/>
      <c r="R152" s="99"/>
      <c r="T152" s="99"/>
    </row>
    <row r="153" spans="1:43" x14ac:dyDescent="0.3">
      <c r="M153" s="99"/>
      <c r="N153" s="99"/>
      <c r="T153" s="99"/>
      <c r="V153" s="110"/>
      <c r="Y153" s="172"/>
      <c r="Z153" s="181"/>
      <c r="AA153" s="110"/>
      <c r="AB153" s="110"/>
      <c r="AC153" s="141"/>
      <c r="AD153" s="141"/>
      <c r="AE153" s="110"/>
      <c r="AF153" s="110"/>
      <c r="AG153" s="224"/>
      <c r="AI153" s="225"/>
      <c r="AJ153" s="225"/>
      <c r="AO153" s="226"/>
    </row>
    <row r="154" spans="1:43" x14ac:dyDescent="0.3">
      <c r="A154" s="101"/>
      <c r="B154" s="101"/>
      <c r="C154" s="101"/>
      <c r="D154" s="101"/>
      <c r="E154" s="101"/>
      <c r="F154" s="101"/>
      <c r="G154" s="101"/>
      <c r="H154" s="101"/>
      <c r="J154" s="101"/>
      <c r="K154" s="101"/>
      <c r="L154" s="101"/>
      <c r="M154" s="101"/>
      <c r="N154" s="101"/>
      <c r="O154" s="101"/>
      <c r="P154" s="101"/>
      <c r="Q154" s="101"/>
      <c r="R154" s="101"/>
      <c r="T154" s="99"/>
      <c r="V154" s="110"/>
      <c r="Y154" s="172"/>
      <c r="Z154" s="181"/>
      <c r="AA154" s="110"/>
      <c r="AB154" s="110"/>
      <c r="AC154" s="141"/>
      <c r="AD154" s="141"/>
      <c r="AE154" s="110"/>
      <c r="AF154" s="110"/>
      <c r="AI154" s="207"/>
      <c r="AJ154" s="207"/>
      <c r="AO154" s="141"/>
    </row>
    <row r="155" spans="1:43" x14ac:dyDescent="0.3">
      <c r="M155" s="102"/>
      <c r="N155" s="102"/>
      <c r="O155" s="102"/>
      <c r="P155" s="102"/>
      <c r="R155" s="102"/>
      <c r="T155" s="99"/>
      <c r="V155" s="110"/>
      <c r="Y155" s="172"/>
      <c r="Z155" s="181"/>
      <c r="AA155" s="110"/>
      <c r="AB155" s="110"/>
      <c r="AC155" s="141"/>
      <c r="AD155" s="141"/>
      <c r="AE155" s="110"/>
      <c r="AF155" s="110"/>
      <c r="AI155" s="207"/>
      <c r="AJ155" s="207"/>
      <c r="AO155" s="141"/>
    </row>
    <row r="156" spans="1:43" x14ac:dyDescent="0.3">
      <c r="M156" s="102"/>
      <c r="N156" s="102"/>
      <c r="O156" s="102"/>
      <c r="P156" s="102"/>
      <c r="R156" s="102"/>
      <c r="V156" s="192"/>
      <c r="Y156" s="110"/>
      <c r="Z156" s="217"/>
      <c r="AA156" s="192"/>
      <c r="AB156" s="192"/>
      <c r="AC156" s="192"/>
      <c r="AD156" s="192"/>
      <c r="AE156" s="192"/>
      <c r="AF156" s="192"/>
      <c r="AK156" s="194"/>
      <c r="AL156" s="192"/>
      <c r="AO156" s="141"/>
      <c r="AQ156" s="194"/>
    </row>
    <row r="157" spans="1:43" x14ac:dyDescent="0.3">
      <c r="A157" s="102"/>
      <c r="C157" s="102"/>
      <c r="D157" s="102"/>
      <c r="E157" s="102"/>
      <c r="F157" s="102"/>
      <c r="K157" s="102"/>
      <c r="L157" s="102"/>
      <c r="M157" s="102"/>
      <c r="N157" s="102"/>
      <c r="O157" s="102"/>
      <c r="P157" s="102"/>
      <c r="Q157" s="102"/>
      <c r="R157" s="102"/>
      <c r="T157" s="99"/>
      <c r="V157" s="110"/>
      <c r="Y157" s="110"/>
      <c r="Z157" s="217"/>
      <c r="AA157" s="110"/>
      <c r="AB157" s="110"/>
      <c r="AC157" s="141"/>
      <c r="AD157" s="141"/>
      <c r="AE157" s="110"/>
      <c r="AF157" s="110"/>
      <c r="AI157" s="207"/>
      <c r="AJ157" s="207"/>
      <c r="AL157" s="110"/>
      <c r="AO157" s="141"/>
    </row>
    <row r="158" spans="1:43" x14ac:dyDescent="0.3">
      <c r="A158" s="102"/>
      <c r="C158" s="102"/>
      <c r="D158" s="102"/>
      <c r="E158" s="102"/>
      <c r="F158" s="102"/>
      <c r="H158" s="102"/>
      <c r="J158" s="102"/>
      <c r="K158" s="102"/>
      <c r="L158" s="102"/>
      <c r="M158" s="102"/>
      <c r="N158" s="102"/>
      <c r="O158" s="102"/>
      <c r="P158" s="102"/>
      <c r="Q158" s="102"/>
      <c r="R158" s="102"/>
      <c r="V158" s="192"/>
      <c r="Y158" s="110"/>
      <c r="Z158" s="217"/>
      <c r="AA158" s="192"/>
      <c r="AB158" s="192"/>
      <c r="AC158" s="192"/>
      <c r="AD158" s="192"/>
      <c r="AE158" s="192"/>
      <c r="AF158" s="192"/>
      <c r="AK158" s="194"/>
      <c r="AL158" s="192"/>
      <c r="AO158" s="141"/>
      <c r="AQ158" s="194"/>
    </row>
    <row r="159" spans="1:43" x14ac:dyDescent="0.3">
      <c r="C159" s="102"/>
      <c r="D159" s="102"/>
      <c r="E159" s="102"/>
      <c r="F159" s="102"/>
      <c r="H159" s="102"/>
      <c r="J159" s="102"/>
      <c r="K159" s="102"/>
      <c r="L159" s="102"/>
      <c r="M159" s="102"/>
      <c r="N159" s="102"/>
      <c r="O159" s="102"/>
      <c r="P159" s="102"/>
      <c r="Q159" s="102"/>
      <c r="R159" s="102"/>
      <c r="T159" s="99"/>
      <c r="V159" s="172"/>
      <c r="Y159" s="172"/>
      <c r="Z159" s="227"/>
      <c r="AA159" s="110"/>
      <c r="AB159" s="110"/>
      <c r="AC159" s="141"/>
      <c r="AD159" s="141"/>
      <c r="AE159" s="110"/>
      <c r="AF159" s="110"/>
      <c r="AI159" s="141"/>
      <c r="AJ159" s="141"/>
      <c r="AL159" s="110"/>
      <c r="AO159" s="141"/>
    </row>
    <row r="160" spans="1:43" x14ac:dyDescent="0.3">
      <c r="A160" s="101"/>
      <c r="B160" s="101"/>
      <c r="C160" s="101"/>
      <c r="D160" s="101"/>
      <c r="E160" s="101"/>
      <c r="F160" s="101"/>
      <c r="G160" s="101"/>
      <c r="H160" s="101"/>
      <c r="J160" s="101"/>
      <c r="K160" s="101"/>
      <c r="L160" s="101"/>
      <c r="M160" s="101"/>
      <c r="N160" s="101"/>
      <c r="O160" s="101"/>
      <c r="P160" s="101"/>
      <c r="Q160" s="101"/>
      <c r="R160" s="101"/>
      <c r="T160" s="99"/>
      <c r="V160" s="172"/>
      <c r="Y160" s="110"/>
      <c r="Z160" s="181"/>
      <c r="AA160" s="110"/>
      <c r="AB160" s="110"/>
      <c r="AC160" s="141"/>
      <c r="AD160" s="141"/>
      <c r="AE160" s="110"/>
      <c r="AF160" s="110"/>
      <c r="AI160" s="207"/>
      <c r="AJ160" s="207"/>
      <c r="AL160" s="110"/>
      <c r="AO160" s="141"/>
    </row>
    <row r="161" spans="3:43" x14ac:dyDescent="0.3">
      <c r="H161" s="102"/>
      <c r="J161" s="102"/>
      <c r="K161" s="102"/>
      <c r="L161" s="102"/>
      <c r="M161" s="102"/>
      <c r="N161" s="102"/>
      <c r="O161" s="102"/>
      <c r="P161" s="102"/>
      <c r="Q161" s="102"/>
      <c r="R161" s="102"/>
      <c r="T161" s="99"/>
      <c r="V161" s="172"/>
      <c r="Y161" s="110"/>
      <c r="Z161" s="181"/>
      <c r="AA161" s="110"/>
      <c r="AB161" s="110"/>
      <c r="AC161" s="141"/>
      <c r="AD161" s="141"/>
      <c r="AE161" s="110"/>
      <c r="AF161" s="110"/>
      <c r="AI161" s="207"/>
      <c r="AJ161" s="207"/>
      <c r="AL161" s="110"/>
      <c r="AO161" s="141"/>
    </row>
    <row r="162" spans="3:43" x14ac:dyDescent="0.3">
      <c r="C162" s="99"/>
      <c r="D162" s="99"/>
      <c r="E162" s="99"/>
      <c r="V162" s="110"/>
      <c r="Y162" s="192"/>
      <c r="Z162" s="217"/>
      <c r="AA162" s="192"/>
      <c r="AB162" s="192"/>
      <c r="AC162" s="192"/>
      <c r="AD162" s="192"/>
      <c r="AE162" s="192"/>
      <c r="AF162" s="192"/>
      <c r="AK162" s="194"/>
      <c r="AL162" s="192"/>
      <c r="AO162" s="141"/>
      <c r="AQ162" s="194"/>
    </row>
    <row r="163" spans="3:43" x14ac:dyDescent="0.3">
      <c r="D163" s="99"/>
      <c r="E163" s="99"/>
      <c r="T163" s="99"/>
      <c r="V163" s="110"/>
      <c r="Y163" s="110"/>
      <c r="Z163" s="217"/>
      <c r="AA163" s="110"/>
      <c r="AB163" s="110"/>
      <c r="AC163" s="141"/>
      <c r="AD163" s="141"/>
      <c r="AE163" s="110"/>
      <c r="AF163" s="110"/>
      <c r="AI163" s="207"/>
      <c r="AJ163" s="207"/>
      <c r="AL163" s="110"/>
      <c r="AO163" s="141"/>
    </row>
    <row r="164" spans="3:43" x14ac:dyDescent="0.3">
      <c r="V164" s="110"/>
      <c r="Y164" s="192"/>
      <c r="Z164" s="217"/>
      <c r="AA164" s="192"/>
      <c r="AB164" s="192"/>
      <c r="AC164" s="192"/>
      <c r="AD164" s="192"/>
      <c r="AE164" s="192"/>
      <c r="AF164" s="192"/>
      <c r="AK164" s="194"/>
      <c r="AL164" s="192"/>
      <c r="AO164" s="141"/>
      <c r="AQ164" s="194"/>
    </row>
    <row r="165" spans="3:43" x14ac:dyDescent="0.3">
      <c r="C165" s="99"/>
      <c r="F165" s="172"/>
      <c r="H165" s="172"/>
      <c r="J165" s="172"/>
      <c r="K165" s="181"/>
      <c r="L165" s="181"/>
      <c r="M165" s="110"/>
      <c r="N165" s="110"/>
      <c r="O165" s="141"/>
      <c r="P165" s="141"/>
      <c r="R165" s="110"/>
      <c r="T165" s="99"/>
      <c r="V165" s="110"/>
      <c r="Y165" s="110"/>
      <c r="Z165" s="217"/>
      <c r="AA165" s="110"/>
      <c r="AB165" s="110"/>
      <c r="AC165" s="110"/>
      <c r="AD165" s="110"/>
      <c r="AE165" s="110"/>
      <c r="AF165" s="110"/>
      <c r="AI165" s="207"/>
      <c r="AJ165" s="207"/>
      <c r="AL165" s="110"/>
      <c r="AO165" s="141"/>
    </row>
    <row r="166" spans="3:43" x14ac:dyDescent="0.3">
      <c r="C166" s="99"/>
      <c r="F166" s="172"/>
      <c r="H166" s="172"/>
      <c r="J166" s="172"/>
      <c r="K166" s="181"/>
      <c r="L166" s="181"/>
      <c r="M166" s="110"/>
      <c r="N166" s="110"/>
      <c r="O166" s="141"/>
      <c r="P166" s="141"/>
      <c r="R166" s="110"/>
      <c r="T166" s="99"/>
      <c r="V166" s="110"/>
      <c r="Y166" s="110"/>
      <c r="Z166" s="228"/>
      <c r="AA166" s="110"/>
      <c r="AB166" s="110"/>
      <c r="AC166" s="141"/>
      <c r="AD166" s="141"/>
      <c r="AE166" s="110"/>
      <c r="AF166" s="110"/>
      <c r="AI166" s="207"/>
      <c r="AJ166" s="207"/>
      <c r="AL166" s="110"/>
      <c r="AO166" s="141"/>
    </row>
    <row r="167" spans="3:43" x14ac:dyDescent="0.3">
      <c r="F167" s="192"/>
      <c r="H167" s="110"/>
      <c r="J167" s="110"/>
      <c r="K167" s="217"/>
      <c r="L167" s="217"/>
      <c r="M167" s="192"/>
      <c r="N167" s="192"/>
      <c r="O167" s="192"/>
      <c r="P167" s="192"/>
      <c r="Q167" s="192"/>
      <c r="R167" s="192"/>
      <c r="T167" s="99"/>
      <c r="Y167" s="110"/>
      <c r="Z167" s="228"/>
      <c r="AA167" s="110"/>
      <c r="AB167" s="110"/>
      <c r="AC167" s="141"/>
      <c r="AD167" s="141"/>
      <c r="AE167" s="110"/>
      <c r="AF167" s="110"/>
      <c r="AI167" s="207"/>
      <c r="AJ167" s="207"/>
      <c r="AL167" s="110"/>
      <c r="AO167" s="141"/>
    </row>
    <row r="168" spans="3:43" x14ac:dyDescent="0.3">
      <c r="C168" s="99"/>
      <c r="F168" s="110"/>
      <c r="H168" s="110"/>
      <c r="J168" s="110"/>
      <c r="K168" s="217"/>
      <c r="L168" s="217"/>
      <c r="M168" s="110"/>
      <c r="N168" s="110"/>
      <c r="O168" s="141"/>
      <c r="P168" s="141"/>
      <c r="Q168" s="110"/>
      <c r="R168" s="110"/>
      <c r="V168" s="110"/>
      <c r="Y168" s="110"/>
      <c r="Z168" s="217"/>
      <c r="AA168" s="192"/>
      <c r="AB168" s="192"/>
      <c r="AC168" s="192"/>
      <c r="AD168" s="192"/>
      <c r="AE168" s="192"/>
      <c r="AF168" s="192"/>
      <c r="AK168" s="194"/>
      <c r="AL168" s="192"/>
      <c r="AO168" s="141"/>
      <c r="AQ168" s="194"/>
    </row>
    <row r="169" spans="3:43" x14ac:dyDescent="0.3">
      <c r="F169" s="192"/>
      <c r="H169" s="110"/>
      <c r="J169" s="110"/>
      <c r="K169" s="217"/>
      <c r="L169" s="217"/>
      <c r="M169" s="192"/>
      <c r="N169" s="192"/>
      <c r="O169" s="192"/>
      <c r="P169" s="192"/>
      <c r="Q169" s="192"/>
      <c r="R169" s="192"/>
      <c r="T169" s="99"/>
      <c r="V169" s="110"/>
      <c r="Y169" s="110"/>
      <c r="Z169" s="198"/>
      <c r="AA169" s="110"/>
      <c r="AB169" s="110"/>
      <c r="AC169" s="141"/>
      <c r="AD169" s="141"/>
      <c r="AE169" s="110"/>
      <c r="AF169" s="110"/>
      <c r="AI169" s="207"/>
      <c r="AJ169" s="207"/>
      <c r="AL169" s="110"/>
      <c r="AO169" s="141"/>
    </row>
    <row r="170" spans="3:43" x14ac:dyDescent="0.3">
      <c r="F170" s="110"/>
      <c r="H170" s="110"/>
      <c r="J170" s="110"/>
      <c r="K170" s="217"/>
      <c r="L170" s="217"/>
      <c r="M170" s="110"/>
      <c r="N170" s="110"/>
      <c r="O170" s="141"/>
      <c r="P170" s="141"/>
      <c r="Q170" s="110"/>
      <c r="R170" s="110"/>
      <c r="V170" s="110"/>
      <c r="Y170" s="110"/>
      <c r="Z170" s="217"/>
      <c r="AA170" s="192"/>
      <c r="AB170" s="192"/>
      <c r="AC170" s="192"/>
      <c r="AD170" s="192"/>
      <c r="AE170" s="192"/>
      <c r="AF170" s="192"/>
      <c r="AK170" s="194"/>
      <c r="AL170" s="192"/>
      <c r="AO170" s="141"/>
      <c r="AQ170" s="194"/>
    </row>
    <row r="171" spans="3:43" x14ac:dyDescent="0.3">
      <c r="C171" s="99"/>
      <c r="F171" s="172"/>
      <c r="H171" s="172"/>
      <c r="J171" s="172"/>
      <c r="K171" s="181"/>
      <c r="L171" s="181"/>
      <c r="M171" s="110"/>
      <c r="N171" s="110"/>
      <c r="O171" s="141"/>
      <c r="P171" s="141"/>
      <c r="Q171" s="110"/>
      <c r="R171" s="110"/>
      <c r="T171" s="99"/>
      <c r="V171" s="110"/>
      <c r="Y171" s="110"/>
      <c r="Z171" s="198"/>
      <c r="AA171" s="110"/>
      <c r="AB171" s="110"/>
      <c r="AC171" s="141"/>
      <c r="AD171" s="141"/>
      <c r="AE171" s="110"/>
      <c r="AF171" s="110"/>
      <c r="AI171" s="207"/>
      <c r="AJ171" s="207"/>
      <c r="AL171" s="110"/>
      <c r="AO171" s="141"/>
    </row>
    <row r="172" spans="3:43" x14ac:dyDescent="0.3">
      <c r="C172" s="99"/>
      <c r="F172" s="172"/>
      <c r="H172" s="172"/>
      <c r="J172" s="172"/>
      <c r="K172" s="181"/>
      <c r="L172" s="181"/>
      <c r="M172" s="110"/>
      <c r="N172" s="110"/>
      <c r="O172" s="141"/>
      <c r="P172" s="141"/>
      <c r="Q172" s="110"/>
      <c r="R172" s="110"/>
      <c r="T172" s="99"/>
      <c r="V172" s="172"/>
      <c r="Y172" s="110"/>
      <c r="Z172" s="222"/>
      <c r="AA172" s="110"/>
      <c r="AB172" s="110"/>
      <c r="AC172" s="141"/>
      <c r="AD172" s="141"/>
      <c r="AE172" s="110"/>
      <c r="AF172" s="110"/>
      <c r="AI172" s="207"/>
      <c r="AJ172" s="207"/>
      <c r="AL172" s="110"/>
      <c r="AO172" s="141"/>
    </row>
    <row r="173" spans="3:43" x14ac:dyDescent="0.3">
      <c r="F173" s="110"/>
      <c r="H173" s="192"/>
      <c r="J173" s="192"/>
      <c r="K173" s="217"/>
      <c r="L173" s="217"/>
      <c r="M173" s="192"/>
      <c r="N173" s="192"/>
      <c r="O173" s="192"/>
      <c r="P173" s="192"/>
      <c r="Q173" s="192"/>
      <c r="R173" s="192"/>
      <c r="V173" s="192"/>
      <c r="Y173" s="192"/>
      <c r="Z173" s="217"/>
      <c r="AA173" s="192"/>
      <c r="AB173" s="192"/>
      <c r="AC173" s="192"/>
      <c r="AD173" s="192"/>
      <c r="AE173" s="192"/>
      <c r="AF173" s="192"/>
      <c r="AK173" s="194"/>
      <c r="AL173" s="192"/>
      <c r="AO173" s="141"/>
      <c r="AQ173" s="194"/>
    </row>
    <row r="174" spans="3:43" x14ac:dyDescent="0.3">
      <c r="C174" s="99"/>
      <c r="F174" s="110"/>
      <c r="H174" s="110"/>
      <c r="J174" s="110"/>
      <c r="K174" s="217"/>
      <c r="L174" s="217"/>
      <c r="M174" s="110"/>
      <c r="N174" s="110"/>
      <c r="O174" s="141"/>
      <c r="P174" s="141"/>
      <c r="Q174" s="110"/>
      <c r="R174" s="110"/>
      <c r="T174" s="99"/>
      <c r="V174" s="110"/>
      <c r="Y174" s="110"/>
      <c r="Z174" s="217"/>
      <c r="AA174" s="110"/>
      <c r="AB174" s="110"/>
      <c r="AC174" s="141"/>
      <c r="AD174" s="141"/>
      <c r="AE174" s="110"/>
      <c r="AF174" s="110"/>
      <c r="AI174" s="141"/>
      <c r="AJ174" s="141"/>
      <c r="AL174" s="110"/>
      <c r="AO174" s="141"/>
    </row>
    <row r="175" spans="3:43" x14ac:dyDescent="0.3">
      <c r="F175" s="110"/>
      <c r="H175" s="192"/>
      <c r="J175" s="192"/>
      <c r="K175" s="217"/>
      <c r="L175" s="217"/>
      <c r="M175" s="192"/>
      <c r="N175" s="192"/>
      <c r="O175" s="192"/>
      <c r="P175" s="192"/>
      <c r="Q175" s="192"/>
      <c r="R175" s="192"/>
      <c r="V175" s="192"/>
      <c r="Y175" s="192"/>
      <c r="Z175" s="217"/>
      <c r="AA175" s="192"/>
      <c r="AB175" s="192"/>
      <c r="AC175" s="192"/>
      <c r="AD175" s="192"/>
      <c r="AE175" s="192"/>
      <c r="AF175" s="192"/>
      <c r="AK175" s="194"/>
      <c r="AL175" s="192"/>
      <c r="AO175" s="141"/>
      <c r="AQ175" s="194"/>
    </row>
    <row r="176" spans="3:43" x14ac:dyDescent="0.3">
      <c r="F176" s="110"/>
      <c r="H176" s="110"/>
      <c r="J176" s="110"/>
      <c r="K176" s="217"/>
      <c r="L176" s="217"/>
      <c r="M176" s="110"/>
      <c r="N176" s="110"/>
      <c r="O176" s="110"/>
      <c r="P176" s="110"/>
      <c r="Q176" s="110"/>
      <c r="R176" s="110"/>
      <c r="T176" s="99"/>
    </row>
    <row r="177" spans="1:43" x14ac:dyDescent="0.3">
      <c r="C177" s="99"/>
      <c r="F177" s="172"/>
      <c r="H177" s="172"/>
      <c r="J177" s="172"/>
      <c r="K177" s="222"/>
      <c r="L177" s="222"/>
      <c r="M177" s="110"/>
      <c r="N177" s="110"/>
      <c r="O177" s="141"/>
      <c r="P177" s="141"/>
      <c r="Q177" s="172"/>
      <c r="R177" s="110"/>
      <c r="T177" s="99"/>
      <c r="V177" s="110"/>
      <c r="Y177" s="110"/>
      <c r="AA177" s="110"/>
      <c r="AB177" s="110"/>
      <c r="AC177" s="141"/>
      <c r="AD177" s="141"/>
      <c r="AE177" s="110"/>
      <c r="AF177" s="110"/>
      <c r="AI177" s="141"/>
      <c r="AJ177" s="141"/>
      <c r="AK177" s="224"/>
      <c r="AL177" s="172"/>
      <c r="AO177" s="141"/>
    </row>
    <row r="178" spans="1:43" x14ac:dyDescent="0.3">
      <c r="C178" s="99"/>
      <c r="F178" s="172"/>
      <c r="H178" s="172"/>
      <c r="J178" s="172"/>
      <c r="K178" s="222"/>
      <c r="L178" s="222"/>
      <c r="M178" s="110"/>
      <c r="N178" s="110"/>
      <c r="O178" s="141"/>
      <c r="P178" s="141"/>
      <c r="Q178" s="172"/>
      <c r="R178" s="110"/>
      <c r="V178" s="192"/>
      <c r="Y178" s="192"/>
      <c r="Z178" s="217"/>
      <c r="AA178" s="192"/>
      <c r="AB178" s="192"/>
      <c r="AC178" s="192"/>
      <c r="AD178" s="192"/>
      <c r="AE178" s="192"/>
      <c r="AF178" s="192"/>
      <c r="AK178" s="194"/>
      <c r="AL178" s="192"/>
      <c r="AQ178" s="194"/>
    </row>
    <row r="179" spans="1:43" x14ac:dyDescent="0.3">
      <c r="C179" s="99"/>
      <c r="F179" s="172"/>
      <c r="H179" s="172"/>
      <c r="J179" s="172"/>
      <c r="K179" s="222"/>
      <c r="L179" s="222"/>
      <c r="M179" s="110"/>
      <c r="N179" s="110"/>
      <c r="O179" s="141"/>
      <c r="P179" s="141"/>
      <c r="Q179" s="172"/>
      <c r="R179" s="110"/>
    </row>
    <row r="180" spans="1:43" x14ac:dyDescent="0.3">
      <c r="F180" s="192"/>
      <c r="H180" s="192"/>
      <c r="J180" s="192"/>
      <c r="K180" s="217"/>
      <c r="L180" s="217"/>
      <c r="M180" s="192"/>
      <c r="N180" s="192"/>
      <c r="O180" s="192"/>
      <c r="P180" s="192"/>
      <c r="Q180" s="192"/>
      <c r="R180" s="192"/>
      <c r="T180" s="99"/>
      <c r="AA180" s="110"/>
      <c r="AB180" s="110"/>
      <c r="AC180" s="110"/>
      <c r="AD180" s="110"/>
      <c r="AI180" s="110"/>
      <c r="AJ180" s="110"/>
      <c r="AL180" s="110"/>
    </row>
    <row r="181" spans="1:43" x14ac:dyDescent="0.3">
      <c r="C181" s="99"/>
      <c r="F181" s="110"/>
      <c r="H181" s="110"/>
      <c r="J181" s="110"/>
      <c r="K181" s="198"/>
      <c r="L181" s="198"/>
      <c r="M181" s="110"/>
      <c r="N181" s="110"/>
      <c r="O181" s="141"/>
      <c r="P181" s="141"/>
      <c r="Q181" s="110"/>
      <c r="R181" s="110"/>
    </row>
    <row r="182" spans="1:43" x14ac:dyDescent="0.3">
      <c r="F182" s="192"/>
      <c r="H182" s="192"/>
      <c r="J182" s="192"/>
      <c r="K182" s="217"/>
      <c r="L182" s="217"/>
      <c r="M182" s="192"/>
      <c r="N182" s="192"/>
      <c r="O182" s="192"/>
      <c r="P182" s="192"/>
      <c r="Q182" s="192"/>
      <c r="R182" s="192"/>
    </row>
    <row r="183" spans="1:43" x14ac:dyDescent="0.3">
      <c r="C183" s="99"/>
      <c r="F183" s="110"/>
      <c r="H183" s="110"/>
      <c r="J183" s="110"/>
      <c r="K183" s="198"/>
      <c r="L183" s="198"/>
      <c r="M183" s="110"/>
      <c r="N183" s="110"/>
      <c r="O183" s="141"/>
      <c r="P183" s="141"/>
      <c r="Q183" s="110"/>
      <c r="R183" s="110"/>
      <c r="Y183" s="99"/>
    </row>
    <row r="184" spans="1:43" x14ac:dyDescent="0.3">
      <c r="C184" s="99"/>
      <c r="F184" s="110"/>
      <c r="H184" s="110"/>
      <c r="I184" s="110"/>
      <c r="J184" s="198"/>
      <c r="K184" s="198"/>
      <c r="L184" s="110"/>
      <c r="M184" s="110"/>
      <c r="N184" s="141"/>
      <c r="O184" s="141"/>
      <c r="P184" s="110"/>
      <c r="Q184" s="110"/>
      <c r="R184" s="110"/>
    </row>
    <row r="185" spans="1:43" x14ac:dyDescent="0.3">
      <c r="F185" s="192"/>
      <c r="H185" s="192"/>
      <c r="I185" s="192"/>
      <c r="J185" s="217"/>
      <c r="K185" s="217"/>
      <c r="L185" s="192"/>
      <c r="M185" s="192"/>
      <c r="N185" s="192"/>
      <c r="O185" s="192"/>
      <c r="P185" s="192"/>
      <c r="Q185" s="192"/>
      <c r="R185" s="192"/>
      <c r="AA185" s="99"/>
      <c r="AB185" s="99"/>
    </row>
    <row r="186" spans="1:43" x14ac:dyDescent="0.3">
      <c r="F186" s="110"/>
      <c r="H186" s="110"/>
      <c r="I186" s="110"/>
      <c r="J186" s="198"/>
      <c r="K186" s="198"/>
      <c r="L186" s="110"/>
      <c r="M186" s="110"/>
      <c r="N186" s="110"/>
      <c r="O186" s="110"/>
      <c r="P186" s="110"/>
      <c r="Q186" s="110"/>
      <c r="R186" s="110"/>
      <c r="AK186" s="190"/>
      <c r="AL186" s="99"/>
    </row>
    <row r="187" spans="1:43" x14ac:dyDescent="0.3">
      <c r="C187" s="99"/>
      <c r="F187" s="110"/>
      <c r="H187" s="110"/>
      <c r="I187" s="110"/>
      <c r="J187" s="198"/>
      <c r="K187" s="198"/>
      <c r="L187" s="110"/>
      <c r="M187" s="110"/>
      <c r="N187" s="110"/>
      <c r="O187" s="110"/>
      <c r="P187" s="110"/>
      <c r="Q187" s="110"/>
      <c r="R187" s="110"/>
      <c r="AK187" s="190"/>
      <c r="AL187" s="99"/>
    </row>
    <row r="188" spans="1:43" x14ac:dyDescent="0.3">
      <c r="A188" s="99"/>
      <c r="AK188" s="190"/>
      <c r="AL188" s="99"/>
    </row>
    <row r="190" spans="1:43" x14ac:dyDescent="0.3">
      <c r="H190" s="99"/>
      <c r="I190" s="99"/>
      <c r="Y190" s="99"/>
    </row>
    <row r="192" spans="1:43" x14ac:dyDescent="0.3">
      <c r="L192" s="99"/>
      <c r="M192" s="99"/>
      <c r="AA192" s="99"/>
      <c r="AB192" s="99"/>
    </row>
    <row r="193" spans="1:40" x14ac:dyDescent="0.3">
      <c r="R193" s="99"/>
      <c r="AK193" s="190"/>
      <c r="AL193" s="99"/>
    </row>
    <row r="194" spans="1:40" x14ac:dyDescent="0.3">
      <c r="R194" s="99"/>
      <c r="AK194" s="190"/>
      <c r="AL194" s="99"/>
    </row>
    <row r="195" spans="1:40" x14ac:dyDescent="0.3">
      <c r="A195" s="99"/>
      <c r="R195" s="99"/>
      <c r="AK195" s="190"/>
      <c r="AL195" s="99"/>
    </row>
    <row r="196" spans="1:40" x14ac:dyDescent="0.3">
      <c r="L196" s="99"/>
      <c r="M196" s="99"/>
      <c r="AA196" s="99"/>
      <c r="AB196" s="99"/>
    </row>
    <row r="197" spans="1:40" x14ac:dyDescent="0.3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91"/>
      <c r="AH197" s="101"/>
      <c r="AI197" s="101"/>
      <c r="AJ197" s="101"/>
      <c r="AK197" s="191"/>
      <c r="AL197" s="101"/>
      <c r="AM197" s="101"/>
      <c r="AN197" s="101"/>
    </row>
    <row r="198" spans="1:40" x14ac:dyDescent="0.3">
      <c r="L198" s="102"/>
      <c r="M198" s="102"/>
      <c r="N198" s="102"/>
      <c r="O198" s="102"/>
      <c r="R198" s="102"/>
      <c r="AA198" s="102"/>
      <c r="AB198" s="102"/>
      <c r="AC198" s="102"/>
      <c r="AD198" s="102"/>
      <c r="AE198" s="102"/>
      <c r="AF198" s="102"/>
      <c r="AG198" s="151"/>
      <c r="AH198" s="102"/>
      <c r="AK198" s="151"/>
      <c r="AL198" s="102"/>
      <c r="AM198" s="102"/>
      <c r="AN198" s="102"/>
    </row>
    <row r="199" spans="1:40" x14ac:dyDescent="0.3">
      <c r="L199" s="102"/>
      <c r="M199" s="102"/>
      <c r="N199" s="102"/>
      <c r="O199" s="102"/>
      <c r="R199" s="102"/>
      <c r="Z199" s="102"/>
      <c r="AA199" s="102"/>
      <c r="AB199" s="102"/>
      <c r="AC199" s="102"/>
      <c r="AD199" s="102"/>
      <c r="AE199" s="102"/>
      <c r="AF199" s="102"/>
      <c r="AG199" s="151"/>
      <c r="AH199" s="102"/>
      <c r="AK199" s="151"/>
      <c r="AL199" s="102"/>
      <c r="AM199" s="102"/>
      <c r="AN199" s="102"/>
    </row>
    <row r="200" spans="1:40" x14ac:dyDescent="0.3">
      <c r="A200" s="102"/>
      <c r="C200" s="102"/>
      <c r="D200" s="102"/>
      <c r="E200" s="102"/>
      <c r="F200" s="102"/>
      <c r="J200" s="102"/>
      <c r="K200" s="102"/>
      <c r="L200" s="102"/>
      <c r="M200" s="102"/>
      <c r="N200" s="102"/>
      <c r="O200" s="102"/>
      <c r="P200" s="102"/>
      <c r="Q200" s="102"/>
      <c r="R200" s="102"/>
      <c r="T200" s="102"/>
      <c r="U200" s="102"/>
      <c r="V200" s="102"/>
      <c r="Z200" s="102"/>
      <c r="AA200" s="102"/>
      <c r="AB200" s="102"/>
      <c r="AC200" s="102"/>
      <c r="AD200" s="102"/>
      <c r="AE200" s="102"/>
      <c r="AF200" s="102"/>
      <c r="AG200" s="151"/>
      <c r="AH200" s="102"/>
      <c r="AI200" s="102"/>
      <c r="AJ200" s="102"/>
      <c r="AK200" s="151"/>
      <c r="AL200" s="102"/>
      <c r="AM200" s="102"/>
      <c r="AN200" s="102"/>
    </row>
    <row r="201" spans="1:40" x14ac:dyDescent="0.3">
      <c r="A201" s="102"/>
      <c r="C201" s="102"/>
      <c r="D201" s="102"/>
      <c r="E201" s="102"/>
      <c r="F201" s="102"/>
      <c r="H201" s="102"/>
      <c r="I201" s="102"/>
      <c r="J201" s="102"/>
      <c r="K201" s="102"/>
      <c r="L201" s="102"/>
      <c r="M201" s="102"/>
      <c r="N201" s="102"/>
      <c r="O201" s="102"/>
      <c r="P201" s="102"/>
      <c r="Q201" s="102"/>
      <c r="R201" s="102"/>
      <c r="T201" s="102"/>
      <c r="U201" s="102"/>
      <c r="V201" s="102"/>
      <c r="Y201" s="102"/>
      <c r="Z201" s="102"/>
      <c r="AA201" s="102"/>
      <c r="AB201" s="102"/>
      <c r="AC201" s="102"/>
      <c r="AD201" s="102"/>
      <c r="AE201" s="102"/>
      <c r="AF201" s="102"/>
      <c r="AG201" s="151"/>
      <c r="AH201" s="102"/>
      <c r="AI201" s="102"/>
      <c r="AJ201" s="102"/>
      <c r="AK201" s="151"/>
      <c r="AL201" s="102"/>
      <c r="AM201" s="102"/>
      <c r="AN201" s="102"/>
    </row>
    <row r="202" spans="1:40" x14ac:dyDescent="0.3">
      <c r="C202" s="102"/>
      <c r="D202" s="102"/>
      <c r="E202" s="102"/>
      <c r="F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T202" s="102"/>
      <c r="U202" s="102"/>
      <c r="V202" s="102"/>
      <c r="Y202" s="102"/>
      <c r="Z202" s="102"/>
      <c r="AA202" s="102"/>
      <c r="AB202" s="102"/>
      <c r="AC202" s="102"/>
      <c r="AD202" s="102"/>
      <c r="AE202" s="102"/>
      <c r="AF202" s="102"/>
      <c r="AG202" s="151"/>
      <c r="AH202" s="102"/>
      <c r="AI202" s="102"/>
      <c r="AJ202" s="102"/>
      <c r="AK202" s="151"/>
      <c r="AL202" s="102"/>
      <c r="AM202" s="102"/>
      <c r="AN202" s="102"/>
    </row>
    <row r="203" spans="1:40" x14ac:dyDescent="0.3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91"/>
      <c r="AH203" s="101"/>
      <c r="AI203" s="101"/>
      <c r="AJ203" s="101"/>
      <c r="AK203" s="191"/>
      <c r="AL203" s="101"/>
      <c r="AM203" s="101"/>
      <c r="AN203" s="101"/>
    </row>
    <row r="204" spans="1:40" x14ac:dyDescent="0.3">
      <c r="H204" s="102"/>
      <c r="I204" s="102"/>
      <c r="J204" s="102"/>
      <c r="K204" s="102"/>
      <c r="L204" s="102"/>
      <c r="M204" s="102"/>
      <c r="N204" s="102"/>
      <c r="O204" s="102"/>
      <c r="P204" s="102"/>
      <c r="Q204" s="102"/>
      <c r="R204" s="102"/>
      <c r="Y204" s="102"/>
      <c r="Z204" s="102"/>
      <c r="AA204" s="102"/>
      <c r="AB204" s="102"/>
      <c r="AC204" s="102"/>
      <c r="AD204" s="102"/>
      <c r="AE204" s="102"/>
      <c r="AF204" s="102"/>
      <c r="AG204" s="151"/>
      <c r="AH204" s="102"/>
      <c r="AI204" s="102"/>
      <c r="AJ204" s="102"/>
      <c r="AK204" s="151"/>
      <c r="AL204" s="102"/>
      <c r="AM204" s="102"/>
      <c r="AN204" s="102"/>
    </row>
    <row r="205" spans="1:40" x14ac:dyDescent="0.3">
      <c r="C205" s="99"/>
      <c r="D205" s="99"/>
      <c r="E205" s="99"/>
      <c r="T205" s="99"/>
      <c r="U205" s="99"/>
    </row>
    <row r="207" spans="1:40" x14ac:dyDescent="0.3">
      <c r="C207" s="99"/>
      <c r="F207" s="172"/>
      <c r="H207" s="220"/>
      <c r="I207" s="220"/>
      <c r="J207" s="181"/>
      <c r="K207" s="181"/>
      <c r="L207" s="110"/>
      <c r="M207" s="110"/>
      <c r="R207" s="110"/>
      <c r="T207" s="99"/>
      <c r="V207" s="110"/>
      <c r="Z207" s="181"/>
      <c r="AA207" s="110"/>
      <c r="AB207" s="110"/>
      <c r="AE207" s="110"/>
      <c r="AF207" s="110"/>
      <c r="AG207" s="224"/>
      <c r="AH207" s="225"/>
      <c r="AI207" s="110"/>
      <c r="AJ207" s="110"/>
      <c r="AL207" s="110"/>
      <c r="AM207" s="226"/>
      <c r="AN207" s="226"/>
    </row>
    <row r="208" spans="1:40" x14ac:dyDescent="0.3">
      <c r="F208" s="172"/>
      <c r="H208" s="220"/>
      <c r="I208" s="220"/>
      <c r="J208" s="220"/>
      <c r="K208" s="220"/>
      <c r="R208" s="110"/>
      <c r="V208" s="110"/>
      <c r="Z208" s="220"/>
    </row>
    <row r="209" spans="3:40" x14ac:dyDescent="0.3">
      <c r="C209" s="99"/>
      <c r="F209" s="172"/>
      <c r="H209" s="172"/>
      <c r="I209" s="172"/>
      <c r="J209" s="222"/>
      <c r="K209" s="222"/>
      <c r="L209" s="110"/>
      <c r="M209" s="110"/>
      <c r="N209" s="141"/>
      <c r="O209" s="141"/>
      <c r="P209" s="172"/>
      <c r="Q209" s="172"/>
      <c r="R209" s="110"/>
      <c r="T209" s="99"/>
      <c r="V209" s="110"/>
      <c r="Y209" s="110"/>
      <c r="Z209" s="216"/>
      <c r="AA209" s="110"/>
      <c r="AB209" s="110"/>
      <c r="AC209" s="141"/>
      <c r="AD209" s="141"/>
      <c r="AE209" s="110"/>
      <c r="AF209" s="110"/>
      <c r="AH209" s="207"/>
      <c r="AI209" s="172"/>
      <c r="AJ209" s="172"/>
      <c r="AL209" s="110"/>
      <c r="AM209" s="141"/>
      <c r="AN209" s="141"/>
    </row>
    <row r="210" spans="3:40" x14ac:dyDescent="0.3">
      <c r="F210" s="192"/>
      <c r="H210" s="192"/>
      <c r="I210" s="192"/>
      <c r="J210" s="217"/>
      <c r="K210" s="217"/>
      <c r="L210" s="192"/>
      <c r="M210" s="192"/>
      <c r="N210" s="192"/>
      <c r="O210" s="192"/>
      <c r="P210" s="192"/>
      <c r="Q210" s="192"/>
      <c r="R210" s="192"/>
      <c r="V210" s="192"/>
      <c r="Y210" s="192"/>
      <c r="Z210" s="217"/>
      <c r="AA210" s="192"/>
      <c r="AB210" s="192"/>
      <c r="AC210" s="192"/>
      <c r="AD210" s="192"/>
      <c r="AE210" s="192"/>
      <c r="AF210" s="192"/>
      <c r="AI210" s="192"/>
      <c r="AJ210" s="192"/>
      <c r="AK210" s="194"/>
      <c r="AL210" s="192"/>
    </row>
    <row r="211" spans="3:40" x14ac:dyDescent="0.3">
      <c r="D211" s="99"/>
      <c r="E211" s="99"/>
      <c r="F211" s="110"/>
      <c r="H211" s="110"/>
      <c r="I211" s="110"/>
      <c r="J211" s="198"/>
      <c r="K211" s="198"/>
      <c r="L211" s="110"/>
      <c r="M211" s="110"/>
      <c r="N211" s="141"/>
      <c r="O211" s="141"/>
      <c r="P211" s="110"/>
      <c r="Q211" s="110"/>
      <c r="R211" s="110"/>
      <c r="U211" s="99"/>
      <c r="V211" s="110"/>
      <c r="Y211" s="110"/>
      <c r="Z211" s="198"/>
      <c r="AA211" s="110"/>
      <c r="AB211" s="110"/>
      <c r="AC211" s="141"/>
      <c r="AD211" s="141"/>
      <c r="AE211" s="110"/>
      <c r="AF211" s="110"/>
      <c r="AH211" s="207"/>
      <c r="AI211" s="110"/>
      <c r="AJ211" s="110"/>
      <c r="AL211" s="110"/>
      <c r="AM211" s="141"/>
      <c r="AN211" s="141"/>
    </row>
    <row r="212" spans="3:40" x14ac:dyDescent="0.3">
      <c r="F212" s="192"/>
      <c r="H212" s="192"/>
      <c r="I212" s="192"/>
      <c r="J212" s="217"/>
      <c r="K212" s="217"/>
      <c r="L212" s="192"/>
      <c r="M212" s="192"/>
      <c r="N212" s="192"/>
      <c r="O212" s="192"/>
      <c r="P212" s="192"/>
      <c r="Q212" s="192"/>
      <c r="R212" s="192"/>
      <c r="V212" s="192"/>
      <c r="Y212" s="192"/>
      <c r="Z212" s="217"/>
      <c r="AA212" s="192"/>
      <c r="AB212" s="192"/>
      <c r="AC212" s="192"/>
      <c r="AD212" s="192"/>
      <c r="AE212" s="192"/>
      <c r="AF212" s="192"/>
      <c r="AI212" s="192"/>
      <c r="AJ212" s="192"/>
      <c r="AK212" s="194"/>
      <c r="AL212" s="192"/>
    </row>
    <row r="213" spans="3:40" x14ac:dyDescent="0.3">
      <c r="R213" s="110"/>
    </row>
    <row r="214" spans="3:40" x14ac:dyDescent="0.3">
      <c r="R214" s="110"/>
    </row>
    <row r="215" spans="3:40" x14ac:dyDescent="0.3">
      <c r="R215" s="110"/>
    </row>
    <row r="216" spans="3:40" x14ac:dyDescent="0.3">
      <c r="C216" s="99"/>
      <c r="D216" s="99"/>
      <c r="E216" s="99"/>
      <c r="H216" s="110"/>
      <c r="I216" s="110"/>
      <c r="J216" s="198"/>
      <c r="K216" s="198"/>
      <c r="L216" s="110"/>
      <c r="M216" s="110"/>
      <c r="N216" s="141"/>
      <c r="O216" s="141"/>
      <c r="P216" s="110"/>
      <c r="Q216" s="110"/>
      <c r="R216" s="110"/>
      <c r="T216" s="99"/>
      <c r="U216" s="99"/>
      <c r="Y216" s="110"/>
      <c r="Z216" s="198"/>
      <c r="AA216" s="110"/>
      <c r="AB216" s="110"/>
      <c r="AC216" s="141"/>
      <c r="AD216" s="141"/>
    </row>
    <row r="217" spans="3:40" x14ac:dyDescent="0.3">
      <c r="H217" s="110"/>
      <c r="I217" s="110"/>
      <c r="J217" s="198"/>
      <c r="K217" s="198"/>
      <c r="L217" s="110"/>
      <c r="M217" s="110"/>
      <c r="N217" s="141"/>
      <c r="O217" s="141"/>
      <c r="P217" s="110"/>
      <c r="Q217" s="110"/>
      <c r="R217" s="110"/>
      <c r="Y217" s="110"/>
      <c r="Z217" s="198"/>
      <c r="AA217" s="110"/>
      <c r="AB217" s="110"/>
      <c r="AC217" s="141"/>
      <c r="AD217" s="141"/>
    </row>
    <row r="218" spans="3:40" x14ac:dyDescent="0.3">
      <c r="C218" s="99"/>
      <c r="F218" s="172"/>
      <c r="H218" s="172"/>
      <c r="I218" s="172"/>
      <c r="J218" s="208"/>
      <c r="K218" s="208"/>
      <c r="L218" s="172"/>
      <c r="M218" s="172"/>
      <c r="N218" s="141"/>
      <c r="O218" s="141"/>
      <c r="P218" s="110"/>
      <c r="Q218" s="110"/>
      <c r="R218" s="110"/>
      <c r="T218" s="99"/>
      <c r="V218" s="110"/>
      <c r="Y218" s="110"/>
      <c r="Z218" s="208"/>
      <c r="AA218" s="110"/>
      <c r="AB218" s="110"/>
      <c r="AC218" s="141"/>
      <c r="AD218" s="141"/>
      <c r="AE218" s="110"/>
      <c r="AF218" s="110"/>
      <c r="AH218" s="207"/>
      <c r="AI218" s="110"/>
      <c r="AJ218" s="110"/>
      <c r="AL218" s="110"/>
      <c r="AM218" s="141"/>
      <c r="AN218" s="141"/>
    </row>
    <row r="219" spans="3:40" x14ac:dyDescent="0.3">
      <c r="F219" s="172"/>
      <c r="H219" s="220"/>
      <c r="I219" s="220"/>
      <c r="J219" s="220"/>
      <c r="K219" s="220"/>
      <c r="R219" s="110"/>
      <c r="V219" s="110"/>
      <c r="Z219" s="220"/>
    </row>
    <row r="220" spans="3:40" x14ac:dyDescent="0.3">
      <c r="C220" s="99"/>
      <c r="F220" s="172"/>
      <c r="H220" s="172"/>
      <c r="I220" s="172"/>
      <c r="J220" s="181"/>
      <c r="K220" s="181"/>
      <c r="L220" s="110"/>
      <c r="M220" s="110"/>
      <c r="N220" s="141"/>
      <c r="O220" s="141"/>
      <c r="P220" s="110"/>
      <c r="Q220" s="110"/>
      <c r="R220" s="110"/>
      <c r="T220" s="99"/>
      <c r="V220" s="110"/>
      <c r="Y220" s="110"/>
      <c r="Z220" s="181"/>
      <c r="AA220" s="110"/>
      <c r="AB220" s="110"/>
      <c r="AC220" s="141"/>
      <c r="AD220" s="141"/>
      <c r="AE220" s="110"/>
      <c r="AF220" s="110"/>
      <c r="AH220" s="207"/>
      <c r="AI220" s="110"/>
      <c r="AJ220" s="110"/>
      <c r="AL220" s="110"/>
      <c r="AM220" s="141"/>
      <c r="AN220" s="141"/>
    </row>
    <row r="221" spans="3:40" x14ac:dyDescent="0.3">
      <c r="F221" s="172"/>
      <c r="H221" s="220"/>
      <c r="I221" s="220"/>
      <c r="J221" s="220"/>
      <c r="K221" s="220"/>
      <c r="R221" s="110"/>
      <c r="V221" s="110"/>
      <c r="Z221" s="220"/>
    </row>
    <row r="222" spans="3:40" x14ac:dyDescent="0.3">
      <c r="C222" s="99"/>
      <c r="F222" s="172"/>
      <c r="H222" s="172"/>
      <c r="I222" s="172"/>
      <c r="J222" s="222"/>
      <c r="K222" s="222"/>
      <c r="L222" s="110"/>
      <c r="M222" s="110"/>
      <c r="N222" s="141"/>
      <c r="O222" s="141"/>
      <c r="P222" s="110"/>
      <c r="Q222" s="110"/>
      <c r="R222" s="110"/>
      <c r="T222" s="99"/>
      <c r="V222" s="110"/>
      <c r="Y222" s="110"/>
      <c r="Z222" s="216"/>
      <c r="AA222" s="110"/>
      <c r="AB222" s="110"/>
      <c r="AC222" s="141"/>
      <c r="AD222" s="141"/>
      <c r="AE222" s="110"/>
      <c r="AF222" s="110"/>
      <c r="AH222" s="207"/>
      <c r="AI222" s="110"/>
      <c r="AJ222" s="110"/>
      <c r="AL222" s="110"/>
      <c r="AM222" s="141"/>
      <c r="AN222" s="141"/>
    </row>
    <row r="223" spans="3:40" x14ac:dyDescent="0.3">
      <c r="F223" s="192"/>
      <c r="H223" s="192"/>
      <c r="I223" s="192"/>
      <c r="J223" s="217"/>
      <c r="K223" s="217"/>
      <c r="L223" s="192"/>
      <c r="M223" s="192"/>
      <c r="N223" s="192"/>
      <c r="O223" s="192"/>
      <c r="P223" s="192"/>
      <c r="Q223" s="192"/>
      <c r="R223" s="192"/>
      <c r="S223" s="110"/>
      <c r="V223" s="192"/>
      <c r="Y223" s="192"/>
      <c r="Z223" s="217"/>
      <c r="AA223" s="192"/>
      <c r="AB223" s="192"/>
      <c r="AC223" s="192"/>
      <c r="AD223" s="192"/>
      <c r="AE223" s="192"/>
      <c r="AF223" s="192"/>
      <c r="AI223" s="192"/>
      <c r="AJ223" s="192"/>
      <c r="AK223" s="194"/>
      <c r="AL223" s="192"/>
    </row>
    <row r="224" spans="3:40" x14ac:dyDescent="0.3">
      <c r="D224" s="99"/>
      <c r="E224" s="99"/>
      <c r="F224" s="110"/>
      <c r="H224" s="110"/>
      <c r="I224" s="110"/>
      <c r="J224" s="198"/>
      <c r="K224" s="198"/>
      <c r="L224" s="110"/>
      <c r="M224" s="110"/>
      <c r="N224" s="141"/>
      <c r="O224" s="141"/>
      <c r="P224" s="172"/>
      <c r="Q224" s="172"/>
      <c r="R224" s="110"/>
      <c r="S224" s="110"/>
      <c r="U224" s="99"/>
      <c r="V224" s="110"/>
      <c r="Y224" s="110"/>
      <c r="Z224" s="198"/>
      <c r="AA224" s="110"/>
      <c r="AB224" s="110"/>
      <c r="AC224" s="141"/>
      <c r="AD224" s="141"/>
      <c r="AE224" s="110"/>
      <c r="AF224" s="110"/>
      <c r="AH224" s="207"/>
      <c r="AI224" s="172"/>
      <c r="AJ224" s="172"/>
      <c r="AL224" s="110"/>
      <c r="AM224" s="141"/>
      <c r="AN224" s="141"/>
    </row>
    <row r="225" spans="1:40" x14ac:dyDescent="0.3">
      <c r="F225" s="192"/>
      <c r="H225" s="192"/>
      <c r="I225" s="192"/>
      <c r="J225" s="217"/>
      <c r="K225" s="217"/>
      <c r="L225" s="192"/>
      <c r="M225" s="192"/>
      <c r="N225" s="192"/>
      <c r="O225" s="192"/>
      <c r="P225" s="192"/>
      <c r="Q225" s="192"/>
      <c r="R225" s="192"/>
      <c r="S225" s="110"/>
      <c r="V225" s="192"/>
      <c r="Y225" s="192"/>
      <c r="Z225" s="217"/>
      <c r="AA225" s="192"/>
      <c r="AB225" s="192"/>
      <c r="AC225" s="192"/>
      <c r="AD225" s="192"/>
      <c r="AE225" s="192"/>
      <c r="AF225" s="192"/>
      <c r="AI225" s="192"/>
      <c r="AJ225" s="192"/>
      <c r="AK225" s="194"/>
      <c r="AL225" s="192"/>
    </row>
    <row r="226" spans="1:40" x14ac:dyDescent="0.3">
      <c r="R226" s="110"/>
    </row>
    <row r="227" spans="1:40" x14ac:dyDescent="0.3">
      <c r="F227" s="110"/>
      <c r="H227" s="110"/>
      <c r="I227" s="110"/>
      <c r="J227" s="198"/>
      <c r="K227" s="198"/>
      <c r="L227" s="110"/>
      <c r="M227" s="110"/>
      <c r="N227" s="110"/>
      <c r="O227" s="110"/>
      <c r="P227" s="110"/>
      <c r="Q227" s="110"/>
      <c r="R227" s="110"/>
      <c r="V227" s="110"/>
      <c r="Y227" s="110"/>
      <c r="Z227" s="198"/>
      <c r="AA227" s="110"/>
      <c r="AB227" s="110"/>
      <c r="AC227" s="110"/>
      <c r="AD227" s="110"/>
    </row>
    <row r="228" spans="1:40" x14ac:dyDescent="0.3">
      <c r="C228" s="99"/>
      <c r="F228" s="110"/>
      <c r="H228" s="110"/>
      <c r="I228" s="110"/>
      <c r="J228" s="198"/>
      <c r="K228" s="198"/>
      <c r="L228" s="110"/>
      <c r="M228" s="110"/>
      <c r="N228" s="110"/>
      <c r="O228" s="110"/>
      <c r="P228" s="110"/>
      <c r="Q228" s="110"/>
      <c r="R228" s="110"/>
      <c r="T228" s="99"/>
      <c r="V228" s="110"/>
      <c r="Y228" s="110"/>
      <c r="Z228" s="198"/>
      <c r="AA228" s="110"/>
      <c r="AB228" s="110"/>
      <c r="AC228" s="110"/>
      <c r="AD228" s="110"/>
    </row>
    <row r="229" spans="1:40" x14ac:dyDescent="0.3">
      <c r="C229" s="99"/>
      <c r="T229" s="99"/>
    </row>
    <row r="230" spans="1:40" x14ac:dyDescent="0.3">
      <c r="A230" s="99"/>
    </row>
    <row r="233" spans="1:40" x14ac:dyDescent="0.3">
      <c r="H233" s="99"/>
      <c r="I233" s="99"/>
      <c r="Y233" s="99"/>
    </row>
    <row r="235" spans="1:40" x14ac:dyDescent="0.3">
      <c r="L235" s="99"/>
      <c r="M235" s="99"/>
      <c r="AA235" s="99"/>
      <c r="AB235" s="99"/>
    </row>
    <row r="236" spans="1:40" x14ac:dyDescent="0.3">
      <c r="R236" s="99"/>
      <c r="AK236" s="190"/>
      <c r="AL236" s="99"/>
    </row>
    <row r="237" spans="1:40" x14ac:dyDescent="0.3">
      <c r="R237" s="99"/>
      <c r="AK237" s="190"/>
      <c r="AL237" s="99"/>
    </row>
    <row r="238" spans="1:40" x14ac:dyDescent="0.3">
      <c r="A238" s="99"/>
      <c r="R238" s="99"/>
      <c r="AK238" s="190"/>
      <c r="AL238" s="99"/>
    </row>
    <row r="239" spans="1:40" x14ac:dyDescent="0.3">
      <c r="L239" s="99"/>
      <c r="M239" s="99"/>
      <c r="AA239" s="99"/>
      <c r="AB239" s="99"/>
    </row>
    <row r="240" spans="1:40" x14ac:dyDescent="0.3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91"/>
      <c r="AH240" s="101"/>
      <c r="AI240" s="101"/>
      <c r="AJ240" s="101"/>
      <c r="AK240" s="191"/>
      <c r="AL240" s="101"/>
      <c r="AM240" s="101"/>
      <c r="AN240" s="101"/>
    </row>
    <row r="241" spans="1:40" x14ac:dyDescent="0.3">
      <c r="L241" s="102"/>
      <c r="M241" s="102"/>
      <c r="N241" s="102"/>
      <c r="O241" s="102"/>
      <c r="R241" s="102"/>
      <c r="AA241" s="102"/>
      <c r="AB241" s="102"/>
      <c r="AC241" s="102"/>
      <c r="AD241" s="102"/>
      <c r="AE241" s="102"/>
      <c r="AF241" s="102"/>
      <c r="AG241" s="151"/>
      <c r="AH241" s="102"/>
      <c r="AK241" s="151"/>
      <c r="AL241" s="102"/>
      <c r="AM241" s="102"/>
      <c r="AN241" s="102"/>
    </row>
    <row r="242" spans="1:40" x14ac:dyDescent="0.3">
      <c r="L242" s="102"/>
      <c r="M242" s="102"/>
      <c r="N242" s="102"/>
      <c r="O242" s="102"/>
      <c r="R242" s="102"/>
      <c r="Z242" s="102"/>
      <c r="AA242" s="102"/>
      <c r="AB242" s="102"/>
      <c r="AC242" s="102"/>
      <c r="AD242" s="102"/>
      <c r="AE242" s="102"/>
      <c r="AF242" s="102"/>
      <c r="AG242" s="151"/>
      <c r="AH242" s="102"/>
      <c r="AK242" s="151"/>
      <c r="AL242" s="102"/>
      <c r="AM242" s="102"/>
      <c r="AN242" s="102"/>
    </row>
    <row r="243" spans="1:40" x14ac:dyDescent="0.3">
      <c r="A243" s="102"/>
      <c r="C243" s="102"/>
      <c r="D243" s="102"/>
      <c r="E243" s="102"/>
      <c r="F243" s="102"/>
      <c r="J243" s="102"/>
      <c r="K243" s="102"/>
      <c r="L243" s="102"/>
      <c r="M243" s="102"/>
      <c r="N243" s="102"/>
      <c r="O243" s="102"/>
      <c r="P243" s="102"/>
      <c r="Q243" s="102"/>
      <c r="R243" s="102"/>
      <c r="T243" s="102"/>
      <c r="U243" s="102"/>
      <c r="V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I243" s="102"/>
      <c r="AJ243" s="102"/>
      <c r="AK243" s="151"/>
      <c r="AL243" s="102"/>
      <c r="AM243" s="102"/>
      <c r="AN243" s="102"/>
    </row>
    <row r="244" spans="1:40" x14ac:dyDescent="0.3">
      <c r="A244" s="102"/>
      <c r="C244" s="102"/>
      <c r="D244" s="102"/>
      <c r="E244" s="102"/>
      <c r="F244" s="102"/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T244" s="102"/>
      <c r="U244" s="102"/>
      <c r="V244" s="102"/>
      <c r="Y244" s="102"/>
      <c r="Z244" s="102"/>
      <c r="AA244" s="102"/>
      <c r="AB244" s="102"/>
      <c r="AC244" s="102"/>
      <c r="AD244" s="102"/>
      <c r="AE244" s="102"/>
      <c r="AF244" s="102"/>
      <c r="AG244" s="151"/>
      <c r="AH244" s="102"/>
      <c r="AI244" s="102"/>
      <c r="AJ244" s="102"/>
      <c r="AK244" s="151"/>
      <c r="AL244" s="102"/>
      <c r="AM244" s="102"/>
      <c r="AN244" s="102"/>
    </row>
    <row r="245" spans="1:40" x14ac:dyDescent="0.3">
      <c r="C245" s="102"/>
      <c r="D245" s="102"/>
      <c r="E245" s="102"/>
      <c r="F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T245" s="102"/>
      <c r="U245" s="102"/>
      <c r="V245" s="102"/>
      <c r="Y245" s="102"/>
      <c r="Z245" s="102"/>
      <c r="AA245" s="102"/>
      <c r="AB245" s="102"/>
      <c r="AC245" s="102"/>
      <c r="AD245" s="102"/>
      <c r="AE245" s="102"/>
      <c r="AF245" s="102"/>
      <c r="AG245" s="151"/>
      <c r="AH245" s="102"/>
      <c r="AI245" s="102"/>
      <c r="AJ245" s="102"/>
      <c r="AK245" s="151"/>
      <c r="AL245" s="102"/>
      <c r="AM245" s="102"/>
      <c r="AN245" s="102"/>
    </row>
    <row r="246" spans="1:40" x14ac:dyDescent="0.3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91"/>
      <c r="AH246" s="101"/>
      <c r="AI246" s="101"/>
      <c r="AJ246" s="101"/>
      <c r="AK246" s="191"/>
      <c r="AL246" s="101"/>
      <c r="AM246" s="101"/>
      <c r="AN246" s="101"/>
    </row>
    <row r="247" spans="1:40" x14ac:dyDescent="0.3">
      <c r="H247" s="102"/>
      <c r="I247" s="102"/>
      <c r="J247" s="102"/>
      <c r="K247" s="102"/>
      <c r="L247" s="102"/>
      <c r="M247" s="102"/>
      <c r="N247" s="102"/>
      <c r="O247" s="102"/>
      <c r="P247" s="102"/>
      <c r="Q247" s="102"/>
      <c r="R247" s="102"/>
      <c r="Y247" s="102"/>
      <c r="Z247" s="102"/>
      <c r="AA247" s="102"/>
      <c r="AB247" s="102"/>
      <c r="AC247" s="102"/>
      <c r="AD247" s="102"/>
      <c r="AE247" s="102"/>
      <c r="AF247" s="102"/>
      <c r="AG247" s="151"/>
      <c r="AH247" s="102"/>
      <c r="AI247" s="102"/>
      <c r="AJ247" s="102"/>
      <c r="AK247" s="151"/>
      <c r="AL247" s="102"/>
      <c r="AM247" s="102"/>
      <c r="AN247" s="102"/>
    </row>
    <row r="248" spans="1:40" x14ac:dyDescent="0.3">
      <c r="C248" s="99"/>
      <c r="D248" s="99"/>
      <c r="E248" s="99"/>
      <c r="T248" s="99"/>
      <c r="U248" s="99"/>
    </row>
    <row r="249" spans="1:40" x14ac:dyDescent="0.3">
      <c r="D249" s="99"/>
      <c r="E249" s="99"/>
      <c r="U249" s="99"/>
    </row>
    <row r="251" spans="1:40" x14ac:dyDescent="0.3">
      <c r="C251" s="99"/>
      <c r="F251" s="110"/>
      <c r="J251" s="209"/>
      <c r="K251" s="209"/>
      <c r="L251" s="110"/>
      <c r="M251" s="110"/>
      <c r="R251" s="110"/>
      <c r="T251" s="99"/>
      <c r="V251" s="110"/>
      <c r="Z251" s="209"/>
      <c r="AA251" s="110"/>
      <c r="AB251" s="110"/>
      <c r="AL251" s="110"/>
    </row>
    <row r="252" spans="1:40" x14ac:dyDescent="0.3">
      <c r="F252" s="110"/>
      <c r="R252" s="110"/>
      <c r="V252" s="110"/>
      <c r="AL252" s="110"/>
    </row>
    <row r="253" spans="1:40" x14ac:dyDescent="0.3">
      <c r="C253" s="99"/>
      <c r="F253" s="172"/>
      <c r="H253" s="172"/>
      <c r="I253" s="172"/>
      <c r="J253" s="181"/>
      <c r="K253" s="181"/>
      <c r="L253" s="110"/>
      <c r="M253" s="110"/>
      <c r="N253" s="141"/>
      <c r="O253" s="141"/>
      <c r="P253" s="110"/>
      <c r="Q253" s="110"/>
      <c r="R253" s="110"/>
      <c r="T253" s="99"/>
      <c r="V253" s="110"/>
      <c r="Y253" s="110"/>
      <c r="Z253" s="181"/>
      <c r="AA253" s="110"/>
      <c r="AB253" s="110"/>
      <c r="AC253" s="141"/>
      <c r="AD253" s="141"/>
      <c r="AE253" s="110"/>
      <c r="AF253" s="110"/>
      <c r="AH253" s="207"/>
      <c r="AI253" s="110"/>
      <c r="AJ253" s="110"/>
      <c r="AL253" s="110"/>
      <c r="AM253" s="141"/>
      <c r="AN253" s="141"/>
    </row>
    <row r="254" spans="1:40" x14ac:dyDescent="0.3">
      <c r="C254" s="99"/>
      <c r="F254" s="172"/>
      <c r="H254" s="220"/>
      <c r="I254" s="220"/>
      <c r="J254" s="181"/>
      <c r="K254" s="181"/>
      <c r="L254" s="110"/>
      <c r="M254" s="110"/>
      <c r="N254" s="141"/>
      <c r="O254" s="141"/>
      <c r="P254" s="110"/>
      <c r="Q254" s="110"/>
      <c r="R254" s="110"/>
      <c r="T254" s="99"/>
      <c r="V254" s="110"/>
      <c r="Y254" s="110"/>
      <c r="Z254" s="181"/>
      <c r="AA254" s="110"/>
      <c r="AB254" s="110"/>
      <c r="AC254" s="141"/>
      <c r="AD254" s="141"/>
      <c r="AE254" s="110"/>
      <c r="AF254" s="110"/>
      <c r="AH254" s="207"/>
      <c r="AI254" s="110"/>
      <c r="AJ254" s="110"/>
      <c r="AL254" s="110"/>
      <c r="AM254" s="141"/>
      <c r="AN254" s="141"/>
    </row>
    <row r="255" spans="1:40" x14ac:dyDescent="0.3">
      <c r="F255" s="192"/>
      <c r="H255" s="110"/>
      <c r="I255" s="110"/>
      <c r="J255" s="217"/>
      <c r="K255" s="217"/>
      <c r="L255" s="192"/>
      <c r="M255" s="192"/>
      <c r="N255" s="192"/>
      <c r="O255" s="192"/>
      <c r="P255" s="192"/>
      <c r="Q255" s="192"/>
      <c r="R255" s="192"/>
      <c r="V255" s="192"/>
      <c r="Y255" s="110"/>
      <c r="Z255" s="217"/>
      <c r="AA255" s="192"/>
      <c r="AB255" s="192"/>
      <c r="AC255" s="192"/>
      <c r="AD255" s="192"/>
      <c r="AE255" s="192"/>
      <c r="AF255" s="192"/>
      <c r="AI255" s="192"/>
      <c r="AJ255" s="192"/>
      <c r="AK255" s="194"/>
      <c r="AL255" s="192"/>
    </row>
    <row r="256" spans="1:40" x14ac:dyDescent="0.3">
      <c r="C256" s="99"/>
      <c r="F256" s="110"/>
      <c r="H256" s="110"/>
      <c r="I256" s="110"/>
      <c r="J256" s="198"/>
      <c r="K256" s="198"/>
      <c r="L256" s="110"/>
      <c r="M256" s="110"/>
      <c r="N256" s="141"/>
      <c r="O256" s="141"/>
      <c r="P256" s="110"/>
      <c r="Q256" s="110"/>
      <c r="R256" s="110"/>
      <c r="T256" s="99"/>
      <c r="V256" s="110"/>
      <c r="Y256" s="110"/>
      <c r="Z256" s="198"/>
      <c r="AA256" s="110"/>
      <c r="AB256" s="110"/>
      <c r="AC256" s="141"/>
      <c r="AD256" s="141"/>
      <c r="AE256" s="110"/>
      <c r="AF256" s="110"/>
      <c r="AH256" s="207"/>
      <c r="AI256" s="110"/>
      <c r="AJ256" s="110"/>
      <c r="AL256" s="110"/>
      <c r="AM256" s="141"/>
      <c r="AN256" s="141"/>
    </row>
    <row r="257" spans="1:40" x14ac:dyDescent="0.3">
      <c r="F257" s="192"/>
      <c r="H257" s="110"/>
      <c r="I257" s="110"/>
      <c r="J257" s="217"/>
      <c r="K257" s="217"/>
      <c r="L257" s="192"/>
      <c r="M257" s="192"/>
      <c r="N257" s="192"/>
      <c r="O257" s="192"/>
      <c r="P257" s="192"/>
      <c r="Q257" s="192"/>
      <c r="R257" s="192"/>
      <c r="V257" s="192"/>
      <c r="Y257" s="110"/>
      <c r="Z257" s="217"/>
      <c r="AA257" s="192"/>
      <c r="AB257" s="192"/>
      <c r="AC257" s="192"/>
      <c r="AD257" s="192"/>
      <c r="AE257" s="192"/>
      <c r="AF257" s="192"/>
      <c r="AI257" s="192"/>
      <c r="AJ257" s="192"/>
      <c r="AK257" s="194"/>
      <c r="AL257" s="192"/>
    </row>
    <row r="258" spans="1:40" x14ac:dyDescent="0.3">
      <c r="F258" s="110"/>
      <c r="R258" s="110"/>
      <c r="V258" s="110"/>
      <c r="AL258" s="110"/>
    </row>
    <row r="259" spans="1:40" x14ac:dyDescent="0.3">
      <c r="C259" s="99"/>
      <c r="F259" s="110"/>
      <c r="R259" s="110"/>
      <c r="T259" s="99"/>
      <c r="V259" s="110"/>
      <c r="AL259" s="110"/>
    </row>
    <row r="260" spans="1:40" x14ac:dyDescent="0.3">
      <c r="F260" s="110"/>
      <c r="R260" s="110"/>
      <c r="V260" s="110"/>
      <c r="AL260" s="110"/>
    </row>
    <row r="261" spans="1:40" x14ac:dyDescent="0.3">
      <c r="C261" s="99"/>
      <c r="F261" s="110"/>
      <c r="H261" s="172"/>
      <c r="I261" s="172"/>
      <c r="J261" s="222"/>
      <c r="K261" s="222"/>
      <c r="L261" s="110"/>
      <c r="M261" s="110"/>
      <c r="N261" s="141"/>
      <c r="O261" s="141"/>
      <c r="P261" s="172"/>
      <c r="Q261" s="172"/>
      <c r="R261" s="110"/>
      <c r="T261" s="99"/>
      <c r="V261" s="110"/>
      <c r="Y261" s="110"/>
      <c r="Z261" s="216"/>
      <c r="AA261" s="110"/>
      <c r="AB261" s="110"/>
      <c r="AC261" s="141"/>
      <c r="AD261" s="141"/>
      <c r="AE261" s="110"/>
      <c r="AF261" s="110"/>
      <c r="AH261" s="207"/>
      <c r="AI261" s="172"/>
      <c r="AJ261" s="172"/>
      <c r="AL261" s="110"/>
      <c r="AM261" s="141"/>
      <c r="AN261" s="141"/>
    </row>
    <row r="262" spans="1:40" x14ac:dyDescent="0.3">
      <c r="F262" s="192"/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</row>
    <row r="264" spans="1:40" x14ac:dyDescent="0.3">
      <c r="C264" s="99"/>
      <c r="F264" s="110"/>
      <c r="H264" s="110"/>
      <c r="I264" s="110"/>
      <c r="J264" s="209"/>
      <c r="K264" s="209"/>
      <c r="L264" s="110"/>
      <c r="M264" s="110"/>
      <c r="N264" s="141"/>
      <c r="O264" s="141"/>
      <c r="P264" s="110"/>
      <c r="Q264" s="110"/>
      <c r="R264" s="110"/>
      <c r="T264" s="99"/>
      <c r="V264" s="110"/>
      <c r="Y264" s="110"/>
      <c r="Z264" s="209"/>
      <c r="AA264" s="110"/>
      <c r="AB264" s="110"/>
      <c r="AC264" s="141"/>
      <c r="AD264" s="141"/>
      <c r="AE264" s="110"/>
      <c r="AF264" s="110"/>
      <c r="AH264" s="207"/>
      <c r="AI264" s="110"/>
      <c r="AJ264" s="110"/>
      <c r="AL264" s="110"/>
      <c r="AM264" s="141"/>
      <c r="AN264" s="141"/>
    </row>
    <row r="265" spans="1:40" x14ac:dyDescent="0.3">
      <c r="F265" s="192"/>
      <c r="H265" s="192"/>
      <c r="I265" s="192"/>
      <c r="J265" s="217"/>
      <c r="K265" s="217"/>
      <c r="L265" s="192"/>
      <c r="M265" s="192"/>
      <c r="N265" s="192"/>
      <c r="O265" s="192"/>
      <c r="P265" s="192"/>
      <c r="Q265" s="192"/>
      <c r="R265" s="192"/>
      <c r="V265" s="192"/>
      <c r="Y265" s="192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</row>
    <row r="266" spans="1:40" x14ac:dyDescent="0.3">
      <c r="R266" s="110"/>
      <c r="AH266" s="110"/>
    </row>
    <row r="267" spans="1:40" x14ac:dyDescent="0.3">
      <c r="F267" s="110"/>
      <c r="H267" s="110"/>
      <c r="I267" s="110"/>
      <c r="J267" s="198"/>
      <c r="K267" s="198"/>
      <c r="L267" s="110"/>
      <c r="M267" s="110"/>
      <c r="N267" s="110"/>
      <c r="O267" s="110"/>
      <c r="P267" s="110"/>
      <c r="Q267" s="110"/>
      <c r="R267" s="110"/>
      <c r="V267" s="110"/>
      <c r="Y267" s="110"/>
      <c r="Z267" s="198"/>
      <c r="AA267" s="110"/>
      <c r="AB267" s="110"/>
      <c r="AC267" s="110"/>
      <c r="AD267" s="110"/>
      <c r="AE267" s="110"/>
      <c r="AF267" s="110"/>
      <c r="AH267" s="110"/>
    </row>
    <row r="268" spans="1:40" x14ac:dyDescent="0.3">
      <c r="C268" s="99"/>
      <c r="F268" s="110"/>
      <c r="H268" s="110"/>
      <c r="I268" s="110"/>
      <c r="J268" s="198"/>
      <c r="K268" s="198"/>
      <c r="L268" s="110"/>
      <c r="M268" s="110"/>
      <c r="N268" s="110"/>
      <c r="O268" s="110"/>
      <c r="P268" s="110"/>
      <c r="Q268" s="110"/>
      <c r="R268" s="110"/>
      <c r="T268" s="99"/>
      <c r="V268" s="110"/>
      <c r="Y268" s="110"/>
      <c r="Z268" s="198"/>
      <c r="AA268" s="110"/>
      <c r="AB268" s="110"/>
      <c r="AC268" s="110"/>
      <c r="AD268" s="110"/>
      <c r="AE268" s="110"/>
      <c r="AF268" s="110"/>
      <c r="AH268" s="110"/>
    </row>
    <row r="269" spans="1:40" x14ac:dyDescent="0.3">
      <c r="A269" s="99"/>
    </row>
    <row r="272" spans="1:40" x14ac:dyDescent="0.3">
      <c r="H272" s="99"/>
      <c r="I272" s="99"/>
      <c r="Y272" s="99"/>
    </row>
    <row r="274" spans="1:40" x14ac:dyDescent="0.3">
      <c r="L274" s="99"/>
      <c r="M274" s="99"/>
      <c r="AA274" s="99"/>
      <c r="AB274" s="99"/>
    </row>
    <row r="275" spans="1:40" x14ac:dyDescent="0.3">
      <c r="R275" s="99"/>
      <c r="AK275" s="190"/>
      <c r="AL275" s="99"/>
    </row>
    <row r="276" spans="1:40" x14ac:dyDescent="0.3">
      <c r="R276" s="99"/>
      <c r="AK276" s="190"/>
      <c r="AL276" s="99"/>
    </row>
    <row r="277" spans="1:40" x14ac:dyDescent="0.3">
      <c r="A277" s="99"/>
      <c r="R277" s="99"/>
      <c r="AK277" s="190"/>
      <c r="AL277" s="99"/>
    </row>
    <row r="278" spans="1:40" x14ac:dyDescent="0.3">
      <c r="L278" s="99"/>
      <c r="M278" s="99"/>
      <c r="AA278" s="99"/>
      <c r="AB278" s="99"/>
    </row>
    <row r="279" spans="1:40" x14ac:dyDescent="0.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91"/>
      <c r="AH279" s="101"/>
      <c r="AI279" s="101"/>
      <c r="AJ279" s="101"/>
      <c r="AK279" s="191"/>
      <c r="AL279" s="101"/>
      <c r="AM279" s="101"/>
      <c r="AN279" s="101"/>
    </row>
    <row r="280" spans="1:40" x14ac:dyDescent="0.3">
      <c r="L280" s="102"/>
      <c r="M280" s="102"/>
      <c r="N280" s="102"/>
      <c r="O280" s="102"/>
      <c r="R280" s="102"/>
      <c r="AA280" s="102"/>
      <c r="AB280" s="102"/>
      <c r="AC280" s="102"/>
      <c r="AD280" s="102"/>
      <c r="AE280" s="102"/>
      <c r="AF280" s="102"/>
      <c r="AG280" s="151"/>
      <c r="AH280" s="102"/>
      <c r="AK280" s="151"/>
      <c r="AL280" s="102"/>
      <c r="AM280" s="102"/>
      <c r="AN280" s="102"/>
    </row>
    <row r="281" spans="1:40" x14ac:dyDescent="0.3">
      <c r="L281" s="102"/>
      <c r="M281" s="102"/>
      <c r="N281" s="102"/>
      <c r="O281" s="102"/>
      <c r="R281" s="102"/>
      <c r="Z281" s="102"/>
      <c r="AA281" s="102"/>
      <c r="AB281" s="102"/>
      <c r="AC281" s="102"/>
      <c r="AD281" s="102"/>
      <c r="AE281" s="102"/>
      <c r="AF281" s="102"/>
      <c r="AG281" s="151"/>
      <c r="AH281" s="102"/>
      <c r="AK281" s="151"/>
      <c r="AL281" s="102"/>
      <c r="AM281" s="102"/>
      <c r="AN281" s="102"/>
    </row>
    <row r="282" spans="1:40" x14ac:dyDescent="0.3">
      <c r="A282" s="102"/>
      <c r="C282" s="102"/>
      <c r="D282" s="102"/>
      <c r="E282" s="102"/>
      <c r="F282" s="102"/>
      <c r="J282" s="102"/>
      <c r="K282" s="102"/>
      <c r="L282" s="102"/>
      <c r="M282" s="102"/>
      <c r="N282" s="102"/>
      <c r="O282" s="102"/>
      <c r="P282" s="102"/>
      <c r="Q282" s="102"/>
      <c r="R282" s="102"/>
      <c r="T282" s="102"/>
      <c r="U282" s="102"/>
      <c r="V282" s="102"/>
      <c r="Z282" s="102"/>
      <c r="AA282" s="102"/>
      <c r="AB282" s="102"/>
      <c r="AC282" s="102"/>
      <c r="AD282" s="102"/>
      <c r="AE282" s="102"/>
      <c r="AF282" s="102"/>
      <c r="AG282" s="151"/>
      <c r="AH282" s="102"/>
      <c r="AI282" s="102"/>
      <c r="AJ282" s="102"/>
      <c r="AK282" s="151"/>
      <c r="AL282" s="102"/>
      <c r="AM282" s="102"/>
      <c r="AN282" s="102"/>
    </row>
    <row r="283" spans="1:40" x14ac:dyDescent="0.3">
      <c r="A283" s="102"/>
      <c r="C283" s="102"/>
      <c r="D283" s="102"/>
      <c r="E283" s="102"/>
      <c r="F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T283" s="102"/>
      <c r="U283" s="102"/>
      <c r="V283" s="102"/>
      <c r="Y283" s="102"/>
      <c r="Z283" s="102"/>
      <c r="AA283" s="102"/>
      <c r="AB283" s="102"/>
      <c r="AC283" s="102"/>
      <c r="AD283" s="102"/>
      <c r="AE283" s="102"/>
      <c r="AF283" s="102"/>
      <c r="AG283" s="151"/>
      <c r="AH283" s="102"/>
      <c r="AI283" s="102"/>
      <c r="AJ283" s="102"/>
      <c r="AK283" s="151"/>
      <c r="AL283" s="102"/>
      <c r="AM283" s="102"/>
      <c r="AN283" s="102"/>
    </row>
    <row r="284" spans="1:40" x14ac:dyDescent="0.3">
      <c r="C284" s="102"/>
      <c r="D284" s="102"/>
      <c r="E284" s="102"/>
      <c r="F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T284" s="102"/>
      <c r="U284" s="102"/>
      <c r="V284" s="102"/>
      <c r="Y284" s="102"/>
      <c r="Z284" s="102"/>
      <c r="AA284" s="102"/>
      <c r="AB284" s="102"/>
      <c r="AC284" s="102"/>
      <c r="AD284" s="102"/>
      <c r="AE284" s="102"/>
      <c r="AF284" s="102"/>
      <c r="AG284" s="151"/>
      <c r="AH284" s="102"/>
      <c r="AI284" s="102"/>
      <c r="AJ284" s="102"/>
      <c r="AK284" s="151"/>
      <c r="AL284" s="102"/>
      <c r="AM284" s="102"/>
      <c r="AN284" s="102"/>
    </row>
    <row r="285" spans="1:40" x14ac:dyDescent="0.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91"/>
      <c r="AH285" s="101"/>
      <c r="AI285" s="101"/>
      <c r="AJ285" s="101"/>
      <c r="AK285" s="191"/>
      <c r="AL285" s="101"/>
      <c r="AM285" s="101"/>
      <c r="AN285" s="101"/>
    </row>
    <row r="286" spans="1:40" x14ac:dyDescent="0.3"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Y286" s="102"/>
      <c r="Z286" s="102"/>
      <c r="AA286" s="102"/>
      <c r="AB286" s="102"/>
      <c r="AC286" s="102"/>
      <c r="AD286" s="102"/>
      <c r="AE286" s="102"/>
      <c r="AF286" s="102"/>
      <c r="AG286" s="151"/>
      <c r="AH286" s="102"/>
      <c r="AI286" s="102"/>
      <c r="AJ286" s="102"/>
      <c r="AK286" s="151"/>
      <c r="AL286" s="102"/>
      <c r="AM286" s="102"/>
      <c r="AN286" s="102"/>
    </row>
    <row r="287" spans="1:40" x14ac:dyDescent="0.3">
      <c r="C287" s="99"/>
      <c r="D287" s="99"/>
      <c r="E287" s="99"/>
      <c r="T287" s="99"/>
      <c r="U287" s="99"/>
    </row>
    <row r="288" spans="1:40" x14ac:dyDescent="0.3">
      <c r="C288" s="99"/>
      <c r="T288" s="99"/>
    </row>
    <row r="290" spans="3:40" x14ac:dyDescent="0.3">
      <c r="C290" s="99"/>
      <c r="F290" s="172"/>
      <c r="H290" s="172"/>
      <c r="I290" s="172"/>
      <c r="J290" s="181"/>
      <c r="K290" s="181"/>
      <c r="L290" s="110"/>
      <c r="M290" s="110"/>
      <c r="N290" s="141"/>
      <c r="O290" s="141"/>
      <c r="R290" s="110"/>
      <c r="T290" s="99"/>
      <c r="V290" s="110"/>
      <c r="Y290" s="172"/>
      <c r="Z290" s="181"/>
      <c r="AA290" s="110"/>
      <c r="AB290" s="110"/>
      <c r="AC290" s="141"/>
      <c r="AD290" s="141"/>
      <c r="AE290" s="110"/>
      <c r="AF290" s="110"/>
      <c r="AH290" s="207"/>
      <c r="AL290" s="110"/>
      <c r="AM290" s="141"/>
      <c r="AN290" s="141"/>
    </row>
    <row r="291" spans="3:40" x14ac:dyDescent="0.3">
      <c r="F291" s="192"/>
      <c r="H291" s="110"/>
      <c r="I291" s="110"/>
      <c r="J291" s="217"/>
      <c r="K291" s="217"/>
      <c r="L291" s="192"/>
      <c r="M291" s="192"/>
      <c r="N291" s="192"/>
      <c r="O291" s="192"/>
      <c r="P291" s="192"/>
      <c r="Q291" s="192"/>
      <c r="R291" s="192"/>
      <c r="V291" s="192"/>
      <c r="Y291" s="110"/>
      <c r="Z291" s="217"/>
      <c r="AA291" s="192"/>
      <c r="AB291" s="192"/>
      <c r="AC291" s="192"/>
      <c r="AD291" s="192"/>
      <c r="AE291" s="192"/>
      <c r="AF291" s="192"/>
      <c r="AI291" s="192"/>
      <c r="AJ291" s="192"/>
      <c r="AK291" s="194"/>
      <c r="AL291" s="192"/>
      <c r="AM291" s="141"/>
      <c r="AN291" s="141"/>
    </row>
    <row r="292" spans="3:40" x14ac:dyDescent="0.3">
      <c r="C292" s="99"/>
      <c r="F292" s="172"/>
      <c r="H292" s="172"/>
      <c r="I292" s="172"/>
      <c r="J292" s="227"/>
      <c r="K292" s="227"/>
      <c r="L292" s="110"/>
      <c r="M292" s="110"/>
      <c r="N292" s="141"/>
      <c r="O292" s="141"/>
      <c r="P292" s="110"/>
      <c r="Q292" s="110"/>
      <c r="R292" s="110"/>
      <c r="S292" s="110"/>
      <c r="T292" s="99"/>
      <c r="V292" s="172"/>
      <c r="Y292" s="172"/>
      <c r="Z292" s="227"/>
      <c r="AA292" s="110"/>
      <c r="AB292" s="110"/>
      <c r="AC292" s="141"/>
      <c r="AD292" s="141"/>
      <c r="AE292" s="110"/>
      <c r="AF292" s="110"/>
      <c r="AH292" s="141"/>
      <c r="AI292" s="110"/>
      <c r="AJ292" s="110"/>
      <c r="AL292" s="110"/>
      <c r="AM292" s="141"/>
      <c r="AN292" s="141"/>
    </row>
    <row r="293" spans="3:40" x14ac:dyDescent="0.3">
      <c r="C293" s="99"/>
      <c r="F293" s="172"/>
      <c r="H293" s="172"/>
      <c r="I293" s="172"/>
      <c r="J293" s="181"/>
      <c r="K293" s="181"/>
      <c r="L293" s="110"/>
      <c r="M293" s="110"/>
      <c r="N293" s="141"/>
      <c r="O293" s="141"/>
      <c r="P293" s="110"/>
      <c r="Q293" s="110"/>
      <c r="R293" s="110"/>
      <c r="T293" s="99"/>
      <c r="V293" s="172"/>
      <c r="Y293" s="110"/>
      <c r="Z293" s="181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3:40" x14ac:dyDescent="0.3">
      <c r="C294" s="99"/>
      <c r="F294" s="172"/>
      <c r="H294" s="172"/>
      <c r="I294" s="172"/>
      <c r="J294" s="181"/>
      <c r="K294" s="181"/>
      <c r="L294" s="110"/>
      <c r="M294" s="110"/>
      <c r="N294" s="141"/>
      <c r="O294" s="141"/>
      <c r="P294" s="110"/>
      <c r="Q294" s="110"/>
      <c r="R294" s="110"/>
      <c r="T294" s="99"/>
      <c r="V294" s="172"/>
      <c r="Y294" s="110"/>
      <c r="Z294" s="181"/>
      <c r="AA294" s="110"/>
      <c r="AB294" s="110"/>
      <c r="AC294" s="141"/>
      <c r="AD294" s="141"/>
      <c r="AE294" s="110"/>
      <c r="AF294" s="110"/>
      <c r="AH294" s="207"/>
      <c r="AI294" s="110"/>
      <c r="AJ294" s="110"/>
      <c r="AL294" s="110"/>
      <c r="AM294" s="141"/>
      <c r="AN294" s="141"/>
    </row>
    <row r="295" spans="3:40" x14ac:dyDescent="0.3">
      <c r="F295" s="192"/>
      <c r="H295" s="192"/>
      <c r="I295" s="192"/>
      <c r="J295" s="217"/>
      <c r="K295" s="217"/>
      <c r="L295" s="192"/>
      <c r="M295" s="192"/>
      <c r="N295" s="192"/>
      <c r="O295" s="192"/>
      <c r="P295" s="192"/>
      <c r="Q295" s="192"/>
      <c r="R295" s="192"/>
      <c r="V295" s="192"/>
      <c r="Y295" s="192"/>
      <c r="Z295" s="217"/>
      <c r="AA295" s="192"/>
      <c r="AB295" s="192"/>
      <c r="AC295" s="192"/>
      <c r="AD295" s="192"/>
      <c r="AE295" s="192"/>
      <c r="AF295" s="192"/>
      <c r="AI295" s="192"/>
      <c r="AJ295" s="192"/>
      <c r="AK295" s="194"/>
      <c r="AL295" s="192"/>
      <c r="AM295" s="141"/>
      <c r="AN295" s="141"/>
    </row>
    <row r="296" spans="3:40" x14ac:dyDescent="0.3">
      <c r="C296" s="99"/>
      <c r="F296" s="110"/>
      <c r="H296" s="110"/>
      <c r="I296" s="110"/>
      <c r="J296" s="198"/>
      <c r="K296" s="198"/>
      <c r="L296" s="110"/>
      <c r="M296" s="110"/>
      <c r="N296" s="141"/>
      <c r="O296" s="141"/>
      <c r="P296" s="110"/>
      <c r="Q296" s="110"/>
      <c r="R296" s="110"/>
      <c r="T296" s="99"/>
      <c r="V296" s="110"/>
      <c r="Y296" s="110"/>
      <c r="Z296" s="198"/>
      <c r="AA296" s="110"/>
      <c r="AB296" s="110"/>
      <c r="AC296" s="141"/>
      <c r="AD296" s="141"/>
      <c r="AE296" s="110"/>
      <c r="AF296" s="110"/>
      <c r="AH296" s="207"/>
      <c r="AI296" s="110"/>
      <c r="AJ296" s="110"/>
      <c r="AL296" s="110"/>
      <c r="AM296" s="141"/>
      <c r="AN296" s="141"/>
    </row>
    <row r="297" spans="3:40" x14ac:dyDescent="0.3">
      <c r="F297" s="192"/>
      <c r="H297" s="192"/>
      <c r="I297" s="192"/>
      <c r="J297" s="217"/>
      <c r="K297" s="217"/>
      <c r="L297" s="192"/>
      <c r="M297" s="192"/>
      <c r="N297" s="192"/>
      <c r="O297" s="192"/>
      <c r="P297" s="192"/>
      <c r="Q297" s="192"/>
      <c r="R297" s="192"/>
      <c r="V297" s="192"/>
      <c r="Y297" s="192"/>
      <c r="Z297" s="217"/>
      <c r="AA297" s="192"/>
      <c r="AB297" s="192"/>
      <c r="AC297" s="192"/>
      <c r="AD297" s="192"/>
      <c r="AE297" s="192"/>
      <c r="AF297" s="192"/>
      <c r="AI297" s="192"/>
      <c r="AJ297" s="192"/>
      <c r="AK297" s="194"/>
      <c r="AL297" s="192"/>
      <c r="AM297" s="141"/>
      <c r="AN297" s="141"/>
    </row>
    <row r="298" spans="3:40" x14ac:dyDescent="0.3">
      <c r="C298" s="99"/>
      <c r="F298" s="110"/>
      <c r="H298" s="110"/>
      <c r="I298" s="110"/>
      <c r="J298" s="198"/>
      <c r="K298" s="198"/>
      <c r="L298" s="110"/>
      <c r="M298" s="110"/>
      <c r="N298" s="141"/>
      <c r="O298" s="141"/>
      <c r="P298" s="110"/>
      <c r="Q298" s="110"/>
      <c r="R298" s="110"/>
      <c r="T298" s="99"/>
      <c r="V298" s="110"/>
      <c r="Y298" s="110"/>
      <c r="Z298" s="198"/>
      <c r="AA298" s="110"/>
      <c r="AB298" s="110"/>
      <c r="AC298" s="141"/>
      <c r="AD298" s="141"/>
      <c r="AE298" s="110"/>
      <c r="AF298" s="110"/>
      <c r="AH298" s="207"/>
      <c r="AI298" s="110"/>
      <c r="AJ298" s="110"/>
      <c r="AL298" s="110"/>
      <c r="AM298" s="141"/>
      <c r="AN298" s="141"/>
    </row>
    <row r="299" spans="3:40" x14ac:dyDescent="0.3">
      <c r="C299" s="99"/>
      <c r="F299" s="110"/>
      <c r="H299" s="172"/>
      <c r="I299" s="172"/>
      <c r="J299" s="222"/>
      <c r="K299" s="222"/>
      <c r="L299" s="110"/>
      <c r="M299" s="110"/>
      <c r="N299" s="141"/>
      <c r="O299" s="141"/>
      <c r="P299" s="110"/>
      <c r="Q299" s="110"/>
      <c r="R299" s="110"/>
      <c r="T299" s="99"/>
      <c r="V299" s="110"/>
      <c r="Y299" s="110"/>
      <c r="Z299" s="216"/>
      <c r="AA299" s="110"/>
      <c r="AB299" s="110"/>
      <c r="AC299" s="141"/>
      <c r="AD299" s="141"/>
      <c r="AE299" s="110"/>
      <c r="AF299" s="110"/>
      <c r="AH299" s="207"/>
      <c r="AI299" s="110"/>
      <c r="AJ299" s="110"/>
      <c r="AL299" s="110"/>
      <c r="AM299" s="141"/>
      <c r="AN299" s="141"/>
    </row>
    <row r="300" spans="3:40" x14ac:dyDescent="0.3">
      <c r="F300" s="192"/>
      <c r="H300" s="192"/>
      <c r="I300" s="192"/>
      <c r="J300" s="217"/>
      <c r="K300" s="217"/>
      <c r="L300" s="192"/>
      <c r="M300" s="192"/>
      <c r="N300" s="192"/>
      <c r="O300" s="192"/>
      <c r="P300" s="192"/>
      <c r="Q300" s="192"/>
      <c r="R300" s="192"/>
      <c r="V300" s="192"/>
      <c r="Y300" s="192"/>
      <c r="Z300" s="217"/>
      <c r="AA300" s="192"/>
      <c r="AB300" s="192"/>
      <c r="AC300" s="192"/>
      <c r="AD300" s="192"/>
      <c r="AE300" s="192"/>
      <c r="AF300" s="192"/>
      <c r="AI300" s="192"/>
      <c r="AJ300" s="192"/>
      <c r="AK300" s="194"/>
      <c r="AL300" s="192"/>
      <c r="AM300" s="141"/>
      <c r="AN300" s="141"/>
    </row>
    <row r="302" spans="3:40" x14ac:dyDescent="0.3">
      <c r="C302" s="99"/>
      <c r="F302" s="110"/>
      <c r="H302" s="110"/>
      <c r="I302" s="110"/>
      <c r="J302" s="217"/>
      <c r="K302" s="217"/>
      <c r="L302" s="110"/>
      <c r="M302" s="110"/>
      <c r="N302" s="141"/>
      <c r="O302" s="141"/>
      <c r="P302" s="110"/>
      <c r="Q302" s="110"/>
      <c r="R302" s="110"/>
      <c r="S302" s="110"/>
      <c r="T302" s="99"/>
      <c r="V302" s="110"/>
      <c r="Y302" s="110"/>
      <c r="Z302" s="217"/>
      <c r="AA302" s="110"/>
      <c r="AB302" s="110"/>
      <c r="AC302" s="141"/>
      <c r="AD302" s="141"/>
      <c r="AE302" s="110"/>
      <c r="AF302" s="110"/>
      <c r="AH302" s="141"/>
      <c r="AI302" s="110"/>
      <c r="AJ302" s="110"/>
      <c r="AL302" s="110"/>
      <c r="AM302" s="141"/>
      <c r="AN302" s="141"/>
    </row>
    <row r="303" spans="3:40" x14ac:dyDescent="0.3">
      <c r="F303" s="192"/>
      <c r="H303" s="192"/>
      <c r="I303" s="192"/>
      <c r="J303" s="217"/>
      <c r="K303" s="217"/>
      <c r="L303" s="192"/>
      <c r="M303" s="192"/>
      <c r="N303" s="192"/>
      <c r="O303" s="192"/>
      <c r="P303" s="192"/>
      <c r="Q303" s="192"/>
      <c r="R303" s="192"/>
      <c r="S303" s="110"/>
      <c r="V303" s="192"/>
      <c r="Y303" s="192"/>
      <c r="Z303" s="217"/>
      <c r="AA303" s="192"/>
      <c r="AB303" s="192"/>
      <c r="AC303" s="192"/>
      <c r="AD303" s="192"/>
      <c r="AE303" s="192"/>
      <c r="AF303" s="192"/>
      <c r="AI303" s="192"/>
      <c r="AJ303" s="192"/>
      <c r="AK303" s="194"/>
      <c r="AL303" s="192"/>
      <c r="AM303" s="141"/>
      <c r="AN303" s="141"/>
    </row>
    <row r="304" spans="3:40" x14ac:dyDescent="0.3">
      <c r="C304" s="99"/>
      <c r="F304" s="172"/>
      <c r="H304" s="172"/>
      <c r="I304" s="172"/>
      <c r="J304" s="217"/>
      <c r="K304" s="217"/>
      <c r="L304" s="110"/>
      <c r="M304" s="110"/>
      <c r="N304" s="141"/>
      <c r="O304" s="141"/>
      <c r="P304" s="110"/>
      <c r="Q304" s="110"/>
      <c r="R304" s="110"/>
      <c r="S304" s="110"/>
      <c r="T304" s="99"/>
      <c r="V304" s="172"/>
      <c r="Y304" s="172"/>
      <c r="Z304" s="217"/>
      <c r="AA304" s="110"/>
      <c r="AB304" s="110"/>
      <c r="AC304" s="141"/>
      <c r="AD304" s="141"/>
      <c r="AE304" s="110"/>
      <c r="AF304" s="110"/>
      <c r="AI304" s="110"/>
      <c r="AJ304" s="110"/>
      <c r="AL304" s="110"/>
      <c r="AM304" s="141"/>
      <c r="AN304" s="141"/>
    </row>
    <row r="306" spans="3:40" x14ac:dyDescent="0.3">
      <c r="C306" s="99"/>
      <c r="F306" s="172"/>
      <c r="H306" s="172"/>
      <c r="I306" s="172"/>
      <c r="J306" s="181"/>
      <c r="K306" s="181"/>
      <c r="L306" s="110"/>
      <c r="M306" s="110"/>
      <c r="N306" s="141"/>
      <c r="O306" s="141"/>
      <c r="R306" s="110"/>
      <c r="T306" s="99"/>
      <c r="V306" s="110"/>
      <c r="Y306" s="172"/>
      <c r="Z306" s="181"/>
      <c r="AA306" s="110"/>
      <c r="AB306" s="110"/>
      <c r="AC306" s="141"/>
      <c r="AD306" s="141"/>
      <c r="AE306" s="110"/>
      <c r="AF306" s="110"/>
      <c r="AH306" s="207"/>
      <c r="AL306" s="110"/>
      <c r="AM306" s="141"/>
      <c r="AN306" s="141"/>
    </row>
    <row r="307" spans="3:40" x14ac:dyDescent="0.3">
      <c r="F307" s="192"/>
      <c r="H307" s="110"/>
      <c r="I307" s="110"/>
      <c r="J307" s="217"/>
      <c r="K307" s="217"/>
      <c r="L307" s="192"/>
      <c r="M307" s="192"/>
      <c r="N307" s="192"/>
      <c r="O307" s="192"/>
      <c r="P307" s="192"/>
      <c r="Q307" s="192"/>
      <c r="R307" s="192"/>
      <c r="V307" s="192"/>
      <c r="Y307" s="110"/>
      <c r="Z307" s="217"/>
      <c r="AA307" s="192"/>
      <c r="AB307" s="192"/>
      <c r="AC307" s="192"/>
      <c r="AD307" s="192"/>
      <c r="AE307" s="192"/>
      <c r="AF307" s="192"/>
      <c r="AI307" s="192"/>
      <c r="AJ307" s="192"/>
      <c r="AK307" s="194"/>
      <c r="AL307" s="192"/>
      <c r="AM307" s="141"/>
      <c r="AN307" s="141"/>
    </row>
    <row r="308" spans="3:40" x14ac:dyDescent="0.3">
      <c r="C308" s="99"/>
      <c r="F308" s="172"/>
      <c r="H308" s="172"/>
      <c r="I308" s="172"/>
      <c r="J308" s="227"/>
      <c r="K308" s="227"/>
      <c r="L308" s="110"/>
      <c r="M308" s="110"/>
      <c r="N308" s="141"/>
      <c r="O308" s="141"/>
      <c r="P308" s="110"/>
      <c r="Q308" s="110"/>
      <c r="R308" s="110"/>
      <c r="S308" s="110"/>
      <c r="T308" s="99"/>
      <c r="V308" s="172"/>
      <c r="Y308" s="172"/>
      <c r="Z308" s="227"/>
      <c r="AA308" s="110"/>
      <c r="AB308" s="110"/>
      <c r="AC308" s="141"/>
      <c r="AD308" s="141"/>
      <c r="AE308" s="110"/>
      <c r="AF308" s="110"/>
      <c r="AH308" s="141"/>
      <c r="AI308" s="110"/>
      <c r="AJ308" s="110"/>
      <c r="AL308" s="110"/>
      <c r="AM308" s="141"/>
      <c r="AN308" s="141"/>
    </row>
    <row r="309" spans="3:40" x14ac:dyDescent="0.3">
      <c r="C309" s="99"/>
      <c r="F309" s="172"/>
      <c r="H309" s="172"/>
      <c r="I309" s="172"/>
      <c r="J309" s="181"/>
      <c r="K309" s="181"/>
      <c r="L309" s="110"/>
      <c r="M309" s="110"/>
      <c r="N309" s="141"/>
      <c r="O309" s="141"/>
      <c r="P309" s="110"/>
      <c r="Q309" s="110"/>
      <c r="R309" s="110"/>
      <c r="T309" s="99"/>
      <c r="V309" s="172"/>
      <c r="Y309" s="110"/>
      <c r="Z309" s="181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C310" s="99"/>
      <c r="F310" s="172"/>
      <c r="H310" s="172"/>
      <c r="I310" s="172"/>
      <c r="J310" s="181"/>
      <c r="K310" s="181"/>
      <c r="L310" s="110"/>
      <c r="M310" s="110"/>
      <c r="N310" s="141"/>
      <c r="O310" s="141"/>
      <c r="P310" s="110"/>
      <c r="Q310" s="110"/>
      <c r="R310" s="110"/>
      <c r="T310" s="99"/>
      <c r="V310" s="172"/>
      <c r="Y310" s="110"/>
      <c r="Z310" s="181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F311" s="192"/>
      <c r="H311" s="192"/>
      <c r="I311" s="192"/>
      <c r="J311" s="217"/>
      <c r="K311" s="217"/>
      <c r="L311" s="192"/>
      <c r="M311" s="192"/>
      <c r="N311" s="192"/>
      <c r="O311" s="192"/>
      <c r="P311" s="192"/>
      <c r="Q311" s="192"/>
      <c r="R311" s="192"/>
      <c r="V311" s="192"/>
      <c r="Y311" s="192"/>
      <c r="Z311" s="217"/>
      <c r="AA311" s="192"/>
      <c r="AB311" s="192"/>
      <c r="AC311" s="192"/>
      <c r="AD311" s="192"/>
      <c r="AE311" s="192"/>
      <c r="AF311" s="192"/>
      <c r="AI311" s="192"/>
      <c r="AJ311" s="192"/>
      <c r="AK311" s="194"/>
      <c r="AL311" s="192"/>
      <c r="AM311" s="141"/>
      <c r="AN311" s="141"/>
    </row>
    <row r="312" spans="3:40" x14ac:dyDescent="0.3">
      <c r="C312" s="99"/>
      <c r="F312" s="110"/>
      <c r="H312" s="110"/>
      <c r="I312" s="110"/>
      <c r="J312" s="198"/>
      <c r="K312" s="198"/>
      <c r="L312" s="110"/>
      <c r="M312" s="110"/>
      <c r="N312" s="141"/>
      <c r="O312" s="141"/>
      <c r="P312" s="110"/>
      <c r="Q312" s="110"/>
      <c r="R312" s="110"/>
      <c r="T312" s="99"/>
      <c r="V312" s="110"/>
      <c r="Y312" s="110"/>
      <c r="Z312" s="198"/>
      <c r="AA312" s="110"/>
      <c r="AB312" s="110"/>
      <c r="AC312" s="141"/>
      <c r="AD312" s="141"/>
      <c r="AE312" s="110"/>
      <c r="AF312" s="110"/>
      <c r="AH312" s="207"/>
      <c r="AI312" s="110"/>
      <c r="AJ312" s="110"/>
      <c r="AL312" s="110"/>
      <c r="AM312" s="141"/>
      <c r="AN312" s="141"/>
    </row>
    <row r="313" spans="3:40" x14ac:dyDescent="0.3">
      <c r="F313" s="192"/>
      <c r="H313" s="192"/>
      <c r="I313" s="192"/>
      <c r="J313" s="217"/>
      <c r="K313" s="217"/>
      <c r="L313" s="192"/>
      <c r="M313" s="192"/>
      <c r="N313" s="192"/>
      <c r="O313" s="192"/>
      <c r="P313" s="192"/>
      <c r="Q313" s="192"/>
      <c r="R313" s="192"/>
      <c r="V313" s="192"/>
      <c r="Y313" s="192"/>
      <c r="Z313" s="217"/>
      <c r="AA313" s="192"/>
      <c r="AB313" s="192"/>
      <c r="AC313" s="192"/>
      <c r="AD313" s="192"/>
      <c r="AE313" s="192"/>
      <c r="AF313" s="192"/>
      <c r="AI313" s="192"/>
      <c r="AJ313" s="192"/>
      <c r="AK313" s="194"/>
      <c r="AL313" s="192"/>
      <c r="AM313" s="141"/>
      <c r="AN313" s="141"/>
    </row>
    <row r="314" spans="3:40" x14ac:dyDescent="0.3">
      <c r="C314" s="99"/>
      <c r="F314" s="110"/>
      <c r="H314" s="110"/>
      <c r="I314" s="110"/>
      <c r="J314" s="198"/>
      <c r="K314" s="198"/>
      <c r="L314" s="110"/>
      <c r="M314" s="110"/>
      <c r="N314" s="141"/>
      <c r="O314" s="141"/>
      <c r="P314" s="110"/>
      <c r="Q314" s="110"/>
      <c r="R314" s="110"/>
      <c r="T314" s="99"/>
      <c r="V314" s="110"/>
      <c r="Y314" s="110"/>
      <c r="Z314" s="198"/>
      <c r="AA314" s="110"/>
      <c r="AB314" s="110"/>
      <c r="AC314" s="141"/>
      <c r="AD314" s="141"/>
      <c r="AE314" s="110"/>
      <c r="AF314" s="110"/>
      <c r="AH314" s="207"/>
      <c r="AI314" s="110"/>
      <c r="AJ314" s="110"/>
      <c r="AL314" s="110"/>
      <c r="AM314" s="141"/>
      <c r="AN314" s="141"/>
    </row>
    <row r="315" spans="3:40" x14ac:dyDescent="0.3">
      <c r="C315" s="99"/>
      <c r="F315" s="110"/>
      <c r="H315" s="172"/>
      <c r="I315" s="172"/>
      <c r="J315" s="222"/>
      <c r="K315" s="222"/>
      <c r="L315" s="110"/>
      <c r="M315" s="110"/>
      <c r="N315" s="141"/>
      <c r="O315" s="141"/>
      <c r="P315" s="110"/>
      <c r="Q315" s="110"/>
      <c r="R315" s="110"/>
      <c r="T315" s="99"/>
      <c r="V315" s="110"/>
      <c r="Y315" s="110"/>
      <c r="Z315" s="216"/>
      <c r="AA315" s="110"/>
      <c r="AB315" s="110"/>
      <c r="AC315" s="141"/>
      <c r="AD315" s="141"/>
      <c r="AE315" s="110"/>
      <c r="AF315" s="110"/>
      <c r="AH315" s="207"/>
      <c r="AI315" s="110"/>
      <c r="AJ315" s="110"/>
      <c r="AL315" s="110"/>
      <c r="AM315" s="141"/>
      <c r="AN315" s="141"/>
    </row>
    <row r="316" spans="3:40" x14ac:dyDescent="0.3">
      <c r="F316" s="192"/>
      <c r="H316" s="192"/>
      <c r="I316" s="192"/>
      <c r="J316" s="217"/>
      <c r="K316" s="217"/>
      <c r="L316" s="192"/>
      <c r="M316" s="192"/>
      <c r="N316" s="192"/>
      <c r="O316" s="192"/>
      <c r="P316" s="192"/>
      <c r="Q316" s="192"/>
      <c r="R316" s="192"/>
      <c r="V316" s="192"/>
      <c r="Y316" s="192"/>
      <c r="Z316" s="217"/>
      <c r="AA316" s="192"/>
      <c r="AB316" s="192"/>
      <c r="AC316" s="192"/>
      <c r="AD316" s="192"/>
      <c r="AE316" s="192"/>
      <c r="AF316" s="192"/>
      <c r="AI316" s="192"/>
      <c r="AJ316" s="192"/>
      <c r="AK316" s="194"/>
      <c r="AL316" s="192"/>
      <c r="AM316" s="141"/>
      <c r="AN316" s="141"/>
    </row>
    <row r="318" spans="3:40" x14ac:dyDescent="0.3">
      <c r="C318" s="99"/>
      <c r="F318" s="110"/>
      <c r="H318" s="110"/>
      <c r="I318" s="110"/>
      <c r="J318" s="217"/>
      <c r="K318" s="217"/>
      <c r="L318" s="110"/>
      <c r="M318" s="110"/>
      <c r="N318" s="141"/>
      <c r="O318" s="141"/>
      <c r="P318" s="110"/>
      <c r="Q318" s="110"/>
      <c r="R318" s="110"/>
      <c r="S318" s="110"/>
      <c r="T318" s="99"/>
      <c r="V318" s="110"/>
      <c r="Y318" s="110"/>
      <c r="Z318" s="217"/>
      <c r="AA318" s="110"/>
      <c r="AB318" s="110"/>
      <c r="AC318" s="141"/>
      <c r="AD318" s="141"/>
      <c r="AE318" s="110"/>
      <c r="AF318" s="110"/>
      <c r="AH318" s="141"/>
      <c r="AI318" s="110"/>
      <c r="AJ318" s="110"/>
      <c r="AL318" s="110"/>
      <c r="AM318" s="141"/>
      <c r="AN318" s="141"/>
    </row>
    <row r="319" spans="3:40" x14ac:dyDescent="0.3">
      <c r="F319" s="192"/>
      <c r="H319" s="192"/>
      <c r="I319" s="192"/>
      <c r="J319" s="217"/>
      <c r="K319" s="217"/>
      <c r="L319" s="192"/>
      <c r="M319" s="192"/>
      <c r="N319" s="192"/>
      <c r="O319" s="192"/>
      <c r="P319" s="192"/>
      <c r="Q319" s="192"/>
      <c r="R319" s="192"/>
      <c r="S319" s="110"/>
      <c r="V319" s="192"/>
      <c r="Y319" s="192"/>
      <c r="Z319" s="217"/>
      <c r="AA319" s="192"/>
      <c r="AB319" s="192"/>
      <c r="AC319" s="192"/>
      <c r="AD319" s="192"/>
      <c r="AE319" s="192"/>
      <c r="AF319" s="192"/>
      <c r="AI319" s="192"/>
      <c r="AJ319" s="192"/>
      <c r="AK319" s="194"/>
      <c r="AL319" s="192"/>
      <c r="AM319" s="141"/>
      <c r="AN319" s="141"/>
    </row>
    <row r="320" spans="3:40" x14ac:dyDescent="0.3">
      <c r="C320" s="99"/>
      <c r="T320" s="99"/>
    </row>
    <row r="321" spans="1:40" x14ac:dyDescent="0.3">
      <c r="C321" s="99"/>
      <c r="F321" s="110"/>
      <c r="H321" s="110"/>
      <c r="I321" s="110"/>
      <c r="L321" s="110"/>
      <c r="M321" s="110"/>
      <c r="N321" s="141"/>
      <c r="O321" s="141"/>
      <c r="P321" s="172"/>
      <c r="Q321" s="172"/>
      <c r="R321" s="110"/>
      <c r="T321" s="99"/>
      <c r="V321" s="110"/>
      <c r="Y321" s="110"/>
      <c r="AA321" s="110"/>
      <c r="AB321" s="110"/>
      <c r="AC321" s="141"/>
      <c r="AD321" s="141"/>
      <c r="AE321" s="110"/>
      <c r="AF321" s="110"/>
      <c r="AH321" s="141"/>
      <c r="AI321" s="172"/>
      <c r="AJ321" s="172"/>
      <c r="AL321" s="110"/>
      <c r="AM321" s="141"/>
      <c r="AN321" s="141"/>
    </row>
    <row r="322" spans="1:40" x14ac:dyDescent="0.3">
      <c r="F322" s="192"/>
      <c r="H322" s="192"/>
      <c r="I322" s="192"/>
      <c r="J322" s="217"/>
      <c r="K322" s="217"/>
      <c r="L322" s="192"/>
      <c r="M322" s="192"/>
      <c r="N322" s="192"/>
      <c r="O322" s="192"/>
      <c r="P322" s="192"/>
      <c r="Q322" s="192"/>
      <c r="R322" s="192"/>
      <c r="V322" s="192"/>
      <c r="Y322" s="192"/>
      <c r="Z322" s="217"/>
      <c r="AA322" s="192"/>
      <c r="AB322" s="192"/>
      <c r="AC322" s="192"/>
      <c r="AD322" s="192"/>
      <c r="AE322" s="192"/>
      <c r="AF322" s="192"/>
      <c r="AI322" s="192"/>
      <c r="AJ322" s="192"/>
      <c r="AK322" s="194"/>
      <c r="AL322" s="192"/>
    </row>
    <row r="324" spans="1:40" x14ac:dyDescent="0.3">
      <c r="C324" s="99"/>
      <c r="L324" s="110"/>
      <c r="M324" s="110"/>
      <c r="N324" s="110"/>
      <c r="O324" s="110"/>
      <c r="P324" s="110"/>
      <c r="Q324" s="110"/>
      <c r="R324" s="110"/>
      <c r="S324" s="110"/>
      <c r="T324" s="99"/>
      <c r="AA324" s="110"/>
      <c r="AB324" s="110"/>
      <c r="AC324" s="110"/>
      <c r="AD324" s="110"/>
      <c r="AI324" s="110"/>
      <c r="AJ324" s="110"/>
      <c r="AL324" s="110"/>
    </row>
    <row r="325" spans="1:40" x14ac:dyDescent="0.3">
      <c r="A325" s="99"/>
    </row>
    <row r="327" spans="1:40" x14ac:dyDescent="0.3">
      <c r="H327" s="99"/>
      <c r="I327" s="99"/>
      <c r="Y327" s="99"/>
    </row>
    <row r="329" spans="1:40" x14ac:dyDescent="0.3">
      <c r="L329" s="99"/>
      <c r="M329" s="99"/>
      <c r="AA329" s="99"/>
      <c r="AB329" s="99"/>
    </row>
    <row r="330" spans="1:40" x14ac:dyDescent="0.3">
      <c r="R330" s="99"/>
      <c r="AK330" s="190"/>
      <c r="AL330" s="99"/>
    </row>
    <row r="331" spans="1:40" x14ac:dyDescent="0.3">
      <c r="R331" s="99"/>
      <c r="AK331" s="190"/>
      <c r="AL331" s="99"/>
    </row>
    <row r="332" spans="1:40" x14ac:dyDescent="0.3">
      <c r="A332" s="99"/>
      <c r="R332" s="99"/>
      <c r="AK332" s="190"/>
      <c r="AL332" s="99"/>
    </row>
    <row r="333" spans="1:40" x14ac:dyDescent="0.3">
      <c r="L333" s="99"/>
      <c r="M333" s="99"/>
      <c r="AA333" s="99"/>
      <c r="AB333" s="99"/>
    </row>
    <row r="334" spans="1:40" x14ac:dyDescent="0.3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91"/>
      <c r="AH334" s="101"/>
      <c r="AI334" s="101"/>
      <c r="AJ334" s="101"/>
      <c r="AK334" s="191"/>
      <c r="AL334" s="101"/>
      <c r="AM334" s="101"/>
      <c r="AN334" s="101"/>
    </row>
    <row r="335" spans="1:40" x14ac:dyDescent="0.3">
      <c r="L335" s="102"/>
      <c r="M335" s="102"/>
      <c r="N335" s="102"/>
      <c r="O335" s="102"/>
      <c r="R335" s="102"/>
      <c r="AA335" s="102"/>
      <c r="AB335" s="102"/>
      <c r="AC335" s="102"/>
      <c r="AD335" s="102"/>
      <c r="AE335" s="102"/>
      <c r="AF335" s="102"/>
      <c r="AG335" s="151"/>
      <c r="AH335" s="102"/>
      <c r="AK335" s="151"/>
      <c r="AL335" s="102"/>
      <c r="AM335" s="102"/>
      <c r="AN335" s="102"/>
    </row>
    <row r="336" spans="1:40" x14ac:dyDescent="0.3">
      <c r="L336" s="102"/>
      <c r="M336" s="102"/>
      <c r="N336" s="102"/>
      <c r="O336" s="102"/>
      <c r="R336" s="102"/>
      <c r="Z336" s="102"/>
      <c r="AA336" s="102"/>
      <c r="AB336" s="102"/>
      <c r="AC336" s="102"/>
      <c r="AD336" s="102"/>
      <c r="AE336" s="102"/>
      <c r="AF336" s="102"/>
      <c r="AG336" s="151"/>
      <c r="AH336" s="102"/>
      <c r="AK336" s="151"/>
      <c r="AL336" s="102"/>
      <c r="AM336" s="102"/>
      <c r="AN336" s="102"/>
    </row>
    <row r="337" spans="1:40" x14ac:dyDescent="0.3">
      <c r="A337" s="102"/>
      <c r="C337" s="102"/>
      <c r="D337" s="102"/>
      <c r="E337" s="102"/>
      <c r="F337" s="102"/>
      <c r="J337" s="102"/>
      <c r="K337" s="102"/>
      <c r="L337" s="102"/>
      <c r="M337" s="102"/>
      <c r="N337" s="102"/>
      <c r="O337" s="102"/>
      <c r="P337" s="102"/>
      <c r="Q337" s="102"/>
      <c r="R337" s="102"/>
      <c r="T337" s="102"/>
      <c r="U337" s="102"/>
      <c r="V337" s="102"/>
      <c r="Z337" s="102"/>
      <c r="AA337" s="102"/>
      <c r="AB337" s="102"/>
      <c r="AC337" s="102"/>
      <c r="AD337" s="102"/>
      <c r="AE337" s="102"/>
      <c r="AF337" s="102"/>
      <c r="AG337" s="151"/>
      <c r="AH337" s="102"/>
      <c r="AI337" s="102"/>
      <c r="AJ337" s="102"/>
      <c r="AK337" s="151"/>
      <c r="AL337" s="102"/>
      <c r="AM337" s="102"/>
      <c r="AN337" s="102"/>
    </row>
    <row r="338" spans="1:40" x14ac:dyDescent="0.3">
      <c r="A338" s="102"/>
      <c r="C338" s="102"/>
      <c r="D338" s="102"/>
      <c r="E338" s="102"/>
      <c r="F338" s="102"/>
      <c r="H338" s="102"/>
      <c r="I338" s="102"/>
      <c r="J338" s="102"/>
      <c r="K338" s="102"/>
      <c r="L338" s="102"/>
      <c r="M338" s="102"/>
      <c r="N338" s="102"/>
      <c r="O338" s="102"/>
      <c r="P338" s="102"/>
      <c r="Q338" s="102"/>
      <c r="R338" s="102"/>
      <c r="T338" s="102"/>
      <c r="U338" s="102"/>
      <c r="V338" s="102"/>
      <c r="Y338" s="102"/>
      <c r="Z338" s="102"/>
      <c r="AA338" s="102"/>
      <c r="AB338" s="102"/>
      <c r="AC338" s="102"/>
      <c r="AD338" s="102"/>
      <c r="AE338" s="102"/>
      <c r="AF338" s="102"/>
      <c r="AG338" s="151"/>
      <c r="AH338" s="102"/>
      <c r="AI338" s="102"/>
      <c r="AJ338" s="102"/>
      <c r="AK338" s="151"/>
      <c r="AL338" s="102"/>
      <c r="AM338" s="102"/>
      <c r="AN338" s="102"/>
    </row>
    <row r="339" spans="1:40" x14ac:dyDescent="0.3">
      <c r="C339" s="102"/>
      <c r="D339" s="102"/>
      <c r="E339" s="102"/>
      <c r="F339" s="102"/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T339" s="102"/>
      <c r="U339" s="102"/>
      <c r="V339" s="102"/>
      <c r="Y339" s="102"/>
      <c r="Z339" s="102"/>
      <c r="AA339" s="102"/>
      <c r="AB339" s="102"/>
      <c r="AC339" s="102"/>
      <c r="AD339" s="102"/>
      <c r="AE339" s="102"/>
      <c r="AF339" s="102"/>
      <c r="AG339" s="151"/>
      <c r="AH339" s="102"/>
      <c r="AI339" s="102"/>
      <c r="AJ339" s="102"/>
      <c r="AK339" s="151"/>
      <c r="AL339" s="102"/>
      <c r="AM339" s="102"/>
      <c r="AN339" s="102"/>
    </row>
    <row r="340" spans="1:40" x14ac:dyDescent="0.3">
      <c r="A340" s="101"/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T340" s="101"/>
      <c r="U340" s="101"/>
      <c r="V340" s="101"/>
      <c r="W340" s="101"/>
      <c r="X340" s="101"/>
      <c r="Y340" s="101"/>
      <c r="Z340" s="101"/>
      <c r="AA340" s="101"/>
      <c r="AB340" s="101"/>
      <c r="AC340" s="101"/>
      <c r="AD340" s="101"/>
      <c r="AE340" s="101"/>
      <c r="AF340" s="101"/>
      <c r="AG340" s="191"/>
      <c r="AH340" s="101"/>
      <c r="AI340" s="101"/>
      <c r="AJ340" s="101"/>
      <c r="AK340" s="191"/>
      <c r="AL340" s="101"/>
      <c r="AM340" s="101"/>
      <c r="AN340" s="101"/>
    </row>
    <row r="341" spans="1:40" x14ac:dyDescent="0.3">
      <c r="H341" s="102"/>
      <c r="I341" s="102"/>
      <c r="J341" s="102"/>
      <c r="K341" s="102"/>
      <c r="L341" s="102"/>
      <c r="M341" s="102"/>
      <c r="N341" s="102"/>
      <c r="O341" s="102"/>
      <c r="P341" s="102"/>
      <c r="Q341" s="102"/>
      <c r="R341" s="102"/>
      <c r="Y341" s="102"/>
      <c r="Z341" s="102"/>
      <c r="AA341" s="102"/>
      <c r="AB341" s="102"/>
      <c r="AC341" s="102"/>
      <c r="AD341" s="102"/>
      <c r="AE341" s="102"/>
      <c r="AF341" s="102"/>
      <c r="AG341" s="151"/>
      <c r="AH341" s="102"/>
      <c r="AI341" s="102"/>
      <c r="AJ341" s="102"/>
      <c r="AK341" s="151"/>
      <c r="AL341" s="102"/>
      <c r="AM341" s="102"/>
      <c r="AN341" s="102"/>
    </row>
    <row r="342" spans="1:40" x14ac:dyDescent="0.3">
      <c r="C342" s="99"/>
      <c r="D342" s="99"/>
      <c r="E342" s="99"/>
      <c r="T342" s="99"/>
      <c r="U342" s="99"/>
    </row>
    <row r="343" spans="1:40" x14ac:dyDescent="0.3">
      <c r="D343" s="99"/>
      <c r="E343" s="99"/>
      <c r="U343" s="99"/>
    </row>
    <row r="345" spans="1:40" x14ac:dyDescent="0.3">
      <c r="C345" s="99"/>
      <c r="T345" s="99"/>
    </row>
    <row r="346" spans="1:40" x14ac:dyDescent="0.3">
      <c r="C346" s="99"/>
      <c r="F346" s="172"/>
      <c r="H346" s="172"/>
      <c r="I346" s="172"/>
      <c r="J346" s="228"/>
      <c r="K346" s="228"/>
      <c r="L346" s="110"/>
      <c r="M346" s="110"/>
      <c r="N346" s="141"/>
      <c r="O346" s="141"/>
      <c r="P346" s="110"/>
      <c r="Q346" s="110"/>
      <c r="R346" s="110"/>
      <c r="T346" s="99"/>
      <c r="V346" s="172"/>
      <c r="W346" s="110"/>
      <c r="X346" s="110"/>
      <c r="Y346" s="172"/>
      <c r="Z346" s="228"/>
      <c r="AA346" s="110"/>
      <c r="AB346" s="110"/>
      <c r="AC346" s="141"/>
      <c r="AD346" s="141"/>
      <c r="AE346" s="110"/>
      <c r="AF346" s="110"/>
      <c r="AH346" s="207"/>
      <c r="AI346" s="110"/>
      <c r="AJ346" s="110"/>
      <c r="AL346" s="110"/>
      <c r="AM346" s="141"/>
      <c r="AN346" s="141"/>
    </row>
    <row r="347" spans="1:40" x14ac:dyDescent="0.3">
      <c r="C347" s="99"/>
      <c r="F347" s="110"/>
      <c r="H347" s="110"/>
      <c r="I347" s="110"/>
      <c r="J347" s="217"/>
      <c r="K347" s="217"/>
      <c r="L347" s="110"/>
      <c r="M347" s="110"/>
      <c r="N347" s="141"/>
      <c r="O347" s="141"/>
      <c r="P347" s="110"/>
      <c r="Q347" s="110"/>
      <c r="R347" s="110"/>
      <c r="T347" s="99"/>
      <c r="V347" s="172"/>
      <c r="W347" s="110"/>
      <c r="X347" s="110"/>
      <c r="Y347" s="172"/>
      <c r="Z347" s="217"/>
      <c r="AA347" s="110"/>
      <c r="AB347" s="110"/>
      <c r="AC347" s="141"/>
      <c r="AD347" s="141"/>
      <c r="AE347" s="110"/>
      <c r="AF347" s="110"/>
      <c r="AH347" s="207"/>
      <c r="AI347" s="110"/>
      <c r="AJ347" s="110"/>
      <c r="AL347" s="110"/>
      <c r="AM347" s="141"/>
      <c r="AN347" s="141"/>
    </row>
    <row r="348" spans="1:40" x14ac:dyDescent="0.3">
      <c r="C348" s="99"/>
      <c r="F348" s="172"/>
      <c r="H348" s="172"/>
      <c r="I348" s="172"/>
      <c r="J348" s="228"/>
      <c r="K348" s="228"/>
      <c r="L348" s="110"/>
      <c r="M348" s="110"/>
      <c r="N348" s="141"/>
      <c r="O348" s="141"/>
      <c r="P348" s="110"/>
      <c r="Q348" s="110"/>
      <c r="R348" s="110"/>
      <c r="T348" s="99"/>
      <c r="V348" s="172"/>
      <c r="W348" s="110"/>
      <c r="X348" s="110"/>
      <c r="Y348" s="172"/>
      <c r="Z348" s="228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1:40" x14ac:dyDescent="0.3">
      <c r="C349" s="99"/>
      <c r="F349" s="172"/>
      <c r="H349" s="172"/>
      <c r="I349" s="172"/>
      <c r="J349" s="228"/>
      <c r="K349" s="228"/>
      <c r="L349" s="110"/>
      <c r="M349" s="110"/>
      <c r="N349" s="141"/>
      <c r="O349" s="141"/>
      <c r="P349" s="110"/>
      <c r="Q349" s="110"/>
      <c r="R349" s="110"/>
      <c r="T349" s="99"/>
      <c r="V349" s="172"/>
      <c r="W349" s="110"/>
      <c r="X349" s="110"/>
      <c r="Y349" s="172"/>
      <c r="Z349" s="228"/>
      <c r="AA349" s="110"/>
      <c r="AB349" s="110"/>
      <c r="AC349" s="141"/>
      <c r="AD349" s="141"/>
      <c r="AE349" s="110"/>
      <c r="AF349" s="110"/>
      <c r="AH349" s="207"/>
      <c r="AI349" s="110"/>
      <c r="AJ349" s="110"/>
      <c r="AL349" s="110"/>
      <c r="AM349" s="141"/>
      <c r="AN349" s="141"/>
    </row>
    <row r="350" spans="1:40" x14ac:dyDescent="0.3">
      <c r="C350" s="99"/>
      <c r="F350" s="172"/>
      <c r="H350" s="172"/>
      <c r="I350" s="172"/>
      <c r="J350" s="228"/>
      <c r="K350" s="228"/>
      <c r="L350" s="110"/>
      <c r="M350" s="110"/>
      <c r="N350" s="141"/>
      <c r="O350" s="141"/>
      <c r="P350" s="110"/>
      <c r="Q350" s="110"/>
      <c r="R350" s="110"/>
      <c r="T350" s="99"/>
      <c r="V350" s="172"/>
      <c r="W350" s="110"/>
      <c r="X350" s="110"/>
      <c r="Y350" s="172"/>
      <c r="Z350" s="228"/>
      <c r="AA350" s="110"/>
      <c r="AB350" s="110"/>
      <c r="AC350" s="141"/>
      <c r="AD350" s="141"/>
      <c r="AE350" s="110"/>
      <c r="AF350" s="110"/>
      <c r="AH350" s="207"/>
      <c r="AI350" s="110"/>
      <c r="AJ350" s="110"/>
      <c r="AL350" s="110"/>
      <c r="AM350" s="141"/>
      <c r="AN350" s="141"/>
    </row>
    <row r="351" spans="1:40" x14ac:dyDescent="0.3">
      <c r="C351" s="99"/>
      <c r="F351" s="110"/>
      <c r="H351" s="110"/>
      <c r="I351" s="110"/>
      <c r="J351" s="228"/>
      <c r="K351" s="228"/>
      <c r="L351" s="110"/>
      <c r="M351" s="110"/>
      <c r="N351" s="141"/>
      <c r="O351" s="141"/>
      <c r="P351" s="110"/>
      <c r="Q351" s="110"/>
      <c r="R351" s="110"/>
      <c r="T351" s="99"/>
      <c r="V351" s="172"/>
      <c r="W351" s="110"/>
      <c r="X351" s="110"/>
      <c r="Y351" s="172"/>
      <c r="Z351" s="228"/>
      <c r="AA351" s="110"/>
      <c r="AB351" s="110"/>
      <c r="AC351" s="141"/>
      <c r="AD351" s="141"/>
      <c r="AE351" s="110"/>
      <c r="AF351" s="110"/>
      <c r="AH351" s="207"/>
      <c r="AI351" s="110"/>
      <c r="AJ351" s="110"/>
      <c r="AL351" s="110"/>
      <c r="AM351" s="141"/>
      <c r="AN351" s="141"/>
    </row>
    <row r="352" spans="1:40" x14ac:dyDescent="0.3">
      <c r="C352" s="99"/>
      <c r="F352" s="110"/>
      <c r="H352" s="110"/>
      <c r="I352" s="110"/>
      <c r="J352" s="228"/>
      <c r="K352" s="228"/>
      <c r="L352" s="110"/>
      <c r="M352" s="110"/>
      <c r="N352" s="141"/>
      <c r="O352" s="141"/>
      <c r="P352" s="110"/>
      <c r="Q352" s="110"/>
      <c r="R352" s="110"/>
      <c r="T352" s="99"/>
      <c r="V352" s="172"/>
      <c r="W352" s="110"/>
      <c r="X352" s="110"/>
      <c r="Y352" s="172"/>
      <c r="Z352" s="228"/>
      <c r="AA352" s="110"/>
      <c r="AB352" s="110"/>
      <c r="AC352" s="141"/>
      <c r="AD352" s="141"/>
      <c r="AE352" s="110"/>
      <c r="AF352" s="110"/>
      <c r="AH352" s="207"/>
      <c r="AI352" s="110"/>
      <c r="AJ352" s="110"/>
      <c r="AL352" s="110"/>
      <c r="AM352" s="141"/>
      <c r="AN352" s="141"/>
    </row>
    <row r="353" spans="3:40" x14ac:dyDescent="0.3">
      <c r="F353" s="210"/>
      <c r="H353" s="230"/>
      <c r="I353" s="230"/>
      <c r="J353" s="228"/>
      <c r="K353" s="228"/>
      <c r="L353" s="210"/>
      <c r="M353" s="210"/>
      <c r="N353" s="192"/>
      <c r="O353" s="192"/>
      <c r="P353" s="210"/>
      <c r="Q353" s="210"/>
      <c r="R353" s="210"/>
      <c r="V353" s="210"/>
      <c r="W353" s="110"/>
      <c r="X353" s="110"/>
      <c r="Y353" s="210"/>
      <c r="Z353" s="228"/>
      <c r="AA353" s="210"/>
      <c r="AB353" s="210"/>
      <c r="AC353" s="211"/>
      <c r="AD353" s="211"/>
      <c r="AE353" s="210"/>
      <c r="AF353" s="210"/>
      <c r="AH353" s="207"/>
      <c r="AI353" s="210"/>
      <c r="AJ353" s="210"/>
      <c r="AK353" s="191"/>
      <c r="AL353" s="210"/>
      <c r="AM353" s="141"/>
      <c r="AN353" s="141"/>
    </row>
    <row r="354" spans="3:40" x14ac:dyDescent="0.3">
      <c r="C354" s="99"/>
      <c r="F354" s="110"/>
      <c r="H354" s="110"/>
      <c r="I354" s="110"/>
      <c r="J354" s="228"/>
      <c r="K354" s="228"/>
      <c r="L354" s="110"/>
      <c r="M354" s="110"/>
      <c r="N354" s="207"/>
      <c r="O354" s="207"/>
      <c r="P354" s="110"/>
      <c r="Q354" s="110"/>
      <c r="R354" s="110"/>
      <c r="T354" s="102"/>
      <c r="V354" s="110"/>
      <c r="W354" s="110"/>
      <c r="X354" s="110"/>
      <c r="Y354" s="110"/>
      <c r="Z354" s="228"/>
      <c r="AA354" s="110"/>
      <c r="AB354" s="110"/>
      <c r="AC354" s="207"/>
      <c r="AD354" s="207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F355" s="101"/>
      <c r="H355" s="101"/>
      <c r="I355" s="101"/>
      <c r="L355" s="101"/>
      <c r="M355" s="101"/>
      <c r="N355" s="211"/>
      <c r="O355" s="211"/>
      <c r="P355" s="210"/>
      <c r="Q355" s="210"/>
      <c r="R355" s="210"/>
      <c r="V355" s="210"/>
      <c r="Y355" s="210"/>
      <c r="Z355" s="217"/>
      <c r="AA355" s="210"/>
      <c r="AB355" s="210"/>
      <c r="AC355" s="210"/>
      <c r="AD355" s="210"/>
      <c r="AE355" s="210"/>
      <c r="AF355" s="210"/>
      <c r="AI355" s="210"/>
      <c r="AJ355" s="210"/>
      <c r="AK355" s="191"/>
      <c r="AL355" s="210"/>
      <c r="AM355" s="211"/>
      <c r="AN355" s="211"/>
    </row>
    <row r="360" spans="3:40" x14ac:dyDescent="0.3">
      <c r="N360" s="110"/>
      <c r="O360" s="110"/>
      <c r="P360" s="110"/>
      <c r="Q360" s="110"/>
      <c r="R360" s="110"/>
      <c r="V360" s="110"/>
      <c r="Y360" s="110"/>
      <c r="Z360" s="198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3:40" x14ac:dyDescent="0.3">
      <c r="C361" s="99"/>
      <c r="D361" s="99"/>
      <c r="E361" s="99"/>
      <c r="J361" s="163"/>
      <c r="K361" s="163"/>
      <c r="T361" s="99"/>
      <c r="U361" s="99"/>
      <c r="Z361" s="163"/>
      <c r="AE361" s="110"/>
      <c r="AF361" s="110"/>
      <c r="AI361" s="110"/>
      <c r="AJ361" s="110"/>
      <c r="AL361" s="110"/>
      <c r="AM361" s="141"/>
      <c r="AN361" s="141"/>
    </row>
    <row r="362" spans="3:40" x14ac:dyDescent="0.3">
      <c r="D362" s="99"/>
      <c r="E362" s="99"/>
      <c r="F362" s="110"/>
      <c r="H362" s="110"/>
      <c r="I362" s="110"/>
      <c r="J362" s="228"/>
      <c r="K362" s="228"/>
      <c r="L362" s="110"/>
      <c r="M362" s="110"/>
      <c r="N362" s="141"/>
      <c r="O362" s="141"/>
      <c r="P362" s="110"/>
      <c r="Q362" s="110"/>
      <c r="R362" s="110"/>
      <c r="U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F363" s="110"/>
      <c r="H363" s="110"/>
      <c r="I363" s="110"/>
      <c r="J363" s="217"/>
      <c r="K363" s="217"/>
      <c r="L363" s="110"/>
      <c r="M363" s="110"/>
      <c r="N363" s="110"/>
      <c r="O363" s="110"/>
      <c r="P363" s="110"/>
      <c r="Q363" s="110"/>
      <c r="R363" s="110"/>
      <c r="V363" s="110"/>
      <c r="Y363" s="110"/>
      <c r="Z363" s="217"/>
      <c r="AA363" s="110"/>
      <c r="AB363" s="110"/>
      <c r="AC363" s="110"/>
      <c r="AD363" s="110"/>
      <c r="AE363" s="110"/>
      <c r="AF363" s="110"/>
      <c r="AH363" s="207"/>
      <c r="AI363" s="172"/>
      <c r="AJ363" s="172"/>
      <c r="AL363" s="110"/>
      <c r="AM363" s="141"/>
      <c r="AN363" s="141"/>
    </row>
    <row r="364" spans="3:40" x14ac:dyDescent="0.3">
      <c r="C364" s="99"/>
      <c r="F364" s="172"/>
      <c r="H364" s="172"/>
      <c r="I364" s="172"/>
      <c r="J364" s="216"/>
      <c r="K364" s="216"/>
      <c r="L364" s="110"/>
      <c r="M364" s="110"/>
      <c r="N364" s="141"/>
      <c r="O364" s="141"/>
      <c r="P364" s="110"/>
      <c r="Q364" s="110"/>
      <c r="R364" s="110"/>
      <c r="T364" s="99"/>
      <c r="V364" s="172"/>
      <c r="Y364" s="172"/>
      <c r="Z364" s="216"/>
      <c r="AA364" s="110"/>
      <c r="AB364" s="110"/>
      <c r="AC364" s="141"/>
      <c r="AD364" s="141"/>
      <c r="AE364" s="110"/>
      <c r="AF364" s="110"/>
      <c r="AH364" s="207"/>
      <c r="AI364" s="110"/>
      <c r="AJ364" s="110"/>
      <c r="AL364" s="110"/>
      <c r="AM364" s="141"/>
      <c r="AN364" s="141"/>
    </row>
    <row r="365" spans="3:40" x14ac:dyDescent="0.3">
      <c r="F365" s="101"/>
      <c r="H365" s="101"/>
      <c r="I365" s="101"/>
      <c r="L365" s="101"/>
      <c r="M365" s="101"/>
      <c r="N365" s="101"/>
      <c r="O365" s="101"/>
      <c r="P365" s="101"/>
      <c r="Q365" s="101"/>
      <c r="R365" s="101"/>
      <c r="V365" s="101"/>
      <c r="Y365" s="101"/>
      <c r="AA365" s="101"/>
      <c r="AB365" s="101"/>
      <c r="AC365" s="101"/>
      <c r="AD365" s="101"/>
      <c r="AE365" s="101"/>
      <c r="AF365" s="101"/>
      <c r="AG365" s="191"/>
      <c r="AH365" s="101"/>
      <c r="AI365" s="101"/>
      <c r="AJ365" s="101"/>
      <c r="AK365" s="191"/>
      <c r="AL365" s="101"/>
      <c r="AM365" s="101"/>
      <c r="AN365" s="101"/>
    </row>
    <row r="366" spans="3:40" x14ac:dyDescent="0.3">
      <c r="C366" s="102"/>
      <c r="F366" s="172"/>
      <c r="H366" s="172"/>
      <c r="I366" s="172"/>
      <c r="J366" s="181"/>
      <c r="K366" s="181"/>
      <c r="L366" s="172"/>
      <c r="M366" s="172"/>
      <c r="N366" s="141"/>
      <c r="O366" s="141"/>
      <c r="P366" s="172"/>
      <c r="Q366" s="172"/>
      <c r="R366" s="172"/>
      <c r="T366" s="102"/>
      <c r="V366" s="110"/>
      <c r="Y366" s="110"/>
      <c r="Z366" s="198"/>
      <c r="AA366" s="110"/>
      <c r="AB366" s="110"/>
      <c r="AC366" s="141"/>
      <c r="AD366" s="141"/>
      <c r="AH366" s="207"/>
      <c r="AI366" s="110"/>
      <c r="AJ366" s="110"/>
      <c r="AL366" s="110"/>
      <c r="AM366" s="141"/>
      <c r="AN366" s="141"/>
    </row>
    <row r="367" spans="3:40" x14ac:dyDescent="0.3">
      <c r="F367" s="210"/>
      <c r="H367" s="210"/>
      <c r="I367" s="210"/>
      <c r="J367" s="217"/>
      <c r="K367" s="217"/>
      <c r="L367" s="210"/>
      <c r="M367" s="210"/>
      <c r="N367" s="210"/>
      <c r="O367" s="210"/>
      <c r="P367" s="210"/>
      <c r="Q367" s="210"/>
      <c r="R367" s="210"/>
      <c r="V367" s="101"/>
      <c r="Y367" s="101"/>
      <c r="AA367" s="101"/>
      <c r="AB367" s="101"/>
      <c r="AC367" s="101"/>
      <c r="AD367" s="101"/>
      <c r="AE367" s="101"/>
      <c r="AF367" s="101"/>
      <c r="AG367" s="191"/>
      <c r="AH367" s="101"/>
      <c r="AI367" s="101"/>
      <c r="AJ367" s="101"/>
      <c r="AK367" s="191"/>
      <c r="AL367" s="101"/>
      <c r="AM367" s="101"/>
      <c r="AN367" s="101"/>
    </row>
    <row r="368" spans="3:40" x14ac:dyDescent="0.3">
      <c r="F368" s="172"/>
      <c r="H368" s="172"/>
      <c r="I368" s="172"/>
      <c r="J368" s="227"/>
      <c r="K368" s="227"/>
      <c r="L368" s="110"/>
      <c r="M368" s="110"/>
      <c r="N368" s="141"/>
      <c r="O368" s="141"/>
      <c r="P368" s="110"/>
      <c r="Q368" s="110"/>
      <c r="R368" s="110"/>
    </row>
    <row r="369" spans="1:40" x14ac:dyDescent="0.3">
      <c r="A369" s="99"/>
      <c r="F369" s="172"/>
      <c r="H369" s="172"/>
      <c r="I369" s="172"/>
      <c r="J369" s="181"/>
      <c r="K369" s="181"/>
      <c r="L369" s="110"/>
      <c r="M369" s="110"/>
      <c r="N369" s="141"/>
      <c r="O369" s="141"/>
      <c r="P369" s="110"/>
      <c r="Q369" s="110"/>
      <c r="R369" s="110"/>
    </row>
    <row r="370" spans="1:40" x14ac:dyDescent="0.3">
      <c r="F370" s="172"/>
      <c r="H370" s="172"/>
      <c r="I370" s="172"/>
      <c r="J370" s="181"/>
      <c r="K370" s="181"/>
      <c r="L370" s="110"/>
      <c r="M370" s="110"/>
      <c r="N370" s="141"/>
      <c r="O370" s="141"/>
      <c r="P370" s="110"/>
      <c r="Q370" s="110"/>
      <c r="R370" s="110"/>
    </row>
    <row r="371" spans="1:40" x14ac:dyDescent="0.3">
      <c r="A371" s="99"/>
    </row>
    <row r="374" spans="1:40" x14ac:dyDescent="0.3">
      <c r="H374" s="99"/>
      <c r="I374" s="99"/>
      <c r="Y374" s="99"/>
    </row>
    <row r="376" spans="1:40" x14ac:dyDescent="0.3">
      <c r="L376" s="99"/>
      <c r="M376" s="99"/>
      <c r="AA376" s="99"/>
      <c r="AB376" s="99"/>
    </row>
    <row r="377" spans="1:40" x14ac:dyDescent="0.3">
      <c r="R377" s="99"/>
      <c r="AK377" s="190"/>
      <c r="AL377" s="99"/>
    </row>
    <row r="378" spans="1:40" x14ac:dyDescent="0.3">
      <c r="R378" s="99"/>
      <c r="AK378" s="190"/>
      <c r="AL378" s="99"/>
    </row>
    <row r="379" spans="1:40" x14ac:dyDescent="0.3">
      <c r="A379" s="99"/>
      <c r="R379" s="99"/>
      <c r="AK379" s="190"/>
      <c r="AL379" s="99"/>
    </row>
    <row r="380" spans="1:40" x14ac:dyDescent="0.3">
      <c r="L380" s="99"/>
      <c r="M380" s="99"/>
      <c r="AA380" s="99"/>
      <c r="AB380" s="99"/>
    </row>
    <row r="381" spans="1:40" x14ac:dyDescent="0.3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91"/>
      <c r="AH381" s="101"/>
      <c r="AI381" s="101"/>
      <c r="AJ381" s="101"/>
      <c r="AK381" s="191"/>
      <c r="AL381" s="101"/>
      <c r="AM381" s="101"/>
      <c r="AN381" s="101"/>
    </row>
    <row r="382" spans="1:40" x14ac:dyDescent="0.3">
      <c r="L382" s="102"/>
      <c r="M382" s="102"/>
      <c r="N382" s="102"/>
      <c r="O382" s="102"/>
      <c r="R382" s="102"/>
      <c r="AA382" s="102"/>
      <c r="AB382" s="102"/>
      <c r="AC382" s="102"/>
      <c r="AD382" s="102"/>
      <c r="AE382" s="102"/>
      <c r="AF382" s="102"/>
      <c r="AG382" s="151"/>
      <c r="AH382" s="102"/>
      <c r="AK382" s="151"/>
      <c r="AL382" s="102"/>
      <c r="AM382" s="102"/>
      <c r="AN382" s="102"/>
    </row>
    <row r="383" spans="1:40" x14ac:dyDescent="0.3">
      <c r="L383" s="102"/>
      <c r="M383" s="102"/>
      <c r="N383" s="102"/>
      <c r="O383" s="102"/>
      <c r="R383" s="102"/>
      <c r="Z383" s="102"/>
      <c r="AA383" s="102"/>
      <c r="AB383" s="102"/>
      <c r="AC383" s="102"/>
      <c r="AD383" s="102"/>
      <c r="AE383" s="102"/>
      <c r="AF383" s="102"/>
      <c r="AG383" s="151"/>
      <c r="AH383" s="102"/>
      <c r="AK383" s="151"/>
      <c r="AL383" s="102"/>
      <c r="AM383" s="102"/>
      <c r="AN383" s="102"/>
    </row>
    <row r="384" spans="1:40" x14ac:dyDescent="0.3">
      <c r="A384" s="102"/>
      <c r="C384" s="102"/>
      <c r="D384" s="102"/>
      <c r="E384" s="102"/>
      <c r="F384" s="102"/>
      <c r="J384" s="102"/>
      <c r="K384" s="102"/>
      <c r="L384" s="102"/>
      <c r="M384" s="102"/>
      <c r="N384" s="102"/>
      <c r="O384" s="102"/>
      <c r="P384" s="102"/>
      <c r="Q384" s="102"/>
      <c r="R384" s="102"/>
      <c r="T384" s="102"/>
      <c r="U384" s="102"/>
      <c r="V384" s="102"/>
      <c r="Z384" s="102"/>
      <c r="AA384" s="102"/>
      <c r="AB384" s="102"/>
      <c r="AC384" s="102"/>
      <c r="AD384" s="102"/>
      <c r="AE384" s="102"/>
      <c r="AF384" s="102"/>
      <c r="AG384" s="151"/>
      <c r="AH384" s="102"/>
      <c r="AI384" s="102"/>
      <c r="AJ384" s="102"/>
      <c r="AK384" s="151"/>
      <c r="AL384" s="102"/>
      <c r="AM384" s="102"/>
      <c r="AN384" s="102"/>
    </row>
    <row r="385" spans="1:40" x14ac:dyDescent="0.3">
      <c r="A385" s="102"/>
      <c r="C385" s="102"/>
      <c r="D385" s="102"/>
      <c r="E385" s="102"/>
      <c r="F385" s="102"/>
      <c r="H385" s="102"/>
      <c r="I385" s="102"/>
      <c r="J385" s="102"/>
      <c r="K385" s="102"/>
      <c r="L385" s="102"/>
      <c r="M385" s="102"/>
      <c r="N385" s="102"/>
      <c r="O385" s="102"/>
      <c r="P385" s="102"/>
      <c r="Q385" s="102"/>
      <c r="R385" s="102"/>
      <c r="T385" s="102"/>
      <c r="U385" s="102"/>
      <c r="V385" s="102"/>
      <c r="Y385" s="102"/>
      <c r="Z385" s="102"/>
      <c r="AA385" s="102"/>
      <c r="AB385" s="102"/>
      <c r="AC385" s="102"/>
      <c r="AD385" s="102"/>
      <c r="AE385" s="102"/>
      <c r="AF385" s="102"/>
      <c r="AG385" s="151"/>
      <c r="AH385" s="102"/>
      <c r="AI385" s="102"/>
      <c r="AJ385" s="102"/>
      <c r="AK385" s="151"/>
      <c r="AL385" s="102"/>
      <c r="AM385" s="102"/>
      <c r="AN385" s="102"/>
    </row>
    <row r="386" spans="1:40" x14ac:dyDescent="0.3">
      <c r="C386" s="102"/>
      <c r="D386" s="102"/>
      <c r="E386" s="102"/>
      <c r="F386" s="102"/>
      <c r="H386" s="102"/>
      <c r="I386" s="102"/>
      <c r="J386" s="102"/>
      <c r="K386" s="102"/>
      <c r="L386" s="102"/>
      <c r="M386" s="102"/>
      <c r="N386" s="102"/>
      <c r="O386" s="102"/>
      <c r="P386" s="102"/>
      <c r="Q386" s="102"/>
      <c r="R386" s="102"/>
      <c r="T386" s="102"/>
      <c r="U386" s="102"/>
      <c r="V386" s="102"/>
      <c r="Y386" s="102"/>
      <c r="Z386" s="102"/>
      <c r="AA386" s="102"/>
      <c r="AB386" s="102"/>
      <c r="AC386" s="102"/>
      <c r="AD386" s="102"/>
      <c r="AE386" s="102"/>
      <c r="AF386" s="102"/>
      <c r="AG386" s="151"/>
      <c r="AH386" s="102"/>
      <c r="AI386" s="102"/>
      <c r="AJ386" s="102"/>
      <c r="AK386" s="151"/>
      <c r="AL386" s="102"/>
      <c r="AM386" s="102"/>
      <c r="AN386" s="102"/>
    </row>
    <row r="387" spans="1:40" x14ac:dyDescent="0.3">
      <c r="A387" s="101"/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T387" s="101"/>
      <c r="U387" s="101"/>
      <c r="V387" s="101"/>
      <c r="W387" s="101"/>
      <c r="X387" s="101"/>
      <c r="Y387" s="101"/>
      <c r="Z387" s="101"/>
      <c r="AA387" s="101"/>
      <c r="AB387" s="101"/>
      <c r="AC387" s="101"/>
      <c r="AD387" s="101"/>
      <c r="AE387" s="101"/>
      <c r="AF387" s="101"/>
      <c r="AG387" s="191"/>
      <c r="AH387" s="101"/>
      <c r="AI387" s="101"/>
      <c r="AJ387" s="101"/>
      <c r="AK387" s="191"/>
      <c r="AL387" s="101"/>
      <c r="AM387" s="101"/>
      <c r="AN387" s="101"/>
    </row>
    <row r="388" spans="1:40" x14ac:dyDescent="0.3">
      <c r="H388" s="102"/>
      <c r="I388" s="102"/>
      <c r="J388" s="102"/>
      <c r="K388" s="102"/>
      <c r="L388" s="102"/>
      <c r="M388" s="102"/>
      <c r="N388" s="102"/>
      <c r="O388" s="102"/>
      <c r="P388" s="102"/>
      <c r="Q388" s="102"/>
      <c r="R388" s="102"/>
      <c r="Y388" s="102"/>
      <c r="Z388" s="102"/>
      <c r="AA388" s="102"/>
      <c r="AB388" s="102"/>
      <c r="AC388" s="102"/>
      <c r="AD388" s="102"/>
      <c r="AE388" s="102"/>
      <c r="AF388" s="102"/>
      <c r="AG388" s="151"/>
      <c r="AH388" s="102"/>
      <c r="AI388" s="102"/>
      <c r="AJ388" s="102"/>
      <c r="AK388" s="151"/>
      <c r="AL388" s="102"/>
      <c r="AM388" s="102"/>
      <c r="AN388" s="102"/>
    </row>
    <row r="389" spans="1:40" x14ac:dyDescent="0.3">
      <c r="C389" s="99"/>
      <c r="D389" s="99"/>
      <c r="E389" s="99"/>
      <c r="T389" s="99"/>
      <c r="U389" s="99"/>
    </row>
    <row r="391" spans="1:40" x14ac:dyDescent="0.3">
      <c r="C391" s="99"/>
      <c r="T391" s="99"/>
    </row>
    <row r="392" spans="1:40" x14ac:dyDescent="0.3">
      <c r="C392" s="99"/>
      <c r="F392" s="172"/>
      <c r="H392" s="172"/>
      <c r="I392" s="172"/>
      <c r="J392" s="217"/>
      <c r="K392" s="217"/>
      <c r="L392" s="110"/>
      <c r="M392" s="110"/>
      <c r="N392" s="141"/>
      <c r="O392" s="141"/>
      <c r="P392" s="110"/>
      <c r="Q392" s="110"/>
      <c r="R392" s="110"/>
      <c r="T392" s="99"/>
      <c r="V392" s="172"/>
      <c r="Y392" s="172"/>
      <c r="Z392" s="217"/>
      <c r="AA392" s="110"/>
      <c r="AB392" s="110"/>
      <c r="AC392" s="141"/>
      <c r="AD392" s="141"/>
      <c r="AE392" s="110"/>
      <c r="AF392" s="110"/>
      <c r="AH392" s="207"/>
      <c r="AI392" s="110"/>
      <c r="AJ392" s="110"/>
      <c r="AL392" s="110"/>
      <c r="AM392" s="141"/>
      <c r="AN392" s="141"/>
    </row>
    <row r="393" spans="1:40" x14ac:dyDescent="0.3">
      <c r="C393" s="99"/>
      <c r="T393" s="99"/>
    </row>
    <row r="394" spans="1:40" x14ac:dyDescent="0.3">
      <c r="C394" s="99"/>
      <c r="F394" s="172"/>
      <c r="H394" s="172"/>
      <c r="I394" s="172"/>
      <c r="J394" s="228"/>
      <c r="K394" s="228"/>
      <c r="L394" s="110"/>
      <c r="M394" s="110"/>
      <c r="N394" s="141"/>
      <c r="O394" s="141"/>
      <c r="P394" s="110"/>
      <c r="Q394" s="110"/>
      <c r="R394" s="110"/>
      <c r="T394" s="99"/>
      <c r="V394" s="110"/>
      <c r="Y394" s="110"/>
      <c r="Z394" s="228"/>
      <c r="AA394" s="110"/>
      <c r="AB394" s="110"/>
      <c r="AC394" s="141"/>
      <c r="AD394" s="141"/>
      <c r="AE394" s="110"/>
      <c r="AF394" s="110"/>
      <c r="AH394" s="207"/>
      <c r="AI394" s="110"/>
      <c r="AJ394" s="110"/>
      <c r="AL394" s="110"/>
      <c r="AM394" s="141"/>
      <c r="AN394" s="141"/>
    </row>
    <row r="395" spans="1:40" x14ac:dyDescent="0.3">
      <c r="C395" s="99"/>
      <c r="F395" s="172"/>
      <c r="H395" s="172"/>
      <c r="I395" s="172"/>
      <c r="J395" s="228"/>
      <c r="K395" s="228"/>
      <c r="L395" s="110"/>
      <c r="M395" s="110"/>
      <c r="N395" s="141"/>
      <c r="O395" s="141"/>
      <c r="P395" s="110"/>
      <c r="Q395" s="110"/>
      <c r="R395" s="110"/>
      <c r="T395" s="99"/>
      <c r="V395" s="110"/>
      <c r="Y395" s="110"/>
      <c r="Z395" s="228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1:40" x14ac:dyDescent="0.3">
      <c r="C396" s="99"/>
      <c r="F396" s="172"/>
      <c r="H396" s="172"/>
      <c r="I396" s="172"/>
      <c r="J396" s="228"/>
      <c r="K396" s="228"/>
      <c r="L396" s="110"/>
      <c r="M396" s="110"/>
      <c r="N396" s="141"/>
      <c r="O396" s="141"/>
      <c r="P396" s="110"/>
      <c r="Q396" s="110"/>
      <c r="R396" s="110"/>
      <c r="T396" s="99"/>
      <c r="V396" s="110"/>
      <c r="Y396" s="110"/>
      <c r="Z396" s="228"/>
      <c r="AA396" s="110"/>
      <c r="AB396" s="110"/>
      <c r="AC396" s="141"/>
      <c r="AD396" s="141"/>
      <c r="AE396" s="110"/>
      <c r="AF396" s="110"/>
      <c r="AH396" s="207"/>
      <c r="AI396" s="110"/>
      <c r="AJ396" s="110"/>
      <c r="AL396" s="110"/>
      <c r="AM396" s="141"/>
      <c r="AN396" s="141"/>
    </row>
    <row r="397" spans="1:40" x14ac:dyDescent="0.3">
      <c r="C397" s="99"/>
      <c r="F397" s="172"/>
      <c r="H397" s="172"/>
      <c r="I397" s="172"/>
      <c r="J397" s="228"/>
      <c r="K397" s="228"/>
      <c r="L397" s="110"/>
      <c r="M397" s="110"/>
      <c r="N397" s="141"/>
      <c r="O397" s="141"/>
      <c r="P397" s="110"/>
      <c r="Q397" s="110"/>
      <c r="R397" s="110"/>
      <c r="T397" s="99"/>
      <c r="V397" s="110"/>
      <c r="Y397" s="110"/>
      <c r="Z397" s="228"/>
      <c r="AA397" s="110"/>
      <c r="AB397" s="110"/>
      <c r="AC397" s="141"/>
      <c r="AD397" s="141"/>
      <c r="AE397" s="110"/>
      <c r="AF397" s="110"/>
      <c r="AH397" s="207"/>
      <c r="AI397" s="110"/>
      <c r="AJ397" s="110"/>
      <c r="AL397" s="110"/>
      <c r="AM397" s="141"/>
      <c r="AN397" s="141"/>
    </row>
    <row r="398" spans="1:40" x14ac:dyDescent="0.3">
      <c r="C398" s="99"/>
      <c r="J398" s="163"/>
      <c r="K398" s="163"/>
      <c r="T398" s="99"/>
      <c r="Z398" s="163"/>
    </row>
    <row r="399" spans="1:40" x14ac:dyDescent="0.3">
      <c r="C399" s="99"/>
      <c r="F399" s="172"/>
      <c r="H399" s="172"/>
      <c r="I399" s="172"/>
      <c r="J399" s="228"/>
      <c r="K399" s="228"/>
      <c r="L399" s="110"/>
      <c r="M399" s="110"/>
      <c r="N399" s="141"/>
      <c r="O399" s="141"/>
      <c r="P399" s="110"/>
      <c r="Q399" s="110"/>
      <c r="R399" s="110"/>
      <c r="T399" s="99"/>
      <c r="V399" s="110"/>
      <c r="Y399" s="110"/>
      <c r="Z399" s="228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1:40" x14ac:dyDescent="0.3">
      <c r="C400" s="99"/>
      <c r="F400" s="172"/>
      <c r="H400" s="172"/>
      <c r="I400" s="172"/>
      <c r="J400" s="228"/>
      <c r="K400" s="228"/>
      <c r="L400" s="110"/>
      <c r="M400" s="110"/>
      <c r="N400" s="141"/>
      <c r="O400" s="141"/>
      <c r="P400" s="110"/>
      <c r="Q400" s="110"/>
      <c r="R400" s="110"/>
      <c r="T400" s="99"/>
      <c r="V400" s="110"/>
      <c r="Y400" s="110"/>
      <c r="Z400" s="228"/>
      <c r="AA400" s="110"/>
      <c r="AB400" s="110"/>
      <c r="AC400" s="141"/>
      <c r="AD400" s="141"/>
      <c r="AE400" s="110"/>
      <c r="AF400" s="110"/>
      <c r="AH400" s="207"/>
      <c r="AI400" s="110"/>
      <c r="AJ400" s="110"/>
      <c r="AL400" s="110"/>
      <c r="AM400" s="141"/>
      <c r="AN400" s="141"/>
    </row>
    <row r="401" spans="3:40" x14ac:dyDescent="0.3">
      <c r="C401" s="99"/>
      <c r="F401" s="172"/>
      <c r="H401" s="172"/>
      <c r="I401" s="172"/>
      <c r="J401" s="228"/>
      <c r="K401" s="228"/>
      <c r="L401" s="110"/>
      <c r="M401" s="110"/>
      <c r="N401" s="141"/>
      <c r="O401" s="141"/>
      <c r="P401" s="110"/>
      <c r="Q401" s="110"/>
      <c r="R401" s="110"/>
      <c r="T401" s="99"/>
      <c r="V401" s="110"/>
      <c r="Y401" s="110"/>
      <c r="Z401" s="228"/>
      <c r="AA401" s="110"/>
      <c r="AB401" s="110"/>
      <c r="AC401" s="141"/>
      <c r="AD401" s="141"/>
      <c r="AE401" s="110"/>
      <c r="AF401" s="110"/>
      <c r="AH401" s="207"/>
      <c r="AI401" s="110"/>
      <c r="AJ401" s="110"/>
      <c r="AL401" s="110"/>
      <c r="AM401" s="141"/>
      <c r="AN401" s="141"/>
    </row>
    <row r="402" spans="3:40" x14ac:dyDescent="0.3">
      <c r="C402" s="99"/>
      <c r="J402" s="163"/>
      <c r="K402" s="163"/>
      <c r="T402" s="99"/>
      <c r="Z402" s="163"/>
    </row>
    <row r="403" spans="3:40" x14ac:dyDescent="0.3">
      <c r="C403" s="99"/>
      <c r="F403" s="172"/>
      <c r="H403" s="172"/>
      <c r="I403" s="172"/>
      <c r="J403" s="228"/>
      <c r="K403" s="228"/>
      <c r="L403" s="110"/>
      <c r="M403" s="110"/>
      <c r="N403" s="141"/>
      <c r="O403" s="141"/>
      <c r="P403" s="110"/>
      <c r="Q403" s="110"/>
      <c r="R403" s="110"/>
      <c r="T403" s="99"/>
      <c r="V403" s="110"/>
      <c r="Y403" s="110"/>
      <c r="Z403" s="228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3:40" x14ac:dyDescent="0.3">
      <c r="C404" s="99"/>
      <c r="F404" s="172"/>
      <c r="H404" s="172"/>
      <c r="I404" s="172"/>
      <c r="J404" s="228"/>
      <c r="K404" s="228"/>
      <c r="L404" s="110"/>
      <c r="M404" s="110"/>
      <c r="N404" s="141"/>
      <c r="O404" s="141"/>
      <c r="P404" s="110"/>
      <c r="Q404" s="110"/>
      <c r="R404" s="110"/>
      <c r="T404" s="99"/>
      <c r="V404" s="110"/>
      <c r="Y404" s="110"/>
      <c r="Z404" s="228"/>
      <c r="AA404" s="110"/>
      <c r="AB404" s="110"/>
      <c r="AC404" s="141"/>
      <c r="AD404" s="141"/>
      <c r="AE404" s="110"/>
      <c r="AF404" s="110"/>
      <c r="AH404" s="207"/>
      <c r="AI404" s="110"/>
      <c r="AJ404" s="110"/>
      <c r="AL404" s="110"/>
      <c r="AM404" s="141"/>
      <c r="AN404" s="141"/>
    </row>
    <row r="405" spans="3:40" x14ac:dyDescent="0.3">
      <c r="C405" s="99"/>
      <c r="J405" s="163"/>
      <c r="K405" s="163"/>
      <c r="T405" s="99"/>
      <c r="Z405" s="163"/>
    </row>
    <row r="406" spans="3:40" x14ac:dyDescent="0.3">
      <c r="C406" s="99"/>
      <c r="F406" s="172"/>
      <c r="H406" s="172"/>
      <c r="I406" s="172"/>
      <c r="J406" s="228"/>
      <c r="K406" s="228"/>
      <c r="L406" s="110"/>
      <c r="M406" s="110"/>
      <c r="N406" s="141"/>
      <c r="O406" s="141"/>
      <c r="P406" s="110"/>
      <c r="Q406" s="110"/>
      <c r="R406" s="110"/>
      <c r="T406" s="99"/>
      <c r="V406" s="110"/>
      <c r="Y406" s="110"/>
      <c r="Z406" s="228"/>
      <c r="AA406" s="110"/>
      <c r="AB406" s="110"/>
      <c r="AC406" s="141"/>
      <c r="AD406" s="141"/>
      <c r="AE406" s="110"/>
      <c r="AF406" s="110"/>
      <c r="AH406" s="207"/>
      <c r="AI406" s="110"/>
      <c r="AJ406" s="110"/>
      <c r="AL406" s="110"/>
      <c r="AM406" s="141"/>
      <c r="AN406" s="141"/>
    </row>
    <row r="407" spans="3:40" x14ac:dyDescent="0.3">
      <c r="C407" s="99"/>
      <c r="F407" s="172"/>
      <c r="H407" s="172"/>
      <c r="I407" s="172"/>
      <c r="J407" s="228"/>
      <c r="K407" s="228"/>
      <c r="L407" s="110"/>
      <c r="M407" s="110"/>
      <c r="N407" s="141"/>
      <c r="O407" s="141"/>
      <c r="P407" s="110"/>
      <c r="Q407" s="110"/>
      <c r="R407" s="110"/>
      <c r="T407" s="99"/>
      <c r="V407" s="110"/>
      <c r="Y407" s="110"/>
      <c r="Z407" s="228"/>
      <c r="AA407" s="110"/>
      <c r="AB407" s="110"/>
      <c r="AC407" s="141"/>
      <c r="AD407" s="141"/>
      <c r="AE407" s="110"/>
      <c r="AF407" s="110"/>
      <c r="AH407" s="207"/>
      <c r="AI407" s="110"/>
      <c r="AJ407" s="110"/>
      <c r="AL407" s="110"/>
      <c r="AM407" s="141"/>
      <c r="AN407" s="141"/>
    </row>
    <row r="408" spans="3:40" x14ac:dyDescent="0.3">
      <c r="C408" s="99"/>
      <c r="F408" s="172"/>
      <c r="H408" s="172"/>
      <c r="I408" s="172"/>
      <c r="J408" s="228"/>
      <c r="K408" s="228"/>
      <c r="L408" s="110"/>
      <c r="M408" s="110"/>
      <c r="N408" s="141"/>
      <c r="O408" s="141"/>
      <c r="P408" s="110"/>
      <c r="Q408" s="110"/>
      <c r="R408" s="110"/>
      <c r="T408" s="99"/>
      <c r="V408" s="110"/>
      <c r="Y408" s="110"/>
      <c r="Z408" s="228"/>
      <c r="AA408" s="110"/>
      <c r="AB408" s="110"/>
      <c r="AC408" s="141"/>
      <c r="AD408" s="141"/>
      <c r="AE408" s="110"/>
      <c r="AF408" s="110"/>
      <c r="AH408" s="207"/>
      <c r="AI408" s="110"/>
      <c r="AJ408" s="110"/>
      <c r="AL408" s="110"/>
      <c r="AM408" s="141"/>
      <c r="AN408" s="141"/>
    </row>
    <row r="409" spans="3:40" x14ac:dyDescent="0.3">
      <c r="F409" s="192"/>
      <c r="H409" s="192"/>
      <c r="I409" s="192"/>
      <c r="J409" s="228"/>
      <c r="K409" s="228"/>
      <c r="L409" s="192"/>
      <c r="M409" s="192"/>
      <c r="N409" s="192"/>
      <c r="O409" s="192"/>
      <c r="P409" s="192"/>
      <c r="Q409" s="192"/>
      <c r="R409" s="192"/>
      <c r="V409" s="192"/>
      <c r="Y409" s="192"/>
      <c r="Z409" s="228"/>
      <c r="AA409" s="192"/>
      <c r="AB409" s="192"/>
      <c r="AC409" s="192"/>
      <c r="AD409" s="192"/>
      <c r="AE409" s="192"/>
      <c r="AF409" s="192"/>
      <c r="AI409" s="192"/>
      <c r="AJ409" s="192"/>
      <c r="AK409" s="194"/>
      <c r="AL409" s="192"/>
    </row>
    <row r="410" spans="3:40" x14ac:dyDescent="0.3">
      <c r="C410" s="102"/>
      <c r="F410" s="110"/>
      <c r="H410" s="110"/>
      <c r="I410" s="110"/>
      <c r="J410" s="163"/>
      <c r="K410" s="163"/>
      <c r="L410" s="110"/>
      <c r="M410" s="110"/>
      <c r="N410" s="207"/>
      <c r="O410" s="207"/>
      <c r="P410" s="110"/>
      <c r="Q410" s="110"/>
      <c r="R410" s="110"/>
      <c r="T410" s="102"/>
      <c r="V410" s="110"/>
      <c r="Y410" s="110"/>
      <c r="Z410" s="163"/>
      <c r="AA410" s="110"/>
      <c r="AB410" s="110"/>
      <c r="AC410" s="110"/>
      <c r="AD410" s="110"/>
      <c r="AE410" s="110"/>
      <c r="AF410" s="110"/>
      <c r="AH410" s="207"/>
      <c r="AI410" s="110"/>
      <c r="AJ410" s="110"/>
      <c r="AL410" s="110"/>
      <c r="AM410" s="141"/>
      <c r="AN410" s="141"/>
    </row>
    <row r="411" spans="3:40" x14ac:dyDescent="0.3">
      <c r="F411" s="192"/>
      <c r="H411" s="192"/>
      <c r="I411" s="192"/>
      <c r="J411" s="228"/>
      <c r="K411" s="228"/>
      <c r="L411" s="192"/>
      <c r="M411" s="192"/>
      <c r="N411" s="192"/>
      <c r="O411" s="192"/>
      <c r="P411" s="192"/>
      <c r="Q411" s="192"/>
      <c r="R411" s="192"/>
      <c r="V411" s="192"/>
      <c r="Y411" s="192"/>
      <c r="Z411" s="228"/>
      <c r="AA411" s="192"/>
      <c r="AB411" s="192"/>
      <c r="AC411" s="192"/>
      <c r="AD411" s="192"/>
      <c r="AE411" s="192"/>
      <c r="AF411" s="192"/>
      <c r="AI411" s="192"/>
      <c r="AJ411" s="192"/>
      <c r="AK411" s="194"/>
      <c r="AL411" s="192"/>
    </row>
    <row r="412" spans="3:40" x14ac:dyDescent="0.3">
      <c r="C412" s="99"/>
      <c r="J412" s="163"/>
      <c r="K412" s="163"/>
      <c r="T412" s="99"/>
      <c r="Z412" s="163"/>
    </row>
    <row r="413" spans="3:40" x14ac:dyDescent="0.3">
      <c r="C413" s="99"/>
      <c r="J413" s="163"/>
      <c r="K413" s="163"/>
      <c r="T413" s="99"/>
      <c r="Z413" s="163"/>
    </row>
    <row r="414" spans="3:40" x14ac:dyDescent="0.3">
      <c r="C414" s="99"/>
      <c r="F414" s="172"/>
      <c r="H414" s="172"/>
      <c r="I414" s="172"/>
      <c r="J414" s="228"/>
      <c r="K414" s="228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228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F415" s="172"/>
      <c r="H415" s="172"/>
      <c r="I415" s="172"/>
      <c r="J415" s="228"/>
      <c r="K415" s="228"/>
      <c r="L415" s="110"/>
      <c r="M415" s="110"/>
      <c r="N415" s="141"/>
      <c r="O415" s="141"/>
      <c r="P415" s="110"/>
      <c r="Q415" s="110"/>
      <c r="R415" s="110"/>
      <c r="T415" s="99"/>
      <c r="V415" s="110"/>
      <c r="Y415" s="110"/>
      <c r="Z415" s="228"/>
      <c r="AA415" s="110"/>
      <c r="AB415" s="110"/>
      <c r="AC415" s="141"/>
      <c r="AD415" s="141"/>
      <c r="AE415" s="110"/>
      <c r="AF415" s="110"/>
      <c r="AH415" s="207"/>
      <c r="AI415" s="110"/>
      <c r="AJ415" s="110"/>
      <c r="AL415" s="110"/>
      <c r="AM415" s="141"/>
      <c r="AN415" s="141"/>
    </row>
    <row r="416" spans="3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C417" s="99"/>
      <c r="F417" s="172"/>
      <c r="H417" s="172"/>
      <c r="I417" s="172"/>
      <c r="J417" s="228"/>
      <c r="K417" s="228"/>
      <c r="L417" s="110"/>
      <c r="M417" s="110"/>
      <c r="N417" s="141"/>
      <c r="O417" s="141"/>
      <c r="P417" s="110"/>
      <c r="Q417" s="110"/>
      <c r="R417" s="110"/>
      <c r="T417" s="99"/>
      <c r="V417" s="110"/>
      <c r="Y417" s="110"/>
      <c r="Z417" s="228"/>
      <c r="AA417" s="110"/>
      <c r="AB417" s="110"/>
      <c r="AC417" s="141"/>
      <c r="AD417" s="141"/>
      <c r="AE417" s="110"/>
      <c r="AF417" s="110"/>
      <c r="AH417" s="207"/>
      <c r="AI417" s="110"/>
      <c r="AJ417" s="110"/>
      <c r="AL417" s="110"/>
      <c r="AM417" s="141"/>
      <c r="AN417" s="141"/>
    </row>
    <row r="418" spans="3:40" x14ac:dyDescent="0.3">
      <c r="C418" s="99"/>
      <c r="F418" s="172"/>
      <c r="H418" s="172"/>
      <c r="I418" s="172"/>
      <c r="J418" s="228"/>
      <c r="K418" s="228"/>
      <c r="L418" s="110"/>
      <c r="M418" s="110"/>
      <c r="N418" s="141"/>
      <c r="O418" s="141"/>
      <c r="P418" s="110"/>
      <c r="Q418" s="110"/>
      <c r="R418" s="110"/>
      <c r="T418" s="99"/>
      <c r="V418" s="110"/>
      <c r="Y418" s="110"/>
      <c r="Z418" s="228"/>
      <c r="AA418" s="110"/>
      <c r="AB418" s="110"/>
      <c r="AC418" s="141"/>
      <c r="AD418" s="141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C419" s="99"/>
      <c r="F419" s="172"/>
      <c r="H419" s="172"/>
      <c r="I419" s="172"/>
      <c r="J419" s="228"/>
      <c r="K419" s="228"/>
      <c r="L419" s="110"/>
      <c r="M419" s="110"/>
      <c r="N419" s="141"/>
      <c r="O419" s="141"/>
      <c r="P419" s="110"/>
      <c r="Q419" s="110"/>
      <c r="R419" s="110"/>
      <c r="T419" s="99"/>
      <c r="V419" s="110"/>
      <c r="Y419" s="110"/>
      <c r="Z419" s="228"/>
      <c r="AA419" s="110"/>
      <c r="AB419" s="110"/>
      <c r="AC419" s="141"/>
      <c r="AD419" s="141"/>
      <c r="AE419" s="110"/>
      <c r="AF419" s="110"/>
      <c r="AH419" s="207"/>
      <c r="AI419" s="110"/>
      <c r="AJ419" s="110"/>
      <c r="AL419" s="110"/>
      <c r="AM419" s="141"/>
      <c r="AN419" s="141"/>
    </row>
    <row r="420" spans="3:40" x14ac:dyDescent="0.3">
      <c r="C420" s="99"/>
      <c r="F420" s="172"/>
      <c r="H420" s="172"/>
      <c r="I420" s="172"/>
      <c r="J420" s="228"/>
      <c r="K420" s="228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28"/>
      <c r="AA420" s="110"/>
      <c r="AB420" s="110"/>
      <c r="AC420" s="141"/>
      <c r="AD420" s="141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C421" s="99"/>
      <c r="J421" s="163"/>
      <c r="K421" s="163"/>
      <c r="T421" s="99"/>
      <c r="Z421" s="163"/>
    </row>
    <row r="422" spans="3:40" x14ac:dyDescent="0.3">
      <c r="C422" s="99"/>
      <c r="F422" s="172"/>
      <c r="H422" s="172"/>
      <c r="I422" s="172"/>
      <c r="J422" s="228"/>
      <c r="K422" s="228"/>
      <c r="L422" s="110"/>
      <c r="M422" s="110"/>
      <c r="N422" s="141"/>
      <c r="O422" s="141"/>
      <c r="P422" s="110"/>
      <c r="Q422" s="110"/>
      <c r="R422" s="110"/>
      <c r="T422" s="99"/>
      <c r="V422" s="110"/>
      <c r="Y422" s="110"/>
      <c r="Z422" s="228"/>
      <c r="AA422" s="110"/>
      <c r="AB422" s="110"/>
      <c r="AC422" s="141"/>
      <c r="AD422" s="141"/>
      <c r="AE422" s="110"/>
      <c r="AF422" s="110"/>
      <c r="AH422" s="207"/>
      <c r="AI422" s="110"/>
      <c r="AJ422" s="110"/>
      <c r="AL422" s="110"/>
      <c r="AM422" s="141"/>
      <c r="AN422" s="141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C426" s="99"/>
      <c r="J426" s="163"/>
      <c r="K426" s="163"/>
      <c r="T426" s="99"/>
      <c r="Z426" s="163"/>
    </row>
    <row r="427" spans="3:40" x14ac:dyDescent="0.3">
      <c r="C427" s="99"/>
      <c r="F427" s="172"/>
      <c r="H427" s="172"/>
      <c r="I427" s="172"/>
      <c r="J427" s="228"/>
      <c r="K427" s="228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8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C428" s="99"/>
      <c r="F428" s="172"/>
      <c r="H428" s="172"/>
      <c r="I428" s="172"/>
      <c r="J428" s="228"/>
      <c r="K428" s="228"/>
      <c r="L428" s="110"/>
      <c r="M428" s="110"/>
      <c r="N428" s="141"/>
      <c r="O428" s="141"/>
      <c r="P428" s="110"/>
      <c r="Q428" s="110"/>
      <c r="R428" s="110"/>
      <c r="T428" s="99"/>
      <c r="V428" s="110"/>
      <c r="Y428" s="110"/>
      <c r="Z428" s="228"/>
      <c r="AA428" s="110"/>
      <c r="AB428" s="110"/>
      <c r="AC428" s="141"/>
      <c r="AD428" s="141"/>
      <c r="AE428" s="110"/>
      <c r="AF428" s="110"/>
      <c r="AH428" s="207"/>
      <c r="AI428" s="110"/>
      <c r="AJ428" s="110"/>
      <c r="AL428" s="110"/>
      <c r="AM428" s="141"/>
      <c r="AN428" s="141"/>
    </row>
    <row r="429" spans="3:40" x14ac:dyDescent="0.3">
      <c r="C429" s="99"/>
      <c r="F429" s="172"/>
      <c r="H429" s="172"/>
      <c r="I429" s="172"/>
      <c r="J429" s="228"/>
      <c r="K429" s="228"/>
      <c r="L429" s="110"/>
      <c r="M429" s="110"/>
      <c r="N429" s="141"/>
      <c r="O429" s="141"/>
      <c r="P429" s="110"/>
      <c r="Q429" s="110"/>
      <c r="R429" s="110"/>
      <c r="T429" s="99"/>
      <c r="V429" s="110"/>
      <c r="Y429" s="110"/>
      <c r="Z429" s="228"/>
      <c r="AA429" s="110"/>
      <c r="AB429" s="110"/>
      <c r="AC429" s="141"/>
      <c r="AD429" s="141"/>
      <c r="AE429" s="110"/>
      <c r="AF429" s="110"/>
      <c r="AH429" s="207"/>
      <c r="AI429" s="110"/>
      <c r="AJ429" s="110"/>
      <c r="AL429" s="110"/>
      <c r="AM429" s="141"/>
      <c r="AN429" s="141"/>
    </row>
    <row r="430" spans="3:40" x14ac:dyDescent="0.3">
      <c r="C430" s="99"/>
      <c r="F430" s="172"/>
      <c r="H430" s="172"/>
      <c r="I430" s="172"/>
      <c r="J430" s="228"/>
      <c r="K430" s="228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228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F431" s="172"/>
      <c r="H431" s="172"/>
      <c r="I431" s="172"/>
      <c r="J431" s="228"/>
      <c r="K431" s="228"/>
      <c r="L431" s="110"/>
      <c r="M431" s="110"/>
      <c r="N431" s="141"/>
      <c r="O431" s="141"/>
      <c r="P431" s="110"/>
      <c r="Q431" s="110"/>
      <c r="R431" s="110"/>
      <c r="T431" s="99"/>
      <c r="V431" s="110"/>
      <c r="Y431" s="110"/>
      <c r="Z431" s="228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3:40" x14ac:dyDescent="0.3">
      <c r="F432" s="192"/>
      <c r="H432" s="192"/>
      <c r="I432" s="192"/>
      <c r="J432" s="217"/>
      <c r="K432" s="217"/>
      <c r="L432" s="192"/>
      <c r="M432" s="192"/>
      <c r="N432" s="192"/>
      <c r="O432" s="192"/>
      <c r="P432" s="192"/>
      <c r="Q432" s="192"/>
      <c r="R432" s="192"/>
      <c r="V432" s="192"/>
      <c r="Y432" s="192"/>
      <c r="Z432" s="228"/>
      <c r="AA432" s="192"/>
      <c r="AB432" s="192"/>
      <c r="AC432" s="192"/>
      <c r="AD432" s="192"/>
      <c r="AE432" s="192"/>
      <c r="AF432" s="192"/>
      <c r="AI432" s="192"/>
      <c r="AJ432" s="192"/>
      <c r="AK432" s="194"/>
      <c r="AL432" s="192"/>
    </row>
    <row r="433" spans="1:40" x14ac:dyDescent="0.3">
      <c r="C433" s="99"/>
      <c r="F433" s="110"/>
      <c r="H433" s="110"/>
      <c r="I433" s="110"/>
      <c r="L433" s="110"/>
      <c r="M433" s="110"/>
      <c r="N433" s="207"/>
      <c r="O433" s="207"/>
      <c r="P433" s="110"/>
      <c r="Q433" s="110"/>
      <c r="R433" s="110"/>
      <c r="T433" s="99"/>
      <c r="V433" s="110"/>
      <c r="Y433" s="110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1:40" x14ac:dyDescent="0.3">
      <c r="F434" s="192"/>
      <c r="H434" s="192"/>
      <c r="I434" s="192"/>
      <c r="J434" s="217"/>
      <c r="K434" s="217"/>
      <c r="L434" s="192"/>
      <c r="M434" s="192"/>
      <c r="N434" s="192"/>
      <c r="O434" s="192"/>
      <c r="P434" s="192"/>
      <c r="Q434" s="192"/>
      <c r="R434" s="192"/>
      <c r="V434" s="192"/>
      <c r="Y434" s="192"/>
      <c r="Z434" s="217"/>
      <c r="AA434" s="192"/>
      <c r="AB434" s="192"/>
      <c r="AC434" s="192"/>
      <c r="AD434" s="192"/>
      <c r="AE434" s="192"/>
      <c r="AF434" s="192"/>
      <c r="AI434" s="192"/>
      <c r="AJ434" s="192"/>
      <c r="AK434" s="194"/>
      <c r="AL434" s="192"/>
    </row>
    <row r="435" spans="1:40" x14ac:dyDescent="0.3">
      <c r="C435" s="99"/>
      <c r="T435" s="99"/>
    </row>
    <row r="436" spans="1:40" x14ac:dyDescent="0.3">
      <c r="C436" s="99"/>
      <c r="F436" s="172"/>
      <c r="H436" s="172"/>
      <c r="I436" s="172"/>
      <c r="J436" s="181"/>
      <c r="K436" s="181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Z436" s="181"/>
      <c r="AA436" s="110"/>
      <c r="AB436" s="110"/>
      <c r="AC436" s="141"/>
      <c r="AD436" s="141"/>
      <c r="AE436" s="110"/>
      <c r="AF436" s="110"/>
      <c r="AH436" s="207"/>
      <c r="AI436" s="110"/>
      <c r="AJ436" s="110"/>
      <c r="AL436" s="110"/>
      <c r="AM436" s="141"/>
      <c r="AN436" s="141"/>
    </row>
    <row r="437" spans="1:40" x14ac:dyDescent="0.3">
      <c r="C437" s="99"/>
      <c r="F437" s="172"/>
      <c r="H437" s="172"/>
      <c r="I437" s="172"/>
      <c r="J437" s="181"/>
      <c r="K437" s="181"/>
      <c r="L437" s="110"/>
      <c r="M437" s="110"/>
      <c r="N437" s="141"/>
      <c r="O437" s="141"/>
      <c r="P437" s="110"/>
      <c r="Q437" s="110"/>
      <c r="R437" s="110"/>
      <c r="T437" s="99"/>
      <c r="V437" s="110"/>
      <c r="Y437" s="110"/>
      <c r="Z437" s="181"/>
      <c r="AA437" s="110"/>
      <c r="AB437" s="110"/>
      <c r="AC437" s="141"/>
      <c r="AD437" s="141"/>
      <c r="AE437" s="110"/>
      <c r="AF437" s="110"/>
      <c r="AH437" s="207"/>
      <c r="AI437" s="110"/>
      <c r="AJ437" s="110"/>
      <c r="AL437" s="110"/>
      <c r="AM437" s="141"/>
      <c r="AN437" s="141"/>
    </row>
    <row r="438" spans="1:40" x14ac:dyDescent="0.3">
      <c r="F438" s="192"/>
      <c r="H438" s="110"/>
      <c r="I438" s="110"/>
      <c r="J438" s="217"/>
      <c r="K438" s="217"/>
      <c r="L438" s="192"/>
      <c r="M438" s="192"/>
      <c r="N438" s="192"/>
      <c r="O438" s="192"/>
      <c r="P438" s="192"/>
      <c r="Q438" s="192"/>
      <c r="R438" s="192"/>
      <c r="V438" s="192"/>
      <c r="Y438" s="110"/>
      <c r="Z438" s="217"/>
      <c r="AA438" s="192"/>
      <c r="AB438" s="192"/>
      <c r="AC438" s="192"/>
      <c r="AD438" s="192"/>
      <c r="AE438" s="192"/>
      <c r="AF438" s="192"/>
      <c r="AI438" s="192"/>
      <c r="AJ438" s="192"/>
      <c r="AK438" s="194"/>
      <c r="AL438" s="192"/>
    </row>
    <row r="439" spans="1:40" x14ac:dyDescent="0.3">
      <c r="F439" s="110"/>
      <c r="H439" s="110"/>
      <c r="I439" s="110"/>
      <c r="J439" s="217"/>
      <c r="K439" s="217"/>
      <c r="L439" s="110"/>
      <c r="M439" s="110"/>
      <c r="N439" s="110"/>
      <c r="O439" s="110"/>
      <c r="P439" s="110"/>
      <c r="Q439" s="110"/>
      <c r="R439" s="110"/>
      <c r="V439" s="110"/>
      <c r="Y439" s="110"/>
      <c r="Z439" s="217"/>
      <c r="AA439" s="110"/>
      <c r="AB439" s="110"/>
      <c r="AC439" s="110"/>
      <c r="AD439" s="110"/>
      <c r="AE439" s="110"/>
      <c r="AF439" s="110"/>
      <c r="AI439" s="110"/>
      <c r="AJ439" s="110"/>
      <c r="AL439" s="110"/>
    </row>
    <row r="440" spans="1:40" x14ac:dyDescent="0.3">
      <c r="C440" s="99"/>
      <c r="F440" s="110"/>
      <c r="H440" s="110"/>
      <c r="I440" s="110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AA440" s="110"/>
      <c r="AB440" s="110"/>
      <c r="AC440" s="141"/>
      <c r="AD440" s="141"/>
      <c r="AE440" s="110"/>
      <c r="AF440" s="110"/>
      <c r="AH440" s="207"/>
      <c r="AI440" s="172"/>
      <c r="AJ440" s="172"/>
      <c r="AL440" s="110"/>
      <c r="AM440" s="141"/>
      <c r="AN440" s="141"/>
    </row>
    <row r="441" spans="1:40" x14ac:dyDescent="0.3">
      <c r="F441" s="192"/>
      <c r="H441" s="192"/>
      <c r="I441" s="192"/>
      <c r="J441" s="217"/>
      <c r="K441" s="217"/>
      <c r="L441" s="192"/>
      <c r="M441" s="192"/>
      <c r="N441" s="192"/>
      <c r="O441" s="192"/>
      <c r="P441" s="192"/>
      <c r="Q441" s="192"/>
      <c r="R441" s="192"/>
      <c r="V441" s="192"/>
      <c r="Y441" s="192"/>
      <c r="Z441" s="217"/>
      <c r="AA441" s="192"/>
      <c r="AB441" s="192"/>
      <c r="AC441" s="192"/>
      <c r="AD441" s="192"/>
      <c r="AE441" s="192"/>
      <c r="AF441" s="192"/>
      <c r="AI441" s="192"/>
      <c r="AJ441" s="192"/>
      <c r="AK441" s="194"/>
      <c r="AL441" s="192"/>
    </row>
    <row r="443" spans="1:40" x14ac:dyDescent="0.3">
      <c r="A443" s="99"/>
      <c r="T443" s="99"/>
    </row>
    <row r="444" spans="1:40" x14ac:dyDescent="0.3">
      <c r="A444" s="99"/>
      <c r="T444" s="99"/>
    </row>
    <row r="445" spans="1:40" x14ac:dyDescent="0.3">
      <c r="A445" s="99"/>
      <c r="T445" s="99"/>
    </row>
    <row r="446" spans="1:40" x14ac:dyDescent="0.3">
      <c r="A446" s="99"/>
      <c r="T446" s="99"/>
    </row>
    <row r="447" spans="1:40" x14ac:dyDescent="0.3">
      <c r="A447" s="99"/>
      <c r="T447" s="99"/>
    </row>
    <row r="448" spans="1:40" x14ac:dyDescent="0.3">
      <c r="A448" s="99"/>
      <c r="T448" s="99"/>
    </row>
    <row r="449" spans="1:40" x14ac:dyDescent="0.3">
      <c r="A449" s="99"/>
      <c r="T449" s="99"/>
    </row>
    <row r="450" spans="1:40" x14ac:dyDescent="0.3">
      <c r="A450" s="99"/>
      <c r="T450" s="99"/>
    </row>
    <row r="451" spans="1:40" x14ac:dyDescent="0.3">
      <c r="A451" s="99"/>
      <c r="T451" s="99"/>
    </row>
    <row r="453" spans="1:40" x14ac:dyDescent="0.3">
      <c r="A453" s="99"/>
    </row>
    <row r="455" spans="1:40" x14ac:dyDescent="0.3">
      <c r="H455" s="99"/>
      <c r="I455" s="99"/>
      <c r="Y455" s="99"/>
    </row>
    <row r="457" spans="1:40" x14ac:dyDescent="0.3">
      <c r="L457" s="99"/>
      <c r="M457" s="99"/>
      <c r="AA457" s="99"/>
      <c r="AB457" s="99"/>
    </row>
    <row r="458" spans="1:40" x14ac:dyDescent="0.3">
      <c r="R458" s="99"/>
      <c r="AK458" s="190"/>
      <c r="AL458" s="99"/>
    </row>
    <row r="459" spans="1:40" x14ac:dyDescent="0.3">
      <c r="R459" s="99"/>
      <c r="AK459" s="190"/>
      <c r="AL459" s="99"/>
    </row>
    <row r="460" spans="1:40" x14ac:dyDescent="0.3">
      <c r="A460" s="99"/>
      <c r="R460" s="99"/>
      <c r="AK460" s="190"/>
      <c r="AL460" s="99"/>
    </row>
    <row r="461" spans="1:40" x14ac:dyDescent="0.3">
      <c r="L461" s="99"/>
      <c r="M461" s="99"/>
      <c r="AA461" s="99"/>
      <c r="AB461" s="99"/>
    </row>
    <row r="462" spans="1:40" x14ac:dyDescent="0.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91"/>
      <c r="AH462" s="101"/>
      <c r="AI462" s="101"/>
      <c r="AJ462" s="101"/>
      <c r="AK462" s="191"/>
      <c r="AL462" s="101"/>
      <c r="AM462" s="101"/>
      <c r="AN462" s="101"/>
    </row>
    <row r="463" spans="1:40" x14ac:dyDescent="0.3">
      <c r="L463" s="102"/>
      <c r="M463" s="102"/>
      <c r="N463" s="102"/>
      <c r="O463" s="102"/>
      <c r="R463" s="102"/>
      <c r="AA463" s="102"/>
      <c r="AB463" s="102"/>
      <c r="AC463" s="102"/>
      <c r="AD463" s="102"/>
      <c r="AE463" s="102"/>
      <c r="AF463" s="102"/>
      <c r="AG463" s="151"/>
      <c r="AH463" s="102"/>
      <c r="AK463" s="151"/>
      <c r="AL463" s="102"/>
      <c r="AM463" s="102"/>
      <c r="AN463" s="102"/>
    </row>
    <row r="464" spans="1:40" x14ac:dyDescent="0.3">
      <c r="L464" s="102"/>
      <c r="M464" s="102"/>
      <c r="N464" s="102"/>
      <c r="O464" s="102"/>
      <c r="R464" s="102"/>
      <c r="Z464" s="102"/>
      <c r="AA464" s="102"/>
      <c r="AB464" s="102"/>
      <c r="AC464" s="102"/>
      <c r="AD464" s="102"/>
      <c r="AE464" s="102"/>
      <c r="AF464" s="102"/>
      <c r="AG464" s="151"/>
      <c r="AH464" s="102"/>
      <c r="AK464" s="151"/>
      <c r="AL464" s="102"/>
      <c r="AM464" s="102"/>
      <c r="AN464" s="102"/>
    </row>
    <row r="465" spans="1:40" x14ac:dyDescent="0.3">
      <c r="A465" s="102"/>
      <c r="C465" s="102"/>
      <c r="D465" s="102"/>
      <c r="E465" s="102"/>
      <c r="F465" s="102"/>
      <c r="J465" s="102"/>
      <c r="K465" s="102"/>
      <c r="L465" s="102"/>
      <c r="M465" s="102"/>
      <c r="N465" s="102"/>
      <c r="O465" s="102"/>
      <c r="P465" s="102"/>
      <c r="Q465" s="102"/>
      <c r="R465" s="102"/>
      <c r="T465" s="102"/>
      <c r="U465" s="102"/>
      <c r="V465" s="102"/>
      <c r="Z465" s="102"/>
      <c r="AA465" s="102"/>
      <c r="AB465" s="102"/>
      <c r="AC465" s="102"/>
      <c r="AD465" s="102"/>
      <c r="AE465" s="102"/>
      <c r="AF465" s="102"/>
      <c r="AG465" s="151"/>
      <c r="AH465" s="102"/>
      <c r="AI465" s="102"/>
      <c r="AJ465" s="102"/>
      <c r="AK465" s="151"/>
      <c r="AL465" s="102"/>
      <c r="AM465" s="102"/>
      <c r="AN465" s="102"/>
    </row>
    <row r="466" spans="1:40" x14ac:dyDescent="0.3">
      <c r="A466" s="102"/>
      <c r="C466" s="102"/>
      <c r="D466" s="102"/>
      <c r="E466" s="102"/>
      <c r="F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T466" s="102"/>
      <c r="U466" s="102"/>
      <c r="V466" s="102"/>
      <c r="Y466" s="102"/>
      <c r="Z466" s="102"/>
      <c r="AA466" s="102"/>
      <c r="AB466" s="102"/>
      <c r="AC466" s="102"/>
      <c r="AD466" s="102"/>
      <c r="AE466" s="102"/>
      <c r="AF466" s="102"/>
      <c r="AG466" s="151"/>
      <c r="AH466" s="102"/>
      <c r="AI466" s="102"/>
      <c r="AJ466" s="102"/>
      <c r="AK466" s="151"/>
      <c r="AL466" s="102"/>
      <c r="AM466" s="102"/>
      <c r="AN466" s="102"/>
    </row>
    <row r="467" spans="1:40" x14ac:dyDescent="0.3">
      <c r="C467" s="102"/>
      <c r="D467" s="102"/>
      <c r="E467" s="102"/>
      <c r="F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T467" s="102"/>
      <c r="U467" s="102"/>
      <c r="V467" s="102"/>
      <c r="Y467" s="102"/>
      <c r="Z467" s="102"/>
      <c r="AA467" s="102"/>
      <c r="AB467" s="102"/>
      <c r="AC467" s="102"/>
      <c r="AD467" s="102"/>
      <c r="AE467" s="102"/>
      <c r="AF467" s="102"/>
      <c r="AG467" s="151"/>
      <c r="AH467" s="102"/>
      <c r="AI467" s="102"/>
      <c r="AJ467" s="102"/>
      <c r="AK467" s="151"/>
      <c r="AL467" s="102"/>
      <c r="AM467" s="102"/>
      <c r="AN467" s="102"/>
    </row>
    <row r="468" spans="1:40" x14ac:dyDescent="0.3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91"/>
      <c r="AH468" s="101"/>
      <c r="AI468" s="101"/>
      <c r="AJ468" s="101"/>
      <c r="AK468" s="191"/>
      <c r="AL468" s="101"/>
      <c r="AM468" s="101"/>
      <c r="AN468" s="101"/>
    </row>
    <row r="469" spans="1:40" x14ac:dyDescent="0.3"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Y469" s="102"/>
      <c r="Z469" s="102"/>
      <c r="AA469" s="102"/>
      <c r="AB469" s="102"/>
      <c r="AC469" s="102"/>
      <c r="AD469" s="102"/>
      <c r="AE469" s="102"/>
      <c r="AF469" s="102"/>
      <c r="AG469" s="151"/>
      <c r="AH469" s="102"/>
      <c r="AI469" s="102"/>
      <c r="AJ469" s="102"/>
      <c r="AK469" s="151"/>
      <c r="AL469" s="102"/>
      <c r="AM469" s="102"/>
      <c r="AN469" s="102"/>
    </row>
    <row r="470" spans="1:40" x14ac:dyDescent="0.3">
      <c r="C470" s="99"/>
      <c r="D470" s="99"/>
      <c r="E470" s="99"/>
      <c r="T470" s="99"/>
      <c r="U470" s="99"/>
    </row>
    <row r="471" spans="1:40" x14ac:dyDescent="0.3">
      <c r="D471" s="99"/>
      <c r="E471" s="99"/>
      <c r="U471" s="99"/>
    </row>
    <row r="473" spans="1:40" x14ac:dyDescent="0.3">
      <c r="C473" s="99"/>
      <c r="F473" s="110"/>
      <c r="J473" s="209"/>
      <c r="K473" s="209"/>
      <c r="L473" s="110"/>
      <c r="M473" s="110"/>
      <c r="R473" s="110"/>
      <c r="T473" s="99"/>
      <c r="V473" s="110"/>
      <c r="Z473" s="209"/>
      <c r="AA473" s="110"/>
      <c r="AB473" s="110"/>
      <c r="AH473" s="110"/>
      <c r="AL473" s="110"/>
    </row>
    <row r="474" spans="1:40" x14ac:dyDescent="0.3">
      <c r="C474" s="99"/>
      <c r="F474" s="110"/>
      <c r="R474" s="110"/>
      <c r="T474" s="99"/>
      <c r="V474" s="110"/>
      <c r="AH474" s="110"/>
      <c r="AL474" s="110"/>
    </row>
    <row r="475" spans="1:40" x14ac:dyDescent="0.3">
      <c r="AI475" s="110"/>
      <c r="AJ475" s="110"/>
      <c r="AL475" s="110"/>
      <c r="AM475" s="141"/>
      <c r="AN475" s="141"/>
    </row>
    <row r="476" spans="1:40" x14ac:dyDescent="0.3">
      <c r="C476" s="99"/>
      <c r="F476" s="172"/>
      <c r="H476" s="172"/>
      <c r="I476" s="172"/>
      <c r="J476" s="227"/>
      <c r="K476" s="227"/>
      <c r="L476" s="110"/>
      <c r="M476" s="110"/>
      <c r="N476" s="141"/>
      <c r="O476" s="141"/>
      <c r="P476" s="110"/>
      <c r="Q476" s="110"/>
      <c r="R476" s="110"/>
      <c r="T476" s="99"/>
      <c r="V476" s="110"/>
      <c r="Y476" s="110"/>
      <c r="Z476" s="227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141"/>
      <c r="AN476" s="141"/>
    </row>
    <row r="477" spans="1:40" x14ac:dyDescent="0.3">
      <c r="F477" s="110"/>
      <c r="H477" s="110"/>
      <c r="I477" s="110"/>
      <c r="J477" s="198"/>
      <c r="K477" s="198"/>
      <c r="L477" s="110"/>
      <c r="M477" s="110"/>
      <c r="P477" s="110"/>
      <c r="Q477" s="110"/>
      <c r="R477" s="110"/>
      <c r="V477" s="110"/>
      <c r="Y477" s="110"/>
      <c r="Z477" s="198"/>
      <c r="AA477" s="110"/>
      <c r="AB477" s="110"/>
      <c r="AI477" s="110"/>
      <c r="AJ477" s="110"/>
      <c r="AL477" s="110"/>
      <c r="AM477" s="141"/>
      <c r="AN477" s="141"/>
    </row>
    <row r="478" spans="1:40" x14ac:dyDescent="0.3">
      <c r="F478" s="110"/>
      <c r="R478" s="110"/>
      <c r="V478" s="110"/>
      <c r="AL478" s="110"/>
      <c r="AM478" s="141"/>
      <c r="AN478" s="141"/>
    </row>
    <row r="479" spans="1:40" x14ac:dyDescent="0.3">
      <c r="C479" s="99"/>
      <c r="F479" s="110"/>
      <c r="J479" s="209"/>
      <c r="K479" s="209"/>
      <c r="L479" s="110"/>
      <c r="M479" s="110"/>
      <c r="N479" s="141"/>
      <c r="O479" s="141"/>
      <c r="R479" s="110"/>
      <c r="T479" s="99"/>
      <c r="V479" s="110"/>
      <c r="Z479" s="209"/>
      <c r="AA479" s="110"/>
      <c r="AB479" s="110"/>
      <c r="AC479" s="141"/>
      <c r="AD479" s="141"/>
      <c r="AL479" s="110"/>
      <c r="AM479" s="141"/>
      <c r="AN479" s="141"/>
    </row>
    <row r="480" spans="1:40" x14ac:dyDescent="0.3">
      <c r="C480" s="99"/>
      <c r="F480" s="110"/>
      <c r="H480" s="110"/>
      <c r="I480" s="110"/>
      <c r="J480" s="209"/>
      <c r="K480" s="209"/>
      <c r="L480" s="110"/>
      <c r="M480" s="110"/>
      <c r="N480" s="141"/>
      <c r="O480" s="141"/>
      <c r="P480" s="110"/>
      <c r="Q480" s="110"/>
      <c r="R480" s="110"/>
      <c r="T480" s="99"/>
      <c r="V480" s="110"/>
      <c r="Y480" s="110"/>
      <c r="Z480" s="209"/>
      <c r="AA480" s="110"/>
      <c r="AB480" s="110"/>
      <c r="AC480" s="141"/>
      <c r="AD480" s="141"/>
      <c r="AI480" s="110"/>
      <c r="AJ480" s="110"/>
      <c r="AL480" s="110"/>
      <c r="AM480" s="141"/>
      <c r="AN480" s="141"/>
    </row>
    <row r="481" spans="1:40" x14ac:dyDescent="0.3">
      <c r="C481" s="99"/>
      <c r="T481" s="99"/>
      <c r="AM481" s="141"/>
      <c r="AN481" s="141"/>
    </row>
    <row r="482" spans="1:40" x14ac:dyDescent="0.3">
      <c r="C482" s="99"/>
      <c r="T482" s="99"/>
      <c r="AM482" s="141"/>
      <c r="AN482" s="141"/>
    </row>
    <row r="483" spans="1:40" x14ac:dyDescent="0.3">
      <c r="AM483" s="141"/>
      <c r="AN483" s="141"/>
    </row>
    <row r="484" spans="1:40" x14ac:dyDescent="0.3">
      <c r="C484" s="99"/>
      <c r="F484" s="172"/>
      <c r="H484" s="172"/>
      <c r="I484" s="172"/>
      <c r="J484" s="227"/>
      <c r="K484" s="227"/>
      <c r="L484" s="110"/>
      <c r="M484" s="110"/>
      <c r="N484" s="141"/>
      <c r="O484" s="141"/>
      <c r="P484" s="110"/>
      <c r="Q484" s="110"/>
      <c r="R484" s="110"/>
      <c r="T484" s="99"/>
      <c r="V484" s="110"/>
      <c r="Y484" s="110"/>
      <c r="Z484" s="227"/>
      <c r="AA484" s="110"/>
      <c r="AB484" s="110"/>
      <c r="AC484" s="141"/>
      <c r="AD484" s="141"/>
      <c r="AE484" s="110"/>
      <c r="AF484" s="110"/>
      <c r="AH484" s="207"/>
      <c r="AI484" s="110"/>
      <c r="AJ484" s="110"/>
      <c r="AL484" s="110"/>
      <c r="AM484" s="141"/>
      <c r="AN484" s="141"/>
    </row>
    <row r="485" spans="1:40" x14ac:dyDescent="0.3">
      <c r="F485" s="192"/>
      <c r="H485" s="192"/>
      <c r="I485" s="192"/>
      <c r="J485" s="217"/>
      <c r="K485" s="217"/>
      <c r="L485" s="192"/>
      <c r="M485" s="192"/>
      <c r="N485" s="192"/>
      <c r="O485" s="192"/>
      <c r="P485" s="192"/>
      <c r="Q485" s="192"/>
      <c r="R485" s="192"/>
      <c r="V485" s="192"/>
      <c r="Y485" s="192"/>
      <c r="Z485" s="217"/>
      <c r="AA485" s="192"/>
      <c r="AB485" s="192"/>
      <c r="AC485" s="192"/>
      <c r="AD485" s="192"/>
      <c r="AE485" s="192"/>
      <c r="AF485" s="192"/>
      <c r="AI485" s="192"/>
      <c r="AJ485" s="192"/>
      <c r="AK485" s="194"/>
      <c r="AL485" s="192"/>
      <c r="AM485" s="141"/>
      <c r="AN485" s="141"/>
    </row>
    <row r="486" spans="1:40" x14ac:dyDescent="0.3">
      <c r="H486" s="110"/>
      <c r="I486" s="110"/>
      <c r="Y486" s="110"/>
      <c r="AM486" s="141"/>
      <c r="AN486" s="141"/>
    </row>
    <row r="487" spans="1:40" x14ac:dyDescent="0.3">
      <c r="C487" s="99"/>
      <c r="F487" s="110"/>
      <c r="H487" s="110"/>
      <c r="I487" s="110"/>
      <c r="L487" s="110"/>
      <c r="M487" s="110"/>
      <c r="N487" s="141"/>
      <c r="O487" s="141"/>
      <c r="P487" s="172"/>
      <c r="Q487" s="172"/>
      <c r="R487" s="110"/>
      <c r="T487" s="99"/>
      <c r="V487" s="110"/>
      <c r="Y487" s="110"/>
      <c r="AA487" s="110"/>
      <c r="AB487" s="110"/>
      <c r="AC487" s="141"/>
      <c r="AD487" s="141"/>
      <c r="AE487" s="110"/>
      <c r="AF487" s="110"/>
      <c r="AH487" s="207"/>
      <c r="AI487" s="172"/>
      <c r="AJ487" s="172"/>
      <c r="AL487" s="110"/>
      <c r="AM487" s="141"/>
      <c r="AN487" s="141"/>
    </row>
    <row r="488" spans="1:40" x14ac:dyDescent="0.3">
      <c r="F488" s="192"/>
      <c r="H488" s="192"/>
      <c r="I488" s="192"/>
      <c r="J488" s="217"/>
      <c r="K488" s="217"/>
      <c r="L488" s="192"/>
      <c r="M488" s="192"/>
      <c r="N488" s="192"/>
      <c r="O488" s="192"/>
      <c r="P488" s="192"/>
      <c r="Q488" s="192"/>
      <c r="R488" s="192"/>
      <c r="V488" s="192"/>
      <c r="Y488" s="192"/>
      <c r="Z488" s="217"/>
      <c r="AA488" s="192"/>
      <c r="AB488" s="192"/>
      <c r="AC488" s="192"/>
      <c r="AD488" s="192"/>
      <c r="AE488" s="192"/>
      <c r="AF488" s="192"/>
      <c r="AI488" s="192"/>
      <c r="AJ488" s="192"/>
      <c r="AK488" s="194"/>
      <c r="AL488" s="192"/>
      <c r="AM488" s="141"/>
      <c r="AN488" s="141"/>
    </row>
    <row r="490" spans="1:40" x14ac:dyDescent="0.3">
      <c r="F490" s="110"/>
      <c r="H490" s="110"/>
      <c r="I490" s="110"/>
      <c r="J490" s="198"/>
      <c r="K490" s="198"/>
      <c r="L490" s="110"/>
      <c r="M490" s="110"/>
      <c r="N490" s="110"/>
      <c r="O490" s="110"/>
      <c r="P490" s="110"/>
      <c r="Q490" s="110"/>
      <c r="R490" s="110"/>
      <c r="V490" s="110"/>
      <c r="Y490" s="110"/>
      <c r="Z490" s="198"/>
      <c r="AA490" s="110"/>
      <c r="AB490" s="110"/>
      <c r="AC490" s="110"/>
      <c r="AD490" s="110"/>
      <c r="AE490" s="110"/>
      <c r="AF490" s="110"/>
      <c r="AH490" s="110"/>
      <c r="AI490" s="110"/>
      <c r="AJ490" s="110"/>
      <c r="AL490" s="110"/>
    </row>
    <row r="491" spans="1:40" x14ac:dyDescent="0.3">
      <c r="A491" s="99"/>
    </row>
    <row r="493" spans="1:40" x14ac:dyDescent="0.3">
      <c r="H493" s="99"/>
      <c r="I493" s="99"/>
      <c r="Y493" s="99"/>
    </row>
    <row r="495" spans="1:40" x14ac:dyDescent="0.3">
      <c r="L495" s="99"/>
      <c r="M495" s="99"/>
      <c r="AA495" s="99"/>
      <c r="AB495" s="99"/>
    </row>
    <row r="496" spans="1:40" x14ac:dyDescent="0.3">
      <c r="R496" s="99"/>
      <c r="AK496" s="190"/>
      <c r="AL496" s="99"/>
    </row>
    <row r="497" spans="1:40" x14ac:dyDescent="0.3">
      <c r="R497" s="99"/>
      <c r="AK497" s="190"/>
      <c r="AL497" s="99"/>
    </row>
    <row r="498" spans="1:40" x14ac:dyDescent="0.3">
      <c r="A498" s="99"/>
      <c r="R498" s="99"/>
      <c r="AK498" s="190"/>
      <c r="AL498" s="99"/>
    </row>
    <row r="499" spans="1:40" x14ac:dyDescent="0.3">
      <c r="L499" s="99"/>
      <c r="M499" s="99"/>
      <c r="AA499" s="99"/>
      <c r="AB499" s="99"/>
    </row>
    <row r="500" spans="1:40" x14ac:dyDescent="0.3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91"/>
      <c r="AH500" s="101"/>
      <c r="AI500" s="101"/>
      <c r="AJ500" s="101"/>
      <c r="AK500" s="191"/>
      <c r="AL500" s="101"/>
      <c r="AM500" s="101"/>
      <c r="AN500" s="101"/>
    </row>
    <row r="501" spans="1:40" x14ac:dyDescent="0.3">
      <c r="L501" s="102"/>
      <c r="M501" s="102"/>
      <c r="N501" s="102"/>
      <c r="O501" s="102"/>
      <c r="R501" s="102"/>
      <c r="AA501" s="102"/>
      <c r="AB501" s="102"/>
      <c r="AC501" s="102"/>
      <c r="AD501" s="102"/>
      <c r="AE501" s="102"/>
      <c r="AF501" s="102"/>
      <c r="AG501" s="151"/>
      <c r="AH501" s="102"/>
      <c r="AK501" s="151"/>
      <c r="AL501" s="102"/>
      <c r="AM501" s="102"/>
      <c r="AN501" s="102"/>
    </row>
    <row r="502" spans="1:40" x14ac:dyDescent="0.3">
      <c r="L502" s="102"/>
      <c r="M502" s="102"/>
      <c r="N502" s="102"/>
      <c r="O502" s="102"/>
      <c r="R502" s="102"/>
      <c r="Z502" s="102"/>
      <c r="AA502" s="102"/>
      <c r="AB502" s="102"/>
      <c r="AC502" s="102"/>
      <c r="AD502" s="102"/>
      <c r="AE502" s="102"/>
      <c r="AF502" s="102"/>
      <c r="AG502" s="151"/>
      <c r="AH502" s="102"/>
      <c r="AK502" s="151"/>
      <c r="AL502" s="102"/>
      <c r="AM502" s="102"/>
      <c r="AN502" s="102"/>
    </row>
    <row r="503" spans="1:40" x14ac:dyDescent="0.3">
      <c r="A503" s="102"/>
      <c r="C503" s="102"/>
      <c r="D503" s="102"/>
      <c r="E503" s="102"/>
      <c r="F503" s="102"/>
      <c r="J503" s="102"/>
      <c r="K503" s="102"/>
      <c r="L503" s="102"/>
      <c r="M503" s="102"/>
      <c r="N503" s="102"/>
      <c r="O503" s="102"/>
      <c r="P503" s="102"/>
      <c r="Q503" s="102"/>
      <c r="R503" s="102"/>
      <c r="T503" s="102"/>
      <c r="U503" s="102"/>
      <c r="V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I503" s="102"/>
      <c r="AJ503" s="102"/>
      <c r="AK503" s="151"/>
      <c r="AL503" s="102"/>
      <c r="AM503" s="102"/>
      <c r="AN503" s="102"/>
    </row>
    <row r="504" spans="1:40" x14ac:dyDescent="0.3">
      <c r="A504" s="102"/>
      <c r="C504" s="102"/>
      <c r="D504" s="102"/>
      <c r="E504" s="102"/>
      <c r="F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T504" s="102"/>
      <c r="U504" s="102"/>
      <c r="V504" s="102"/>
      <c r="Y504" s="102"/>
      <c r="Z504" s="102"/>
      <c r="AA504" s="102"/>
      <c r="AB504" s="102"/>
      <c r="AC504" s="102"/>
      <c r="AD504" s="102"/>
      <c r="AE504" s="102"/>
      <c r="AF504" s="102"/>
      <c r="AG504" s="151"/>
      <c r="AH504" s="102"/>
      <c r="AI504" s="102"/>
      <c r="AJ504" s="102"/>
      <c r="AK504" s="151"/>
      <c r="AL504" s="102"/>
      <c r="AM504" s="102"/>
      <c r="AN504" s="102"/>
    </row>
    <row r="505" spans="1:40" x14ac:dyDescent="0.3">
      <c r="C505" s="102"/>
      <c r="D505" s="102"/>
      <c r="E505" s="102"/>
      <c r="F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T505" s="102"/>
      <c r="U505" s="102"/>
      <c r="V505" s="102"/>
      <c r="Y505" s="102"/>
      <c r="Z505" s="102"/>
      <c r="AA505" s="102"/>
      <c r="AB505" s="102"/>
      <c r="AC505" s="102"/>
      <c r="AD505" s="102"/>
      <c r="AE505" s="102"/>
      <c r="AF505" s="102"/>
      <c r="AG505" s="151"/>
      <c r="AH505" s="102"/>
      <c r="AI505" s="102"/>
      <c r="AJ505" s="102"/>
      <c r="AK505" s="151"/>
      <c r="AL505" s="102"/>
      <c r="AM505" s="102"/>
      <c r="AN505" s="102"/>
    </row>
    <row r="506" spans="1:40" x14ac:dyDescent="0.3">
      <c r="A506" s="101"/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91"/>
      <c r="AH506" s="101"/>
      <c r="AI506" s="101"/>
      <c r="AJ506" s="101"/>
      <c r="AK506" s="191"/>
      <c r="AL506" s="101"/>
      <c r="AM506" s="101"/>
      <c r="AN506" s="101"/>
    </row>
    <row r="507" spans="1:40" x14ac:dyDescent="0.3"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Y507" s="102"/>
      <c r="Z507" s="102"/>
      <c r="AA507" s="102"/>
      <c r="AB507" s="102"/>
      <c r="AC507" s="102"/>
      <c r="AD507" s="102"/>
      <c r="AE507" s="102"/>
      <c r="AF507" s="102"/>
      <c r="AG507" s="151"/>
      <c r="AH507" s="102"/>
      <c r="AI507" s="102"/>
      <c r="AJ507" s="102"/>
      <c r="AK507" s="151"/>
      <c r="AL507" s="102"/>
      <c r="AM507" s="102"/>
      <c r="AN507" s="102"/>
    </row>
    <row r="508" spans="1:40" x14ac:dyDescent="0.3">
      <c r="C508" s="99"/>
      <c r="D508" s="99"/>
      <c r="E508" s="99"/>
      <c r="T508" s="99"/>
      <c r="U508" s="99"/>
      <c r="V508" s="110"/>
      <c r="W508" s="110"/>
      <c r="X508" s="110"/>
      <c r="Y508" s="110"/>
      <c r="Z508" s="227"/>
    </row>
    <row r="510" spans="1:40" x14ac:dyDescent="0.3">
      <c r="C510" s="99"/>
      <c r="T510" s="99"/>
      <c r="V510" s="110"/>
      <c r="W510" s="110"/>
      <c r="X510" s="110"/>
      <c r="Y510" s="110"/>
      <c r="Z510" s="227"/>
    </row>
    <row r="511" spans="1:40" x14ac:dyDescent="0.3">
      <c r="C511" s="99"/>
      <c r="F511" s="172"/>
      <c r="H511" s="172"/>
      <c r="I511" s="172"/>
      <c r="J511" s="228"/>
      <c r="K511" s="228"/>
      <c r="L511" s="110"/>
      <c r="M511" s="110"/>
      <c r="N511" s="141"/>
      <c r="O511" s="141"/>
      <c r="P511" s="110"/>
      <c r="Q511" s="110"/>
      <c r="R511" s="110"/>
      <c r="T511" s="99"/>
      <c r="V511" s="110"/>
      <c r="W511" s="110"/>
      <c r="X511" s="110"/>
      <c r="Y511" s="110"/>
      <c r="Z511" s="228"/>
      <c r="AA511" s="110"/>
      <c r="AB511" s="110"/>
      <c r="AC511" s="141"/>
      <c r="AD511" s="141"/>
      <c r="AE511" s="110"/>
      <c r="AF511" s="110"/>
      <c r="AH511" s="207"/>
      <c r="AI511" s="110"/>
      <c r="AJ511" s="110"/>
      <c r="AL511" s="110"/>
      <c r="AM511" s="141"/>
      <c r="AN511" s="141"/>
    </row>
    <row r="512" spans="1:40" x14ac:dyDescent="0.3">
      <c r="C512" s="99"/>
      <c r="F512" s="172"/>
      <c r="H512" s="172"/>
      <c r="I512" s="172"/>
      <c r="J512" s="228"/>
      <c r="K512" s="228"/>
      <c r="L512" s="110"/>
      <c r="M512" s="110"/>
      <c r="N512" s="141"/>
      <c r="O512" s="141"/>
      <c r="P512" s="110"/>
      <c r="Q512" s="110"/>
      <c r="R512" s="110"/>
      <c r="T512" s="99"/>
      <c r="V512" s="110"/>
      <c r="W512" s="110"/>
      <c r="X512" s="110"/>
      <c r="Y512" s="110"/>
      <c r="Z512" s="228"/>
      <c r="AA512" s="110"/>
      <c r="AB512" s="110"/>
      <c r="AC512" s="141"/>
      <c r="AD512" s="141"/>
      <c r="AE512" s="110"/>
      <c r="AF512" s="110"/>
      <c r="AH512" s="207"/>
      <c r="AI512" s="110"/>
      <c r="AJ512" s="110"/>
      <c r="AL512" s="110"/>
      <c r="AM512" s="141"/>
      <c r="AN512" s="141"/>
    </row>
    <row r="513" spans="1:40" x14ac:dyDescent="0.3">
      <c r="C513" s="99"/>
      <c r="F513" s="172"/>
      <c r="H513" s="172"/>
      <c r="I513" s="172"/>
      <c r="J513" s="228"/>
      <c r="K513" s="228"/>
      <c r="L513" s="110"/>
      <c r="M513" s="110"/>
      <c r="N513" s="141"/>
      <c r="O513" s="141"/>
      <c r="P513" s="110"/>
      <c r="Q513" s="110"/>
      <c r="R513" s="110"/>
      <c r="T513" s="99"/>
      <c r="V513" s="110"/>
      <c r="W513" s="110"/>
      <c r="X513" s="110"/>
      <c r="Y513" s="110"/>
      <c r="Z513" s="228"/>
      <c r="AA513" s="110"/>
      <c r="AB513" s="110"/>
      <c r="AC513" s="141"/>
      <c r="AD513" s="141"/>
      <c r="AE513" s="110"/>
      <c r="AF513" s="110"/>
      <c r="AH513" s="207"/>
      <c r="AI513" s="110"/>
      <c r="AJ513" s="110"/>
      <c r="AL513" s="110"/>
      <c r="AM513" s="141"/>
      <c r="AN513" s="141"/>
    </row>
    <row r="514" spans="1:40" x14ac:dyDescent="0.3">
      <c r="C514" s="99"/>
      <c r="F514" s="172"/>
      <c r="H514" s="172"/>
      <c r="I514" s="172"/>
      <c r="J514" s="228"/>
      <c r="K514" s="228"/>
      <c r="L514" s="110"/>
      <c r="M514" s="110"/>
      <c r="N514" s="141"/>
      <c r="O514" s="141"/>
      <c r="P514" s="110"/>
      <c r="Q514" s="110"/>
      <c r="R514" s="110"/>
      <c r="T514" s="99"/>
      <c r="V514" s="110"/>
      <c r="W514" s="110"/>
      <c r="X514" s="110"/>
      <c r="Y514" s="110"/>
      <c r="Z514" s="228"/>
      <c r="AA514" s="110"/>
      <c r="AB514" s="110"/>
      <c r="AC514" s="141"/>
      <c r="AD514" s="141"/>
      <c r="AE514" s="110"/>
      <c r="AF514" s="110"/>
      <c r="AH514" s="207"/>
      <c r="AI514" s="110"/>
      <c r="AJ514" s="110"/>
      <c r="AL514" s="110"/>
      <c r="AM514" s="141"/>
      <c r="AN514" s="141"/>
    </row>
    <row r="515" spans="1:40" x14ac:dyDescent="0.3">
      <c r="J515" s="163"/>
      <c r="K515" s="163"/>
      <c r="V515" s="110"/>
      <c r="W515" s="110"/>
      <c r="X515" s="110"/>
      <c r="Y515" s="110"/>
      <c r="Z515" s="228"/>
    </row>
    <row r="516" spans="1:40" x14ac:dyDescent="0.3">
      <c r="C516" s="99"/>
      <c r="F516" s="172"/>
      <c r="H516" s="172"/>
      <c r="I516" s="172"/>
      <c r="J516" s="228"/>
      <c r="K516" s="228"/>
      <c r="L516" s="110"/>
      <c r="M516" s="110"/>
      <c r="N516" s="141"/>
      <c r="O516" s="141"/>
      <c r="P516" s="110"/>
      <c r="Q516" s="110"/>
      <c r="R516" s="110"/>
      <c r="T516" s="99"/>
      <c r="V516" s="110"/>
      <c r="W516" s="110"/>
      <c r="X516" s="110"/>
      <c r="Y516" s="110"/>
      <c r="Z516" s="228"/>
      <c r="AA516" s="110"/>
      <c r="AB516" s="110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1:40" x14ac:dyDescent="0.3">
      <c r="C517" s="99"/>
      <c r="J517" s="163"/>
      <c r="K517" s="163"/>
      <c r="T517" s="99"/>
      <c r="V517" s="110"/>
      <c r="W517" s="110"/>
      <c r="X517" s="110"/>
      <c r="Y517" s="110"/>
      <c r="Z517" s="228"/>
    </row>
    <row r="518" spans="1:40" x14ac:dyDescent="0.3">
      <c r="C518" s="99"/>
      <c r="F518" s="172"/>
      <c r="H518" s="172"/>
      <c r="I518" s="172"/>
      <c r="J518" s="228"/>
      <c r="K518" s="228"/>
      <c r="L518" s="110"/>
      <c r="M518" s="110"/>
      <c r="N518" s="141"/>
      <c r="O518" s="141"/>
      <c r="P518" s="110"/>
      <c r="Q518" s="110"/>
      <c r="R518" s="110"/>
      <c r="T518" s="99"/>
      <c r="V518" s="110"/>
      <c r="W518" s="110"/>
      <c r="X518" s="110"/>
      <c r="Y518" s="110"/>
      <c r="Z518" s="228"/>
      <c r="AA518" s="110"/>
      <c r="AB518" s="110"/>
      <c r="AC518" s="141"/>
      <c r="AD518" s="141"/>
      <c r="AE518" s="110"/>
      <c r="AF518" s="110"/>
      <c r="AH518" s="207"/>
      <c r="AI518" s="110"/>
      <c r="AJ518" s="110"/>
      <c r="AL518" s="110"/>
      <c r="AM518" s="207"/>
      <c r="AN518" s="207"/>
    </row>
    <row r="519" spans="1:40" x14ac:dyDescent="0.3">
      <c r="J519" s="163"/>
      <c r="K519" s="163"/>
      <c r="Z519" s="163"/>
    </row>
    <row r="520" spans="1:40" x14ac:dyDescent="0.3">
      <c r="C520" s="99"/>
      <c r="J520" s="163"/>
      <c r="K520" s="163"/>
      <c r="T520" s="99"/>
      <c r="V520" s="110"/>
      <c r="W520" s="110"/>
      <c r="X520" s="110"/>
      <c r="Y520" s="110"/>
      <c r="Z520" s="228"/>
    </row>
    <row r="521" spans="1:40" x14ac:dyDescent="0.3">
      <c r="C521" s="99"/>
      <c r="F521" s="172"/>
      <c r="H521" s="172"/>
      <c r="I521" s="172"/>
      <c r="J521" s="228"/>
      <c r="K521" s="228"/>
      <c r="L521" s="110"/>
      <c r="M521" s="110"/>
      <c r="N521" s="141"/>
      <c r="O521" s="141"/>
      <c r="P521" s="110"/>
      <c r="Q521" s="110"/>
      <c r="R521" s="110"/>
      <c r="T521" s="99"/>
      <c r="V521" s="110"/>
      <c r="W521" s="110"/>
      <c r="X521" s="110"/>
      <c r="Y521" s="110"/>
      <c r="Z521" s="228"/>
      <c r="AA521" s="110"/>
      <c r="AB521" s="110"/>
      <c r="AC521" s="141"/>
      <c r="AD521" s="141"/>
      <c r="AE521" s="110"/>
      <c r="AF521" s="110"/>
      <c r="AH521" s="207"/>
      <c r="AI521" s="110"/>
      <c r="AJ521" s="110"/>
      <c r="AL521" s="110"/>
      <c r="AM521" s="207"/>
      <c r="AN521" s="207"/>
    </row>
    <row r="522" spans="1:40" x14ac:dyDescent="0.3">
      <c r="C522" s="99"/>
      <c r="F522" s="172"/>
      <c r="H522" s="172"/>
      <c r="I522" s="172"/>
      <c r="J522" s="228"/>
      <c r="K522" s="228"/>
      <c r="L522" s="110"/>
      <c r="M522" s="110"/>
      <c r="N522" s="141"/>
      <c r="O522" s="141"/>
      <c r="P522" s="110"/>
      <c r="Q522" s="110"/>
      <c r="R522" s="110"/>
      <c r="T522" s="99"/>
      <c r="V522" s="110"/>
      <c r="W522" s="110"/>
      <c r="X522" s="110"/>
      <c r="Y522" s="110"/>
      <c r="Z522" s="228"/>
      <c r="AA522" s="110"/>
      <c r="AB522" s="110"/>
      <c r="AC522" s="141"/>
      <c r="AD522" s="141"/>
      <c r="AE522" s="110"/>
      <c r="AF522" s="110"/>
      <c r="AH522" s="207"/>
      <c r="AI522" s="110"/>
      <c r="AJ522" s="110"/>
      <c r="AL522" s="110"/>
      <c r="AM522" s="207"/>
      <c r="AN522" s="207"/>
    </row>
    <row r="523" spans="1:40" x14ac:dyDescent="0.3">
      <c r="F523" s="192"/>
      <c r="H523" s="192"/>
      <c r="I523" s="192"/>
      <c r="J523" s="228"/>
      <c r="K523" s="228"/>
      <c r="L523" s="192"/>
      <c r="M523" s="192"/>
      <c r="N523" s="192"/>
      <c r="O523" s="192"/>
      <c r="P523" s="192"/>
      <c r="Q523" s="192"/>
      <c r="R523" s="192"/>
      <c r="V523" s="192"/>
      <c r="Y523" s="192"/>
      <c r="Z523" s="217"/>
      <c r="AA523" s="192"/>
      <c r="AB523" s="192"/>
      <c r="AC523" s="192"/>
      <c r="AD523" s="192"/>
      <c r="AE523" s="192"/>
      <c r="AF523" s="192"/>
      <c r="AI523" s="192"/>
      <c r="AJ523" s="192"/>
      <c r="AK523" s="194"/>
      <c r="AL523" s="192"/>
    </row>
    <row r="524" spans="1:40" x14ac:dyDescent="0.3">
      <c r="C524" s="99"/>
      <c r="F524" s="110"/>
      <c r="H524" s="110"/>
      <c r="I524" s="110"/>
      <c r="L524" s="110"/>
      <c r="M524" s="110"/>
      <c r="N524" s="141"/>
      <c r="O524" s="141"/>
      <c r="P524" s="172"/>
      <c r="Q524" s="172"/>
      <c r="R524" s="110"/>
      <c r="T524" s="99"/>
      <c r="V524" s="110"/>
      <c r="W524" s="110"/>
      <c r="X524" s="110"/>
      <c r="Y524" s="110"/>
      <c r="Z524" s="227"/>
      <c r="AA524" s="110"/>
      <c r="AB524" s="110"/>
      <c r="AC524" s="141"/>
      <c r="AD524" s="141"/>
      <c r="AE524" s="110"/>
      <c r="AF524" s="110"/>
      <c r="AH524" s="207"/>
      <c r="AI524" s="172"/>
      <c r="AJ524" s="172"/>
      <c r="AL524" s="110"/>
      <c r="AM524" s="207"/>
      <c r="AN524" s="207"/>
    </row>
    <row r="525" spans="1:40" x14ac:dyDescent="0.3">
      <c r="F525" s="192"/>
      <c r="H525" s="192"/>
      <c r="I525" s="192"/>
      <c r="J525" s="217"/>
      <c r="K525" s="217"/>
      <c r="L525" s="192"/>
      <c r="M525" s="192"/>
      <c r="N525" s="192"/>
      <c r="O525" s="192"/>
      <c r="P525" s="192"/>
      <c r="Q525" s="192"/>
      <c r="R525" s="192"/>
      <c r="V525" s="192"/>
      <c r="Y525" s="192"/>
      <c r="Z525" s="217"/>
      <c r="AA525" s="192"/>
      <c r="AB525" s="192"/>
      <c r="AC525" s="192"/>
      <c r="AD525" s="192"/>
      <c r="AE525" s="192"/>
      <c r="AF525" s="192"/>
      <c r="AI525" s="192"/>
      <c r="AJ525" s="192"/>
      <c r="AK525" s="194"/>
      <c r="AL525" s="192"/>
    </row>
    <row r="528" spans="1:40" x14ac:dyDescent="0.3">
      <c r="A528" s="99"/>
    </row>
    <row r="530" spans="1:40" x14ac:dyDescent="0.3">
      <c r="H530" s="99"/>
      <c r="I530" s="99"/>
      <c r="Y530" s="99"/>
    </row>
    <row r="532" spans="1:40" x14ac:dyDescent="0.3">
      <c r="L532" s="99"/>
      <c r="M532" s="99"/>
      <c r="AA532" s="99"/>
      <c r="AB532" s="99"/>
    </row>
    <row r="533" spans="1:40" x14ac:dyDescent="0.3">
      <c r="R533" s="99"/>
      <c r="AK533" s="190"/>
      <c r="AL533" s="99"/>
    </row>
    <row r="534" spans="1:40" x14ac:dyDescent="0.3">
      <c r="R534" s="99"/>
      <c r="AK534" s="190"/>
      <c r="AL534" s="99"/>
    </row>
    <row r="535" spans="1:40" x14ac:dyDescent="0.3">
      <c r="A535" s="99"/>
      <c r="R535" s="99"/>
      <c r="AK535" s="190"/>
      <c r="AL535" s="99"/>
    </row>
    <row r="536" spans="1:40" x14ac:dyDescent="0.3">
      <c r="L536" s="99"/>
      <c r="M536" s="99"/>
      <c r="AA536" s="99"/>
      <c r="AB536" s="99"/>
    </row>
    <row r="537" spans="1:40" x14ac:dyDescent="0.3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91"/>
      <c r="AH537" s="101"/>
      <c r="AI537" s="101"/>
      <c r="AJ537" s="101"/>
      <c r="AK537" s="191"/>
      <c r="AL537" s="101"/>
      <c r="AM537" s="101"/>
      <c r="AN537" s="101"/>
    </row>
    <row r="538" spans="1:40" x14ac:dyDescent="0.3">
      <c r="L538" s="102"/>
      <c r="M538" s="102"/>
      <c r="N538" s="102"/>
      <c r="O538" s="102"/>
      <c r="R538" s="102"/>
      <c r="AA538" s="102"/>
      <c r="AB538" s="102"/>
      <c r="AC538" s="102"/>
      <c r="AD538" s="102"/>
      <c r="AE538" s="102"/>
      <c r="AF538" s="102"/>
      <c r="AG538" s="151"/>
      <c r="AH538" s="102"/>
      <c r="AK538" s="151"/>
      <c r="AL538" s="102"/>
      <c r="AM538" s="102"/>
      <c r="AN538" s="102"/>
    </row>
    <row r="539" spans="1:40" x14ac:dyDescent="0.3">
      <c r="L539" s="102"/>
      <c r="M539" s="102"/>
      <c r="N539" s="102"/>
      <c r="O539" s="102"/>
      <c r="R539" s="102"/>
      <c r="Z539" s="102"/>
      <c r="AA539" s="102"/>
      <c r="AB539" s="102"/>
      <c r="AC539" s="102"/>
      <c r="AD539" s="102"/>
      <c r="AE539" s="102"/>
      <c r="AF539" s="102"/>
      <c r="AG539" s="151"/>
      <c r="AH539" s="102"/>
      <c r="AK539" s="151"/>
      <c r="AL539" s="102"/>
      <c r="AM539" s="102"/>
      <c r="AN539" s="102"/>
    </row>
    <row r="540" spans="1:40" x14ac:dyDescent="0.3">
      <c r="A540" s="102"/>
      <c r="C540" s="102"/>
      <c r="D540" s="102"/>
      <c r="E540" s="102"/>
      <c r="F540" s="102"/>
      <c r="J540" s="102"/>
      <c r="K540" s="102"/>
      <c r="L540" s="102"/>
      <c r="M540" s="102"/>
      <c r="N540" s="102"/>
      <c r="O540" s="102"/>
      <c r="P540" s="102"/>
      <c r="Q540" s="102"/>
      <c r="R540" s="102"/>
      <c r="T540" s="102"/>
      <c r="U540" s="102"/>
      <c r="V540" s="102"/>
      <c r="Z540" s="102"/>
      <c r="AA540" s="102"/>
      <c r="AB540" s="102"/>
      <c r="AC540" s="102"/>
      <c r="AD540" s="102"/>
      <c r="AE540" s="102"/>
      <c r="AF540" s="102"/>
      <c r="AG540" s="151"/>
      <c r="AH540" s="102"/>
      <c r="AI540" s="102"/>
      <c r="AJ540" s="102"/>
      <c r="AK540" s="151"/>
      <c r="AL540" s="102"/>
      <c r="AM540" s="102"/>
      <c r="AN540" s="102"/>
    </row>
    <row r="541" spans="1:40" x14ac:dyDescent="0.3">
      <c r="A541" s="102"/>
      <c r="C541" s="102"/>
      <c r="D541" s="102"/>
      <c r="E541" s="102"/>
      <c r="F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T541" s="102"/>
      <c r="U541" s="102"/>
      <c r="V541" s="102"/>
      <c r="Y541" s="102"/>
      <c r="Z541" s="102"/>
      <c r="AA541" s="102"/>
      <c r="AB541" s="102"/>
      <c r="AC541" s="102"/>
      <c r="AD541" s="102"/>
      <c r="AE541" s="102"/>
      <c r="AF541" s="102"/>
      <c r="AG541" s="151"/>
      <c r="AH541" s="102"/>
      <c r="AI541" s="102"/>
      <c r="AJ541" s="102"/>
      <c r="AK541" s="151"/>
      <c r="AL541" s="102"/>
      <c r="AM541" s="102"/>
      <c r="AN541" s="102"/>
    </row>
    <row r="542" spans="1:40" x14ac:dyDescent="0.3">
      <c r="C542" s="102"/>
      <c r="D542" s="102"/>
      <c r="E542" s="102"/>
      <c r="F542" s="102"/>
      <c r="H542" s="102"/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T542" s="102"/>
      <c r="U542" s="102"/>
      <c r="V542" s="102"/>
      <c r="Y542" s="102"/>
      <c r="Z542" s="102"/>
      <c r="AA542" s="102"/>
      <c r="AB542" s="102"/>
      <c r="AC542" s="102"/>
      <c r="AD542" s="102"/>
      <c r="AE542" s="102"/>
      <c r="AF542" s="102"/>
      <c r="AG542" s="151"/>
      <c r="AH542" s="102"/>
      <c r="AI542" s="102"/>
      <c r="AJ542" s="102"/>
      <c r="AK542" s="151"/>
      <c r="AL542" s="102"/>
      <c r="AM542" s="102"/>
      <c r="AN542" s="102"/>
    </row>
    <row r="543" spans="1:40" x14ac:dyDescent="0.3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91"/>
      <c r="AH543" s="101"/>
      <c r="AI543" s="101"/>
      <c r="AJ543" s="101"/>
      <c r="AK543" s="191"/>
      <c r="AL543" s="101"/>
      <c r="AM543" s="101"/>
      <c r="AN543" s="101"/>
    </row>
    <row r="544" spans="1:40" x14ac:dyDescent="0.3"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Y544" s="102"/>
      <c r="Z544" s="102"/>
      <c r="AA544" s="102"/>
      <c r="AB544" s="102"/>
      <c r="AC544" s="102"/>
      <c r="AD544" s="102"/>
      <c r="AE544" s="102"/>
      <c r="AF544" s="102"/>
      <c r="AG544" s="151"/>
      <c r="AH544" s="102"/>
      <c r="AI544" s="102"/>
      <c r="AJ544" s="102"/>
      <c r="AK544" s="151"/>
      <c r="AL544" s="102"/>
      <c r="AM544" s="102"/>
      <c r="AN544" s="102"/>
    </row>
    <row r="545" spans="3:40" x14ac:dyDescent="0.3">
      <c r="C545" s="99"/>
      <c r="D545" s="99"/>
      <c r="E545" s="99"/>
      <c r="T545" s="99"/>
      <c r="U545" s="99"/>
    </row>
    <row r="547" spans="3:40" x14ac:dyDescent="0.3">
      <c r="C547" s="99"/>
      <c r="T547" s="99"/>
    </row>
    <row r="548" spans="3:40" x14ac:dyDescent="0.3">
      <c r="C548" s="99"/>
      <c r="T548" s="99"/>
    </row>
    <row r="549" spans="3:40" x14ac:dyDescent="0.3">
      <c r="C549" s="99"/>
      <c r="F549" s="172"/>
      <c r="H549" s="172"/>
      <c r="I549" s="172"/>
      <c r="J549" s="228"/>
      <c r="K549" s="228"/>
      <c r="L549" s="110"/>
      <c r="M549" s="110"/>
      <c r="N549" s="141"/>
      <c r="O549" s="141"/>
      <c r="P549" s="110"/>
      <c r="Q549" s="110"/>
      <c r="R549" s="110"/>
      <c r="T549" s="99"/>
      <c r="V549" s="110"/>
      <c r="W549" s="110"/>
      <c r="X549" s="110"/>
      <c r="Y549" s="110"/>
      <c r="Z549" s="228"/>
      <c r="AA549" s="110"/>
      <c r="AB549" s="110"/>
      <c r="AC549" s="141"/>
      <c r="AD549" s="141"/>
      <c r="AE549" s="110"/>
      <c r="AF549" s="110"/>
      <c r="AH549" s="207"/>
      <c r="AI549" s="110"/>
      <c r="AJ549" s="110"/>
      <c r="AL549" s="110"/>
      <c r="AM549" s="207"/>
      <c r="AN549" s="207"/>
    </row>
    <row r="550" spans="3:40" x14ac:dyDescent="0.3">
      <c r="C550" s="99"/>
      <c r="F550" s="110"/>
      <c r="H550" s="110"/>
      <c r="I550" s="110"/>
      <c r="J550" s="163"/>
      <c r="K550" s="163"/>
      <c r="L550" s="110"/>
      <c r="M550" s="110"/>
      <c r="N550" s="141"/>
      <c r="O550" s="141"/>
      <c r="P550" s="110"/>
      <c r="Q550" s="110"/>
      <c r="R550" s="110"/>
      <c r="T550" s="99"/>
      <c r="V550" s="110"/>
      <c r="W550" s="110"/>
      <c r="X550" s="110"/>
      <c r="Y550" s="110"/>
      <c r="Z550" s="163"/>
      <c r="AA550" s="110"/>
      <c r="AB550" s="110"/>
      <c r="AC550" s="141"/>
      <c r="AD550" s="141"/>
      <c r="AE550" s="110"/>
      <c r="AF550" s="110"/>
      <c r="AH550" s="207"/>
      <c r="AI550" s="110"/>
      <c r="AJ550" s="110"/>
      <c r="AL550" s="110"/>
      <c r="AM550" s="207"/>
      <c r="AN550" s="207"/>
    </row>
    <row r="551" spans="3:40" x14ac:dyDescent="0.3">
      <c r="C551" s="99"/>
      <c r="F551" s="110"/>
      <c r="H551" s="110"/>
      <c r="I551" s="110"/>
      <c r="J551" s="163"/>
      <c r="K551" s="163"/>
      <c r="L551" s="110"/>
      <c r="M551" s="110"/>
      <c r="N551" s="141"/>
      <c r="O551" s="141"/>
      <c r="P551" s="110"/>
      <c r="Q551" s="110"/>
      <c r="R551" s="110"/>
      <c r="T551" s="99"/>
      <c r="V551" s="110"/>
      <c r="W551" s="110"/>
      <c r="X551" s="110"/>
      <c r="Y551" s="110"/>
      <c r="Z551" s="163"/>
      <c r="AA551" s="110"/>
      <c r="AB551" s="110"/>
      <c r="AC551" s="141"/>
      <c r="AD551" s="141"/>
      <c r="AE551" s="110"/>
      <c r="AF551" s="110"/>
      <c r="AH551" s="207"/>
      <c r="AI551" s="110"/>
      <c r="AJ551" s="110"/>
      <c r="AL551" s="110"/>
      <c r="AM551" s="207"/>
      <c r="AN551" s="207"/>
    </row>
    <row r="552" spans="3:40" x14ac:dyDescent="0.3">
      <c r="C552" s="99"/>
      <c r="F552" s="110"/>
      <c r="H552" s="110"/>
      <c r="I552" s="110"/>
      <c r="J552" s="163"/>
      <c r="K552" s="163"/>
      <c r="T552" s="99"/>
      <c r="V552" s="110"/>
      <c r="Z552" s="163"/>
    </row>
    <row r="553" spans="3:40" x14ac:dyDescent="0.3">
      <c r="C553" s="99"/>
      <c r="F553" s="172"/>
      <c r="H553" s="172"/>
      <c r="I553" s="172"/>
      <c r="J553" s="228"/>
      <c r="K553" s="228"/>
      <c r="L553" s="110"/>
      <c r="M553" s="110"/>
      <c r="N553" s="141"/>
      <c r="O553" s="141"/>
      <c r="P553" s="110"/>
      <c r="Q553" s="110"/>
      <c r="R553" s="110"/>
      <c r="T553" s="99"/>
      <c r="V553" s="110"/>
      <c r="W553" s="110"/>
      <c r="X553" s="110"/>
      <c r="Y553" s="110"/>
      <c r="Z553" s="228"/>
      <c r="AA553" s="110"/>
      <c r="AB553" s="110"/>
      <c r="AC553" s="141"/>
      <c r="AD553" s="141"/>
      <c r="AE553" s="110"/>
      <c r="AF553" s="110"/>
      <c r="AH553" s="207"/>
      <c r="AI553" s="110"/>
      <c r="AJ553" s="110"/>
      <c r="AL553" s="110"/>
      <c r="AM553" s="207"/>
      <c r="AN553" s="207"/>
    </row>
    <row r="554" spans="3:40" x14ac:dyDescent="0.3">
      <c r="C554" s="99"/>
      <c r="F554" s="110"/>
      <c r="H554" s="110"/>
      <c r="I554" s="110"/>
      <c r="J554" s="163"/>
      <c r="K554" s="163"/>
      <c r="T554" s="99"/>
      <c r="V554" s="110"/>
      <c r="W554" s="110"/>
      <c r="X554" s="110"/>
      <c r="Y554" s="110"/>
      <c r="Z554" s="163"/>
      <c r="AC554" s="141"/>
      <c r="AD554" s="141"/>
      <c r="AE554" s="110"/>
      <c r="AF554" s="110"/>
      <c r="AH554" s="207"/>
      <c r="AI554" s="110"/>
      <c r="AJ554" s="110"/>
      <c r="AL554" s="110"/>
      <c r="AM554" s="207"/>
      <c r="AN554" s="207"/>
    </row>
    <row r="555" spans="3:40" x14ac:dyDescent="0.3">
      <c r="C555" s="99"/>
      <c r="F555" s="172"/>
      <c r="H555" s="172"/>
      <c r="I555" s="172"/>
      <c r="J555" s="228"/>
      <c r="K555" s="228"/>
      <c r="L555" s="110"/>
      <c r="M555" s="110"/>
      <c r="N555" s="141"/>
      <c r="O555" s="141"/>
      <c r="P555" s="110"/>
      <c r="Q555" s="110"/>
      <c r="R555" s="110"/>
      <c r="T555" s="99"/>
      <c r="V555" s="110"/>
      <c r="W555" s="110"/>
      <c r="X555" s="110"/>
      <c r="Y555" s="110"/>
      <c r="Z555" s="228"/>
      <c r="AA555" s="110"/>
      <c r="AB555" s="110"/>
      <c r="AC555" s="141"/>
      <c r="AD555" s="141"/>
      <c r="AE555" s="110"/>
      <c r="AF555" s="110"/>
      <c r="AH555" s="207"/>
      <c r="AI555" s="110"/>
      <c r="AJ555" s="110"/>
      <c r="AL555" s="110"/>
      <c r="AM555" s="207"/>
      <c r="AN555" s="207"/>
    </row>
    <row r="556" spans="3:40" x14ac:dyDescent="0.3">
      <c r="C556" s="99"/>
      <c r="F556" s="110"/>
      <c r="H556" s="110"/>
      <c r="I556" s="110"/>
      <c r="J556" s="163"/>
      <c r="K556" s="163"/>
      <c r="L556" s="110"/>
      <c r="M556" s="110"/>
      <c r="N556" s="141"/>
      <c r="O556" s="141"/>
      <c r="P556" s="110"/>
      <c r="Q556" s="110"/>
      <c r="R556" s="110"/>
      <c r="T556" s="99"/>
      <c r="V556" s="110"/>
      <c r="W556" s="110"/>
      <c r="X556" s="110"/>
      <c r="Y556" s="110"/>
      <c r="Z556" s="163"/>
      <c r="AA556" s="110"/>
      <c r="AB556" s="110"/>
      <c r="AC556" s="141"/>
      <c r="AD556" s="141"/>
      <c r="AE556" s="110"/>
      <c r="AF556" s="110"/>
      <c r="AH556" s="207"/>
      <c r="AI556" s="110"/>
      <c r="AJ556" s="110"/>
      <c r="AL556" s="110"/>
      <c r="AM556" s="207"/>
      <c r="AN556" s="207"/>
    </row>
    <row r="557" spans="3:40" x14ac:dyDescent="0.3">
      <c r="F557" s="110"/>
      <c r="H557" s="110"/>
      <c r="I557" s="110"/>
      <c r="J557" s="163"/>
      <c r="K557" s="163"/>
      <c r="Z557" s="163"/>
    </row>
    <row r="558" spans="3:40" x14ac:dyDescent="0.3">
      <c r="C558" s="99"/>
      <c r="F558" s="110"/>
      <c r="H558" s="172"/>
      <c r="I558" s="172"/>
      <c r="J558" s="228"/>
      <c r="K558" s="228"/>
      <c r="L558" s="110"/>
      <c r="M558" s="110"/>
      <c r="N558" s="141"/>
      <c r="O558" s="141"/>
      <c r="P558" s="110"/>
      <c r="Q558" s="110"/>
      <c r="R558" s="110"/>
      <c r="T558" s="99"/>
      <c r="V558" s="110"/>
      <c r="W558" s="110"/>
      <c r="X558" s="110"/>
      <c r="Y558" s="110"/>
      <c r="Z558" s="228"/>
      <c r="AA558" s="110"/>
      <c r="AB558" s="110"/>
      <c r="AC558" s="141"/>
      <c r="AD558" s="141"/>
      <c r="AE558" s="110"/>
      <c r="AF558" s="110"/>
      <c r="AH558" s="207"/>
      <c r="AI558" s="110"/>
      <c r="AJ558" s="110"/>
      <c r="AL558" s="110"/>
      <c r="AM558" s="207"/>
      <c r="AN558" s="207"/>
    </row>
    <row r="559" spans="3:40" x14ac:dyDescent="0.3">
      <c r="F559" s="192"/>
      <c r="H559" s="192"/>
      <c r="I559" s="192"/>
      <c r="J559" s="228"/>
      <c r="K559" s="228"/>
      <c r="L559" s="192"/>
      <c r="M559" s="192"/>
      <c r="N559" s="192"/>
      <c r="O559" s="192"/>
      <c r="P559" s="192"/>
      <c r="Q559" s="192"/>
      <c r="R559" s="192"/>
      <c r="V559" s="192"/>
      <c r="Y559" s="192"/>
      <c r="Z559" s="228"/>
      <c r="AA559" s="192"/>
      <c r="AB559" s="192"/>
      <c r="AC559" s="192"/>
      <c r="AD559" s="192"/>
      <c r="AE559" s="192"/>
      <c r="AF559" s="192"/>
      <c r="AI559" s="192"/>
      <c r="AJ559" s="192"/>
      <c r="AK559" s="194"/>
      <c r="AL559" s="192"/>
    </row>
    <row r="560" spans="3:40" x14ac:dyDescent="0.3">
      <c r="C560" s="99"/>
      <c r="F560" s="110"/>
      <c r="H560" s="110"/>
      <c r="I560" s="110"/>
      <c r="J560" s="163"/>
      <c r="K560" s="163"/>
      <c r="L560" s="110"/>
      <c r="M560" s="110"/>
      <c r="P560" s="110"/>
      <c r="Q560" s="110"/>
      <c r="R560" s="110"/>
      <c r="T560" s="99"/>
      <c r="V560" s="110"/>
      <c r="Y560" s="110"/>
      <c r="Z560" s="163"/>
      <c r="AA560" s="110"/>
      <c r="AB560" s="110"/>
      <c r="AC560" s="207"/>
      <c r="AD560" s="207"/>
      <c r="AE560" s="110"/>
      <c r="AF560" s="110"/>
      <c r="AH560" s="207"/>
      <c r="AI560" s="110"/>
      <c r="AJ560" s="110"/>
      <c r="AL560" s="110"/>
      <c r="AM560" s="207"/>
      <c r="AN560" s="207"/>
    </row>
    <row r="561" spans="1:40" x14ac:dyDescent="0.3">
      <c r="F561" s="192"/>
      <c r="H561" s="192"/>
      <c r="I561" s="192"/>
      <c r="J561" s="228"/>
      <c r="K561" s="228"/>
      <c r="L561" s="192"/>
      <c r="M561" s="192"/>
      <c r="N561" s="192"/>
      <c r="O561" s="192"/>
      <c r="P561" s="192"/>
      <c r="Q561" s="192"/>
      <c r="R561" s="192"/>
      <c r="V561" s="192"/>
      <c r="Y561" s="192"/>
      <c r="Z561" s="228"/>
      <c r="AA561" s="192"/>
      <c r="AB561" s="192"/>
      <c r="AC561" s="192"/>
      <c r="AD561" s="192"/>
      <c r="AE561" s="192"/>
      <c r="AF561" s="192"/>
      <c r="AI561" s="192"/>
      <c r="AJ561" s="192"/>
      <c r="AK561" s="194"/>
      <c r="AL561" s="192"/>
    </row>
    <row r="562" spans="1:40" x14ac:dyDescent="0.3">
      <c r="J562" s="163"/>
      <c r="K562" s="163"/>
      <c r="Z562" s="163"/>
    </row>
    <row r="563" spans="1:40" x14ac:dyDescent="0.3">
      <c r="C563" s="99"/>
      <c r="J563" s="163"/>
      <c r="K563" s="163"/>
      <c r="T563" s="99"/>
      <c r="Z563" s="163"/>
    </row>
    <row r="564" spans="1:40" x14ac:dyDescent="0.3">
      <c r="C564" s="99"/>
      <c r="J564" s="163"/>
      <c r="K564" s="163"/>
      <c r="T564" s="99"/>
      <c r="Z564" s="163"/>
    </row>
    <row r="565" spans="1:40" x14ac:dyDescent="0.3">
      <c r="C565" s="99"/>
      <c r="F565" s="172"/>
      <c r="H565" s="172"/>
      <c r="I565" s="172"/>
      <c r="J565" s="228"/>
      <c r="K565" s="228"/>
      <c r="L565" s="110"/>
      <c r="M565" s="110"/>
      <c r="N565" s="141"/>
      <c r="O565" s="141"/>
      <c r="P565" s="110"/>
      <c r="Q565" s="110"/>
      <c r="R565" s="110"/>
      <c r="T565" s="99"/>
      <c r="V565" s="110"/>
      <c r="W565" s="110"/>
      <c r="X565" s="110"/>
      <c r="Y565" s="110"/>
      <c r="Z565" s="228"/>
      <c r="AA565" s="110"/>
      <c r="AB565" s="110"/>
      <c r="AC565" s="141"/>
      <c r="AD565" s="141"/>
      <c r="AE565" s="110"/>
      <c r="AF565" s="110"/>
      <c r="AH565" s="207"/>
      <c r="AI565" s="110"/>
      <c r="AJ565" s="110"/>
      <c r="AL565" s="110"/>
      <c r="AM565" s="207"/>
      <c r="AN565" s="207"/>
    </row>
    <row r="566" spans="1:40" x14ac:dyDescent="0.3">
      <c r="C566" s="99"/>
      <c r="J566" s="163"/>
      <c r="K566" s="163"/>
      <c r="T566" s="99"/>
      <c r="Z566" s="163"/>
    </row>
    <row r="567" spans="1:40" x14ac:dyDescent="0.3">
      <c r="C567" s="99"/>
      <c r="F567" s="172"/>
      <c r="H567" s="172"/>
      <c r="I567" s="172"/>
      <c r="J567" s="228"/>
      <c r="K567" s="228"/>
      <c r="L567" s="110"/>
      <c r="M567" s="110"/>
      <c r="N567" s="141"/>
      <c r="O567" s="141"/>
      <c r="P567" s="110"/>
      <c r="Q567" s="110"/>
      <c r="R567" s="110"/>
      <c r="T567" s="99"/>
      <c r="V567" s="110"/>
      <c r="W567" s="110"/>
      <c r="X567" s="110"/>
      <c r="Y567" s="110"/>
      <c r="Z567" s="228"/>
      <c r="AA567" s="110"/>
      <c r="AB567" s="110"/>
      <c r="AC567" s="141"/>
      <c r="AD567" s="141"/>
      <c r="AE567" s="110"/>
      <c r="AF567" s="110"/>
      <c r="AH567" s="207"/>
      <c r="AI567" s="110"/>
      <c r="AJ567" s="110"/>
      <c r="AL567" s="110"/>
      <c r="AM567" s="207"/>
      <c r="AN567" s="207"/>
    </row>
    <row r="568" spans="1:40" x14ac:dyDescent="0.3">
      <c r="F568" s="192"/>
      <c r="H568" s="192"/>
      <c r="I568" s="192"/>
      <c r="J568" s="228"/>
      <c r="K568" s="228"/>
      <c r="L568" s="192"/>
      <c r="M568" s="192"/>
      <c r="N568" s="192"/>
      <c r="O568" s="192"/>
      <c r="P568" s="192"/>
      <c r="Q568" s="192"/>
      <c r="R568" s="192"/>
      <c r="V568" s="192"/>
      <c r="Y568" s="192"/>
      <c r="Z568" s="228"/>
      <c r="AA568" s="192"/>
      <c r="AB568" s="192"/>
      <c r="AC568" s="192"/>
      <c r="AD568" s="192"/>
      <c r="AE568" s="192"/>
      <c r="AF568" s="192"/>
      <c r="AI568" s="192"/>
      <c r="AJ568" s="192"/>
      <c r="AK568" s="194"/>
      <c r="AL568" s="192"/>
    </row>
    <row r="569" spans="1:40" x14ac:dyDescent="0.3">
      <c r="C569" s="99"/>
      <c r="F569" s="110"/>
      <c r="H569" s="110"/>
      <c r="I569" s="110"/>
      <c r="J569" s="163"/>
      <c r="K569" s="163"/>
      <c r="L569" s="110"/>
      <c r="M569" s="110"/>
      <c r="N569" s="207"/>
      <c r="O569" s="207"/>
      <c r="P569" s="110"/>
      <c r="Q569" s="110"/>
      <c r="R569" s="110"/>
      <c r="T569" s="99"/>
      <c r="V569" s="110"/>
      <c r="Y569" s="110"/>
      <c r="Z569" s="163"/>
      <c r="AA569" s="110"/>
      <c r="AB569" s="110"/>
      <c r="AC569" s="207"/>
      <c r="AD569" s="207"/>
      <c r="AE569" s="110"/>
      <c r="AF569" s="110"/>
      <c r="AH569" s="207"/>
      <c r="AI569" s="110"/>
      <c r="AJ569" s="110"/>
      <c r="AL569" s="110"/>
      <c r="AM569" s="207"/>
      <c r="AN569" s="207"/>
    </row>
    <row r="570" spans="1:40" x14ac:dyDescent="0.3">
      <c r="F570" s="192"/>
      <c r="H570" s="192"/>
      <c r="I570" s="192"/>
      <c r="J570" s="228"/>
      <c r="K570" s="228"/>
      <c r="L570" s="192"/>
      <c r="M570" s="192"/>
      <c r="N570" s="192"/>
      <c r="O570" s="192"/>
      <c r="P570" s="192"/>
      <c r="Q570" s="192"/>
      <c r="R570" s="192"/>
      <c r="V570" s="192"/>
      <c r="Y570" s="192"/>
      <c r="Z570" s="217"/>
      <c r="AA570" s="192"/>
      <c r="AB570" s="192"/>
      <c r="AC570" s="192"/>
      <c r="AD570" s="192"/>
      <c r="AE570" s="192"/>
      <c r="AF570" s="192"/>
      <c r="AI570" s="192"/>
      <c r="AJ570" s="192"/>
      <c r="AK570" s="194"/>
      <c r="AL570" s="192"/>
    </row>
    <row r="571" spans="1:40" x14ac:dyDescent="0.3">
      <c r="J571" s="163"/>
      <c r="K571" s="163"/>
    </row>
    <row r="572" spans="1:40" x14ac:dyDescent="0.3">
      <c r="C572" s="99"/>
      <c r="F572" s="110"/>
      <c r="H572" s="110"/>
      <c r="I572" s="110"/>
      <c r="J572" s="163"/>
      <c r="K572" s="163"/>
      <c r="L572" s="110"/>
      <c r="M572" s="110"/>
      <c r="N572" s="141"/>
      <c r="O572" s="141"/>
      <c r="P572" s="172"/>
      <c r="Q572" s="172"/>
      <c r="R572" s="110"/>
      <c r="T572" s="99"/>
      <c r="V572" s="110"/>
      <c r="Y572" s="110"/>
      <c r="AA572" s="110"/>
      <c r="AB572" s="110"/>
      <c r="AC572" s="207"/>
      <c r="AD572" s="207"/>
      <c r="AE572" s="110"/>
      <c r="AF572" s="110"/>
      <c r="AH572" s="207"/>
      <c r="AI572" s="172"/>
      <c r="AJ572" s="172"/>
      <c r="AL572" s="110"/>
      <c r="AM572" s="207"/>
      <c r="AN572" s="207"/>
    </row>
    <row r="573" spans="1:40" x14ac:dyDescent="0.3">
      <c r="F573" s="192"/>
      <c r="H573" s="192"/>
      <c r="I573" s="192"/>
      <c r="J573" s="228"/>
      <c r="K573" s="228"/>
      <c r="L573" s="192"/>
      <c r="M573" s="192"/>
      <c r="N573" s="192"/>
      <c r="O573" s="192"/>
      <c r="P573" s="192"/>
      <c r="Q573" s="192"/>
      <c r="R573" s="192"/>
      <c r="V573" s="192"/>
      <c r="Y573" s="192"/>
      <c r="Z573" s="217"/>
      <c r="AA573" s="192"/>
      <c r="AB573" s="192"/>
      <c r="AC573" s="192"/>
      <c r="AD573" s="192"/>
      <c r="AE573" s="192"/>
      <c r="AF573" s="192"/>
      <c r="AI573" s="192"/>
      <c r="AJ573" s="192"/>
      <c r="AK573" s="194"/>
      <c r="AL573" s="192"/>
    </row>
    <row r="576" spans="1:40" x14ac:dyDescent="0.3">
      <c r="A576" s="99"/>
    </row>
    <row r="578" spans="1:40" x14ac:dyDescent="0.3">
      <c r="H578" s="99"/>
      <c r="I578" s="99"/>
      <c r="Y578" s="99"/>
    </row>
    <row r="580" spans="1:40" x14ac:dyDescent="0.3">
      <c r="L580" s="99"/>
      <c r="M580" s="99"/>
      <c r="AA580" s="99"/>
      <c r="AB580" s="99"/>
    </row>
    <row r="581" spans="1:40" x14ac:dyDescent="0.3">
      <c r="R581" s="99"/>
      <c r="AK581" s="190"/>
      <c r="AL581" s="99"/>
    </row>
    <row r="582" spans="1:40" x14ac:dyDescent="0.3">
      <c r="R582" s="99"/>
      <c r="AK582" s="190"/>
      <c r="AL582" s="99"/>
    </row>
    <row r="583" spans="1:40" x14ac:dyDescent="0.3">
      <c r="A583" s="99"/>
      <c r="R583" s="99"/>
      <c r="AK583" s="190"/>
      <c r="AL583" s="99"/>
    </row>
    <row r="584" spans="1:40" x14ac:dyDescent="0.3">
      <c r="L584" s="99"/>
      <c r="M584" s="99"/>
      <c r="AA584" s="99"/>
      <c r="AB584" s="99"/>
    </row>
    <row r="585" spans="1:40" x14ac:dyDescent="0.3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91"/>
      <c r="AH585" s="101"/>
      <c r="AI585" s="101"/>
      <c r="AJ585" s="101"/>
      <c r="AK585" s="191"/>
      <c r="AL585" s="101"/>
      <c r="AM585" s="101"/>
      <c r="AN585" s="101"/>
    </row>
    <row r="586" spans="1:40" x14ac:dyDescent="0.3">
      <c r="L586" s="102"/>
      <c r="M586" s="102"/>
      <c r="N586" s="102"/>
      <c r="O586" s="102"/>
      <c r="R586" s="102"/>
      <c r="AA586" s="102"/>
      <c r="AB586" s="102"/>
      <c r="AC586" s="102"/>
      <c r="AD586" s="102"/>
      <c r="AE586" s="102"/>
      <c r="AF586" s="102"/>
      <c r="AG586" s="151"/>
      <c r="AH586" s="102"/>
      <c r="AK586" s="151"/>
      <c r="AL586" s="102"/>
      <c r="AM586" s="102"/>
      <c r="AN586" s="102"/>
    </row>
    <row r="587" spans="1:40" x14ac:dyDescent="0.3">
      <c r="L587" s="102"/>
      <c r="M587" s="102"/>
      <c r="N587" s="102"/>
      <c r="O587" s="102"/>
      <c r="R587" s="102"/>
      <c r="Z587" s="102"/>
      <c r="AA587" s="102"/>
      <c r="AB587" s="102"/>
      <c r="AC587" s="102"/>
      <c r="AD587" s="102"/>
      <c r="AE587" s="102"/>
      <c r="AF587" s="102"/>
      <c r="AG587" s="151"/>
      <c r="AH587" s="102"/>
      <c r="AK587" s="151"/>
      <c r="AL587" s="102"/>
      <c r="AM587" s="102"/>
      <c r="AN587" s="102"/>
    </row>
    <row r="588" spans="1:40" x14ac:dyDescent="0.3">
      <c r="A588" s="102"/>
      <c r="C588" s="102"/>
      <c r="D588" s="102"/>
      <c r="E588" s="102"/>
      <c r="F588" s="102"/>
      <c r="J588" s="102"/>
      <c r="K588" s="102"/>
      <c r="L588" s="102"/>
      <c r="M588" s="102"/>
      <c r="N588" s="102"/>
      <c r="O588" s="102"/>
      <c r="P588" s="102"/>
      <c r="Q588" s="102"/>
      <c r="R588" s="102"/>
      <c r="T588" s="102"/>
      <c r="U588" s="102"/>
      <c r="V588" s="102"/>
      <c r="Z588" s="102"/>
      <c r="AA588" s="102"/>
      <c r="AB588" s="102"/>
      <c r="AC588" s="102"/>
      <c r="AD588" s="102"/>
      <c r="AE588" s="102"/>
      <c r="AF588" s="102"/>
      <c r="AG588" s="151"/>
      <c r="AH588" s="102"/>
      <c r="AI588" s="102"/>
      <c r="AJ588" s="102"/>
      <c r="AK588" s="151"/>
      <c r="AL588" s="102"/>
      <c r="AM588" s="102"/>
      <c r="AN588" s="102"/>
    </row>
    <row r="589" spans="1:40" x14ac:dyDescent="0.3">
      <c r="A589" s="102"/>
      <c r="C589" s="102"/>
      <c r="D589" s="102"/>
      <c r="E589" s="102"/>
      <c r="F589" s="102"/>
      <c r="H589" s="102"/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T589" s="102"/>
      <c r="U589" s="102"/>
      <c r="V589" s="102"/>
      <c r="Y589" s="102"/>
      <c r="Z589" s="102"/>
      <c r="AA589" s="102"/>
      <c r="AB589" s="102"/>
      <c r="AC589" s="102"/>
      <c r="AD589" s="102"/>
      <c r="AE589" s="102"/>
      <c r="AF589" s="102"/>
      <c r="AG589" s="151"/>
      <c r="AH589" s="102"/>
      <c r="AI589" s="102"/>
      <c r="AJ589" s="102"/>
      <c r="AK589" s="151"/>
      <c r="AL589" s="102"/>
      <c r="AM589" s="102"/>
      <c r="AN589" s="102"/>
    </row>
    <row r="590" spans="1:40" x14ac:dyDescent="0.3">
      <c r="C590" s="102"/>
      <c r="D590" s="102"/>
      <c r="E590" s="102"/>
      <c r="F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T590" s="102"/>
      <c r="U590" s="102"/>
      <c r="V590" s="102"/>
      <c r="Y590" s="102"/>
      <c r="Z590" s="102"/>
      <c r="AA590" s="102"/>
      <c r="AB590" s="102"/>
      <c r="AC590" s="102"/>
      <c r="AD590" s="102"/>
      <c r="AE590" s="102"/>
      <c r="AF590" s="102"/>
      <c r="AG590" s="151"/>
      <c r="AH590" s="102"/>
      <c r="AI590" s="102"/>
      <c r="AJ590" s="102"/>
      <c r="AK590" s="151"/>
      <c r="AL590" s="102"/>
      <c r="AM590" s="102"/>
      <c r="AN590" s="102"/>
    </row>
    <row r="591" spans="1:40" x14ac:dyDescent="0.3">
      <c r="A591" s="101"/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T591" s="101"/>
      <c r="U591" s="101"/>
      <c r="V591" s="101"/>
      <c r="W591" s="101"/>
      <c r="X591" s="101"/>
      <c r="Y591" s="101"/>
      <c r="Z591" s="101"/>
      <c r="AA591" s="101"/>
      <c r="AB591" s="101"/>
      <c r="AC591" s="101"/>
      <c r="AD591" s="101"/>
      <c r="AE591" s="101"/>
      <c r="AF591" s="101"/>
      <c r="AG591" s="191"/>
      <c r="AH591" s="101"/>
      <c r="AI591" s="101"/>
      <c r="AJ591" s="101"/>
      <c r="AK591" s="191"/>
      <c r="AL591" s="101"/>
      <c r="AM591" s="101"/>
      <c r="AN591" s="101"/>
    </row>
    <row r="592" spans="1:40" x14ac:dyDescent="0.3">
      <c r="H592" s="102"/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Y592" s="102"/>
      <c r="Z592" s="102"/>
      <c r="AA592" s="102"/>
      <c r="AB592" s="102"/>
      <c r="AC592" s="102"/>
      <c r="AD592" s="102"/>
      <c r="AE592" s="102"/>
      <c r="AF592" s="102"/>
      <c r="AG592" s="151"/>
      <c r="AH592" s="102"/>
      <c r="AI592" s="102"/>
      <c r="AJ592" s="102"/>
      <c r="AK592" s="151"/>
      <c r="AL592" s="102"/>
      <c r="AM592" s="102"/>
      <c r="AN592" s="102"/>
    </row>
    <row r="593" spans="3:40" x14ac:dyDescent="0.3">
      <c r="C593" s="99"/>
      <c r="D593" s="99"/>
      <c r="E593" s="99"/>
      <c r="T593" s="99"/>
      <c r="U593" s="99"/>
    </row>
    <row r="595" spans="3:40" x14ac:dyDescent="0.3">
      <c r="C595" s="99"/>
      <c r="D595" s="99"/>
      <c r="E595" s="99"/>
      <c r="T595" s="99"/>
      <c r="U595" s="99"/>
    </row>
    <row r="596" spans="3:40" x14ac:dyDescent="0.3">
      <c r="C596" s="99"/>
      <c r="T596" s="99"/>
    </row>
    <row r="597" spans="3:40" x14ac:dyDescent="0.3">
      <c r="C597" s="99"/>
      <c r="T597" s="99"/>
    </row>
    <row r="598" spans="3:40" x14ac:dyDescent="0.3">
      <c r="C598" s="99"/>
      <c r="F598" s="172"/>
      <c r="H598" s="172"/>
      <c r="I598" s="172"/>
      <c r="J598" s="228"/>
      <c r="K598" s="228"/>
      <c r="L598" s="110"/>
      <c r="M598" s="110"/>
      <c r="N598" s="141"/>
      <c r="O598" s="141"/>
      <c r="P598" s="110"/>
      <c r="Q598" s="110"/>
      <c r="R598" s="110"/>
      <c r="T598" s="99"/>
      <c r="V598" s="110"/>
      <c r="W598" s="110"/>
      <c r="X598" s="110"/>
      <c r="Y598" s="110"/>
      <c r="Z598" s="228"/>
      <c r="AA598" s="110"/>
      <c r="AB598" s="110"/>
      <c r="AC598" s="141"/>
      <c r="AD598" s="141"/>
      <c r="AE598" s="110"/>
      <c r="AF598" s="110"/>
      <c r="AH598" s="207"/>
      <c r="AI598" s="110"/>
      <c r="AJ598" s="110"/>
      <c r="AL598" s="110"/>
      <c r="AM598" s="141"/>
      <c r="AN598" s="141"/>
    </row>
    <row r="599" spans="3:40" x14ac:dyDescent="0.3">
      <c r="C599" s="99"/>
      <c r="J599" s="163"/>
      <c r="K599" s="163"/>
      <c r="T599" s="99"/>
      <c r="V599" s="110"/>
      <c r="W599" s="110"/>
      <c r="X599" s="110"/>
      <c r="Y599" s="110"/>
      <c r="Z599" s="228"/>
    </row>
    <row r="600" spans="3:40" x14ac:dyDescent="0.3">
      <c r="C600" s="99"/>
      <c r="F600" s="172"/>
      <c r="H600" s="172"/>
      <c r="I600" s="172"/>
      <c r="J600" s="228"/>
      <c r="K600" s="228"/>
      <c r="L600" s="110"/>
      <c r="M600" s="110"/>
      <c r="N600" s="141"/>
      <c r="O600" s="141"/>
      <c r="P600" s="110"/>
      <c r="Q600" s="110"/>
      <c r="R600" s="110"/>
      <c r="T600" s="99"/>
      <c r="V600" s="110"/>
      <c r="W600" s="110"/>
      <c r="X600" s="110"/>
      <c r="Y600" s="110"/>
      <c r="Z600" s="228"/>
      <c r="AA600" s="110"/>
      <c r="AB600" s="110"/>
      <c r="AC600" s="141"/>
      <c r="AD600" s="141"/>
      <c r="AE600" s="110"/>
      <c r="AF600" s="110"/>
      <c r="AH600" s="207"/>
      <c r="AI600" s="110"/>
      <c r="AJ600" s="110"/>
      <c r="AL600" s="110"/>
      <c r="AM600" s="141"/>
      <c r="AN600" s="141"/>
    </row>
    <row r="601" spans="3:40" x14ac:dyDescent="0.3">
      <c r="C601" s="99"/>
      <c r="J601" s="163"/>
      <c r="K601" s="163"/>
      <c r="T601" s="99"/>
      <c r="V601" s="110"/>
      <c r="W601" s="110"/>
      <c r="X601" s="110"/>
      <c r="Y601" s="110"/>
      <c r="Z601" s="228"/>
    </row>
    <row r="602" spans="3:40" x14ac:dyDescent="0.3">
      <c r="C602" s="99"/>
      <c r="F602" s="172"/>
      <c r="H602" s="172"/>
      <c r="I602" s="172"/>
      <c r="J602" s="228"/>
      <c r="K602" s="228"/>
      <c r="L602" s="110"/>
      <c r="M602" s="110"/>
      <c r="N602" s="141"/>
      <c r="O602" s="141"/>
      <c r="P602" s="110"/>
      <c r="Q602" s="110"/>
      <c r="R602" s="110"/>
      <c r="T602" s="99"/>
      <c r="V602" s="110"/>
      <c r="W602" s="110"/>
      <c r="X602" s="110"/>
      <c r="Y602" s="110"/>
      <c r="Z602" s="228"/>
      <c r="AA602" s="110"/>
      <c r="AB602" s="110"/>
      <c r="AC602" s="141"/>
      <c r="AD602" s="141"/>
      <c r="AE602" s="110"/>
      <c r="AF602" s="110"/>
      <c r="AH602" s="207"/>
      <c r="AI602" s="110"/>
      <c r="AJ602" s="110"/>
      <c r="AL602" s="110"/>
      <c r="AM602" s="141"/>
      <c r="AN602" s="141"/>
    </row>
    <row r="603" spans="3:40" x14ac:dyDescent="0.3">
      <c r="C603" s="99"/>
      <c r="J603" s="163"/>
      <c r="K603" s="163"/>
      <c r="T603" s="99"/>
      <c r="V603" s="110"/>
      <c r="W603" s="110"/>
      <c r="X603" s="110"/>
      <c r="Y603" s="110"/>
      <c r="Z603" s="228"/>
    </row>
    <row r="604" spans="3:40" x14ac:dyDescent="0.3">
      <c r="C604" s="99"/>
      <c r="F604" s="172"/>
      <c r="H604" s="172"/>
      <c r="I604" s="172"/>
      <c r="J604" s="228"/>
      <c r="K604" s="228"/>
      <c r="L604" s="110"/>
      <c r="M604" s="110"/>
      <c r="N604" s="141"/>
      <c r="O604" s="141"/>
      <c r="P604" s="110"/>
      <c r="Q604" s="110"/>
      <c r="R604" s="110"/>
      <c r="T604" s="99"/>
      <c r="V604" s="110"/>
      <c r="W604" s="110"/>
      <c r="X604" s="110"/>
      <c r="Y604" s="110"/>
      <c r="Z604" s="228"/>
      <c r="AA604" s="110"/>
      <c r="AB604" s="110"/>
      <c r="AC604" s="141"/>
      <c r="AD604" s="141"/>
      <c r="AE604" s="110"/>
      <c r="AF604" s="110"/>
      <c r="AH604" s="207"/>
      <c r="AI604" s="110"/>
      <c r="AJ604" s="110"/>
      <c r="AL604" s="110"/>
      <c r="AM604" s="141"/>
      <c r="AN604" s="141"/>
    </row>
    <row r="605" spans="3:40" x14ac:dyDescent="0.3">
      <c r="C605" s="99"/>
      <c r="J605" s="163"/>
      <c r="K605" s="163"/>
      <c r="T605" s="99"/>
      <c r="V605" s="110"/>
      <c r="W605" s="110"/>
      <c r="X605" s="110"/>
      <c r="Y605" s="110"/>
      <c r="Z605" s="228"/>
    </row>
    <row r="606" spans="3:40" x14ac:dyDescent="0.3">
      <c r="C606" s="99"/>
      <c r="F606" s="172"/>
      <c r="H606" s="172"/>
      <c r="I606" s="172"/>
      <c r="J606" s="228"/>
      <c r="K606" s="228"/>
      <c r="L606" s="110"/>
      <c r="M606" s="110"/>
      <c r="N606" s="141"/>
      <c r="O606" s="141"/>
      <c r="P606" s="110"/>
      <c r="Q606" s="110"/>
      <c r="R606" s="110"/>
      <c r="T606" s="99"/>
      <c r="V606" s="110"/>
      <c r="W606" s="110"/>
      <c r="X606" s="110"/>
      <c r="Y606" s="110"/>
      <c r="Z606" s="228"/>
      <c r="AA606" s="110"/>
      <c r="AB606" s="110"/>
      <c r="AC606" s="141"/>
      <c r="AD606" s="141"/>
      <c r="AE606" s="110"/>
      <c r="AF606" s="110"/>
      <c r="AH606" s="207"/>
      <c r="AI606" s="110"/>
      <c r="AJ606" s="110"/>
      <c r="AL606" s="110"/>
      <c r="AM606" s="141"/>
      <c r="AN606" s="141"/>
    </row>
    <row r="607" spans="3:40" x14ac:dyDescent="0.3">
      <c r="C607" s="99"/>
      <c r="J607" s="163"/>
      <c r="K607" s="163"/>
      <c r="T607" s="99"/>
      <c r="V607" s="110"/>
      <c r="W607" s="110"/>
      <c r="X607" s="110"/>
      <c r="Y607" s="110"/>
      <c r="Z607" s="228"/>
    </row>
    <row r="608" spans="3:40" x14ac:dyDescent="0.3">
      <c r="C608" s="99"/>
      <c r="F608" s="172"/>
      <c r="H608" s="172"/>
      <c r="I608" s="172"/>
      <c r="J608" s="228"/>
      <c r="K608" s="228"/>
      <c r="L608" s="110"/>
      <c r="M608" s="110"/>
      <c r="N608" s="141"/>
      <c r="O608" s="141"/>
      <c r="P608" s="110"/>
      <c r="Q608" s="110"/>
      <c r="R608" s="110"/>
      <c r="T608" s="99"/>
      <c r="V608" s="110"/>
      <c r="W608" s="110"/>
      <c r="X608" s="110"/>
      <c r="Y608" s="110"/>
      <c r="Z608" s="228"/>
      <c r="AA608" s="110"/>
      <c r="AB608" s="110"/>
      <c r="AC608" s="141"/>
      <c r="AD608" s="141"/>
      <c r="AE608" s="110"/>
      <c r="AF608" s="110"/>
      <c r="AH608" s="207"/>
      <c r="AI608" s="110"/>
      <c r="AJ608" s="110"/>
      <c r="AL608" s="110"/>
      <c r="AM608" s="141"/>
      <c r="AN608" s="141"/>
    </row>
    <row r="609" spans="3:40" x14ac:dyDescent="0.3">
      <c r="F609" s="192"/>
      <c r="H609" s="192"/>
      <c r="I609" s="192"/>
      <c r="J609" s="228"/>
      <c r="K609" s="228"/>
      <c r="L609" s="192"/>
      <c r="M609" s="192"/>
      <c r="N609" s="192"/>
      <c r="O609" s="192"/>
      <c r="P609" s="192"/>
      <c r="Q609" s="192"/>
      <c r="R609" s="192"/>
      <c r="V609" s="192"/>
      <c r="Y609" s="192"/>
      <c r="Z609" s="228"/>
      <c r="AA609" s="192"/>
      <c r="AB609" s="192"/>
      <c r="AC609" s="192"/>
      <c r="AD609" s="192"/>
      <c r="AE609" s="192"/>
      <c r="AF609" s="192"/>
      <c r="AI609" s="192"/>
      <c r="AJ609" s="192"/>
      <c r="AK609" s="194"/>
      <c r="AL609" s="192"/>
      <c r="AM609" s="141"/>
      <c r="AN609" s="141"/>
    </row>
    <row r="610" spans="3:40" x14ac:dyDescent="0.3">
      <c r="C610" s="99"/>
      <c r="F610" s="110"/>
      <c r="H610" s="110"/>
      <c r="I610" s="110"/>
      <c r="J610" s="163"/>
      <c r="K610" s="163"/>
      <c r="L610" s="110"/>
      <c r="M610" s="110"/>
      <c r="N610" s="141"/>
      <c r="O610" s="141"/>
      <c r="P610" s="172"/>
      <c r="Q610" s="172"/>
      <c r="R610" s="110"/>
      <c r="T610" s="99"/>
      <c r="V610" s="110"/>
      <c r="W610" s="110"/>
      <c r="X610" s="110"/>
      <c r="Y610" s="110"/>
      <c r="Z610" s="228"/>
      <c r="AA610" s="110"/>
      <c r="AB610" s="110"/>
      <c r="AC610" s="141"/>
      <c r="AD610" s="141"/>
      <c r="AE610" s="110"/>
      <c r="AF610" s="110"/>
      <c r="AH610" s="207"/>
      <c r="AI610" s="172"/>
      <c r="AJ610" s="172"/>
      <c r="AL610" s="110"/>
      <c r="AM610" s="141"/>
      <c r="AN610" s="141"/>
    </row>
    <row r="611" spans="3:40" x14ac:dyDescent="0.3">
      <c r="F611" s="192"/>
      <c r="H611" s="192"/>
      <c r="I611" s="192"/>
      <c r="J611" s="228"/>
      <c r="K611" s="228"/>
      <c r="L611" s="192"/>
      <c r="M611" s="192"/>
      <c r="N611" s="192"/>
      <c r="O611" s="192"/>
      <c r="P611" s="192"/>
      <c r="Q611" s="192"/>
      <c r="R611" s="192"/>
      <c r="V611" s="192"/>
      <c r="Y611" s="192"/>
      <c r="Z611" s="228"/>
      <c r="AA611" s="192"/>
      <c r="AB611" s="192"/>
      <c r="AC611" s="192"/>
      <c r="AD611" s="192"/>
      <c r="AE611" s="192"/>
      <c r="AF611" s="192"/>
      <c r="AI611" s="192"/>
      <c r="AJ611" s="192"/>
      <c r="AK611" s="194"/>
      <c r="AL611" s="192"/>
    </row>
    <row r="612" spans="3:40" x14ac:dyDescent="0.3">
      <c r="C612" s="99"/>
      <c r="D612" s="99"/>
      <c r="E612" s="99"/>
      <c r="J612" s="163"/>
      <c r="K612" s="163"/>
      <c r="T612" s="99"/>
      <c r="U612" s="99"/>
      <c r="V612" s="110"/>
      <c r="W612" s="110"/>
      <c r="X612" s="110"/>
      <c r="Y612" s="110"/>
      <c r="Z612" s="228"/>
    </row>
    <row r="613" spans="3:40" x14ac:dyDescent="0.3">
      <c r="C613" s="99"/>
      <c r="J613" s="163"/>
      <c r="K613" s="163"/>
      <c r="T613" s="99"/>
      <c r="V613" s="110"/>
      <c r="W613" s="110"/>
      <c r="X613" s="110"/>
      <c r="Y613" s="110"/>
      <c r="Z613" s="228"/>
    </row>
    <row r="614" spans="3:40" x14ac:dyDescent="0.3">
      <c r="C614" s="99"/>
      <c r="J614" s="163"/>
      <c r="K614" s="163"/>
      <c r="T614" s="99"/>
      <c r="V614" s="110"/>
      <c r="W614" s="110"/>
      <c r="X614" s="110"/>
      <c r="Y614" s="110"/>
      <c r="Z614" s="228"/>
    </row>
    <row r="615" spans="3:40" x14ac:dyDescent="0.3">
      <c r="C615" s="99"/>
      <c r="F615" s="172"/>
      <c r="H615" s="172"/>
      <c r="I615" s="172"/>
      <c r="J615" s="228"/>
      <c r="K615" s="228"/>
      <c r="L615" s="110"/>
      <c r="M615" s="110"/>
      <c r="N615" s="141"/>
      <c r="O615" s="141"/>
      <c r="P615" s="110"/>
      <c r="Q615" s="110"/>
      <c r="R615" s="110"/>
      <c r="T615" s="99"/>
      <c r="V615" s="110"/>
      <c r="W615" s="110"/>
      <c r="X615" s="110"/>
      <c r="Y615" s="110"/>
      <c r="Z615" s="228"/>
      <c r="AA615" s="110"/>
      <c r="AB615" s="110"/>
      <c r="AC615" s="141"/>
      <c r="AD615" s="141"/>
      <c r="AE615" s="110"/>
      <c r="AF615" s="110"/>
      <c r="AH615" s="207"/>
      <c r="AI615" s="110"/>
      <c r="AJ615" s="110"/>
      <c r="AL615" s="110"/>
      <c r="AM615" s="141"/>
      <c r="AN615" s="141"/>
    </row>
    <row r="616" spans="3:40" x14ac:dyDescent="0.3">
      <c r="C616" s="99"/>
      <c r="J616" s="163"/>
      <c r="K616" s="163"/>
      <c r="T616" s="99"/>
      <c r="V616" s="110"/>
      <c r="W616" s="110"/>
      <c r="X616" s="110"/>
      <c r="Y616" s="110"/>
      <c r="Z616" s="228"/>
    </row>
    <row r="617" spans="3:40" x14ac:dyDescent="0.3">
      <c r="C617" s="99"/>
      <c r="F617" s="172"/>
      <c r="H617" s="172"/>
      <c r="I617" s="172"/>
      <c r="J617" s="228"/>
      <c r="K617" s="228"/>
      <c r="L617" s="110"/>
      <c r="M617" s="110"/>
      <c r="N617" s="141"/>
      <c r="O617" s="141"/>
      <c r="P617" s="110"/>
      <c r="Q617" s="110"/>
      <c r="R617" s="110"/>
      <c r="T617" s="99"/>
      <c r="V617" s="110"/>
      <c r="W617" s="110"/>
      <c r="X617" s="110"/>
      <c r="Y617" s="110"/>
      <c r="Z617" s="228"/>
      <c r="AA617" s="110"/>
      <c r="AB617" s="110"/>
      <c r="AC617" s="141"/>
      <c r="AD617" s="141"/>
      <c r="AE617" s="110"/>
      <c r="AF617" s="110"/>
      <c r="AH617" s="207"/>
      <c r="AI617" s="110"/>
      <c r="AJ617" s="110"/>
      <c r="AL617" s="110"/>
      <c r="AM617" s="141"/>
      <c r="AN617" s="141"/>
    </row>
    <row r="618" spans="3:40" x14ac:dyDescent="0.3">
      <c r="F618" s="192"/>
      <c r="H618" s="192"/>
      <c r="I618" s="192"/>
      <c r="J618" s="228"/>
      <c r="K618" s="228"/>
      <c r="L618" s="192"/>
      <c r="M618" s="192"/>
      <c r="N618" s="192"/>
      <c r="O618" s="192"/>
      <c r="P618" s="192"/>
      <c r="Q618" s="192"/>
      <c r="R618" s="192"/>
      <c r="V618" s="192"/>
      <c r="Y618" s="192"/>
      <c r="Z618" s="217"/>
      <c r="AA618" s="192"/>
      <c r="AB618" s="192"/>
      <c r="AC618" s="192"/>
      <c r="AD618" s="192"/>
      <c r="AE618" s="192"/>
      <c r="AF618" s="192"/>
      <c r="AI618" s="192"/>
      <c r="AJ618" s="192"/>
      <c r="AK618" s="194"/>
      <c r="AL618" s="192"/>
    </row>
    <row r="619" spans="3:40" x14ac:dyDescent="0.3">
      <c r="C619" s="99"/>
      <c r="F619" s="110"/>
      <c r="H619" s="110"/>
      <c r="I619" s="110"/>
      <c r="L619" s="110"/>
      <c r="M619" s="110"/>
      <c r="N619" s="141"/>
      <c r="O619" s="141"/>
      <c r="P619" s="172"/>
      <c r="Q619" s="172"/>
      <c r="R619" s="110"/>
      <c r="T619" s="99"/>
      <c r="V619" s="110"/>
      <c r="W619" s="110"/>
      <c r="X619" s="110"/>
      <c r="Y619" s="110"/>
      <c r="Z619" s="227"/>
      <c r="AA619" s="110"/>
      <c r="AB619" s="110"/>
      <c r="AC619" s="141"/>
      <c r="AD619" s="141"/>
      <c r="AE619" s="110"/>
      <c r="AF619" s="110"/>
      <c r="AH619" s="207"/>
      <c r="AI619" s="172"/>
      <c r="AJ619" s="172"/>
      <c r="AL619" s="110"/>
      <c r="AM619" s="141"/>
      <c r="AN619" s="141"/>
    </row>
    <row r="620" spans="3:40" x14ac:dyDescent="0.3">
      <c r="F620" s="192"/>
      <c r="H620" s="192"/>
      <c r="I620" s="192"/>
      <c r="J620" s="217"/>
      <c r="K620" s="217"/>
      <c r="L620" s="192"/>
      <c r="M620" s="192"/>
      <c r="N620" s="192"/>
      <c r="O620" s="192"/>
      <c r="P620" s="192"/>
      <c r="Q620" s="192"/>
      <c r="R620" s="192"/>
      <c r="V620" s="192"/>
      <c r="Y620" s="192"/>
      <c r="Z620" s="217"/>
      <c r="AA620" s="192"/>
      <c r="AB620" s="192"/>
      <c r="AC620" s="192"/>
      <c r="AD620" s="192"/>
      <c r="AE620" s="192"/>
      <c r="AF620" s="192"/>
      <c r="AI620" s="192"/>
      <c r="AJ620" s="192"/>
      <c r="AK620" s="194"/>
      <c r="AL620" s="192"/>
    </row>
    <row r="621" spans="3:40" x14ac:dyDescent="0.3">
      <c r="C621" s="99"/>
      <c r="D621" s="99"/>
      <c r="E621" s="99"/>
      <c r="T621" s="99"/>
      <c r="U621" s="99"/>
      <c r="V621" s="110"/>
      <c r="W621" s="110"/>
      <c r="X621" s="110"/>
      <c r="Y621" s="110"/>
      <c r="Z621" s="227"/>
    </row>
    <row r="622" spans="3:40" x14ac:dyDescent="0.3">
      <c r="C622" s="99"/>
      <c r="T622" s="99"/>
      <c r="V622" s="110"/>
      <c r="W622" s="110"/>
      <c r="X622" s="110"/>
      <c r="Y622" s="110"/>
      <c r="Z622" s="227"/>
    </row>
    <row r="623" spans="3:40" x14ac:dyDescent="0.3">
      <c r="C623" s="99"/>
      <c r="F623" s="172"/>
      <c r="H623" s="172"/>
      <c r="I623" s="172"/>
      <c r="J623" s="227"/>
      <c r="K623" s="227"/>
      <c r="L623" s="110"/>
      <c r="M623" s="110"/>
      <c r="N623" s="141"/>
      <c r="O623" s="141"/>
      <c r="P623" s="110"/>
      <c r="Q623" s="110"/>
      <c r="R623" s="110"/>
      <c r="T623" s="99"/>
      <c r="V623" s="110"/>
      <c r="W623" s="110"/>
      <c r="X623" s="110"/>
      <c r="Y623" s="110"/>
      <c r="Z623" s="227"/>
      <c r="AA623" s="110"/>
      <c r="AB623" s="110"/>
      <c r="AC623" s="141"/>
      <c r="AD623" s="141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C624" s="99"/>
      <c r="T624" s="99"/>
      <c r="V624" s="110"/>
      <c r="W624" s="110"/>
      <c r="X624" s="110"/>
      <c r="Y624" s="110"/>
      <c r="Z624" s="227"/>
    </row>
    <row r="625" spans="1:40" x14ac:dyDescent="0.3">
      <c r="C625" s="99"/>
      <c r="F625" s="172"/>
      <c r="H625" s="172"/>
      <c r="I625" s="172"/>
      <c r="J625" s="227"/>
      <c r="K625" s="227"/>
      <c r="L625" s="110"/>
      <c r="M625" s="110"/>
      <c r="N625" s="141"/>
      <c r="O625" s="141"/>
      <c r="P625" s="110"/>
      <c r="Q625" s="110"/>
      <c r="R625" s="110"/>
      <c r="T625" s="99"/>
      <c r="V625" s="110"/>
      <c r="W625" s="110"/>
      <c r="X625" s="110"/>
      <c r="Y625" s="110"/>
      <c r="Z625" s="227"/>
      <c r="AA625" s="110"/>
      <c r="AB625" s="110"/>
      <c r="AC625" s="141"/>
      <c r="AD625" s="141"/>
      <c r="AE625" s="110"/>
      <c r="AF625" s="110"/>
      <c r="AH625" s="207"/>
      <c r="AI625" s="110"/>
      <c r="AJ625" s="110"/>
      <c r="AL625" s="110"/>
      <c r="AM625" s="141"/>
      <c r="AN625" s="141"/>
    </row>
    <row r="626" spans="1:40" x14ac:dyDescent="0.3">
      <c r="C626" s="99"/>
      <c r="T626" s="99"/>
      <c r="V626" s="110"/>
      <c r="W626" s="110"/>
      <c r="X626" s="110"/>
      <c r="Y626" s="110"/>
      <c r="Z626" s="227"/>
    </row>
    <row r="627" spans="1:40" x14ac:dyDescent="0.3">
      <c r="C627" s="99"/>
      <c r="F627" s="172"/>
      <c r="H627" s="172"/>
      <c r="I627" s="172"/>
      <c r="J627" s="227"/>
      <c r="K627" s="227"/>
      <c r="L627" s="110"/>
      <c r="M627" s="110"/>
      <c r="N627" s="141"/>
      <c r="O627" s="141"/>
      <c r="P627" s="110"/>
      <c r="Q627" s="110"/>
      <c r="R627" s="110"/>
      <c r="T627" s="99"/>
      <c r="V627" s="110"/>
      <c r="W627" s="110"/>
      <c r="X627" s="110"/>
      <c r="Y627" s="110"/>
      <c r="Z627" s="227"/>
      <c r="AA627" s="110"/>
      <c r="AB627" s="110"/>
      <c r="AC627" s="141"/>
      <c r="AD627" s="141"/>
      <c r="AE627" s="110"/>
      <c r="AF627" s="110"/>
      <c r="AH627" s="207"/>
      <c r="AI627" s="110"/>
      <c r="AJ627" s="110"/>
      <c r="AL627" s="110"/>
      <c r="AM627" s="141"/>
      <c r="AN627" s="141"/>
    </row>
    <row r="628" spans="1:40" x14ac:dyDescent="0.3">
      <c r="C628" s="99"/>
      <c r="T628" s="99"/>
      <c r="V628" s="110"/>
      <c r="W628" s="110"/>
      <c r="X628" s="110"/>
      <c r="Y628" s="110"/>
      <c r="Z628" s="227"/>
    </row>
    <row r="629" spans="1:40" x14ac:dyDescent="0.3">
      <c r="C629" s="99"/>
      <c r="F629" s="172"/>
      <c r="H629" s="172"/>
      <c r="I629" s="172"/>
      <c r="J629" s="227"/>
      <c r="K629" s="227"/>
      <c r="L629" s="110"/>
      <c r="M629" s="110"/>
      <c r="N629" s="141"/>
      <c r="O629" s="141"/>
      <c r="P629" s="110"/>
      <c r="Q629" s="110"/>
      <c r="R629" s="110"/>
      <c r="T629" s="99"/>
      <c r="V629" s="110"/>
      <c r="W629" s="110"/>
      <c r="X629" s="110"/>
      <c r="Y629" s="110"/>
      <c r="Z629" s="227"/>
      <c r="AA629" s="110"/>
      <c r="AB629" s="110"/>
      <c r="AC629" s="141"/>
      <c r="AD629" s="141"/>
      <c r="AE629" s="110"/>
      <c r="AF629" s="110"/>
      <c r="AH629" s="207"/>
      <c r="AI629" s="110"/>
      <c r="AJ629" s="110"/>
      <c r="AL629" s="110"/>
      <c r="AM629" s="141"/>
      <c r="AN629" s="141"/>
    </row>
    <row r="630" spans="1:40" x14ac:dyDescent="0.3">
      <c r="F630" s="192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Y630" s="192"/>
      <c r="Z630" s="217"/>
      <c r="AA630" s="192"/>
      <c r="AB630" s="192"/>
      <c r="AC630" s="192"/>
      <c r="AD630" s="192"/>
      <c r="AE630" s="192"/>
      <c r="AF630" s="192"/>
      <c r="AI630" s="192"/>
      <c r="AJ630" s="192"/>
      <c r="AK630" s="194"/>
      <c r="AL630" s="192"/>
    </row>
    <row r="631" spans="1:40" x14ac:dyDescent="0.3">
      <c r="C631" s="99"/>
      <c r="F631" s="110"/>
      <c r="H631" s="110"/>
      <c r="I631" s="110"/>
      <c r="L631" s="110"/>
      <c r="M631" s="110"/>
      <c r="N631" s="141"/>
      <c r="O631" s="141"/>
      <c r="P631" s="172"/>
      <c r="Q631" s="172"/>
      <c r="R631" s="110"/>
      <c r="T631" s="99"/>
      <c r="V631" s="110"/>
      <c r="W631" s="110"/>
      <c r="X631" s="110"/>
      <c r="Y631" s="110"/>
      <c r="Z631" s="227"/>
      <c r="AA631" s="110"/>
      <c r="AB631" s="110"/>
      <c r="AC631" s="141"/>
      <c r="AD631" s="141"/>
      <c r="AE631" s="110"/>
      <c r="AF631" s="110"/>
      <c r="AH631" s="207"/>
      <c r="AI631" s="172"/>
      <c r="AJ631" s="172"/>
      <c r="AL631" s="110"/>
      <c r="AM631" s="141"/>
      <c r="AN631" s="141"/>
    </row>
    <row r="632" spans="1:40" x14ac:dyDescent="0.3">
      <c r="F632" s="192"/>
      <c r="H632" s="192"/>
      <c r="I632" s="192"/>
      <c r="J632" s="217"/>
      <c r="K632" s="217"/>
      <c r="L632" s="192"/>
      <c r="M632" s="192"/>
      <c r="N632" s="192"/>
      <c r="O632" s="192"/>
      <c r="P632" s="192"/>
      <c r="Q632" s="192"/>
      <c r="R632" s="192"/>
      <c r="V632" s="192"/>
      <c r="Y632" s="192"/>
      <c r="Z632" s="217"/>
      <c r="AA632" s="192"/>
      <c r="AB632" s="192"/>
      <c r="AC632" s="192"/>
      <c r="AD632" s="192"/>
      <c r="AE632" s="192"/>
      <c r="AF632" s="192"/>
      <c r="AI632" s="192"/>
      <c r="AJ632" s="192"/>
      <c r="AK632" s="194"/>
      <c r="AL632" s="192"/>
    </row>
    <row r="633" spans="1:40" x14ac:dyDescent="0.3">
      <c r="C633" s="99"/>
      <c r="F633" s="110"/>
      <c r="H633" s="110"/>
      <c r="I633" s="110"/>
      <c r="L633" s="110"/>
      <c r="M633" s="110"/>
      <c r="N633" s="141"/>
      <c r="O633" s="141"/>
      <c r="P633" s="110"/>
      <c r="Q633" s="110"/>
      <c r="R633" s="110"/>
      <c r="T633" s="99"/>
      <c r="V633" s="110"/>
      <c r="W633" s="110"/>
      <c r="X633" s="110"/>
      <c r="Y633" s="110"/>
      <c r="AA633" s="110"/>
      <c r="AB633" s="110"/>
      <c r="AC633" s="141"/>
      <c r="AD633" s="141"/>
      <c r="AE633" s="110"/>
      <c r="AF633" s="110"/>
      <c r="AH633" s="207"/>
      <c r="AI633" s="110"/>
      <c r="AJ633" s="110"/>
      <c r="AL633" s="110"/>
      <c r="AM633" s="207"/>
      <c r="AN633" s="207"/>
    </row>
    <row r="634" spans="1:40" x14ac:dyDescent="0.3">
      <c r="F634" s="192"/>
      <c r="H634" s="192"/>
      <c r="I634" s="192"/>
      <c r="J634" s="217"/>
      <c r="K634" s="217"/>
      <c r="L634" s="192"/>
      <c r="M634" s="192"/>
      <c r="N634" s="192"/>
      <c r="O634" s="192"/>
      <c r="P634" s="192"/>
      <c r="Q634" s="192"/>
      <c r="R634" s="192"/>
      <c r="V634" s="192"/>
      <c r="Y634" s="192"/>
      <c r="Z634" s="217"/>
      <c r="AA634" s="192"/>
      <c r="AB634" s="192"/>
      <c r="AC634" s="192"/>
      <c r="AD634" s="192"/>
      <c r="AE634" s="192"/>
      <c r="AF634" s="192"/>
      <c r="AI634" s="192"/>
      <c r="AJ634" s="192"/>
      <c r="AK634" s="194"/>
      <c r="AL634" s="192"/>
    </row>
    <row r="637" spans="1:40" x14ac:dyDescent="0.3">
      <c r="A637" s="99"/>
    </row>
    <row r="639" spans="1:40" x14ac:dyDescent="0.3">
      <c r="H639" s="99"/>
      <c r="I639" s="99"/>
      <c r="Y639" s="99"/>
    </row>
    <row r="641" spans="1:40" x14ac:dyDescent="0.3">
      <c r="L641" s="99"/>
      <c r="M641" s="99"/>
      <c r="AA641" s="99"/>
      <c r="AB641" s="99"/>
    </row>
    <row r="642" spans="1:40" x14ac:dyDescent="0.3">
      <c r="R642" s="99"/>
      <c r="AK642" s="190"/>
      <c r="AL642" s="99"/>
    </row>
    <row r="643" spans="1:40" x14ac:dyDescent="0.3">
      <c r="R643" s="99"/>
      <c r="AK643" s="190"/>
      <c r="AL643" s="99"/>
    </row>
    <row r="644" spans="1:40" x14ac:dyDescent="0.3">
      <c r="A644" s="99"/>
      <c r="R644" s="99"/>
      <c r="AK644" s="190"/>
      <c r="AL644" s="99"/>
    </row>
    <row r="645" spans="1:40" x14ac:dyDescent="0.3">
      <c r="L645" s="99"/>
      <c r="M645" s="99"/>
      <c r="AA645" s="99"/>
      <c r="AB645" s="99"/>
    </row>
    <row r="646" spans="1:40" x14ac:dyDescent="0.3">
      <c r="A646" s="101"/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91"/>
      <c r="AH646" s="101"/>
      <c r="AI646" s="101"/>
      <c r="AJ646" s="101"/>
      <c r="AK646" s="191"/>
      <c r="AL646" s="101"/>
      <c r="AM646" s="101"/>
      <c r="AN646" s="101"/>
    </row>
    <row r="647" spans="1:40" x14ac:dyDescent="0.3">
      <c r="L647" s="102"/>
      <c r="M647" s="102"/>
      <c r="N647" s="102"/>
      <c r="O647" s="102"/>
      <c r="R647" s="102"/>
      <c r="AA647" s="102"/>
      <c r="AB647" s="102"/>
      <c r="AC647" s="102"/>
      <c r="AD647" s="102"/>
      <c r="AE647" s="102"/>
      <c r="AF647" s="102"/>
      <c r="AG647" s="151"/>
      <c r="AH647" s="102"/>
      <c r="AK647" s="151"/>
      <c r="AL647" s="102"/>
      <c r="AM647" s="102"/>
      <c r="AN647" s="102"/>
    </row>
    <row r="648" spans="1:40" x14ac:dyDescent="0.3">
      <c r="L648" s="102"/>
      <c r="M648" s="102"/>
      <c r="N648" s="102"/>
      <c r="O648" s="102"/>
      <c r="R648" s="102"/>
      <c r="Z648" s="102"/>
      <c r="AA648" s="102"/>
      <c r="AB648" s="102"/>
      <c r="AC648" s="102"/>
      <c r="AD648" s="102"/>
      <c r="AE648" s="102"/>
      <c r="AF648" s="102"/>
      <c r="AG648" s="151"/>
      <c r="AH648" s="102"/>
      <c r="AK648" s="151"/>
      <c r="AL648" s="102"/>
      <c r="AM648" s="102"/>
      <c r="AN648" s="102"/>
    </row>
    <row r="649" spans="1:40" x14ac:dyDescent="0.3">
      <c r="A649" s="102"/>
      <c r="C649" s="102"/>
      <c r="D649" s="102"/>
      <c r="E649" s="102"/>
      <c r="F649" s="102"/>
      <c r="J649" s="102"/>
      <c r="K649" s="102"/>
      <c r="L649" s="102"/>
      <c r="M649" s="102"/>
      <c r="N649" s="102"/>
      <c r="O649" s="102"/>
      <c r="P649" s="102"/>
      <c r="Q649" s="102"/>
      <c r="R649" s="102"/>
      <c r="T649" s="102"/>
      <c r="U649" s="102"/>
      <c r="V649" s="102"/>
      <c r="Z649" s="102"/>
      <c r="AA649" s="102"/>
      <c r="AB649" s="102"/>
      <c r="AC649" s="102"/>
      <c r="AD649" s="102"/>
      <c r="AE649" s="102"/>
      <c r="AF649" s="102"/>
      <c r="AG649" s="151"/>
      <c r="AH649" s="102"/>
      <c r="AI649" s="102"/>
      <c r="AJ649" s="102"/>
      <c r="AK649" s="151"/>
      <c r="AL649" s="102"/>
      <c r="AM649" s="102"/>
      <c r="AN649" s="102"/>
    </row>
    <row r="650" spans="1:40" x14ac:dyDescent="0.3">
      <c r="A650" s="102"/>
      <c r="C650" s="102"/>
      <c r="D650" s="102"/>
      <c r="E650" s="102"/>
      <c r="F650" s="102"/>
      <c r="H650" s="102"/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T650" s="102"/>
      <c r="U650" s="102"/>
      <c r="V650" s="102"/>
      <c r="Y650" s="102"/>
      <c r="Z650" s="102"/>
      <c r="AA650" s="102"/>
      <c r="AB650" s="102"/>
      <c r="AC650" s="102"/>
      <c r="AD650" s="102"/>
      <c r="AE650" s="102"/>
      <c r="AF650" s="102"/>
      <c r="AG650" s="151"/>
      <c r="AH650" s="102"/>
      <c r="AI650" s="102"/>
      <c r="AJ650" s="102"/>
      <c r="AK650" s="151"/>
      <c r="AL650" s="102"/>
      <c r="AM650" s="102"/>
      <c r="AN650" s="102"/>
    </row>
    <row r="651" spans="1:40" x14ac:dyDescent="0.3">
      <c r="C651" s="102"/>
      <c r="D651" s="102"/>
      <c r="E651" s="102"/>
      <c r="F651" s="102"/>
      <c r="H651" s="102"/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T651" s="102"/>
      <c r="U651" s="102"/>
      <c r="V651" s="102"/>
      <c r="Y651" s="102"/>
      <c r="Z651" s="102"/>
      <c r="AA651" s="102"/>
      <c r="AB651" s="102"/>
      <c r="AC651" s="102"/>
      <c r="AD651" s="102"/>
      <c r="AE651" s="102"/>
      <c r="AF651" s="102"/>
      <c r="AG651" s="151"/>
      <c r="AH651" s="102"/>
      <c r="AI651" s="102"/>
      <c r="AJ651" s="102"/>
      <c r="AK651" s="151"/>
      <c r="AL651" s="102"/>
      <c r="AM651" s="102"/>
      <c r="AN651" s="102"/>
    </row>
    <row r="652" spans="1:40" x14ac:dyDescent="0.3">
      <c r="A652" s="101"/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T652" s="101"/>
      <c r="U652" s="101"/>
      <c r="V652" s="101"/>
      <c r="W652" s="101"/>
      <c r="X652" s="101"/>
      <c r="Y652" s="101"/>
      <c r="Z652" s="101"/>
      <c r="AA652" s="101"/>
      <c r="AB652" s="101"/>
      <c r="AC652" s="101"/>
      <c r="AD652" s="101"/>
      <c r="AE652" s="101"/>
      <c r="AF652" s="101"/>
      <c r="AG652" s="191"/>
      <c r="AH652" s="101"/>
      <c r="AI652" s="101"/>
      <c r="AJ652" s="101"/>
      <c r="AK652" s="191"/>
      <c r="AL652" s="101"/>
      <c r="AM652" s="101"/>
      <c r="AN652" s="101"/>
    </row>
    <row r="653" spans="1:40" x14ac:dyDescent="0.3">
      <c r="H653" s="102"/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Y653" s="102"/>
      <c r="Z653" s="102"/>
      <c r="AA653" s="102"/>
      <c r="AB653" s="102"/>
      <c r="AC653" s="102"/>
      <c r="AD653" s="102"/>
      <c r="AE653" s="102"/>
      <c r="AF653" s="102"/>
      <c r="AG653" s="151"/>
      <c r="AH653" s="102"/>
      <c r="AI653" s="102"/>
      <c r="AJ653" s="102"/>
      <c r="AK653" s="151"/>
      <c r="AL653" s="102"/>
      <c r="AM653" s="102"/>
      <c r="AN653" s="102"/>
    </row>
    <row r="654" spans="1:40" x14ac:dyDescent="0.3">
      <c r="C654" s="99"/>
      <c r="D654" s="99"/>
      <c r="E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U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1:40" x14ac:dyDescent="0.3">
      <c r="F655" s="192"/>
      <c r="H655" s="192"/>
      <c r="I655" s="192"/>
      <c r="J655" s="217"/>
      <c r="K655" s="217"/>
      <c r="L655" s="192"/>
      <c r="M655" s="192"/>
      <c r="N655" s="192"/>
      <c r="O655" s="192"/>
      <c r="P655" s="192"/>
      <c r="Q655" s="192"/>
      <c r="R655" s="192"/>
      <c r="V655" s="192"/>
      <c r="Y655" s="192"/>
      <c r="Z655" s="217"/>
      <c r="AA655" s="192"/>
      <c r="AB655" s="192"/>
      <c r="AC655" s="192"/>
      <c r="AD655" s="192"/>
      <c r="AE655" s="192"/>
      <c r="AF655" s="192"/>
      <c r="AI655" s="192"/>
      <c r="AJ655" s="192"/>
      <c r="AK655" s="194"/>
      <c r="AL655" s="192"/>
      <c r="AM655" s="141"/>
      <c r="AN655" s="141"/>
    </row>
    <row r="656" spans="1:40" x14ac:dyDescent="0.3">
      <c r="C656" s="99"/>
      <c r="F656" s="110"/>
      <c r="H656" s="110"/>
      <c r="I656" s="110"/>
      <c r="J656" s="198"/>
      <c r="K656" s="198"/>
      <c r="L656" s="110"/>
      <c r="M656" s="110"/>
      <c r="N656" s="198"/>
      <c r="O656" s="198"/>
      <c r="P656" s="110"/>
      <c r="Q656" s="110"/>
      <c r="R656" s="110"/>
      <c r="T656" s="99"/>
      <c r="V656" s="110"/>
      <c r="Y656" s="110"/>
      <c r="Z656" s="198"/>
      <c r="AA656" s="110"/>
      <c r="AB656" s="110"/>
      <c r="AC656" s="198"/>
      <c r="AD656" s="198"/>
      <c r="AE656" s="110"/>
      <c r="AF656" s="110"/>
      <c r="AH656" s="207"/>
      <c r="AI656" s="110"/>
      <c r="AJ656" s="110"/>
      <c r="AL656" s="110"/>
      <c r="AM656" s="141"/>
      <c r="AN656" s="141"/>
    </row>
    <row r="657" spans="3:40" x14ac:dyDescent="0.3">
      <c r="F657" s="110"/>
      <c r="H657" s="110"/>
      <c r="I657" s="110"/>
      <c r="J657" s="198"/>
      <c r="K657" s="198"/>
      <c r="L657" s="110"/>
      <c r="M657" s="110"/>
      <c r="N657" s="198"/>
      <c r="O657" s="198"/>
      <c r="P657" s="110"/>
      <c r="Q657" s="110"/>
      <c r="R657" s="110"/>
      <c r="V657" s="110"/>
      <c r="Y657" s="110"/>
      <c r="Z657" s="198"/>
      <c r="AA657" s="110"/>
      <c r="AB657" s="110"/>
      <c r="AC657" s="198"/>
      <c r="AD657" s="198"/>
      <c r="AH657" s="207"/>
      <c r="AI657" s="110"/>
      <c r="AJ657" s="110"/>
      <c r="AL657" s="110"/>
      <c r="AM657" s="141"/>
      <c r="AN657" s="141"/>
    </row>
    <row r="658" spans="3:40" x14ac:dyDescent="0.3">
      <c r="C658" s="99"/>
      <c r="D658" s="99"/>
      <c r="E658" s="99"/>
      <c r="F658" s="110"/>
      <c r="H658" s="110"/>
      <c r="I658" s="110"/>
      <c r="J658" s="198"/>
      <c r="K658" s="198"/>
      <c r="L658" s="110"/>
      <c r="M658" s="110"/>
      <c r="N658" s="198"/>
      <c r="O658" s="198"/>
      <c r="P658" s="110"/>
      <c r="Q658" s="110"/>
      <c r="R658" s="110"/>
      <c r="T658" s="99"/>
      <c r="U658" s="99"/>
      <c r="V658" s="110"/>
      <c r="Y658" s="110"/>
      <c r="Z658" s="198"/>
      <c r="AA658" s="110"/>
      <c r="AB658" s="110"/>
      <c r="AC658" s="198"/>
      <c r="AD658" s="198"/>
      <c r="AE658" s="110"/>
      <c r="AF658" s="110"/>
      <c r="AH658" s="207"/>
      <c r="AI658" s="110"/>
      <c r="AJ658" s="110"/>
      <c r="AL658" s="110"/>
      <c r="AM658" s="141"/>
      <c r="AN658" s="141"/>
    </row>
    <row r="659" spans="3:40" x14ac:dyDescent="0.3">
      <c r="C659" s="99"/>
      <c r="D659" s="99"/>
      <c r="E659" s="99"/>
      <c r="F659" s="110"/>
      <c r="H659" s="110"/>
      <c r="I659" s="110"/>
      <c r="J659" s="198"/>
      <c r="K659" s="198"/>
      <c r="L659" s="110"/>
      <c r="M659" s="110"/>
      <c r="N659" s="198"/>
      <c r="O659" s="198"/>
      <c r="P659" s="110"/>
      <c r="Q659" s="110"/>
      <c r="R659" s="110"/>
      <c r="T659" s="99"/>
      <c r="U659" s="99"/>
      <c r="V659" s="110"/>
      <c r="Y659" s="110"/>
      <c r="Z659" s="198"/>
      <c r="AA659" s="110"/>
      <c r="AB659" s="110"/>
      <c r="AC659" s="198"/>
      <c r="AD659" s="198"/>
      <c r="AE659" s="110"/>
      <c r="AF659" s="110"/>
      <c r="AH659" s="207"/>
      <c r="AI659" s="110"/>
      <c r="AJ659" s="110"/>
      <c r="AL659" s="110"/>
      <c r="AM659" s="141"/>
      <c r="AN659" s="141"/>
    </row>
    <row r="660" spans="3:40" x14ac:dyDescent="0.3">
      <c r="C660" s="99"/>
      <c r="D660" s="99"/>
      <c r="E660" s="99"/>
      <c r="F660" s="110"/>
      <c r="H660" s="110"/>
      <c r="I660" s="110"/>
      <c r="J660" s="198"/>
      <c r="K660" s="198"/>
      <c r="L660" s="110"/>
      <c r="M660" s="110"/>
      <c r="N660" s="198"/>
      <c r="O660" s="198"/>
      <c r="P660" s="110"/>
      <c r="Q660" s="110"/>
      <c r="R660" s="110"/>
      <c r="T660" s="99"/>
      <c r="U660" s="99"/>
      <c r="V660" s="110"/>
      <c r="Y660" s="110"/>
      <c r="Z660" s="198"/>
      <c r="AA660" s="110"/>
      <c r="AB660" s="110"/>
      <c r="AC660" s="198"/>
      <c r="AD660" s="198"/>
      <c r="AE660" s="110"/>
      <c r="AF660" s="110"/>
      <c r="AH660" s="207"/>
      <c r="AI660" s="110"/>
      <c r="AJ660" s="110"/>
      <c r="AL660" s="110"/>
      <c r="AM660" s="141"/>
      <c r="AN660" s="141"/>
    </row>
    <row r="661" spans="3:40" x14ac:dyDescent="0.3">
      <c r="C661" s="99"/>
      <c r="D661" s="99"/>
      <c r="E661" s="99"/>
      <c r="F661" s="110"/>
      <c r="H661" s="110"/>
      <c r="I661" s="110"/>
      <c r="J661" s="198"/>
      <c r="K661" s="198"/>
      <c r="L661" s="110"/>
      <c r="M661" s="110"/>
      <c r="N661" s="198"/>
      <c r="O661" s="198"/>
      <c r="P661" s="110"/>
      <c r="Q661" s="110"/>
      <c r="R661" s="110"/>
      <c r="T661" s="99"/>
      <c r="U661" s="99"/>
      <c r="V661" s="110"/>
      <c r="Y661" s="110"/>
      <c r="Z661" s="198"/>
      <c r="AA661" s="110"/>
      <c r="AB661" s="110"/>
      <c r="AC661" s="198"/>
      <c r="AD661" s="198"/>
      <c r="AE661" s="110"/>
      <c r="AF661" s="110"/>
      <c r="AH661" s="207"/>
      <c r="AI661" s="110"/>
      <c r="AJ661" s="110"/>
      <c r="AL661" s="110"/>
      <c r="AM661" s="141"/>
      <c r="AN661" s="141"/>
    </row>
    <row r="662" spans="3:40" x14ac:dyDescent="0.3">
      <c r="C662" s="99"/>
      <c r="D662" s="99"/>
      <c r="E662" s="99"/>
      <c r="F662" s="110"/>
      <c r="H662" s="110"/>
      <c r="I662" s="110"/>
      <c r="J662" s="198"/>
      <c r="K662" s="198"/>
      <c r="L662" s="110"/>
      <c r="M662" s="110"/>
      <c r="N662" s="198"/>
      <c r="O662" s="198"/>
      <c r="P662" s="110"/>
      <c r="Q662" s="110"/>
      <c r="R662" s="110"/>
      <c r="T662" s="99"/>
      <c r="U662" s="99"/>
      <c r="V662" s="110"/>
      <c r="Y662" s="110"/>
      <c r="Z662" s="198"/>
      <c r="AA662" s="110"/>
      <c r="AB662" s="110"/>
      <c r="AC662" s="198"/>
      <c r="AD662" s="198"/>
      <c r="AE662" s="110"/>
      <c r="AF662" s="110"/>
      <c r="AH662" s="207"/>
      <c r="AI662" s="110"/>
      <c r="AJ662" s="110"/>
      <c r="AL662" s="110"/>
      <c r="AM662" s="141"/>
      <c r="AN662" s="141"/>
    </row>
    <row r="663" spans="3:40" x14ac:dyDescent="0.3">
      <c r="C663" s="99"/>
      <c r="D663" s="99"/>
      <c r="E663" s="99"/>
      <c r="F663" s="110"/>
      <c r="H663" s="110"/>
      <c r="I663" s="110"/>
      <c r="J663" s="198"/>
      <c r="K663" s="198"/>
      <c r="L663" s="110"/>
      <c r="M663" s="110"/>
      <c r="N663" s="198"/>
      <c r="O663" s="198"/>
      <c r="P663" s="110"/>
      <c r="Q663" s="110"/>
      <c r="R663" s="110"/>
      <c r="T663" s="99"/>
      <c r="U663" s="99"/>
      <c r="V663" s="110"/>
      <c r="Y663" s="110"/>
      <c r="Z663" s="198"/>
      <c r="AA663" s="110"/>
      <c r="AB663" s="110"/>
      <c r="AC663" s="198"/>
      <c r="AD663" s="198"/>
      <c r="AE663" s="110"/>
      <c r="AF663" s="110"/>
      <c r="AH663" s="207"/>
      <c r="AI663" s="110"/>
      <c r="AJ663" s="110"/>
      <c r="AL663" s="110"/>
      <c r="AM663" s="141"/>
      <c r="AN663" s="141"/>
    </row>
    <row r="664" spans="3:40" x14ac:dyDescent="0.3">
      <c r="F664" s="192"/>
      <c r="H664" s="192"/>
      <c r="I664" s="192"/>
      <c r="J664" s="217"/>
      <c r="K664" s="217"/>
      <c r="L664" s="192"/>
      <c r="M664" s="192"/>
      <c r="N664" s="192"/>
      <c r="O664" s="192"/>
      <c r="P664" s="192"/>
      <c r="Q664" s="192"/>
      <c r="R664" s="192"/>
      <c r="V664" s="192"/>
      <c r="Y664" s="192"/>
      <c r="Z664" s="217"/>
      <c r="AA664" s="192"/>
      <c r="AB664" s="192"/>
      <c r="AC664" s="192"/>
      <c r="AD664" s="192"/>
      <c r="AE664" s="192"/>
      <c r="AF664" s="192"/>
      <c r="AI664" s="192"/>
      <c r="AJ664" s="192"/>
      <c r="AK664" s="194"/>
      <c r="AL664" s="192"/>
      <c r="AM664" s="141"/>
      <c r="AN664" s="141"/>
    </row>
    <row r="665" spans="3:40" x14ac:dyDescent="0.3">
      <c r="C665" s="99"/>
      <c r="F665" s="110"/>
      <c r="H665" s="110"/>
      <c r="I665" s="110"/>
      <c r="J665" s="198"/>
      <c r="K665" s="198"/>
      <c r="L665" s="110"/>
      <c r="M665" s="110"/>
      <c r="N665" s="198"/>
      <c r="O665" s="198"/>
      <c r="P665" s="110"/>
      <c r="Q665" s="110"/>
      <c r="R665" s="110"/>
      <c r="T665" s="99"/>
      <c r="V665" s="110"/>
      <c r="Y665" s="110"/>
      <c r="Z665" s="198"/>
      <c r="AA665" s="110"/>
      <c r="AB665" s="110"/>
      <c r="AC665" s="198"/>
      <c r="AD665" s="198"/>
      <c r="AE665" s="110"/>
      <c r="AF665" s="110"/>
      <c r="AH665" s="207"/>
      <c r="AI665" s="110"/>
      <c r="AJ665" s="110"/>
      <c r="AL665" s="110"/>
      <c r="AM665" s="141"/>
      <c r="AN665" s="141"/>
    </row>
    <row r="666" spans="3:40" x14ac:dyDescent="0.3">
      <c r="F666" s="110"/>
      <c r="H666" s="110"/>
      <c r="I666" s="110"/>
      <c r="J666" s="198"/>
      <c r="K666" s="198"/>
      <c r="L666" s="110"/>
      <c r="M666" s="110"/>
      <c r="N666" s="198"/>
      <c r="O666" s="198"/>
      <c r="P666" s="110"/>
      <c r="Q666" s="110"/>
      <c r="R666" s="110"/>
      <c r="V666" s="110"/>
      <c r="Y666" s="110"/>
      <c r="Z666" s="198"/>
      <c r="AA666" s="110"/>
      <c r="AB666" s="110"/>
      <c r="AC666" s="198"/>
      <c r="AD666" s="198"/>
      <c r="AH666" s="207"/>
      <c r="AI666" s="110"/>
      <c r="AJ666" s="110"/>
      <c r="AL666" s="110"/>
      <c r="AM666" s="141"/>
      <c r="AN666" s="141"/>
    </row>
    <row r="667" spans="3:40" x14ac:dyDescent="0.3">
      <c r="C667" s="99"/>
      <c r="D667" s="99"/>
      <c r="E667" s="99"/>
      <c r="F667" s="110"/>
      <c r="H667" s="110"/>
      <c r="I667" s="110"/>
      <c r="J667" s="198"/>
      <c r="K667" s="198"/>
      <c r="L667" s="110"/>
      <c r="M667" s="110"/>
      <c r="N667" s="198"/>
      <c r="O667" s="198"/>
      <c r="P667" s="110"/>
      <c r="Q667" s="110"/>
      <c r="R667" s="110"/>
      <c r="T667" s="99"/>
      <c r="U667" s="99"/>
      <c r="V667" s="110"/>
      <c r="Y667" s="110"/>
      <c r="Z667" s="198"/>
      <c r="AA667" s="110"/>
      <c r="AB667" s="110"/>
      <c r="AC667" s="198"/>
      <c r="AD667" s="198"/>
      <c r="AE667" s="110"/>
      <c r="AF667" s="110"/>
      <c r="AH667" s="207"/>
      <c r="AI667" s="110"/>
      <c r="AJ667" s="110"/>
      <c r="AL667" s="110"/>
      <c r="AM667" s="141"/>
      <c r="AN667" s="141"/>
    </row>
    <row r="668" spans="3:40" x14ac:dyDescent="0.3">
      <c r="F668" s="192"/>
      <c r="H668" s="192"/>
      <c r="I668" s="192"/>
      <c r="J668" s="217"/>
      <c r="K668" s="217"/>
      <c r="L668" s="192"/>
      <c r="M668" s="192"/>
      <c r="N668" s="192"/>
      <c r="O668" s="192"/>
      <c r="P668" s="192"/>
      <c r="Q668" s="192"/>
      <c r="R668" s="192"/>
      <c r="V668" s="192"/>
      <c r="Y668" s="192"/>
      <c r="Z668" s="217"/>
      <c r="AA668" s="192"/>
      <c r="AB668" s="192"/>
      <c r="AC668" s="192"/>
      <c r="AD668" s="192"/>
      <c r="AE668" s="192"/>
      <c r="AF668" s="192"/>
      <c r="AI668" s="192"/>
      <c r="AJ668" s="192"/>
      <c r="AK668" s="194"/>
      <c r="AL668" s="192"/>
      <c r="AM668" s="141"/>
      <c r="AN668" s="141"/>
    </row>
    <row r="669" spans="3:40" x14ac:dyDescent="0.3">
      <c r="C669" s="99"/>
      <c r="F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T669" s="99"/>
      <c r="V669" s="110"/>
      <c r="Y669" s="110"/>
      <c r="Z669" s="198"/>
      <c r="AA669" s="110"/>
      <c r="AB669" s="110"/>
      <c r="AC669" s="198"/>
      <c r="AD669" s="198"/>
      <c r="AE669" s="110"/>
      <c r="AF669" s="110"/>
      <c r="AH669" s="207"/>
      <c r="AI669" s="110"/>
      <c r="AJ669" s="110"/>
      <c r="AL669" s="110"/>
      <c r="AM669" s="141"/>
      <c r="AN669" s="141"/>
    </row>
    <row r="670" spans="3:40" x14ac:dyDescent="0.3"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V670" s="110"/>
      <c r="Y670" s="110"/>
      <c r="Z670" s="198"/>
      <c r="AA670" s="110"/>
      <c r="AB670" s="110"/>
      <c r="AC670" s="198"/>
      <c r="AD670" s="198"/>
      <c r="AH670" s="207"/>
      <c r="AI670" s="110"/>
      <c r="AJ670" s="110"/>
      <c r="AL670" s="110"/>
      <c r="AM670" s="141"/>
      <c r="AN670" s="141"/>
    </row>
    <row r="671" spans="3:40" x14ac:dyDescent="0.3">
      <c r="C671" s="99"/>
      <c r="D671" s="99"/>
      <c r="E671" s="99"/>
      <c r="F671" s="110"/>
      <c r="H671" s="110"/>
      <c r="I671" s="110"/>
      <c r="J671" s="198"/>
      <c r="K671" s="198"/>
      <c r="L671" s="110"/>
      <c r="M671" s="110"/>
      <c r="N671" s="198"/>
      <c r="O671" s="198"/>
      <c r="P671" s="110"/>
      <c r="Q671" s="110"/>
      <c r="R671" s="110"/>
      <c r="T671" s="99"/>
      <c r="U671" s="99"/>
      <c r="V671" s="110"/>
      <c r="Y671" s="110"/>
      <c r="Z671" s="198"/>
      <c r="AA671" s="110"/>
      <c r="AB671" s="110"/>
      <c r="AC671" s="198"/>
      <c r="AD671" s="198"/>
      <c r="AE671" s="110"/>
      <c r="AF671" s="110"/>
      <c r="AH671" s="207"/>
      <c r="AI671" s="110"/>
      <c r="AJ671" s="110"/>
      <c r="AL671" s="110"/>
      <c r="AM671" s="141"/>
      <c r="AN671" s="141"/>
    </row>
    <row r="672" spans="3:40" x14ac:dyDescent="0.3">
      <c r="C672" s="99"/>
      <c r="D672" s="99"/>
      <c r="E672" s="99"/>
      <c r="F672" s="110"/>
      <c r="G672" s="110"/>
      <c r="H672" s="110"/>
      <c r="I672" s="110"/>
      <c r="J672" s="198"/>
      <c r="K672" s="198"/>
      <c r="L672" s="110"/>
      <c r="M672" s="110"/>
      <c r="N672" s="198"/>
      <c r="O672" s="198"/>
      <c r="P672" s="110"/>
      <c r="Q672" s="110"/>
      <c r="R672" s="110"/>
      <c r="T672" s="99"/>
      <c r="U672" s="99"/>
      <c r="V672" s="110"/>
      <c r="W672" s="110"/>
      <c r="X672" s="110"/>
      <c r="Y672" s="110"/>
      <c r="Z672" s="198"/>
      <c r="AA672" s="110"/>
      <c r="AB672" s="110"/>
      <c r="AC672" s="198"/>
      <c r="AD672" s="198"/>
      <c r="AE672" s="110"/>
      <c r="AF672" s="110"/>
      <c r="AH672" s="207"/>
      <c r="AI672" s="110"/>
      <c r="AJ672" s="110"/>
      <c r="AL672" s="110"/>
      <c r="AM672" s="141"/>
      <c r="AN672" s="141"/>
    </row>
    <row r="673" spans="3:40" x14ac:dyDescent="0.3">
      <c r="C673" s="99"/>
      <c r="D673" s="99"/>
      <c r="E673" s="99"/>
      <c r="F673" s="110"/>
      <c r="G673" s="110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T673" s="99"/>
      <c r="U673" s="99"/>
      <c r="V673" s="110"/>
      <c r="W673" s="110"/>
      <c r="X673" s="110"/>
      <c r="Y673" s="110"/>
      <c r="Z673" s="198"/>
      <c r="AA673" s="110"/>
      <c r="AB673" s="110"/>
      <c r="AC673" s="198"/>
      <c r="AD673" s="198"/>
      <c r="AE673" s="110"/>
      <c r="AF673" s="110"/>
      <c r="AH673" s="207"/>
      <c r="AI673" s="110"/>
      <c r="AJ673" s="110"/>
      <c r="AL673" s="110"/>
      <c r="AM673" s="141"/>
      <c r="AN673" s="141"/>
    </row>
    <row r="674" spans="3:40" x14ac:dyDescent="0.3">
      <c r="C674" s="99"/>
      <c r="D674" s="99"/>
      <c r="E674" s="99"/>
      <c r="F674" s="110"/>
      <c r="H674" s="110"/>
      <c r="I674" s="110"/>
      <c r="J674" s="198"/>
      <c r="K674" s="198"/>
      <c r="L674" s="110"/>
      <c r="M674" s="110"/>
      <c r="N674" s="198"/>
      <c r="O674" s="198"/>
      <c r="P674" s="110"/>
      <c r="Q674" s="110"/>
      <c r="R674" s="110"/>
      <c r="T674" s="99"/>
      <c r="U674" s="99"/>
      <c r="V674" s="110"/>
      <c r="Y674" s="110"/>
      <c r="Z674" s="198"/>
      <c r="AA674" s="110"/>
      <c r="AB674" s="110"/>
      <c r="AC674" s="198"/>
      <c r="AD674" s="198"/>
      <c r="AE674" s="110"/>
      <c r="AF674" s="110"/>
      <c r="AH674" s="207"/>
      <c r="AI674" s="110"/>
      <c r="AJ674" s="110"/>
      <c r="AL674" s="110"/>
      <c r="AM674" s="141"/>
      <c r="AN674" s="141"/>
    </row>
    <row r="675" spans="3:40" x14ac:dyDescent="0.3">
      <c r="C675" s="99"/>
      <c r="D675" s="99"/>
      <c r="E675" s="99"/>
      <c r="F675" s="110"/>
      <c r="H675" s="110"/>
      <c r="I675" s="110"/>
      <c r="J675" s="198"/>
      <c r="K675" s="198"/>
      <c r="L675" s="110"/>
      <c r="M675" s="110"/>
      <c r="N675" s="198"/>
      <c r="O675" s="198"/>
      <c r="P675" s="110"/>
      <c r="Q675" s="110"/>
      <c r="R675" s="110"/>
      <c r="T675" s="99"/>
      <c r="U675" s="99"/>
      <c r="V675" s="110"/>
      <c r="Y675" s="110"/>
      <c r="Z675" s="198"/>
      <c r="AA675" s="110"/>
      <c r="AB675" s="110"/>
      <c r="AC675" s="198"/>
      <c r="AD675" s="198"/>
      <c r="AE675" s="110"/>
      <c r="AF675" s="110"/>
      <c r="AH675" s="207"/>
      <c r="AI675" s="110"/>
      <c r="AJ675" s="110"/>
      <c r="AL675" s="110"/>
      <c r="AM675" s="141"/>
      <c r="AN675" s="141"/>
    </row>
    <row r="676" spans="3:40" x14ac:dyDescent="0.3">
      <c r="C676" s="99"/>
      <c r="D676" s="99"/>
      <c r="E676" s="99"/>
      <c r="F676" s="110"/>
      <c r="H676" s="110"/>
      <c r="I676" s="110"/>
      <c r="J676" s="198"/>
      <c r="K676" s="198"/>
      <c r="L676" s="110"/>
      <c r="M676" s="110"/>
      <c r="N676" s="198"/>
      <c r="O676" s="198"/>
      <c r="P676" s="110"/>
      <c r="Q676" s="110"/>
      <c r="R676" s="110"/>
      <c r="T676" s="99"/>
      <c r="U676" s="99"/>
      <c r="V676" s="110"/>
      <c r="Y676" s="110"/>
      <c r="Z676" s="198"/>
      <c r="AA676" s="110"/>
      <c r="AB676" s="110"/>
      <c r="AC676" s="198"/>
      <c r="AD676" s="198"/>
      <c r="AE676" s="110"/>
      <c r="AF676" s="110"/>
      <c r="AH676" s="207"/>
      <c r="AI676" s="110"/>
      <c r="AJ676" s="110"/>
      <c r="AL676" s="110"/>
      <c r="AM676" s="141"/>
      <c r="AN676" s="141"/>
    </row>
    <row r="677" spans="3:40" x14ac:dyDescent="0.3">
      <c r="C677" s="99"/>
      <c r="D677" s="99"/>
      <c r="E677" s="99"/>
      <c r="F677" s="110"/>
      <c r="H677" s="110"/>
      <c r="I677" s="110"/>
      <c r="J677" s="198"/>
      <c r="K677" s="198"/>
      <c r="L677" s="110"/>
      <c r="M677" s="110"/>
      <c r="N677" s="198"/>
      <c r="O677" s="198"/>
      <c r="P677" s="110"/>
      <c r="Q677" s="110"/>
      <c r="R677" s="110"/>
      <c r="T677" s="99"/>
      <c r="U677" s="99"/>
      <c r="V677" s="110"/>
      <c r="Y677" s="110"/>
      <c r="Z677" s="198"/>
      <c r="AA677" s="110"/>
      <c r="AB677" s="110"/>
      <c r="AC677" s="198"/>
      <c r="AD677" s="198"/>
      <c r="AE677" s="110"/>
      <c r="AF677" s="110"/>
      <c r="AH677" s="207"/>
      <c r="AI677" s="110"/>
      <c r="AJ677" s="110"/>
      <c r="AL677" s="110"/>
      <c r="AM677" s="141"/>
      <c r="AN677" s="141"/>
    </row>
    <row r="678" spans="3:40" x14ac:dyDescent="0.3">
      <c r="F678" s="192"/>
      <c r="H678" s="192"/>
      <c r="I678" s="192"/>
      <c r="J678" s="217"/>
      <c r="K678" s="217"/>
      <c r="L678" s="192"/>
      <c r="M678" s="192"/>
      <c r="N678" s="192"/>
      <c r="O678" s="192"/>
      <c r="P678" s="192"/>
      <c r="Q678" s="192"/>
      <c r="R678" s="192"/>
      <c r="V678" s="192"/>
      <c r="Y678" s="192"/>
      <c r="Z678" s="217"/>
      <c r="AA678" s="192"/>
      <c r="AB678" s="192"/>
      <c r="AC678" s="192"/>
      <c r="AD678" s="192"/>
      <c r="AE678" s="192"/>
      <c r="AF678" s="192"/>
      <c r="AI678" s="192"/>
      <c r="AJ678" s="192"/>
      <c r="AK678" s="194"/>
      <c r="AL678" s="192"/>
      <c r="AM678" s="141"/>
      <c r="AN678" s="141"/>
    </row>
    <row r="679" spans="3:40" x14ac:dyDescent="0.3">
      <c r="C679" s="99"/>
      <c r="F679" s="110"/>
      <c r="H679" s="110"/>
      <c r="I679" s="110"/>
      <c r="J679" s="198"/>
      <c r="K679" s="198"/>
      <c r="L679" s="110"/>
      <c r="M679" s="110"/>
      <c r="N679" s="198"/>
      <c r="O679" s="198"/>
      <c r="P679" s="110"/>
      <c r="Q679" s="110"/>
      <c r="R679" s="110"/>
      <c r="T679" s="99"/>
      <c r="V679" s="110"/>
      <c r="Y679" s="110"/>
      <c r="Z679" s="198"/>
      <c r="AA679" s="110"/>
      <c r="AB679" s="110"/>
      <c r="AC679" s="198"/>
      <c r="AD679" s="198"/>
      <c r="AE679" s="110"/>
      <c r="AF679" s="110"/>
      <c r="AH679" s="207"/>
      <c r="AI679" s="110"/>
      <c r="AJ679" s="110"/>
      <c r="AL679" s="110"/>
      <c r="AM679" s="141"/>
      <c r="AN679" s="141"/>
    </row>
    <row r="680" spans="3:40" x14ac:dyDescent="0.3">
      <c r="V680" s="110"/>
      <c r="Y680" s="110"/>
      <c r="Z680" s="217"/>
      <c r="AA680" s="110"/>
      <c r="AB680" s="110"/>
      <c r="AC680" s="110"/>
      <c r="AD680" s="110"/>
      <c r="AE680" s="110"/>
      <c r="AF680" s="110"/>
      <c r="AI680" s="110"/>
      <c r="AJ680" s="110"/>
      <c r="AL680" s="110"/>
      <c r="AM680" s="141"/>
      <c r="AN680" s="141"/>
    </row>
    <row r="681" spans="3:40" x14ac:dyDescent="0.3">
      <c r="C681" s="99"/>
      <c r="D681" s="99"/>
      <c r="E681" s="99"/>
      <c r="L681" s="110"/>
      <c r="M681" s="110"/>
      <c r="N681" s="198"/>
      <c r="O681" s="198"/>
      <c r="R681" s="110"/>
      <c r="T681" s="99"/>
      <c r="U681" s="99"/>
      <c r="AA681" s="110"/>
      <c r="AB681" s="110"/>
      <c r="AC681" s="198"/>
      <c r="AD681" s="198"/>
      <c r="AE681" s="110"/>
      <c r="AF681" s="110"/>
      <c r="AH681" s="207"/>
      <c r="AL681" s="110"/>
      <c r="AM681" s="141"/>
      <c r="AN681" s="141"/>
    </row>
    <row r="682" spans="3:40" x14ac:dyDescent="0.3">
      <c r="D682" s="99"/>
      <c r="E682" s="99"/>
      <c r="F682" s="172"/>
      <c r="H682" s="172"/>
      <c r="I682" s="172"/>
      <c r="J682" s="198"/>
      <c r="K682" s="198"/>
      <c r="L682" s="110"/>
      <c r="M682" s="110"/>
      <c r="N682" s="198"/>
      <c r="O682" s="198"/>
      <c r="P682" s="172"/>
      <c r="Q682" s="172"/>
      <c r="R682" s="110"/>
      <c r="U682" s="99"/>
      <c r="V682" s="110"/>
      <c r="Y682" s="110"/>
      <c r="Z682" s="198"/>
      <c r="AA682" s="110"/>
      <c r="AB682" s="110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3:40" x14ac:dyDescent="0.3">
      <c r="F683" s="192"/>
      <c r="H683" s="192"/>
      <c r="I683" s="192"/>
      <c r="J683" s="217"/>
      <c r="K683" s="217"/>
      <c r="L683" s="192"/>
      <c r="M683" s="192"/>
      <c r="N683" s="192"/>
      <c r="O683" s="192"/>
      <c r="P683" s="192"/>
      <c r="Q683" s="192"/>
      <c r="R683" s="192"/>
      <c r="V683" s="192"/>
      <c r="Y683" s="192"/>
      <c r="Z683" s="217"/>
      <c r="AA683" s="192"/>
      <c r="AB683" s="192"/>
      <c r="AC683" s="192"/>
      <c r="AD683" s="192"/>
      <c r="AE683" s="192"/>
      <c r="AF683" s="192"/>
      <c r="AI683" s="192"/>
      <c r="AJ683" s="192"/>
      <c r="AK683" s="194"/>
      <c r="AL683" s="192"/>
      <c r="AM683" s="141"/>
      <c r="AN683" s="141"/>
    </row>
    <row r="684" spans="3:40" x14ac:dyDescent="0.3">
      <c r="C684" s="99"/>
      <c r="F684" s="110"/>
      <c r="H684" s="110"/>
      <c r="I684" s="110"/>
      <c r="J684" s="198"/>
      <c r="K684" s="198"/>
      <c r="L684" s="110"/>
      <c r="M684" s="110"/>
      <c r="N684" s="198"/>
      <c r="O684" s="198"/>
      <c r="P684" s="110"/>
      <c r="Q684" s="110"/>
      <c r="R684" s="110"/>
      <c r="T684" s="99"/>
      <c r="V684" s="110"/>
      <c r="Y684" s="110"/>
      <c r="Z684" s="198"/>
      <c r="AA684" s="110"/>
      <c r="AB684" s="110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3:40" x14ac:dyDescent="0.3"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V685" s="110"/>
      <c r="Y685" s="110"/>
      <c r="Z685" s="198"/>
      <c r="AA685" s="110"/>
      <c r="AB685" s="110"/>
      <c r="AC685" s="198"/>
      <c r="AD685" s="198"/>
      <c r="AH685" s="207"/>
      <c r="AI685" s="110"/>
      <c r="AJ685" s="110"/>
      <c r="AL685" s="110"/>
      <c r="AM685" s="141"/>
      <c r="AN685" s="141"/>
    </row>
    <row r="686" spans="3:40" x14ac:dyDescent="0.3">
      <c r="D686" s="99"/>
      <c r="E686" s="99"/>
      <c r="F686" s="110"/>
      <c r="H686" s="110"/>
      <c r="I686" s="110"/>
      <c r="J686" s="198"/>
      <c r="K686" s="198"/>
      <c r="L686" s="172"/>
      <c r="M686" s="172"/>
      <c r="N686" s="198"/>
      <c r="O686" s="198"/>
      <c r="P686" s="110"/>
      <c r="Q686" s="110"/>
      <c r="R686" s="110"/>
      <c r="U686" s="99"/>
      <c r="V686" s="110"/>
      <c r="Y686" s="110"/>
      <c r="Z686" s="198"/>
      <c r="AA686" s="172"/>
      <c r="AB686" s="172"/>
      <c r="AC686" s="198"/>
      <c r="AD686" s="198"/>
      <c r="AE686" s="110"/>
      <c r="AF686" s="110"/>
      <c r="AH686" s="207"/>
      <c r="AI686" s="110"/>
      <c r="AJ686" s="110"/>
      <c r="AL686" s="110"/>
      <c r="AM686" s="141"/>
      <c r="AN686" s="141"/>
    </row>
    <row r="687" spans="3:40" x14ac:dyDescent="0.3">
      <c r="D687" s="99"/>
      <c r="E687" s="99"/>
      <c r="F687" s="110"/>
      <c r="H687" s="110"/>
      <c r="I687" s="110"/>
      <c r="J687" s="198"/>
      <c r="K687" s="198"/>
      <c r="L687" s="172"/>
      <c r="M687" s="172"/>
      <c r="N687" s="198"/>
      <c r="O687" s="198"/>
      <c r="P687" s="110"/>
      <c r="Q687" s="110"/>
      <c r="R687" s="110"/>
      <c r="U687" s="99"/>
      <c r="V687" s="110"/>
      <c r="Y687" s="110"/>
      <c r="Z687" s="198"/>
      <c r="AA687" s="172"/>
      <c r="AB687" s="172"/>
      <c r="AC687" s="198"/>
      <c r="AD687" s="198"/>
      <c r="AE687" s="110"/>
      <c r="AF687" s="110"/>
      <c r="AH687" s="207"/>
      <c r="AI687" s="110"/>
      <c r="AJ687" s="110"/>
      <c r="AL687" s="110"/>
      <c r="AM687" s="141"/>
      <c r="AN687" s="141"/>
    </row>
    <row r="688" spans="3:40" x14ac:dyDescent="0.3">
      <c r="D688" s="99"/>
      <c r="E688" s="99"/>
      <c r="F688" s="110"/>
      <c r="H688" s="110"/>
      <c r="I688" s="110"/>
      <c r="J688" s="198"/>
      <c r="K688" s="198"/>
      <c r="L688" s="172"/>
      <c r="M688" s="172"/>
      <c r="N688" s="198"/>
      <c r="O688" s="198"/>
      <c r="P688" s="110"/>
      <c r="Q688" s="110"/>
      <c r="R688" s="110"/>
      <c r="U688" s="99"/>
      <c r="V688" s="110"/>
      <c r="Y688" s="110"/>
      <c r="Z688" s="198"/>
      <c r="AA688" s="172"/>
      <c r="AB688" s="172"/>
      <c r="AC688" s="198"/>
      <c r="AD688" s="198"/>
      <c r="AE688" s="110"/>
      <c r="AF688" s="110"/>
      <c r="AH688" s="207"/>
      <c r="AI688" s="110"/>
      <c r="AJ688" s="110"/>
      <c r="AL688" s="110"/>
      <c r="AM688" s="141"/>
      <c r="AN688" s="141"/>
    </row>
    <row r="689" spans="1:40" x14ac:dyDescent="0.3">
      <c r="F689" s="192"/>
      <c r="H689" s="192"/>
      <c r="I689" s="192"/>
      <c r="J689" s="217"/>
      <c r="K689" s="217"/>
      <c r="L689" s="192"/>
      <c r="M689" s="192"/>
      <c r="N689" s="192"/>
      <c r="O689" s="192"/>
      <c r="P689" s="192"/>
      <c r="Q689" s="192"/>
      <c r="R689" s="192"/>
      <c r="V689" s="192"/>
      <c r="Y689" s="192"/>
      <c r="Z689" s="217"/>
      <c r="AA689" s="192"/>
      <c r="AB689" s="192"/>
      <c r="AC689" s="192"/>
      <c r="AD689" s="192"/>
      <c r="AE689" s="192"/>
      <c r="AF689" s="192"/>
      <c r="AI689" s="192"/>
      <c r="AJ689" s="192"/>
      <c r="AK689" s="194"/>
      <c r="AL689" s="192"/>
      <c r="AM689" s="141"/>
      <c r="AN689" s="141"/>
    </row>
    <row r="690" spans="1:40" x14ac:dyDescent="0.3">
      <c r="C690" s="99"/>
      <c r="F690" s="110"/>
      <c r="H690" s="110"/>
      <c r="I690" s="110"/>
      <c r="J690" s="198"/>
      <c r="K690" s="198"/>
      <c r="L690" s="110"/>
      <c r="M690" s="110"/>
      <c r="N690" s="198"/>
      <c r="O690" s="198"/>
      <c r="P690" s="110"/>
      <c r="Q690" s="110"/>
      <c r="R690" s="110"/>
      <c r="T690" s="99"/>
      <c r="V690" s="110"/>
      <c r="Y690" s="110"/>
      <c r="Z690" s="198"/>
      <c r="AA690" s="110"/>
      <c r="AB690" s="110"/>
      <c r="AC690" s="198"/>
      <c r="AD690" s="198"/>
      <c r="AE690" s="110"/>
      <c r="AF690" s="110"/>
      <c r="AH690" s="207"/>
      <c r="AI690" s="110"/>
      <c r="AJ690" s="110"/>
      <c r="AL690" s="110"/>
      <c r="AM690" s="141"/>
      <c r="AN690" s="141"/>
    </row>
    <row r="691" spans="1:40" x14ac:dyDescent="0.3">
      <c r="F691" s="110"/>
      <c r="H691" s="110"/>
      <c r="I691" s="110"/>
      <c r="J691" s="198"/>
      <c r="K691" s="198"/>
      <c r="L691" s="110"/>
      <c r="M691" s="110"/>
      <c r="N691" s="198"/>
      <c r="O691" s="198"/>
      <c r="P691" s="110"/>
      <c r="Q691" s="110"/>
      <c r="R691" s="110"/>
      <c r="V691" s="110"/>
      <c r="Y691" s="110"/>
      <c r="Z691" s="198"/>
      <c r="AA691" s="110"/>
      <c r="AB691" s="110"/>
      <c r="AC691" s="198"/>
      <c r="AD691" s="198"/>
      <c r="AH691" s="207"/>
      <c r="AI691" s="110"/>
      <c r="AJ691" s="110"/>
      <c r="AL691" s="110"/>
      <c r="AM691" s="141"/>
      <c r="AN691" s="141"/>
    </row>
    <row r="692" spans="1:40" x14ac:dyDescent="0.3">
      <c r="C692" s="99"/>
      <c r="F692" s="110"/>
      <c r="H692" s="110"/>
      <c r="I692" s="110"/>
      <c r="J692" s="198"/>
      <c r="K692" s="198"/>
      <c r="L692" s="110"/>
      <c r="M692" s="110"/>
      <c r="N692" s="198"/>
      <c r="O692" s="198"/>
      <c r="P692" s="110"/>
      <c r="Q692" s="110"/>
      <c r="R692" s="110"/>
      <c r="T692" s="99"/>
      <c r="V692" s="110"/>
      <c r="Y692" s="110"/>
      <c r="Z692" s="198"/>
      <c r="AA692" s="110"/>
      <c r="AB692" s="110"/>
      <c r="AC692" s="198"/>
      <c r="AD692" s="198"/>
      <c r="AE692" s="110"/>
      <c r="AF692" s="110"/>
      <c r="AH692" s="207"/>
      <c r="AI692" s="110"/>
      <c r="AJ692" s="110"/>
      <c r="AL692" s="110"/>
      <c r="AM692" s="141"/>
      <c r="AN692" s="141"/>
    </row>
    <row r="693" spans="1:40" x14ac:dyDescent="0.3">
      <c r="F693" s="192"/>
      <c r="H693" s="192"/>
      <c r="I693" s="192"/>
      <c r="J693" s="217"/>
      <c r="K693" s="217"/>
      <c r="L693" s="192"/>
      <c r="M693" s="192"/>
      <c r="N693" s="192"/>
      <c r="O693" s="192"/>
      <c r="P693" s="192"/>
      <c r="Q693" s="192"/>
      <c r="R693" s="192"/>
      <c r="V693" s="192"/>
      <c r="Y693" s="192"/>
      <c r="Z693" s="217"/>
      <c r="AA693" s="192"/>
      <c r="AB693" s="192"/>
      <c r="AC693" s="192"/>
      <c r="AD693" s="192"/>
      <c r="AE693" s="192"/>
      <c r="AF693" s="192"/>
      <c r="AI693" s="192"/>
      <c r="AJ693" s="192"/>
      <c r="AK693" s="194"/>
      <c r="AL693" s="192"/>
    </row>
    <row r="695" spans="1:40" x14ac:dyDescent="0.3">
      <c r="C695" s="99"/>
      <c r="L695" s="110"/>
      <c r="M695" s="110"/>
      <c r="P695" s="110"/>
      <c r="Q695" s="110"/>
      <c r="R695" s="110"/>
      <c r="T695" s="99"/>
    </row>
    <row r="696" spans="1:40" x14ac:dyDescent="0.3">
      <c r="A696" s="99"/>
      <c r="L696" s="110"/>
      <c r="M696" s="110"/>
      <c r="P696" s="110"/>
      <c r="Q696" s="110"/>
      <c r="R696" s="110"/>
    </row>
    <row r="697" spans="1:40" x14ac:dyDescent="0.3">
      <c r="L697" s="110"/>
      <c r="M697" s="110"/>
      <c r="P697" s="110"/>
      <c r="Q697" s="110"/>
      <c r="R697" s="110"/>
    </row>
    <row r="698" spans="1:40" x14ac:dyDescent="0.3">
      <c r="L698" s="110"/>
      <c r="M698" s="110"/>
      <c r="P698" s="110"/>
      <c r="Q698" s="110"/>
      <c r="R698" s="110"/>
    </row>
    <row r="699" spans="1:40" x14ac:dyDescent="0.3">
      <c r="L699" s="110"/>
      <c r="M699" s="110"/>
      <c r="P699" s="110"/>
      <c r="Q699" s="110"/>
      <c r="R699" s="110"/>
    </row>
    <row r="700" spans="1:40" x14ac:dyDescent="0.3">
      <c r="L700" s="110"/>
      <c r="M700" s="110"/>
      <c r="P700" s="110"/>
      <c r="Q700" s="110"/>
      <c r="R700" s="110"/>
    </row>
    <row r="701" spans="1:40" x14ac:dyDescent="0.3">
      <c r="L701" s="110"/>
      <c r="M701" s="110"/>
      <c r="P701" s="110"/>
      <c r="Q701" s="110"/>
      <c r="R701" s="110"/>
    </row>
    <row r="734" spans="49:49" x14ac:dyDescent="0.3">
      <c r="AW734" s="110"/>
    </row>
    <row r="735" spans="49:49" x14ac:dyDescent="0.3">
      <c r="AW735" s="110"/>
    </row>
    <row r="736" spans="49:49" x14ac:dyDescent="0.3">
      <c r="AW736" s="110"/>
    </row>
    <row r="737" spans="49:49" x14ac:dyDescent="0.3">
      <c r="AW737" s="110"/>
    </row>
    <row r="738" spans="49:49" x14ac:dyDescent="0.3">
      <c r="AW738" s="110"/>
    </row>
    <row r="739" spans="49:49" x14ac:dyDescent="0.3">
      <c r="AW739" s="110"/>
    </row>
    <row r="742" spans="49:49" x14ac:dyDescent="0.3">
      <c r="AW742" s="110"/>
    </row>
    <row r="743" spans="49:49" x14ac:dyDescent="0.3">
      <c r="AW743" s="110"/>
    </row>
    <row r="744" spans="49:49" x14ac:dyDescent="0.3">
      <c r="AW744" s="110"/>
    </row>
    <row r="745" spans="49:49" x14ac:dyDescent="0.3">
      <c r="AW745" s="110"/>
    </row>
    <row r="746" spans="49:49" x14ac:dyDescent="0.3">
      <c r="AW746" s="110"/>
    </row>
    <row r="747" spans="49:49" x14ac:dyDescent="0.3">
      <c r="AW747" s="110"/>
    </row>
    <row r="748" spans="49:49" x14ac:dyDescent="0.3">
      <c r="AW748" s="110"/>
    </row>
    <row r="749" spans="49:49" x14ac:dyDescent="0.3">
      <c r="AW749" s="110"/>
    </row>
    <row r="752" spans="49:49" x14ac:dyDescent="0.3">
      <c r="AW752" s="110"/>
    </row>
    <row r="753" spans="49:51" x14ac:dyDescent="0.3">
      <c r="AW753" s="110"/>
    </row>
    <row r="756" spans="49:51" x14ac:dyDescent="0.3">
      <c r="AW756" s="110"/>
    </row>
    <row r="757" spans="49:51" x14ac:dyDescent="0.3">
      <c r="AW757" s="110"/>
    </row>
    <row r="758" spans="49:51" x14ac:dyDescent="0.3">
      <c r="AW758" s="110"/>
    </row>
    <row r="759" spans="49:51" x14ac:dyDescent="0.3">
      <c r="AW759" s="110"/>
    </row>
    <row r="767" spans="49:51" x14ac:dyDescent="0.3">
      <c r="AY767" s="99"/>
    </row>
    <row r="768" spans="49:51" x14ac:dyDescent="0.3">
      <c r="AY768" s="99"/>
    </row>
    <row r="769" spans="45:69" x14ac:dyDescent="0.3">
      <c r="BD769" s="99"/>
    </row>
    <row r="770" spans="45:69" x14ac:dyDescent="0.3">
      <c r="BD770" s="99"/>
    </row>
    <row r="771" spans="45:69" x14ac:dyDescent="0.3">
      <c r="AS771" s="99"/>
      <c r="BD771" s="99"/>
    </row>
    <row r="773" spans="45:69" x14ac:dyDescent="0.3">
      <c r="AS773" s="101"/>
      <c r="AT773" s="101"/>
      <c r="AU773" s="101"/>
      <c r="AV773" s="101"/>
      <c r="AW773" s="101"/>
      <c r="AX773" s="101"/>
      <c r="AY773" s="101"/>
      <c r="AZ773" s="101"/>
      <c r="BA773" s="101"/>
      <c r="BB773" s="101"/>
      <c r="BC773" s="101"/>
      <c r="BD773" s="101"/>
      <c r="BE773" s="101"/>
    </row>
    <row r="774" spans="45:69" x14ac:dyDescent="0.3">
      <c r="AX774" s="99"/>
    </row>
    <row r="775" spans="45:69" x14ac:dyDescent="0.3">
      <c r="AX775" s="101"/>
      <c r="AY775" s="101"/>
      <c r="AZ775" s="101"/>
      <c r="BA775" s="101"/>
      <c r="BC775" s="102"/>
      <c r="BD775" s="102"/>
    </row>
    <row r="776" spans="45:69" x14ac:dyDescent="0.3">
      <c r="AV776" s="102"/>
      <c r="AW776" s="102"/>
      <c r="AZ776" s="102"/>
      <c r="BA776" s="102"/>
      <c r="BC776" s="102"/>
      <c r="BD776" s="102"/>
      <c r="BE776" s="102"/>
      <c r="BG776" s="101"/>
      <c r="BH776" s="99"/>
      <c r="BK776" s="101"/>
      <c r="BM776" s="101"/>
      <c r="BN776" s="99"/>
      <c r="BQ776" s="101"/>
    </row>
    <row r="777" spans="45:69" x14ac:dyDescent="0.3"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H777" s="102"/>
      <c r="BI777" s="102"/>
      <c r="BJ777" s="102"/>
      <c r="BN777" s="102"/>
      <c r="BO777" s="102"/>
      <c r="BP777" s="102"/>
    </row>
    <row r="778" spans="45:69" x14ac:dyDescent="0.3">
      <c r="AS778" s="102"/>
      <c r="AU778" s="99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G778" s="102"/>
      <c r="BH778" s="102"/>
      <c r="BI778" s="102"/>
      <c r="BJ778" s="102"/>
      <c r="BK778" s="102"/>
      <c r="BM778" s="102"/>
      <c r="BN778" s="102"/>
      <c r="BO778" s="102"/>
      <c r="BP778" s="102"/>
      <c r="BQ778" s="102"/>
    </row>
    <row r="779" spans="45:69" x14ac:dyDescent="0.3">
      <c r="AS779" s="102"/>
      <c r="AU779" s="99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G779" s="102"/>
      <c r="BH779" s="102"/>
      <c r="BI779" s="102"/>
      <c r="BJ779" s="102"/>
      <c r="BK779" s="102"/>
      <c r="BM779" s="102"/>
      <c r="BN779" s="102"/>
      <c r="BO779" s="102"/>
      <c r="BP779" s="102"/>
      <c r="BQ779" s="102"/>
    </row>
    <row r="780" spans="45:69" x14ac:dyDescent="0.3"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G780" s="101"/>
      <c r="BH780" s="101"/>
      <c r="BI780" s="101"/>
      <c r="BJ780" s="101"/>
      <c r="BK780" s="101"/>
      <c r="BM780" s="101"/>
      <c r="BN780" s="101"/>
      <c r="BO780" s="101"/>
      <c r="BP780" s="101"/>
      <c r="BQ780" s="101"/>
    </row>
    <row r="781" spans="45:69" x14ac:dyDescent="0.3"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</row>
    <row r="782" spans="45:69" x14ac:dyDescent="0.3">
      <c r="AU782" s="99"/>
      <c r="AV782" s="102"/>
      <c r="AY782" s="198"/>
    </row>
    <row r="783" spans="45:69" x14ac:dyDescent="0.3">
      <c r="AV783" s="102"/>
      <c r="AW783" s="110"/>
      <c r="AX783" s="163"/>
      <c r="AY783" s="163"/>
      <c r="AZ783" s="163"/>
      <c r="BA783" s="141"/>
      <c r="BB783" s="163"/>
      <c r="BC783" s="198"/>
      <c r="BD783" s="198"/>
      <c r="BE783" s="141"/>
      <c r="BG783" s="163"/>
      <c r="BH783" s="163"/>
      <c r="BI783" s="163"/>
      <c r="BJ783" s="163"/>
      <c r="BK783" s="163"/>
      <c r="BM783" s="163"/>
      <c r="BN783" s="163"/>
      <c r="BO783" s="163"/>
      <c r="BP783" s="163"/>
      <c r="BQ783" s="163"/>
    </row>
    <row r="784" spans="45:69" x14ac:dyDescent="0.3">
      <c r="AV784" s="102"/>
      <c r="AW784" s="110"/>
      <c r="AX784" s="163"/>
      <c r="AY784" s="163"/>
      <c r="AZ784" s="163"/>
      <c r="BA784" s="141"/>
      <c r="BB784" s="163"/>
      <c r="BC784" s="198"/>
      <c r="BD784" s="198"/>
      <c r="BE784" s="141"/>
      <c r="BG784" s="163"/>
      <c r="BH784" s="163"/>
      <c r="BI784" s="163"/>
      <c r="BJ784" s="163"/>
      <c r="BK784" s="163"/>
      <c r="BM784" s="163"/>
      <c r="BN784" s="163"/>
      <c r="BO784" s="163"/>
      <c r="BP784" s="163"/>
      <c r="BQ784" s="163"/>
    </row>
    <row r="785" spans="48:69" x14ac:dyDescent="0.3">
      <c r="AV785" s="102"/>
      <c r="AW785" s="110"/>
      <c r="AX785" s="163"/>
      <c r="AY785" s="163"/>
      <c r="AZ785" s="163"/>
      <c r="BA785" s="141"/>
      <c r="BB785" s="163"/>
      <c r="BC785" s="198"/>
      <c r="BD785" s="198"/>
      <c r="BE785" s="141"/>
      <c r="BG785" s="163"/>
      <c r="BH785" s="163"/>
      <c r="BI785" s="163"/>
      <c r="BJ785" s="163"/>
      <c r="BK785" s="163"/>
      <c r="BM785" s="163"/>
      <c r="BN785" s="163"/>
      <c r="BO785" s="163"/>
      <c r="BP785" s="163"/>
      <c r="BQ785" s="163"/>
    </row>
    <row r="786" spans="48:69" x14ac:dyDescent="0.3">
      <c r="AV786" s="102"/>
      <c r="AW786" s="110"/>
      <c r="AX786" s="163"/>
      <c r="AY786" s="163"/>
      <c r="AZ786" s="163"/>
      <c r="BA786" s="141"/>
      <c r="BB786" s="163"/>
      <c r="BC786" s="198"/>
      <c r="BD786" s="198"/>
      <c r="BE786" s="141"/>
      <c r="BG786" s="163"/>
      <c r="BH786" s="163"/>
      <c r="BI786" s="163"/>
      <c r="BJ786" s="163"/>
      <c r="BK786" s="163"/>
      <c r="BM786" s="163"/>
      <c r="BN786" s="163"/>
      <c r="BO786" s="163"/>
      <c r="BP786" s="163"/>
      <c r="BQ786" s="163"/>
    </row>
    <row r="787" spans="48:69" x14ac:dyDescent="0.3">
      <c r="AV787" s="102"/>
      <c r="AW787" s="110"/>
      <c r="AX787" s="163"/>
      <c r="AY787" s="163"/>
      <c r="AZ787" s="163"/>
      <c r="BA787" s="141"/>
      <c r="BB787" s="163"/>
      <c r="BC787" s="198"/>
      <c r="BD787" s="198"/>
      <c r="BE787" s="141"/>
      <c r="BG787" s="163"/>
      <c r="BH787" s="163"/>
      <c r="BI787" s="163"/>
      <c r="BJ787" s="163"/>
      <c r="BK787" s="163"/>
      <c r="BM787" s="163"/>
      <c r="BN787" s="163"/>
      <c r="BO787" s="163"/>
      <c r="BP787" s="163"/>
      <c r="BQ787" s="163"/>
    </row>
    <row r="788" spans="48:69" x14ac:dyDescent="0.3">
      <c r="AV788" s="102"/>
      <c r="AW788" s="110"/>
      <c r="AX788" s="163"/>
      <c r="AY788" s="163"/>
      <c r="AZ788" s="163"/>
      <c r="BA788" s="141"/>
      <c r="BB788" s="163"/>
      <c r="BC788" s="198"/>
      <c r="BD788" s="198"/>
      <c r="BE788" s="141"/>
      <c r="BG788" s="163"/>
      <c r="BH788" s="163"/>
      <c r="BI788" s="163"/>
      <c r="BJ788" s="163"/>
      <c r="BK788" s="163"/>
      <c r="BM788" s="163"/>
      <c r="BN788" s="163"/>
      <c r="BO788" s="163"/>
      <c r="BP788" s="163"/>
      <c r="BQ788" s="163"/>
    </row>
    <row r="789" spans="48:69" x14ac:dyDescent="0.3">
      <c r="AV789" s="102"/>
      <c r="AW789" s="110"/>
      <c r="AX789" s="163"/>
      <c r="AY789" s="163"/>
      <c r="AZ789" s="163"/>
      <c r="BA789" s="141"/>
      <c r="BB789" s="163"/>
      <c r="BC789" s="198"/>
      <c r="BD789" s="198"/>
      <c r="BE789" s="141"/>
      <c r="BG789" s="163"/>
      <c r="BH789" s="163"/>
      <c r="BI789" s="163"/>
      <c r="BJ789" s="163"/>
      <c r="BK789" s="163"/>
      <c r="BM789" s="163"/>
      <c r="BN789" s="163"/>
      <c r="BO789" s="163"/>
      <c r="BP789" s="163"/>
      <c r="BQ789" s="163"/>
    </row>
    <row r="790" spans="48:69" x14ac:dyDescent="0.3">
      <c r="AY790" s="198"/>
      <c r="AZ790" s="163"/>
      <c r="BA790" s="141"/>
      <c r="BB790" s="163"/>
      <c r="BC790" s="198"/>
      <c r="BD790" s="198"/>
      <c r="BE790" s="141"/>
      <c r="BK790" s="163"/>
      <c r="BQ790" s="163"/>
    </row>
    <row r="791" spans="48:69" x14ac:dyDescent="0.3">
      <c r="AV791" s="102"/>
      <c r="AY791" s="198"/>
      <c r="AZ791" s="163"/>
      <c r="BA791" s="141"/>
      <c r="BB791" s="163"/>
      <c r="BC791" s="198"/>
      <c r="BD791" s="198"/>
      <c r="BE791" s="141"/>
      <c r="BK791" s="163"/>
      <c r="BQ791" s="163"/>
    </row>
    <row r="792" spans="48:69" x14ac:dyDescent="0.3">
      <c r="AV792" s="102"/>
      <c r="AW792" s="110"/>
      <c r="AX792" s="163"/>
      <c r="AY792" s="163"/>
      <c r="AZ792" s="163"/>
      <c r="BA792" s="141"/>
      <c r="BB792" s="163"/>
      <c r="BC792" s="198"/>
      <c r="BD792" s="198"/>
      <c r="BE792" s="141"/>
      <c r="BG792" s="163"/>
      <c r="BH792" s="163"/>
      <c r="BI792" s="163"/>
      <c r="BJ792" s="163"/>
      <c r="BK792" s="163"/>
      <c r="BM792" s="163"/>
      <c r="BN792" s="163"/>
      <c r="BO792" s="163"/>
      <c r="BP792" s="163"/>
      <c r="BQ792" s="163"/>
    </row>
    <row r="793" spans="48:69" x14ac:dyDescent="0.3">
      <c r="AV793" s="102"/>
      <c r="AW793" s="110"/>
      <c r="AX793" s="163"/>
      <c r="AY793" s="163"/>
      <c r="AZ793" s="163"/>
      <c r="BA793" s="141"/>
      <c r="BB793" s="163"/>
      <c r="BC793" s="198"/>
      <c r="BD793" s="198"/>
      <c r="BE793" s="141"/>
      <c r="BG793" s="163"/>
      <c r="BH793" s="163"/>
      <c r="BI793" s="163"/>
      <c r="BJ793" s="163"/>
      <c r="BK793" s="163"/>
      <c r="BM793" s="163"/>
      <c r="BN793" s="163"/>
      <c r="BO793" s="163"/>
      <c r="BP793" s="163"/>
      <c r="BQ793" s="163"/>
    </row>
    <row r="794" spans="48:69" x14ac:dyDescent="0.3">
      <c r="AV794" s="102"/>
      <c r="AW794" s="110"/>
      <c r="AX794" s="163"/>
      <c r="AY794" s="163"/>
      <c r="AZ794" s="163"/>
      <c r="BA794" s="141"/>
      <c r="BB794" s="163"/>
      <c r="BC794" s="198"/>
      <c r="BD794" s="198"/>
      <c r="BE794" s="141"/>
      <c r="BG794" s="163"/>
      <c r="BH794" s="163"/>
      <c r="BI794" s="163"/>
      <c r="BJ794" s="163"/>
      <c r="BK794" s="163"/>
      <c r="BM794" s="163"/>
      <c r="BN794" s="163"/>
      <c r="BO794" s="163"/>
      <c r="BP794" s="163"/>
      <c r="BQ794" s="163"/>
    </row>
    <row r="795" spans="48:69" x14ac:dyDescent="0.3">
      <c r="AV795" s="102"/>
      <c r="AW795" s="110"/>
      <c r="AX795" s="163"/>
      <c r="AY795" s="163"/>
      <c r="AZ795" s="163"/>
      <c r="BA795" s="141"/>
      <c r="BB795" s="163"/>
      <c r="BC795" s="198"/>
      <c r="BD795" s="198"/>
      <c r="BE795" s="141"/>
      <c r="BG795" s="163"/>
      <c r="BH795" s="163"/>
      <c r="BI795" s="163"/>
      <c r="BJ795" s="163"/>
      <c r="BK795" s="163"/>
      <c r="BM795" s="163"/>
      <c r="BN795" s="163"/>
      <c r="BO795" s="163"/>
      <c r="BP795" s="163"/>
      <c r="BQ795" s="163"/>
    </row>
    <row r="796" spans="48:69" x14ac:dyDescent="0.3">
      <c r="AV796" s="102"/>
      <c r="AW796" s="110"/>
      <c r="AX796" s="163"/>
      <c r="AY796" s="163"/>
      <c r="AZ796" s="163"/>
      <c r="BA796" s="141"/>
      <c r="BB796" s="163"/>
      <c r="BC796" s="198"/>
      <c r="BD796" s="198"/>
      <c r="BE796" s="141"/>
      <c r="BG796" s="163"/>
      <c r="BH796" s="163"/>
      <c r="BI796" s="163"/>
      <c r="BJ796" s="163"/>
      <c r="BK796" s="163"/>
      <c r="BM796" s="163"/>
      <c r="BN796" s="163"/>
      <c r="BO796" s="163"/>
      <c r="BP796" s="163"/>
      <c r="BQ796" s="163"/>
    </row>
    <row r="797" spans="48:69" x14ac:dyDescent="0.3">
      <c r="AV797" s="102"/>
      <c r="AW797" s="110"/>
      <c r="AX797" s="163"/>
      <c r="AY797" s="163"/>
      <c r="AZ797" s="163"/>
      <c r="BA797" s="141"/>
      <c r="BB797" s="163"/>
      <c r="BC797" s="198"/>
      <c r="BD797" s="198"/>
      <c r="BE797" s="141"/>
      <c r="BG797" s="163"/>
      <c r="BH797" s="163"/>
      <c r="BI797" s="163"/>
      <c r="BJ797" s="163"/>
      <c r="BK797" s="163"/>
      <c r="BM797" s="163"/>
      <c r="BN797" s="163"/>
      <c r="BO797" s="163"/>
      <c r="BP797" s="163"/>
      <c r="BQ797" s="163"/>
    </row>
    <row r="798" spans="48:69" x14ac:dyDescent="0.3">
      <c r="AV798" s="102"/>
      <c r="AW798" s="110"/>
      <c r="AX798" s="163"/>
      <c r="AY798" s="163"/>
      <c r="AZ798" s="163"/>
      <c r="BA798" s="141"/>
      <c r="BB798" s="163"/>
      <c r="BC798" s="198"/>
      <c r="BD798" s="198"/>
      <c r="BE798" s="141"/>
      <c r="BG798" s="163"/>
      <c r="BH798" s="163"/>
      <c r="BI798" s="163"/>
      <c r="BJ798" s="163"/>
      <c r="BK798" s="163"/>
      <c r="BM798" s="163"/>
      <c r="BN798" s="163"/>
      <c r="BO798" s="163"/>
      <c r="BP798" s="163"/>
      <c r="BQ798" s="163"/>
    </row>
    <row r="799" spans="48:69" x14ac:dyDescent="0.3">
      <c r="AV799" s="102"/>
      <c r="AW799" s="110"/>
      <c r="AX799" s="163"/>
      <c r="AY799" s="163"/>
      <c r="AZ799" s="163"/>
      <c r="BA799" s="141"/>
      <c r="BB799" s="163"/>
      <c r="BC799" s="198"/>
      <c r="BD799" s="198"/>
      <c r="BE799" s="141"/>
      <c r="BG799" s="163"/>
      <c r="BH799" s="163"/>
      <c r="BI799" s="163"/>
      <c r="BJ799" s="163"/>
      <c r="BK799" s="163"/>
      <c r="BM799" s="163"/>
      <c r="BN799" s="163"/>
      <c r="BO799" s="163"/>
      <c r="BP799" s="163"/>
      <c r="BQ799" s="163"/>
    </row>
    <row r="800" spans="48:69" x14ac:dyDescent="0.3">
      <c r="AY800" s="198"/>
      <c r="AZ800" s="163"/>
      <c r="BA800" s="141"/>
      <c r="BB800" s="163"/>
      <c r="BC800" s="198"/>
      <c r="BD800" s="198"/>
      <c r="BE800" s="141"/>
      <c r="BK800" s="163"/>
      <c r="BQ800" s="163"/>
    </row>
    <row r="801" spans="45:75" x14ac:dyDescent="0.3">
      <c r="AU801" s="99"/>
      <c r="AZ801" s="163"/>
      <c r="BB801" s="163"/>
      <c r="BG801" s="163"/>
      <c r="BH801" s="163"/>
      <c r="BJ801" s="163"/>
      <c r="BK801" s="163"/>
    </row>
    <row r="802" spans="45:75" x14ac:dyDescent="0.3">
      <c r="AZ802" s="163"/>
      <c r="BB802" s="163"/>
    </row>
    <row r="803" spans="45:75" x14ac:dyDescent="0.3">
      <c r="AS803" s="99"/>
      <c r="AZ803" s="163"/>
      <c r="BB803" s="163"/>
      <c r="BI803" s="163"/>
    </row>
    <row r="804" spans="45:75" x14ac:dyDescent="0.3">
      <c r="AZ804" s="163"/>
      <c r="BB804" s="163"/>
    </row>
    <row r="805" spans="45:75" x14ac:dyDescent="0.3">
      <c r="AY805" s="163"/>
      <c r="BB805" s="163"/>
    </row>
    <row r="806" spans="45:75" x14ac:dyDescent="0.3">
      <c r="AY806" s="99"/>
      <c r="AZ806" s="163"/>
      <c r="BB806" s="163"/>
    </row>
    <row r="807" spans="45:75" x14ac:dyDescent="0.3">
      <c r="AY807" s="99"/>
      <c r="AZ807" s="163"/>
      <c r="BB807" s="163"/>
    </row>
    <row r="808" spans="45:75" x14ac:dyDescent="0.3">
      <c r="AZ808" s="163"/>
      <c r="BB808" s="163"/>
      <c r="BD808" s="99"/>
    </row>
    <row r="809" spans="45:75" x14ac:dyDescent="0.3">
      <c r="AZ809" s="163"/>
      <c r="BB809" s="163"/>
      <c r="BD809" s="99"/>
    </row>
    <row r="810" spans="45:75" x14ac:dyDescent="0.3">
      <c r="AS810" s="99"/>
      <c r="AZ810" s="163"/>
      <c r="BB810" s="163"/>
      <c r="BD810" s="99"/>
    </row>
    <row r="811" spans="45:75" x14ac:dyDescent="0.3">
      <c r="AZ811" s="163"/>
      <c r="BB811" s="163"/>
    </row>
    <row r="812" spans="45:75" x14ac:dyDescent="0.3">
      <c r="AS812" s="101"/>
      <c r="AT812" s="101"/>
      <c r="AU812" s="101"/>
      <c r="AV812" s="101"/>
      <c r="AW812" s="101"/>
      <c r="AX812" s="101"/>
      <c r="AY812" s="101"/>
      <c r="AZ812" s="212"/>
      <c r="BA812" s="101"/>
      <c r="BB812" s="212"/>
      <c r="BC812" s="101"/>
      <c r="BD812" s="101"/>
      <c r="BE812" s="101"/>
    </row>
    <row r="813" spans="45:75" x14ac:dyDescent="0.3">
      <c r="AX813" s="99"/>
      <c r="AZ813" s="163"/>
      <c r="BB813" s="163"/>
    </row>
    <row r="814" spans="45:75" x14ac:dyDescent="0.3">
      <c r="AX814" s="101"/>
      <c r="AY814" s="101"/>
      <c r="AZ814" s="212"/>
      <c r="BA814" s="101"/>
      <c r="BB814" s="163"/>
      <c r="BC814" s="102"/>
      <c r="BD814" s="102"/>
    </row>
    <row r="815" spans="45:75" x14ac:dyDescent="0.3">
      <c r="AV815" s="102"/>
      <c r="AW815" s="102"/>
      <c r="AZ815" s="213"/>
      <c r="BA815" s="102"/>
      <c r="BB815" s="163"/>
      <c r="BC815" s="102"/>
      <c r="BD815" s="102"/>
      <c r="BE815" s="102"/>
      <c r="BG815" s="101"/>
      <c r="BH815" s="101"/>
      <c r="BI815" s="99"/>
      <c r="BM815" s="101"/>
      <c r="BN815" s="101"/>
      <c r="BP815" s="101"/>
      <c r="BQ815" s="101"/>
      <c r="BR815" s="99"/>
      <c r="BV815" s="101"/>
      <c r="BW815" s="101"/>
    </row>
    <row r="816" spans="45:75" x14ac:dyDescent="0.3">
      <c r="AV816" s="102"/>
      <c r="AW816" s="102"/>
      <c r="AX816" s="102"/>
      <c r="AY816" s="102"/>
      <c r="AZ816" s="213"/>
      <c r="BA816" s="102"/>
      <c r="BB816" s="213"/>
      <c r="BC816" s="102"/>
      <c r="BD816" s="102"/>
      <c r="BE816" s="102"/>
      <c r="BH816" s="102"/>
      <c r="BI816" s="102"/>
      <c r="BJ816" s="102"/>
      <c r="BK816" s="102"/>
      <c r="BL816" s="102"/>
      <c r="BM816" s="102"/>
      <c r="BQ816" s="102"/>
      <c r="BR816" s="102"/>
      <c r="BS816" s="102"/>
      <c r="BT816" s="102"/>
      <c r="BU816" s="102"/>
      <c r="BV816" s="102"/>
    </row>
    <row r="817" spans="45:75" x14ac:dyDescent="0.3">
      <c r="AS817" s="102"/>
      <c r="AU817" s="99"/>
      <c r="AV817" s="102"/>
      <c r="AW817" s="102"/>
      <c r="AX817" s="102"/>
      <c r="AY817" s="102"/>
      <c r="AZ817" s="213"/>
      <c r="BA817" s="102"/>
      <c r="BB817" s="213"/>
      <c r="BC817" s="102"/>
      <c r="BD817" s="102"/>
      <c r="BE817" s="102"/>
      <c r="BG817" s="102"/>
      <c r="BH817" s="102"/>
      <c r="BI817" s="102"/>
      <c r="BJ817" s="102"/>
      <c r="BK817" s="102"/>
      <c r="BL817" s="102"/>
      <c r="BM817" s="102"/>
      <c r="BN817" s="102"/>
      <c r="BP817" s="102"/>
      <c r="BQ817" s="102"/>
      <c r="BR817" s="102"/>
      <c r="BS817" s="102"/>
      <c r="BT817" s="102"/>
      <c r="BU817" s="102"/>
      <c r="BV817" s="102"/>
      <c r="BW817" s="102"/>
    </row>
    <row r="818" spans="45:75" x14ac:dyDescent="0.3">
      <c r="AS818" s="102"/>
      <c r="AU818" s="99"/>
      <c r="AV818" s="102"/>
      <c r="AW818" s="102"/>
      <c r="AX818" s="102"/>
      <c r="AY818" s="102"/>
      <c r="AZ818" s="213"/>
      <c r="BA818" s="102"/>
      <c r="BB818" s="213"/>
      <c r="BC818" s="102"/>
      <c r="BD818" s="102"/>
      <c r="BE818" s="102"/>
      <c r="BG818" s="102"/>
      <c r="BH818" s="102"/>
      <c r="BI818" s="102"/>
      <c r="BJ818" s="102"/>
      <c r="BK818" s="102"/>
      <c r="BL818" s="102"/>
      <c r="BM818" s="102"/>
      <c r="BN818" s="102"/>
      <c r="BP818" s="102"/>
      <c r="BQ818" s="102"/>
      <c r="BR818" s="102"/>
      <c r="BS818" s="102"/>
      <c r="BT818" s="102"/>
      <c r="BU818" s="102"/>
      <c r="BV818" s="102"/>
      <c r="BW818" s="102"/>
    </row>
    <row r="819" spans="45:75" x14ac:dyDescent="0.3">
      <c r="AS819" s="101"/>
      <c r="AT819" s="101"/>
      <c r="AU819" s="101"/>
      <c r="AV819" s="101"/>
      <c r="AW819" s="101"/>
      <c r="AX819" s="101"/>
      <c r="AY819" s="101"/>
      <c r="AZ819" s="212"/>
      <c r="BA819" s="101"/>
      <c r="BB819" s="212"/>
      <c r="BC819" s="101"/>
      <c r="BD819" s="101"/>
      <c r="BE819" s="101"/>
      <c r="BG819" s="101"/>
      <c r="BH819" s="101"/>
      <c r="BI819" s="101"/>
      <c r="BJ819" s="101"/>
      <c r="BK819" s="101"/>
      <c r="BL819" s="101"/>
      <c r="BM819" s="101"/>
      <c r="BN819" s="101"/>
      <c r="BP819" s="101"/>
      <c r="BQ819" s="101"/>
      <c r="BR819" s="101"/>
      <c r="BS819" s="101"/>
      <c r="BT819" s="101"/>
      <c r="BU819" s="101"/>
      <c r="BV819" s="101"/>
      <c r="BW819" s="101"/>
    </row>
    <row r="820" spans="45:75" x14ac:dyDescent="0.3">
      <c r="AV820" s="102"/>
      <c r="AW820" s="102"/>
      <c r="AX820" s="102"/>
      <c r="AY820" s="102"/>
      <c r="AZ820" s="213"/>
      <c r="BA820" s="102"/>
      <c r="BB820" s="213"/>
      <c r="BC820" s="102"/>
      <c r="BD820" s="102"/>
      <c r="BE820" s="102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</row>
    <row r="821" spans="45:75" x14ac:dyDescent="0.3">
      <c r="AU821" s="99"/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</row>
    <row r="822" spans="45:75" x14ac:dyDescent="0.3"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</row>
    <row r="823" spans="45:75" x14ac:dyDescent="0.3"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</row>
    <row r="824" spans="45:75" x14ac:dyDescent="0.3"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</row>
    <row r="825" spans="45:75" x14ac:dyDescent="0.3"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</row>
    <row r="826" spans="45:75" x14ac:dyDescent="0.3"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</row>
    <row r="827" spans="45:75" x14ac:dyDescent="0.3"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</row>
    <row r="828" spans="45:75" x14ac:dyDescent="0.3"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</row>
    <row r="829" spans="45:75" x14ac:dyDescent="0.3"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</row>
    <row r="830" spans="45:75" x14ac:dyDescent="0.3"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</row>
    <row r="831" spans="45:75" x14ac:dyDescent="0.3"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</row>
    <row r="832" spans="45:75" x14ac:dyDescent="0.3"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</row>
    <row r="833" spans="47:75" x14ac:dyDescent="0.3"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</row>
    <row r="834" spans="47:75" x14ac:dyDescent="0.3"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</row>
    <row r="835" spans="47:75" x14ac:dyDescent="0.3"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</row>
    <row r="836" spans="47:75" x14ac:dyDescent="0.3"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</row>
    <row r="837" spans="47:75" x14ac:dyDescent="0.3"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</row>
    <row r="838" spans="47:75" x14ac:dyDescent="0.3"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</row>
    <row r="839" spans="47:75" x14ac:dyDescent="0.3"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</row>
    <row r="840" spans="47:75" x14ac:dyDescent="0.3"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</row>
    <row r="841" spans="47:75" x14ac:dyDescent="0.3"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</row>
    <row r="842" spans="47:75" x14ac:dyDescent="0.3"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01"/>
      <c r="BH842" s="101"/>
      <c r="BI842" s="99"/>
      <c r="BM842" s="101"/>
      <c r="BN842" s="101"/>
      <c r="BO842" s="163"/>
      <c r="BP842" s="101"/>
      <c r="BQ842" s="101"/>
      <c r="BR842" s="99"/>
      <c r="BV842" s="101"/>
      <c r="BW842" s="101"/>
    </row>
    <row r="843" spans="47:75" x14ac:dyDescent="0.3">
      <c r="AU843" s="99"/>
      <c r="AV843" s="102"/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213"/>
      <c r="BH843" s="163"/>
      <c r="BI843" s="163"/>
      <c r="BJ843" s="163"/>
      <c r="BK843" s="213"/>
      <c r="BL843" s="214"/>
      <c r="BM843" s="163"/>
      <c r="BN843" s="213"/>
      <c r="BO843" s="163"/>
      <c r="BP843" s="213"/>
      <c r="BQ843" s="163"/>
      <c r="BR843" s="163"/>
      <c r="BS843" s="163"/>
      <c r="BT843" s="213"/>
      <c r="BU843" s="214"/>
      <c r="BV843" s="163"/>
      <c r="BW843" s="213"/>
    </row>
    <row r="844" spans="47:75" x14ac:dyDescent="0.3">
      <c r="AV844" s="102"/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214"/>
      <c r="BM844" s="163"/>
      <c r="BN844" s="163"/>
      <c r="BO844" s="163"/>
      <c r="BP844" s="163"/>
      <c r="BQ844" s="163"/>
      <c r="BR844" s="163"/>
      <c r="BS844" s="163"/>
      <c r="BT844" s="163"/>
      <c r="BU844" s="214"/>
      <c r="BV844" s="163"/>
      <c r="BW844" s="163"/>
    </row>
    <row r="845" spans="47:75" x14ac:dyDescent="0.3">
      <c r="AV845" s="102"/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214"/>
      <c r="BM845" s="163"/>
      <c r="BN845" s="163"/>
      <c r="BO845" s="163"/>
      <c r="BP845" s="163"/>
      <c r="BQ845" s="163"/>
      <c r="BR845" s="163"/>
      <c r="BS845" s="163"/>
      <c r="BT845" s="163"/>
      <c r="BU845" s="214"/>
      <c r="BV845" s="163"/>
      <c r="BW845" s="163"/>
    </row>
    <row r="846" spans="47:75" x14ac:dyDescent="0.3">
      <c r="AV846" s="102"/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214"/>
      <c r="BM846" s="163"/>
      <c r="BN846" s="163"/>
      <c r="BO846" s="163"/>
      <c r="BP846" s="163"/>
      <c r="BQ846" s="163"/>
      <c r="BR846" s="163"/>
      <c r="BS846" s="163"/>
      <c r="BT846" s="163"/>
      <c r="BU846" s="214"/>
      <c r="BV846" s="163"/>
      <c r="BW846" s="163"/>
    </row>
    <row r="847" spans="47:75" x14ac:dyDescent="0.3"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</row>
    <row r="848" spans="47:75" x14ac:dyDescent="0.3">
      <c r="AU848" s="99"/>
    </row>
    <row r="849" spans="45:74" x14ac:dyDescent="0.3">
      <c r="AU849" s="99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</row>
    <row r="850" spans="45:74" x14ac:dyDescent="0.3">
      <c r="AS850" s="99"/>
      <c r="AZ850" s="163"/>
      <c r="BB850" s="163"/>
    </row>
    <row r="851" spans="45:74" x14ac:dyDescent="0.3">
      <c r="AZ851" s="163"/>
      <c r="BB851" s="163"/>
      <c r="BO851" s="163"/>
      <c r="BP851" s="163"/>
      <c r="BQ851" s="163"/>
      <c r="BR851" s="163"/>
      <c r="BS851" s="163"/>
      <c r="BT851" s="163"/>
      <c r="BU851" s="163"/>
      <c r="BV851" s="163"/>
    </row>
    <row r="852" spans="45:74" x14ac:dyDescent="0.3">
      <c r="AY852" s="163"/>
      <c r="AZ852" s="163"/>
      <c r="BB852" s="163"/>
      <c r="BO852" s="163"/>
      <c r="BP852" s="163"/>
      <c r="BQ852" s="163"/>
      <c r="BR852" s="163"/>
      <c r="BS852" s="163"/>
      <c r="BT852" s="163"/>
      <c r="BU852" s="163"/>
      <c r="BV852" s="163"/>
    </row>
    <row r="853" spans="45:74" x14ac:dyDescent="0.3">
      <c r="AY853" s="99"/>
      <c r="AZ853" s="163"/>
      <c r="BB853" s="163"/>
      <c r="BO853" s="163"/>
      <c r="BP853" s="163"/>
      <c r="BQ853" s="163"/>
      <c r="BR853" s="163"/>
      <c r="BS853" s="163"/>
      <c r="BT853" s="163"/>
      <c r="BU853" s="163"/>
      <c r="BV853" s="163"/>
    </row>
    <row r="854" spans="45:74" x14ac:dyDescent="0.3">
      <c r="AY854" s="99"/>
      <c r="AZ854" s="163"/>
      <c r="BB854" s="163"/>
      <c r="BO854" s="163"/>
      <c r="BP854" s="163"/>
      <c r="BQ854" s="163"/>
      <c r="BR854" s="163"/>
      <c r="BS854" s="163"/>
      <c r="BT854" s="163"/>
      <c r="BU854" s="163"/>
      <c r="BV854" s="163"/>
    </row>
    <row r="855" spans="45:74" x14ac:dyDescent="0.3">
      <c r="AZ855" s="163"/>
      <c r="BB855" s="163"/>
      <c r="BD855" s="99"/>
      <c r="BO855" s="163"/>
      <c r="BP855" s="163"/>
      <c r="BQ855" s="163"/>
      <c r="BR855" s="163"/>
      <c r="BS855" s="163"/>
      <c r="BT855" s="163"/>
      <c r="BU855" s="163"/>
      <c r="BV855" s="163"/>
    </row>
    <row r="856" spans="45:74" x14ac:dyDescent="0.3">
      <c r="AZ856" s="163"/>
      <c r="BB856" s="163"/>
      <c r="BD856" s="99"/>
      <c r="BO856" s="163"/>
      <c r="BP856" s="163"/>
      <c r="BQ856" s="163"/>
      <c r="BR856" s="163"/>
      <c r="BS856" s="163"/>
      <c r="BT856" s="163"/>
      <c r="BU856" s="163"/>
      <c r="BV856" s="163"/>
    </row>
    <row r="857" spans="45:74" x14ac:dyDescent="0.3">
      <c r="AS857" s="99"/>
      <c r="AZ857" s="163"/>
      <c r="BB857" s="163"/>
      <c r="BD857" s="99"/>
      <c r="BO857" s="163"/>
      <c r="BP857" s="163"/>
      <c r="BQ857" s="163"/>
      <c r="BR857" s="163"/>
      <c r="BS857" s="163"/>
      <c r="BT857" s="163"/>
      <c r="BU857" s="163"/>
      <c r="BV857" s="163"/>
    </row>
    <row r="858" spans="45:74" x14ac:dyDescent="0.3">
      <c r="AZ858" s="163"/>
      <c r="BB858" s="163"/>
      <c r="BO858" s="163"/>
      <c r="BP858" s="163"/>
      <c r="BQ858" s="163"/>
      <c r="BR858" s="163"/>
      <c r="BS858" s="163"/>
      <c r="BT858" s="163"/>
      <c r="BU858" s="163"/>
      <c r="BV858" s="163"/>
    </row>
    <row r="859" spans="45:74" x14ac:dyDescent="0.3">
      <c r="AS859" s="101"/>
      <c r="AT859" s="101"/>
      <c r="AU859" s="101"/>
      <c r="AV859" s="101"/>
      <c r="AW859" s="101"/>
      <c r="AX859" s="101"/>
      <c r="AY859" s="101"/>
      <c r="AZ859" s="212"/>
      <c r="BA859" s="101"/>
      <c r="BB859" s="212"/>
      <c r="BC859" s="101"/>
      <c r="BD859" s="101"/>
      <c r="BE859" s="101"/>
      <c r="BO859" s="163"/>
      <c r="BP859" s="163"/>
      <c r="BQ859" s="163"/>
      <c r="BR859" s="163"/>
      <c r="BS859" s="163"/>
      <c r="BT859" s="163"/>
      <c r="BU859" s="163"/>
      <c r="BV859" s="163"/>
    </row>
    <row r="860" spans="45:74" x14ac:dyDescent="0.3">
      <c r="AX860" s="99"/>
      <c r="AZ860" s="163"/>
      <c r="BB860" s="163"/>
      <c r="BO860" s="163"/>
      <c r="BP860" s="163"/>
      <c r="BQ860" s="163"/>
      <c r="BR860" s="163"/>
      <c r="BS860" s="163"/>
      <c r="BT860" s="163"/>
      <c r="BU860" s="163"/>
      <c r="BV860" s="163"/>
    </row>
    <row r="861" spans="45:74" x14ac:dyDescent="0.3">
      <c r="AX861" s="101"/>
      <c r="AY861" s="101"/>
      <c r="AZ861" s="212"/>
      <c r="BA861" s="101"/>
      <c r="BB861" s="163"/>
      <c r="BC861" s="102"/>
      <c r="BD861" s="102"/>
      <c r="BO861" s="163"/>
      <c r="BP861" s="163"/>
      <c r="BQ861" s="163"/>
      <c r="BR861" s="163"/>
      <c r="BS861" s="163"/>
      <c r="BT861" s="163"/>
      <c r="BU861" s="163"/>
      <c r="BV861" s="163"/>
    </row>
    <row r="862" spans="45:74" x14ac:dyDescent="0.3">
      <c r="AV862" s="102"/>
      <c r="AW862" s="102"/>
      <c r="AZ862" s="213"/>
      <c r="BA862" s="102"/>
      <c r="BB862" s="163"/>
      <c r="BC862" s="102"/>
      <c r="BD862" s="102"/>
      <c r="BE862" s="102"/>
      <c r="BG862" s="101"/>
      <c r="BH862" s="99"/>
      <c r="BK862" s="101"/>
      <c r="BM862" s="101"/>
      <c r="BN862" s="99"/>
      <c r="BQ862" s="101"/>
    </row>
    <row r="863" spans="45:74" x14ac:dyDescent="0.3">
      <c r="AV863" s="102"/>
      <c r="AW863" s="102"/>
      <c r="AX863" s="102"/>
      <c r="AY863" s="102"/>
      <c r="AZ863" s="213"/>
      <c r="BA863" s="102"/>
      <c r="BB863" s="213"/>
      <c r="BC863" s="102"/>
      <c r="BD863" s="102"/>
      <c r="BE863" s="102"/>
      <c r="BH863" s="102"/>
      <c r="BI863" s="102"/>
      <c r="BN863" s="102"/>
      <c r="BO863" s="102"/>
    </row>
    <row r="864" spans="45:74" x14ac:dyDescent="0.3">
      <c r="AS864" s="102"/>
      <c r="AU864" s="99"/>
      <c r="AV864" s="102"/>
      <c r="AW864" s="102"/>
      <c r="AX864" s="102"/>
      <c r="AY864" s="102"/>
      <c r="AZ864" s="213"/>
      <c r="BA864" s="102"/>
      <c r="BB864" s="213"/>
      <c r="BC864" s="102"/>
      <c r="BD864" s="102"/>
      <c r="BE864" s="102"/>
      <c r="BG864" s="102"/>
      <c r="BH864" s="102"/>
      <c r="BI864" s="102"/>
      <c r="BJ864" s="102"/>
      <c r="BK864" s="102"/>
      <c r="BM864" s="102"/>
      <c r="BN864" s="102"/>
      <c r="BO864" s="102"/>
      <c r="BP864" s="102"/>
      <c r="BQ864" s="102"/>
    </row>
    <row r="865" spans="45:71" x14ac:dyDescent="0.3">
      <c r="AS865" s="102"/>
      <c r="AU865" s="99"/>
      <c r="AV865" s="102"/>
      <c r="AW865" s="102"/>
      <c r="AX865" s="102"/>
      <c r="AY865" s="102"/>
      <c r="AZ865" s="213"/>
      <c r="BA865" s="102"/>
      <c r="BB865" s="213"/>
      <c r="BC865" s="102"/>
      <c r="BD865" s="102"/>
      <c r="BE865" s="102"/>
      <c r="BG865" s="102"/>
      <c r="BH865" s="102"/>
      <c r="BI865" s="102"/>
      <c r="BJ865" s="102"/>
      <c r="BK865" s="102"/>
      <c r="BM865" s="102"/>
      <c r="BN865" s="102"/>
      <c r="BO865" s="102"/>
      <c r="BP865" s="102"/>
      <c r="BQ865" s="102"/>
    </row>
    <row r="866" spans="45:71" x14ac:dyDescent="0.3">
      <c r="AS866" s="101"/>
      <c r="AT866" s="101"/>
      <c r="AU866" s="101"/>
      <c r="AV866" s="101"/>
      <c r="AW866" s="101"/>
      <c r="AX866" s="101"/>
      <c r="AY866" s="101"/>
      <c r="AZ866" s="212"/>
      <c r="BA866" s="101"/>
      <c r="BB866" s="212"/>
      <c r="BC866" s="101"/>
      <c r="BD866" s="101"/>
      <c r="BE866" s="101"/>
      <c r="BG866" s="101"/>
      <c r="BH866" s="101"/>
      <c r="BI866" s="101"/>
      <c r="BJ866" s="101"/>
      <c r="BK866" s="101"/>
      <c r="BM866" s="101"/>
      <c r="BN866" s="101"/>
      <c r="BO866" s="101"/>
      <c r="BP866" s="101"/>
      <c r="BQ866" s="101"/>
    </row>
    <row r="867" spans="45:71" x14ac:dyDescent="0.3">
      <c r="AV867" s="102"/>
      <c r="AW867" s="102"/>
      <c r="AX867" s="102"/>
      <c r="AY867" s="102"/>
      <c r="AZ867" s="213"/>
      <c r="BA867" s="102"/>
      <c r="BB867" s="213"/>
      <c r="BC867" s="102"/>
      <c r="BD867" s="102"/>
      <c r="BE867" s="102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</row>
    <row r="868" spans="45:71" x14ac:dyDescent="0.3">
      <c r="AT868" s="99"/>
      <c r="AV868" s="110"/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</row>
    <row r="869" spans="45:71" x14ac:dyDescent="0.3">
      <c r="AV869" s="110"/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</row>
    <row r="870" spans="45:71" x14ac:dyDescent="0.3">
      <c r="AV870" s="110"/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</row>
    <row r="871" spans="45:71" x14ac:dyDescent="0.3"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</row>
    <row r="872" spans="45:71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</row>
    <row r="873" spans="45:71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</row>
    <row r="874" spans="45:71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</row>
    <row r="875" spans="45:71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</row>
    <row r="876" spans="45:71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</row>
    <row r="877" spans="45:71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</row>
    <row r="878" spans="45:71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</row>
    <row r="879" spans="45:71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</row>
    <row r="880" spans="45:71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</row>
    <row r="881" spans="46:71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</row>
    <row r="882" spans="46:71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</row>
    <row r="883" spans="46:71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</row>
    <row r="884" spans="46:71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</row>
    <row r="885" spans="46:71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</row>
    <row r="886" spans="46:71" x14ac:dyDescent="0.3">
      <c r="AZ886" s="163"/>
      <c r="BB886" s="163"/>
      <c r="BC886" s="163"/>
      <c r="BD886" s="163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</row>
    <row r="887" spans="46:71" x14ac:dyDescent="0.3">
      <c r="AT887" s="99"/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6:71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</row>
    <row r="889" spans="46:71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6:71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6:71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6:71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6:71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6:71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6:71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6:71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5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5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5:57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</row>
    <row r="900" spans="45:57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5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5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5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5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5:57" x14ac:dyDescent="0.3">
      <c r="BB905" s="163"/>
    </row>
    <row r="906" spans="45:57" x14ac:dyDescent="0.3">
      <c r="AU906" s="99"/>
      <c r="BB906" s="163"/>
    </row>
    <row r="907" spans="45:57" x14ac:dyDescent="0.3">
      <c r="AU907" s="99"/>
    </row>
    <row r="908" spans="45:57" x14ac:dyDescent="0.3">
      <c r="AU908" s="99"/>
      <c r="BB908" s="163"/>
    </row>
    <row r="909" spans="45:57" x14ac:dyDescent="0.3">
      <c r="AS909" s="99"/>
      <c r="AZ909" s="163"/>
      <c r="BB909" s="163"/>
    </row>
    <row r="910" spans="45:57" x14ac:dyDescent="0.3">
      <c r="AZ910" s="163"/>
      <c r="BB910" s="163"/>
    </row>
    <row r="911" spans="45:57" x14ac:dyDescent="0.3">
      <c r="AY911" s="163"/>
      <c r="AZ911" s="163"/>
      <c r="BB911" s="163"/>
    </row>
    <row r="912" spans="45:57" x14ac:dyDescent="0.3">
      <c r="AY912" s="99"/>
      <c r="AZ912" s="163"/>
      <c r="BB912" s="163"/>
    </row>
    <row r="913" spans="45:57" x14ac:dyDescent="0.3">
      <c r="AY913" s="99"/>
      <c r="AZ913" s="163"/>
      <c r="BB913" s="163"/>
    </row>
    <row r="914" spans="45:57" x14ac:dyDescent="0.3">
      <c r="AZ914" s="163"/>
      <c r="BB914" s="163"/>
      <c r="BD914" s="99"/>
    </row>
    <row r="915" spans="45:57" x14ac:dyDescent="0.3">
      <c r="AZ915" s="163"/>
      <c r="BB915" s="163"/>
      <c r="BD915" s="99"/>
    </row>
    <row r="916" spans="45:57" x14ac:dyDescent="0.3">
      <c r="AS916" s="99"/>
      <c r="AZ916" s="163"/>
      <c r="BB916" s="163"/>
      <c r="BD916" s="99"/>
    </row>
    <row r="917" spans="45:57" x14ac:dyDescent="0.3">
      <c r="AZ917" s="163"/>
      <c r="BB917" s="163"/>
    </row>
    <row r="918" spans="45:57" x14ac:dyDescent="0.3">
      <c r="AS918" s="101"/>
      <c r="AT918" s="101"/>
      <c r="AU918" s="101"/>
      <c r="AV918" s="101"/>
      <c r="AW918" s="101"/>
      <c r="AX918" s="101"/>
      <c r="AY918" s="101"/>
      <c r="AZ918" s="212"/>
      <c r="BA918" s="101"/>
      <c r="BB918" s="212"/>
      <c r="BC918" s="101"/>
      <c r="BD918" s="101"/>
      <c r="BE918" s="101"/>
    </row>
    <row r="919" spans="45:57" x14ac:dyDescent="0.3">
      <c r="AX919" s="99"/>
      <c r="AZ919" s="163"/>
      <c r="BB919" s="163"/>
    </row>
    <row r="920" spans="45:57" x14ac:dyDescent="0.3">
      <c r="AX920" s="101"/>
      <c r="AY920" s="101"/>
      <c r="AZ920" s="212"/>
      <c r="BA920" s="101"/>
      <c r="BB920" s="163"/>
      <c r="BC920" s="102"/>
      <c r="BD920" s="102"/>
    </row>
    <row r="921" spans="45:57" x14ac:dyDescent="0.3">
      <c r="AV921" s="102"/>
      <c r="AW921" s="102"/>
      <c r="AZ921" s="213"/>
      <c r="BA921" s="102"/>
      <c r="BB921" s="163"/>
      <c r="BC921" s="102"/>
      <c r="BD921" s="102"/>
      <c r="BE921" s="102"/>
    </row>
    <row r="922" spans="45:57" x14ac:dyDescent="0.3">
      <c r="AV922" s="102"/>
      <c r="AW922" s="102"/>
      <c r="AX922" s="102"/>
      <c r="AY922" s="102"/>
      <c r="AZ922" s="213"/>
      <c r="BA922" s="102"/>
      <c r="BB922" s="213"/>
      <c r="BC922" s="102"/>
      <c r="BD922" s="102"/>
      <c r="BE922" s="102"/>
    </row>
    <row r="923" spans="45:57" x14ac:dyDescent="0.3">
      <c r="AS923" s="102"/>
      <c r="AU923" s="99"/>
      <c r="AV923" s="102"/>
      <c r="AW923" s="102"/>
      <c r="AX923" s="102"/>
      <c r="AY923" s="102"/>
      <c r="AZ923" s="213"/>
      <c r="BA923" s="102"/>
      <c r="BB923" s="213"/>
      <c r="BC923" s="102"/>
      <c r="BD923" s="102"/>
      <c r="BE923" s="102"/>
    </row>
    <row r="924" spans="45:57" x14ac:dyDescent="0.3">
      <c r="AS924" s="102"/>
      <c r="AU924" s="99"/>
      <c r="AV924" s="102"/>
      <c r="AW924" s="102"/>
      <c r="AX924" s="102"/>
      <c r="AY924" s="102"/>
      <c r="AZ924" s="213"/>
      <c r="BA924" s="102"/>
      <c r="BB924" s="213"/>
      <c r="BC924" s="102"/>
      <c r="BD924" s="102"/>
      <c r="BE924" s="102"/>
    </row>
    <row r="925" spans="45:57" x14ac:dyDescent="0.3">
      <c r="AS925" s="101"/>
      <c r="AT925" s="101"/>
      <c r="AU925" s="101"/>
      <c r="AV925" s="101"/>
      <c r="AW925" s="101"/>
      <c r="AX925" s="101"/>
      <c r="AY925" s="101"/>
      <c r="AZ925" s="212"/>
      <c r="BA925" s="101"/>
      <c r="BB925" s="212"/>
      <c r="BC925" s="101"/>
      <c r="BD925" s="101"/>
      <c r="BE925" s="101"/>
    </row>
    <row r="926" spans="45:57" x14ac:dyDescent="0.3">
      <c r="AV926" s="102"/>
      <c r="AW926" s="102"/>
      <c r="AX926" s="102"/>
      <c r="AY926" s="102"/>
      <c r="AZ926" s="213"/>
      <c r="BA926" s="102"/>
      <c r="BB926" s="213"/>
      <c r="BC926" s="102"/>
      <c r="BD926" s="102"/>
      <c r="BE926" s="102"/>
    </row>
    <row r="927" spans="45:57" x14ac:dyDescent="0.3">
      <c r="AT927" s="99"/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5:57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6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6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6:57" x14ac:dyDescent="0.3">
      <c r="AV931" s="110"/>
      <c r="AW931" s="110"/>
      <c r="AX931" s="163"/>
      <c r="AY931" s="163"/>
      <c r="AZ931" s="163"/>
      <c r="BA931" s="207"/>
      <c r="BB931" s="163"/>
      <c r="BC931" s="163"/>
      <c r="BD931" s="163"/>
      <c r="BE931" s="207"/>
    </row>
    <row r="932" spans="46:57" x14ac:dyDescent="0.3">
      <c r="AV932" s="110"/>
      <c r="AW932" s="110"/>
      <c r="AX932" s="163"/>
      <c r="AY932" s="163"/>
      <c r="AZ932" s="163"/>
      <c r="BA932" s="207"/>
      <c r="BB932" s="163"/>
      <c r="BC932" s="163"/>
      <c r="BD932" s="163"/>
      <c r="BE932" s="207"/>
    </row>
    <row r="933" spans="46:57" x14ac:dyDescent="0.3">
      <c r="AV933" s="110"/>
      <c r="AW933" s="110"/>
      <c r="AX933" s="163"/>
      <c r="AY933" s="163"/>
      <c r="AZ933" s="163"/>
      <c r="BA933" s="207"/>
      <c r="BB933" s="163"/>
      <c r="BC933" s="163"/>
      <c r="BD933" s="163"/>
      <c r="BE933" s="207"/>
    </row>
    <row r="934" spans="46:57" x14ac:dyDescent="0.3">
      <c r="AV934" s="110"/>
      <c r="AW934" s="110"/>
      <c r="AX934" s="163"/>
      <c r="AY934" s="163"/>
      <c r="AZ934" s="163"/>
      <c r="BA934" s="207"/>
      <c r="BB934" s="163"/>
      <c r="BC934" s="163"/>
      <c r="BD934" s="163"/>
      <c r="BE934" s="207"/>
    </row>
    <row r="935" spans="46:57" x14ac:dyDescent="0.3"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6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6:57" x14ac:dyDescent="0.3">
      <c r="AV937" s="110"/>
      <c r="AW937" s="110"/>
      <c r="BB937" s="163"/>
    </row>
    <row r="938" spans="46:57" x14ac:dyDescent="0.3">
      <c r="AT938" s="99"/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6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6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6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6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6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6:57" x14ac:dyDescent="0.3">
      <c r="AV944" s="110"/>
      <c r="AW944" s="110"/>
      <c r="AX944" s="163"/>
      <c r="AY944" s="163"/>
      <c r="AZ944" s="163"/>
      <c r="BA944" s="207"/>
      <c r="BB944" s="163"/>
      <c r="BC944" s="163"/>
      <c r="BD944" s="163"/>
      <c r="BE944" s="207"/>
    </row>
    <row r="945" spans="45:57" x14ac:dyDescent="0.3">
      <c r="AV945" s="110"/>
      <c r="AW945" s="110"/>
      <c r="AX945" s="163"/>
      <c r="AY945" s="163"/>
      <c r="AZ945" s="163"/>
      <c r="BA945" s="207"/>
      <c r="BB945" s="163"/>
      <c r="BC945" s="163"/>
      <c r="BD945" s="163"/>
      <c r="BE945" s="207"/>
    </row>
    <row r="946" spans="45:57" x14ac:dyDescent="0.3">
      <c r="AV946" s="110"/>
      <c r="AW946" s="110"/>
      <c r="AX946" s="163"/>
      <c r="AY946" s="163"/>
      <c r="AZ946" s="163"/>
      <c r="BA946" s="207"/>
      <c r="BB946" s="163"/>
      <c r="BC946" s="163"/>
      <c r="BD946" s="163"/>
      <c r="BE946" s="207"/>
    </row>
    <row r="947" spans="45:57" x14ac:dyDescent="0.3">
      <c r="AV947" s="110"/>
      <c r="AW947" s="110"/>
      <c r="AX947" s="163"/>
      <c r="AY947" s="163"/>
      <c r="AZ947" s="163"/>
      <c r="BA947" s="207"/>
      <c r="BB947" s="163"/>
      <c r="BC947" s="163"/>
      <c r="BD947" s="163"/>
      <c r="BE947" s="207"/>
    </row>
    <row r="949" spans="45:57" x14ac:dyDescent="0.3">
      <c r="AU949" s="99"/>
    </row>
    <row r="950" spans="45:57" x14ac:dyDescent="0.3">
      <c r="AU950" s="99"/>
    </row>
    <row r="951" spans="45:57" x14ac:dyDescent="0.3">
      <c r="AU951" s="99"/>
    </row>
    <row r="952" spans="45:57" x14ac:dyDescent="0.3">
      <c r="AS952" s="99"/>
    </row>
    <row r="973" spans="52:71" x14ac:dyDescent="0.3">
      <c r="AZ973" s="163"/>
      <c r="BB973" s="163"/>
      <c r="BC973" s="163"/>
      <c r="BD973" s="163"/>
      <c r="BG973" s="163"/>
      <c r="BH973" s="163"/>
      <c r="BI973" s="163"/>
      <c r="BJ973" s="163"/>
      <c r="BK973" s="163"/>
      <c r="BL973" s="163"/>
      <c r="BM973" s="163"/>
      <c r="BN973" s="163"/>
      <c r="BO973" s="163"/>
      <c r="BP973" s="163"/>
      <c r="BQ973" s="163"/>
      <c r="BR973" s="163"/>
      <c r="BS973" s="163"/>
    </row>
    <row r="974" spans="52:71" x14ac:dyDescent="0.3">
      <c r="AZ974" s="163"/>
      <c r="BB974" s="163"/>
      <c r="BC974" s="163"/>
      <c r="BD974" s="163"/>
      <c r="BG974" s="163"/>
      <c r="BH974" s="163"/>
      <c r="BI974" s="163"/>
      <c r="BJ974" s="163"/>
      <c r="BK974" s="163"/>
      <c r="BL974" s="163"/>
      <c r="BM974" s="163"/>
      <c r="BN974" s="163"/>
      <c r="BO974" s="163"/>
      <c r="BP974" s="163"/>
      <c r="BQ974" s="163"/>
      <c r="BR974" s="163"/>
      <c r="BS974" s="163"/>
    </row>
    <row r="975" spans="52:71" x14ac:dyDescent="0.3">
      <c r="AZ975" s="163"/>
      <c r="BB975" s="163"/>
      <c r="BC975" s="163"/>
      <c r="BD975" s="163"/>
      <c r="BG975" s="163"/>
      <c r="BH975" s="163"/>
      <c r="BI975" s="163"/>
      <c r="BJ975" s="163"/>
      <c r="BK975" s="163"/>
      <c r="BL975" s="163"/>
      <c r="BM975" s="163"/>
      <c r="BN975" s="163"/>
      <c r="BO975" s="163"/>
      <c r="BP975" s="163"/>
      <c r="BQ975" s="163"/>
      <c r="BR975" s="163"/>
      <c r="BS975" s="163"/>
    </row>
    <row r="976" spans="52:71" x14ac:dyDescent="0.3">
      <c r="AZ976" s="163"/>
      <c r="BB976" s="163"/>
      <c r="BC976" s="163"/>
      <c r="BD976" s="163"/>
      <c r="BG976" s="163"/>
      <c r="BH976" s="163"/>
      <c r="BI976" s="163"/>
      <c r="BJ976" s="163"/>
      <c r="BK976" s="163"/>
      <c r="BL976" s="163"/>
      <c r="BM976" s="163"/>
      <c r="BN976" s="163"/>
      <c r="BO976" s="163"/>
      <c r="BP976" s="163"/>
      <c r="BQ976" s="163"/>
      <c r="BR976" s="163"/>
      <c r="BS976" s="163"/>
    </row>
    <row r="977" spans="52:71" x14ac:dyDescent="0.3">
      <c r="AZ977" s="163"/>
      <c r="BB977" s="163"/>
      <c r="BC977" s="163"/>
      <c r="BD977" s="163"/>
      <c r="BG977" s="163"/>
      <c r="BH977" s="163"/>
      <c r="BI977" s="163"/>
      <c r="BJ977" s="163"/>
      <c r="BK977" s="163"/>
      <c r="BL977" s="163"/>
      <c r="BM977" s="163"/>
      <c r="BN977" s="163"/>
      <c r="BO977" s="163"/>
      <c r="BP977" s="163"/>
      <c r="BQ977" s="163"/>
      <c r="BR977" s="163"/>
      <c r="BS977" s="163"/>
    </row>
    <row r="978" spans="52:71" x14ac:dyDescent="0.3">
      <c r="AZ978" s="163"/>
      <c r="BB978" s="163"/>
      <c r="BC978" s="163"/>
      <c r="BD978" s="163"/>
      <c r="BG978" s="163"/>
      <c r="BH978" s="163"/>
      <c r="BI978" s="163"/>
      <c r="BJ978" s="163"/>
      <c r="BK978" s="163"/>
      <c r="BL978" s="163"/>
      <c r="BM978" s="163"/>
      <c r="BN978" s="163"/>
      <c r="BO978" s="163"/>
      <c r="BP978" s="163"/>
      <c r="BQ978" s="163"/>
      <c r="BR978" s="163"/>
      <c r="BS978" s="163"/>
    </row>
    <row r="979" spans="52:71" x14ac:dyDescent="0.3">
      <c r="AZ979" s="163"/>
      <c r="BB979" s="163"/>
      <c r="BC979" s="163"/>
      <c r="BD979" s="163"/>
      <c r="BG979" s="163"/>
      <c r="BH979" s="163"/>
      <c r="BI979" s="163"/>
      <c r="BJ979" s="163"/>
      <c r="BK979" s="163"/>
      <c r="BL979" s="163"/>
      <c r="BM979" s="163"/>
      <c r="BN979" s="163"/>
      <c r="BO979" s="163"/>
      <c r="BP979" s="163"/>
      <c r="BQ979" s="163"/>
      <c r="BR979" s="163"/>
      <c r="BS979" s="163"/>
    </row>
    <row r="980" spans="52:71" x14ac:dyDescent="0.3">
      <c r="AZ980" s="163"/>
      <c r="BB980" s="163"/>
      <c r="BC980" s="163"/>
      <c r="BD980" s="163"/>
      <c r="BG980" s="163"/>
      <c r="BH980" s="163"/>
      <c r="BI980" s="163"/>
      <c r="BJ980" s="163"/>
      <c r="BK980" s="163"/>
      <c r="BL980" s="163"/>
      <c r="BM980" s="163"/>
      <c r="BN980" s="163"/>
      <c r="BO980" s="163"/>
      <c r="BP980" s="163"/>
      <c r="BQ980" s="163"/>
      <c r="BR980" s="163"/>
      <c r="BS980" s="163"/>
    </row>
    <row r="981" spans="52:71" x14ac:dyDescent="0.3">
      <c r="AZ981" s="163"/>
      <c r="BB981" s="163"/>
      <c r="BC981" s="163"/>
      <c r="BD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</row>
    <row r="982" spans="52:71" x14ac:dyDescent="0.3">
      <c r="AZ982" s="163"/>
      <c r="BB982" s="163"/>
      <c r="BC982" s="163"/>
      <c r="BD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</row>
    <row r="983" spans="52:71" x14ac:dyDescent="0.3">
      <c r="AZ983" s="163"/>
      <c r="BB983" s="163"/>
      <c r="BC983" s="163"/>
      <c r="BD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</row>
    <row r="984" spans="52:71" x14ac:dyDescent="0.3">
      <c r="AZ984" s="163"/>
      <c r="BB984" s="163"/>
      <c r="BC984" s="163"/>
      <c r="BD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</row>
    <row r="985" spans="52:71" x14ac:dyDescent="0.3">
      <c r="AZ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</row>
    <row r="986" spans="52:71" x14ac:dyDescent="0.3">
      <c r="AZ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</row>
    <row r="987" spans="52:71" x14ac:dyDescent="0.3">
      <c r="AZ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</row>
    <row r="988" spans="52:71" x14ac:dyDescent="0.3">
      <c r="AZ988" s="163"/>
      <c r="BG988" s="163"/>
      <c r="BH988" s="163"/>
      <c r="BI988" s="163"/>
      <c r="BJ988" s="163"/>
      <c r="BK988" s="163"/>
      <c r="BL988" s="163"/>
      <c r="BM988" s="163"/>
      <c r="BN988" s="163"/>
      <c r="BO988" s="163"/>
      <c r="BP988" s="163"/>
      <c r="BQ988" s="163"/>
      <c r="BR988" s="163"/>
      <c r="BS988" s="163"/>
    </row>
    <row r="989" spans="52:71" x14ac:dyDescent="0.3">
      <c r="AZ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</row>
    <row r="990" spans="52:71" x14ac:dyDescent="0.3">
      <c r="AZ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</row>
    <row r="991" spans="52:71" x14ac:dyDescent="0.3">
      <c r="AZ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</row>
    <row r="992" spans="52:71" x14ac:dyDescent="0.3">
      <c r="AZ992" s="163"/>
    </row>
    <row r="993" spans="1:52" x14ac:dyDescent="0.3">
      <c r="AZ993" s="163"/>
    </row>
    <row r="1007" spans="1:52" x14ac:dyDescent="0.3">
      <c r="A1007" s="99"/>
    </row>
    <row r="1010" spans="1:28" x14ac:dyDescent="0.3">
      <c r="Y1010" s="99"/>
    </row>
    <row r="1011" spans="1:28" x14ac:dyDescent="0.3">
      <c r="A1011" s="99"/>
      <c r="H1011" s="99"/>
      <c r="I1011" s="99"/>
    </row>
    <row r="1012" spans="1:28" x14ac:dyDescent="0.3">
      <c r="A1012" s="99"/>
      <c r="V1012" s="102"/>
      <c r="AA1012" s="102"/>
      <c r="AB1012" s="102"/>
    </row>
    <row r="1013" spans="1:28" x14ac:dyDescent="0.3">
      <c r="A1013" s="99"/>
      <c r="V1013" s="101"/>
      <c r="AA1013" s="101"/>
      <c r="AB1013" s="101"/>
    </row>
    <row r="1014" spans="1:28" x14ac:dyDescent="0.3">
      <c r="A1014" s="99"/>
      <c r="U1014" s="99"/>
      <c r="AA1014" s="102"/>
      <c r="AB1014" s="102"/>
    </row>
    <row r="1015" spans="1:28" x14ac:dyDescent="0.3">
      <c r="A1015" s="99"/>
    </row>
    <row r="1016" spans="1:28" x14ac:dyDescent="0.3">
      <c r="A1016" s="99"/>
      <c r="U1016" s="99"/>
      <c r="AA1016" s="102"/>
      <c r="AB1016" s="102"/>
    </row>
    <row r="1017" spans="1:28" x14ac:dyDescent="0.3">
      <c r="A1017" s="99"/>
    </row>
    <row r="1018" spans="1:28" x14ac:dyDescent="0.3">
      <c r="A1018" s="99"/>
      <c r="U1018" s="99"/>
      <c r="V1018" s="231"/>
      <c r="AA1018" s="102"/>
      <c r="AB1018" s="102"/>
    </row>
    <row r="1019" spans="1:28" x14ac:dyDescent="0.3">
      <c r="A1019" s="99"/>
    </row>
    <row r="1020" spans="1:28" x14ac:dyDescent="0.3">
      <c r="A1020" s="99"/>
      <c r="U1020" s="99"/>
      <c r="AA1020" s="102"/>
      <c r="AB1020" s="102"/>
    </row>
    <row r="1021" spans="1:28" x14ac:dyDescent="0.3">
      <c r="A1021" s="99"/>
    </row>
    <row r="1022" spans="1:28" x14ac:dyDescent="0.3">
      <c r="A1022" s="99"/>
      <c r="U1022" s="99"/>
      <c r="AA1022" s="102"/>
      <c r="AB1022" s="102"/>
    </row>
    <row r="1023" spans="1:28" x14ac:dyDescent="0.3">
      <c r="A1023" s="99"/>
    </row>
    <row r="1024" spans="1:28" x14ac:dyDescent="0.3">
      <c r="A1024" s="99"/>
    </row>
    <row r="1025" spans="1:9" x14ac:dyDescent="0.3">
      <c r="A1025" s="99"/>
    </row>
    <row r="1026" spans="1:9" x14ac:dyDescent="0.3">
      <c r="A1026" s="99"/>
    </row>
    <row r="1027" spans="1:9" x14ac:dyDescent="0.3">
      <c r="A1027" s="99"/>
    </row>
    <row r="1028" spans="1:9" x14ac:dyDescent="0.3">
      <c r="A1028" s="99"/>
    </row>
    <row r="1029" spans="1:9" x14ac:dyDescent="0.3">
      <c r="A1029" s="99"/>
    </row>
    <row r="1030" spans="1:9" x14ac:dyDescent="0.3">
      <c r="A1030" s="99"/>
    </row>
    <row r="1031" spans="1:9" x14ac:dyDescent="0.3">
      <c r="A1031" s="99"/>
    </row>
    <row r="1032" spans="1:9" x14ac:dyDescent="0.3">
      <c r="A1032" s="99"/>
    </row>
    <row r="1033" spans="1:9" x14ac:dyDescent="0.3">
      <c r="A1033" s="99"/>
      <c r="H1033" s="99"/>
      <c r="I1033" s="99"/>
    </row>
    <row r="1036" spans="1:9" x14ac:dyDescent="0.3">
      <c r="A1036" s="99"/>
    </row>
    <row r="1039" spans="1:9" x14ac:dyDescent="0.3">
      <c r="A1039" s="99"/>
    </row>
    <row r="1042" spans="1:1" x14ac:dyDescent="0.3">
      <c r="A1042" s="99"/>
    </row>
    <row r="1043" spans="1:1" x14ac:dyDescent="0.3">
      <c r="A1043" s="99"/>
    </row>
    <row r="1044" spans="1:1" x14ac:dyDescent="0.3">
      <c r="A1044" s="99"/>
    </row>
    <row r="1045" spans="1:1" x14ac:dyDescent="0.3">
      <c r="A1045" s="99"/>
    </row>
    <row r="1046" spans="1:1" x14ac:dyDescent="0.3">
      <c r="A1046" s="99"/>
    </row>
    <row r="1047" spans="1:1" x14ac:dyDescent="0.3">
      <c r="A1047" s="99"/>
    </row>
    <row r="1048" spans="1:1" x14ac:dyDescent="0.3">
      <c r="A1048" s="99"/>
    </row>
    <row r="1049" spans="1:1" x14ac:dyDescent="0.3">
      <c r="A1049" s="99"/>
    </row>
    <row r="1050" spans="1:1" x14ac:dyDescent="0.3">
      <c r="A1050" s="99"/>
    </row>
    <row r="1051" spans="1:1" x14ac:dyDescent="0.3">
      <c r="A1051" s="99"/>
    </row>
    <row r="1052" spans="1:1" x14ac:dyDescent="0.3">
      <c r="A1052" s="99"/>
    </row>
    <row r="1053" spans="1:1" x14ac:dyDescent="0.3">
      <c r="A1053" s="99"/>
    </row>
    <row r="1054" spans="1:1" x14ac:dyDescent="0.3">
      <c r="A1054" s="99"/>
    </row>
    <row r="1055" spans="1:1" x14ac:dyDescent="0.3">
      <c r="A1055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1" spans="1:1" x14ac:dyDescent="0.3">
      <c r="A1071" s="99"/>
    </row>
    <row r="1072" spans="1:1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81" spans="1:1" x14ac:dyDescent="0.3">
      <c r="A1081" s="99"/>
    </row>
    <row r="1082" spans="1:1" x14ac:dyDescent="0.3">
      <c r="A1082" s="99"/>
    </row>
    <row r="1085" spans="1:1" x14ac:dyDescent="0.3">
      <c r="A1085" s="99"/>
    </row>
    <row r="1087" spans="1:1" x14ac:dyDescent="0.3">
      <c r="A1087" s="99"/>
    </row>
    <row r="1089" spans="1:1" x14ac:dyDescent="0.3">
      <c r="A1089" s="99"/>
    </row>
    <row r="1091" spans="1:1" x14ac:dyDescent="0.3">
      <c r="A1091" s="99"/>
    </row>
    <row r="1094" spans="1:1" x14ac:dyDescent="0.3">
      <c r="A1094" s="99"/>
    </row>
    <row r="1095" spans="1:1" x14ac:dyDescent="0.3">
      <c r="A1095" s="99"/>
    </row>
    <row r="1096" spans="1:1" x14ac:dyDescent="0.3">
      <c r="A1096" s="99"/>
    </row>
    <row r="1097" spans="1:1" x14ac:dyDescent="0.3">
      <c r="A1097" s="99"/>
    </row>
    <row r="1098" spans="1:1" x14ac:dyDescent="0.3">
      <c r="A1098" s="99"/>
    </row>
    <row r="1099" spans="1:1" x14ac:dyDescent="0.3">
      <c r="A1099" s="99"/>
    </row>
    <row r="1100" spans="1:1" x14ac:dyDescent="0.3">
      <c r="A1100" s="99"/>
    </row>
    <row r="1101" spans="1:1" x14ac:dyDescent="0.3">
      <c r="A1101" s="99"/>
    </row>
  </sheetData>
  <customSheetViews>
    <customSheetView guid="{F562D92E-120C-4AE9-9663-89E64D41DC53}" scale="75" fitToPage="1" topLeftCell="W85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1"/>
      <headerFooter alignWithMargins="0"/>
    </customSheetView>
    <customSheetView guid="{35F19056-2E6F-4935-B863-78836FE990BF}" scale="75" fitToPage="1" showRuler="0" topLeftCell="A7">
      <selection activeCell="J35" sqref="J35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6" orientation="landscape" r:id="rId2"/>
      <headerFooter alignWithMargins="0"/>
    </customSheetView>
    <customSheetView guid="{18BDED73-BFA0-442E-87EC-CED86EE4CF94}" scale="75" fitToPage="1" showRuler="0" topLeftCell="K87">
      <selection activeCell="AA100" sqref="AA10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3"/>
      <headerFooter alignWithMargins="0"/>
    </customSheetView>
    <customSheetView guid="{0BC1F393-8A13-47D5-BC6C-0C99615B5AB9}" scale="75" fitToPage="1" showRuler="0" topLeftCell="B2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4"/>
      <headerFooter alignWithMargins="0"/>
    </customSheetView>
    <customSheetView guid="{6B3D5C27-2FDE-4561-9575-1E98BFB869D0}" scale="75" fitToPage="1" showRuler="0" topLeftCell="B30">
      <pane xSplit="19.75" topLeftCell="T1"/>
      <selection activeCell="L38" sqref="L3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1" orientation="landscape" r:id="rId5"/>
      <headerFooter alignWithMargins="0"/>
    </customSheetView>
    <customSheetView guid="{8FB94551-8874-4095-B8FB-5316E0D2FD2C}" scale="75" fitToPage="1" showRuler="0">
      <pane xSplit="19.114285714285714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6"/>
      <headerFooter alignWithMargins="0"/>
    </customSheetView>
    <customSheetView guid="{8FC77C99-DBF7-40B8-99B8-01B75826CDCB}" scale="75" fitToPage="1" showRuler="0">
      <pane xSplit="19.114285714285714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7"/>
      <headerFooter alignWithMargins="0"/>
    </customSheetView>
    <customSheetView guid="{2EA35095-1ADC-4CC7-8C3C-B487D65FA247}" scale="75" fitToPage="1" showRuler="0">
      <pane xSplit="17.961290322580645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9"/>
      <headerFooter alignWithMargins="0"/>
    </customSheetView>
    <customSheetView guid="{4BC93440-BA85-4935-A8C9-66DC6AE5DE5E}" scale="75" fitToPage="1" showRuler="0" topLeftCell="Z90">
      <selection activeCell="AM99" sqref="AM9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8" orientation="landscape" r:id="rId10"/>
      <headerFooter alignWithMargins="0"/>
    </customSheetView>
    <customSheetView guid="{0C49E549-011E-46F4-A82E-2CC8951A9C1E}" scale="75" fitToPage="1" showRuler="0">
      <pane xSplit="11.181818181818182" topLeftCell="T1"/>
      <selection sqref="A1:R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1"/>
      <headerFooter alignWithMargins="0"/>
    </customSheetView>
    <customSheetView guid="{195DF303-1BBD-4236-94B5-47432850B006}" scale="75" fitToPage="1" showRuler="0">
      <pane xSplit="9.9418604651162799" topLeftCell="T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9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7" orientation="landscape" r:id="rId13"/>
  <headerFooter alignWithMargins="0"/>
  <rowBreaks count="16" manualBreakCount="16">
    <brk id="128" min="19" max="42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syncVertical="1" syncRef="A1" transitionEvaluation="1" transitionEntry="1" codeName="Sheet22">
    <pageSetUpPr fitToPage="1"/>
  </sheetPr>
  <dimension ref="A1:BW1097"/>
  <sheetViews>
    <sheetView zoomScale="75" workbookViewId="0"/>
  </sheetViews>
  <sheetFormatPr defaultColWidth="9.75" defaultRowHeight="15.6" x14ac:dyDescent="0.3"/>
  <cols>
    <col min="1" max="1" width="5" style="98" customWidth="1"/>
    <col min="2" max="2" width="0.6640625" style="98" customWidth="1"/>
    <col min="3" max="3" width="9.08203125" style="98" customWidth="1"/>
    <col min="4" max="4" width="37.6640625" style="98" customWidth="1"/>
    <col min="5" max="5" width="0.7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2.75" style="98" customWidth="1"/>
    <col min="17" max="17" width="0.58203125" style="98" customWidth="1"/>
    <col min="18" max="18" width="17.25" style="98" customWidth="1"/>
    <col min="19" max="19" width="6.6640625" style="98" customWidth="1"/>
    <col min="20" max="20" width="5.08203125" style="98" customWidth="1"/>
    <col min="21" max="21" width="0.58203125" style="98" customWidth="1"/>
    <col min="22" max="22" width="8.58203125" style="98" customWidth="1"/>
    <col min="23" max="23" width="38.58203125" style="98" customWidth="1"/>
    <col min="24" max="24" width="0.7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4140625" style="98" customWidth="1"/>
    <col min="29" max="29" width="11.75" style="98" customWidth="1"/>
    <col min="30" max="30" width="0.332031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66406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5 OF "&amp;TEXT(Page_Num_2.3,"00")</f>
        <v>PAGE 5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196</v>
      </c>
      <c r="I19" s="166"/>
      <c r="J19" s="167" t="s">
        <v>331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376</v>
      </c>
      <c r="D20" s="124" t="s">
        <v>377</v>
      </c>
      <c r="E20" s="99"/>
      <c r="F20" s="1"/>
      <c r="G20" s="1"/>
      <c r="H20" s="215"/>
      <c r="I20" s="215"/>
      <c r="J20" s="167" t="s">
        <v>328</v>
      </c>
      <c r="K20" s="215"/>
      <c r="L20" s="215"/>
      <c r="M20" s="215"/>
      <c r="N20" s="215"/>
      <c r="O20" s="215"/>
      <c r="P20" s="215"/>
      <c r="Q20" s="215"/>
      <c r="R20" s="215"/>
      <c r="T20" s="99"/>
      <c r="U20" s="99"/>
    </row>
    <row r="21" spans="1:40" x14ac:dyDescent="0.3">
      <c r="A21" s="98">
        <v>2</v>
      </c>
      <c r="C21" s="124" t="s">
        <v>54</v>
      </c>
      <c r="D21" s="134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x14ac:dyDescent="0.3">
      <c r="A22" s="98">
        <v>3</v>
      </c>
      <c r="C22" s="124" t="s">
        <v>133</v>
      </c>
      <c r="D22" s="134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10"/>
      <c r="T22" s="99"/>
      <c r="V22" s="110"/>
      <c r="Y22" s="110"/>
      <c r="Z22" s="181"/>
      <c r="AA22" s="110"/>
      <c r="AB22" s="110"/>
      <c r="AC22" s="141"/>
      <c r="AD22" s="141"/>
      <c r="AE22" s="110"/>
      <c r="AF22" s="110"/>
      <c r="AH22" s="141"/>
      <c r="AI22" s="110"/>
      <c r="AJ22" s="110"/>
      <c r="AL22" s="110"/>
      <c r="AM22" s="141"/>
      <c r="AN22" s="141"/>
    </row>
    <row r="23" spans="1:40" x14ac:dyDescent="0.3">
      <c r="A23" s="98">
        <v>4</v>
      </c>
      <c r="C23" s="99" t="s">
        <v>134</v>
      </c>
      <c r="F23" s="172">
        <v>0</v>
      </c>
      <c r="G23" s="1"/>
      <c r="H23" s="147"/>
      <c r="I23" s="1"/>
      <c r="J23" s="181">
        <f>INPUT!D68</f>
        <v>64</v>
      </c>
      <c r="K23" s="1"/>
      <c r="L23" s="106">
        <f>ROUND(+F23*J23,0)</f>
        <v>0</v>
      </c>
      <c r="M23" s="1"/>
      <c r="N23" s="154">
        <f>ROUND((+L23/$L$63)*100,1)</f>
        <v>0</v>
      </c>
      <c r="O23" s="1"/>
      <c r="P23" s="106"/>
      <c r="Q23" s="1"/>
      <c r="R23" s="106">
        <f>L23+P23</f>
        <v>0</v>
      </c>
      <c r="S23" s="110"/>
      <c r="V23" s="192"/>
      <c r="Y23" s="110"/>
      <c r="Z23" s="172"/>
      <c r="AA23" s="110"/>
      <c r="AB23" s="110"/>
      <c r="AC23" s="141"/>
      <c r="AD23" s="141"/>
      <c r="AE23" s="110"/>
      <c r="AF23" s="110"/>
      <c r="AI23" s="110"/>
      <c r="AJ23" s="110"/>
      <c r="AL23" s="110"/>
    </row>
    <row r="24" spans="1:40" x14ac:dyDescent="0.3">
      <c r="A24" s="98">
        <v>5</v>
      </c>
      <c r="C24" s="99" t="s">
        <v>135</v>
      </c>
      <c r="F24" s="172">
        <f>'[5]Forecast BILLS'!$D$69</f>
        <v>466</v>
      </c>
      <c r="G24" s="1"/>
      <c r="H24" s="147"/>
      <c r="I24" s="1"/>
      <c r="J24" s="181">
        <f>INPUT!D69</f>
        <v>128</v>
      </c>
      <c r="K24" s="1"/>
      <c r="L24" s="106">
        <f>ROUND(+F24*J24,0)</f>
        <v>59648</v>
      </c>
      <c r="M24" s="1"/>
      <c r="N24" s="154">
        <f>ROUND((+L24/$L$63)*100,1)</f>
        <v>0.1</v>
      </c>
      <c r="O24" s="1"/>
      <c r="P24" s="106"/>
      <c r="Q24" s="1"/>
      <c r="R24" s="106">
        <f>L24+P24</f>
        <v>59648</v>
      </c>
      <c r="S24" s="110"/>
      <c r="V24" s="110"/>
      <c r="Y24" s="110"/>
      <c r="Z24" s="172"/>
      <c r="AA24" s="110"/>
      <c r="AB24" s="110"/>
      <c r="AC24" s="141"/>
      <c r="AD24" s="141"/>
      <c r="AE24" s="110"/>
      <c r="AF24" s="110"/>
      <c r="AI24" s="110"/>
      <c r="AJ24" s="110"/>
      <c r="AL24" s="110"/>
    </row>
    <row r="25" spans="1:40" ht="20.100000000000001" customHeight="1" x14ac:dyDescent="0.3">
      <c r="A25" s="98">
        <v>6</v>
      </c>
      <c r="C25" s="124" t="s">
        <v>136</v>
      </c>
      <c r="F25" s="112">
        <f>SUM(F23:F24)</f>
        <v>466</v>
      </c>
      <c r="G25" s="1"/>
      <c r="H25" s="106"/>
      <c r="I25" s="1"/>
      <c r="J25" s="171"/>
      <c r="K25" s="1"/>
      <c r="L25" s="112">
        <f>SUM(L23:L24)</f>
        <v>59648</v>
      </c>
      <c r="M25" s="1"/>
      <c r="N25" s="158">
        <f>ROUND((+L25/$L$63)*100,1)</f>
        <v>0.1</v>
      </c>
      <c r="O25" s="1"/>
      <c r="P25" s="112"/>
      <c r="Q25" s="106"/>
      <c r="R25" s="112">
        <f>SUM(R23:R24)</f>
        <v>59648</v>
      </c>
      <c r="S25" s="110"/>
      <c r="V25" s="192"/>
      <c r="Y25" s="192"/>
      <c r="Z25" s="217"/>
      <c r="AA25" s="192"/>
      <c r="AB25" s="192"/>
      <c r="AC25" s="192"/>
      <c r="AD25" s="192"/>
      <c r="AE25" s="192"/>
      <c r="AF25" s="192"/>
      <c r="AI25" s="192"/>
      <c r="AJ25" s="192"/>
      <c r="AK25" s="194"/>
      <c r="AL25" s="192"/>
      <c r="AM25" s="141"/>
      <c r="AN25" s="141"/>
    </row>
    <row r="26" spans="1:40" x14ac:dyDescent="0.3">
      <c r="C26" s="99"/>
      <c r="F26" s="106"/>
      <c r="G26" s="1"/>
      <c r="H26" s="106"/>
      <c r="I26" s="1"/>
      <c r="J26" s="171"/>
      <c r="K26" s="1"/>
      <c r="L26" s="106"/>
      <c r="M26" s="1"/>
      <c r="N26" s="175"/>
      <c r="O26" s="1"/>
      <c r="P26" s="106"/>
      <c r="Q26" s="106"/>
      <c r="R26" s="106"/>
      <c r="S26" s="110"/>
      <c r="V26" s="192"/>
      <c r="Y26" s="192"/>
      <c r="Z26" s="217"/>
      <c r="AA26" s="192"/>
      <c r="AB26" s="192"/>
      <c r="AC26" s="192"/>
      <c r="AD26" s="192"/>
      <c r="AE26" s="192"/>
      <c r="AF26" s="192"/>
      <c r="AI26" s="192"/>
      <c r="AJ26" s="192"/>
      <c r="AK26" s="194"/>
      <c r="AL26" s="192"/>
      <c r="AM26" s="141"/>
      <c r="AN26" s="141"/>
    </row>
    <row r="27" spans="1:40" x14ac:dyDescent="0.3">
      <c r="A27" s="98">
        <v>7</v>
      </c>
      <c r="C27" s="124" t="s">
        <v>63</v>
      </c>
      <c r="F27" s="147"/>
      <c r="G27" s="1"/>
      <c r="H27" s="147"/>
      <c r="I27" s="1"/>
      <c r="J27" s="240"/>
      <c r="K27" s="1"/>
      <c r="L27" s="106"/>
      <c r="M27" s="1"/>
      <c r="N27" s="175"/>
      <c r="O27" s="1"/>
      <c r="P27" s="106"/>
      <c r="Q27" s="106"/>
      <c r="R27" s="106"/>
      <c r="S27" s="110"/>
      <c r="V27" s="172"/>
      <c r="Y27" s="172"/>
      <c r="Z27" s="217"/>
      <c r="AA27" s="110"/>
      <c r="AB27" s="110"/>
      <c r="AC27" s="141"/>
      <c r="AD27" s="141"/>
      <c r="AE27" s="110"/>
      <c r="AF27" s="110"/>
      <c r="AI27" s="110"/>
      <c r="AJ27" s="110"/>
      <c r="AL27" s="110"/>
      <c r="AM27" s="141"/>
      <c r="AN27" s="141"/>
    </row>
    <row r="28" spans="1:40" x14ac:dyDescent="0.3">
      <c r="A28" s="98">
        <v>8</v>
      </c>
      <c r="C28" s="99" t="s">
        <v>64</v>
      </c>
      <c r="F28" s="147"/>
      <c r="G28" s="1"/>
      <c r="H28" s="172">
        <f>'[5]Forecast KW'!$G$70</f>
        <v>444209.3925252998</v>
      </c>
      <c r="I28" s="1"/>
      <c r="J28" s="180">
        <f>PRO_DT_SUM_PEAK</f>
        <v>16.73</v>
      </c>
      <c r="K28" s="1"/>
      <c r="L28" s="106">
        <f>ROUND(+H28*J28,0)</f>
        <v>7431623</v>
      </c>
      <c r="M28" s="1"/>
      <c r="N28" s="154">
        <f>ROUND((+L28/$L$63)*100,1)</f>
        <v>10.8</v>
      </c>
      <c r="O28" s="1"/>
      <c r="P28" s="106"/>
      <c r="Q28" s="106"/>
      <c r="R28" s="106">
        <f>L28+P28</f>
        <v>7431623</v>
      </c>
      <c r="S28" s="110"/>
      <c r="V28" s="192"/>
      <c r="Y28" s="172"/>
      <c r="Z28" s="217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x14ac:dyDescent="0.3">
      <c r="A29" s="98">
        <v>9</v>
      </c>
      <c r="C29" s="99" t="s">
        <v>65</v>
      </c>
      <c r="F29" s="147"/>
      <c r="G29" s="1"/>
      <c r="H29" s="172">
        <f>'[5]Forecast KW'!$F$70</f>
        <v>5399.4010119620089</v>
      </c>
      <c r="I29" s="1"/>
      <c r="J29" s="180">
        <f>PRO_DT_SUM_PK_OFF</f>
        <v>1.5</v>
      </c>
      <c r="K29" s="1"/>
      <c r="L29" s="106">
        <f>ROUND(+H29*J29,0)</f>
        <v>8099</v>
      </c>
      <c r="M29" s="1"/>
      <c r="N29" s="154">
        <f>ROUND((+L29/$L$63)*100,1)</f>
        <v>0</v>
      </c>
      <c r="O29" s="1"/>
      <c r="P29" s="106"/>
      <c r="Q29" s="106"/>
      <c r="R29" s="106">
        <f>L29+P29</f>
        <v>8099</v>
      </c>
      <c r="S29" s="110"/>
      <c r="T29" s="99"/>
      <c r="V29" s="172"/>
      <c r="Y29" s="110"/>
      <c r="Z29" s="216"/>
      <c r="AA29" s="110"/>
      <c r="AB29" s="110"/>
      <c r="AC29" s="141"/>
      <c r="AD29" s="141"/>
      <c r="AE29" s="110"/>
      <c r="AF29" s="110"/>
      <c r="AH29" s="141"/>
      <c r="AI29" s="110"/>
      <c r="AJ29" s="110"/>
      <c r="AL29" s="110"/>
      <c r="AM29" s="141"/>
      <c r="AN29" s="141"/>
    </row>
    <row r="30" spans="1:40" x14ac:dyDescent="0.3">
      <c r="A30" s="98">
        <v>10</v>
      </c>
      <c r="C30" s="99" t="s">
        <v>717</v>
      </c>
      <c r="F30" s="147"/>
      <c r="G30" s="1"/>
      <c r="H30" s="172">
        <f>H28+H29</f>
        <v>449608.79353726184</v>
      </c>
      <c r="I30" s="1"/>
      <c r="J30" s="181">
        <f>INPUT!$D$82</f>
        <v>7.77</v>
      </c>
      <c r="K30" s="1"/>
      <c r="L30" s="106">
        <f>ROUND(+H30*J30,0)</f>
        <v>3493460</v>
      </c>
      <c r="M30" s="1"/>
      <c r="N30" s="154">
        <f>ROUND((+L30/$L$63)*100,1)</f>
        <v>5.0999999999999996</v>
      </c>
      <c r="O30" s="1"/>
      <c r="P30" s="106"/>
      <c r="Q30" s="106"/>
      <c r="R30" s="106">
        <f>L30+P30</f>
        <v>3493460</v>
      </c>
      <c r="S30" s="110"/>
      <c r="T30" s="99"/>
      <c r="V30" s="172"/>
      <c r="Y30" s="110"/>
      <c r="Z30" s="216"/>
      <c r="AA30" s="110"/>
      <c r="AB30" s="110"/>
      <c r="AC30" s="141"/>
      <c r="AD30" s="141"/>
      <c r="AE30" s="110"/>
      <c r="AF30" s="110"/>
      <c r="AH30" s="141"/>
      <c r="AI30" s="110"/>
      <c r="AJ30" s="110"/>
      <c r="AL30" s="110"/>
      <c r="AM30" s="141"/>
      <c r="AN30" s="141"/>
    </row>
    <row r="31" spans="1:40" ht="20.100000000000001" customHeight="1" x14ac:dyDescent="0.3">
      <c r="A31" s="98">
        <v>11</v>
      </c>
      <c r="C31" s="124" t="s">
        <v>66</v>
      </c>
      <c r="F31" s="106"/>
      <c r="G31" s="1"/>
      <c r="H31" s="112">
        <f>SUM(H28:H29)</f>
        <v>449608.79353726184</v>
      </c>
      <c r="I31" s="1"/>
      <c r="J31" s="171"/>
      <c r="K31" s="1"/>
      <c r="L31" s="112">
        <f>SUM(L28:L30)</f>
        <v>10933182</v>
      </c>
      <c r="M31" s="1"/>
      <c r="N31" s="158">
        <f>ROUND((+L31/$L$63)*100,1)</f>
        <v>15.8</v>
      </c>
      <c r="O31" s="1"/>
      <c r="P31" s="112"/>
      <c r="Q31" s="147"/>
      <c r="R31" s="112">
        <f>SUM(R28:R30)</f>
        <v>10933182</v>
      </c>
      <c r="S31" s="110"/>
      <c r="V31" s="192"/>
      <c r="Y31" s="192"/>
      <c r="Z31" s="217"/>
      <c r="AA31" s="192"/>
      <c r="AB31" s="192"/>
      <c r="AC31" s="192"/>
      <c r="AD31" s="192"/>
      <c r="AE31" s="192"/>
      <c r="AF31" s="192"/>
      <c r="AI31" s="192"/>
      <c r="AJ31" s="192"/>
      <c r="AK31" s="194"/>
      <c r="AL31" s="192"/>
      <c r="AM31" s="141"/>
      <c r="AN31" s="141"/>
    </row>
    <row r="32" spans="1:40" x14ac:dyDescent="0.3">
      <c r="C32" s="99"/>
      <c r="F32" s="106"/>
      <c r="G32" s="1"/>
      <c r="H32" s="106"/>
      <c r="I32" s="1"/>
      <c r="J32" s="171"/>
      <c r="K32" s="1"/>
      <c r="L32" s="106"/>
      <c r="M32" s="1"/>
      <c r="N32" s="175"/>
      <c r="O32" s="1"/>
      <c r="P32" s="106"/>
      <c r="Q32" s="147"/>
      <c r="R32" s="106"/>
      <c r="S32" s="110"/>
      <c r="V32" s="192"/>
      <c r="Y32" s="192"/>
      <c r="Z32" s="217"/>
      <c r="AA32" s="192"/>
      <c r="AB32" s="192"/>
      <c r="AC32" s="192"/>
      <c r="AD32" s="192"/>
      <c r="AE32" s="192"/>
      <c r="AF32" s="192"/>
      <c r="AI32" s="192"/>
      <c r="AJ32" s="192"/>
      <c r="AK32" s="194"/>
      <c r="AL32" s="192"/>
      <c r="AM32" s="141"/>
      <c r="AN32" s="141"/>
    </row>
    <row r="33" spans="1:38" x14ac:dyDescent="0.3">
      <c r="A33" s="98">
        <v>12</v>
      </c>
      <c r="C33" s="169" t="s">
        <v>371</v>
      </c>
      <c r="F33" s="106"/>
      <c r="G33" s="1"/>
      <c r="H33" s="106"/>
      <c r="I33" s="1"/>
      <c r="J33" s="136"/>
      <c r="K33" s="1"/>
      <c r="L33" s="106"/>
      <c r="M33" s="1"/>
      <c r="N33" s="175"/>
      <c r="O33" s="1"/>
      <c r="P33" s="106"/>
      <c r="Q33" s="106"/>
      <c r="R33" s="106"/>
      <c r="Y33" s="99"/>
    </row>
    <row r="34" spans="1:38" x14ac:dyDescent="0.3">
      <c r="A34" s="98">
        <v>13</v>
      </c>
      <c r="C34" s="99" t="s">
        <v>383</v>
      </c>
      <c r="F34" s="106"/>
      <c r="G34" s="1"/>
      <c r="H34" s="110">
        <f>'[5]Forecast KWH'!$G$68</f>
        <v>65816394.282999992</v>
      </c>
      <c r="I34" s="1"/>
      <c r="J34" s="244">
        <f>PRO_DT_SUM_E_ON</f>
        <v>6.4528000000000002E-2</v>
      </c>
      <c r="K34" s="1"/>
      <c r="L34" s="106">
        <f>ROUND((+H34*J34),0)-P34</f>
        <v>4247000</v>
      </c>
      <c r="M34" s="1"/>
      <c r="N34" s="154">
        <f>ROUND((+L34/$L$63)*100,1)</f>
        <v>6.1</v>
      </c>
      <c r="O34" s="1"/>
      <c r="P34" s="106"/>
      <c r="Q34" s="106"/>
      <c r="R34" s="106">
        <f>L34+P34</f>
        <v>4247000</v>
      </c>
      <c r="Y34" s="99"/>
    </row>
    <row r="35" spans="1:38" x14ac:dyDescent="0.3">
      <c r="A35" s="98">
        <v>14</v>
      </c>
      <c r="C35" s="99" t="s">
        <v>384</v>
      </c>
      <c r="F35" s="117"/>
      <c r="G35" s="1"/>
      <c r="H35" s="183">
        <f>'[5]Forecast KWH'!$M$68</f>
        <v>157900437.22586781</v>
      </c>
      <c r="I35" s="1"/>
      <c r="J35" s="244">
        <f>PRO_DT_SUM_E_OFF</f>
        <v>5.4975999999999997E-2</v>
      </c>
      <c r="K35" s="1"/>
      <c r="L35" s="117">
        <f>ROUND((+H35*J35),0)-P35</f>
        <v>8680734</v>
      </c>
      <c r="M35" s="1"/>
      <c r="N35" s="154">
        <f>ROUND((+L35/$L$63)*100,1)</f>
        <v>12.6</v>
      </c>
      <c r="O35" s="1"/>
      <c r="P35" s="117"/>
      <c r="Q35" s="106"/>
      <c r="R35" s="117">
        <f>L35+P35</f>
        <v>8680734</v>
      </c>
    </row>
    <row r="36" spans="1:38" ht="19.5" customHeight="1" x14ac:dyDescent="0.3">
      <c r="A36" s="98">
        <v>15</v>
      </c>
      <c r="C36" s="124" t="s">
        <v>56</v>
      </c>
      <c r="F36" s="112">
        <f>F25</f>
        <v>466</v>
      </c>
      <c r="G36" s="1"/>
      <c r="H36" s="112">
        <f>H34+H35</f>
        <v>223716831.5088678</v>
      </c>
      <c r="I36" s="1"/>
      <c r="J36" s="171"/>
      <c r="K36" s="1"/>
      <c r="L36" s="112">
        <f>L25+L31+L34+L35</f>
        <v>23920564</v>
      </c>
      <c r="M36" s="1"/>
      <c r="N36" s="158">
        <f>ROUND((+L36/$L$63)*100,1)</f>
        <v>34.6</v>
      </c>
      <c r="O36" s="1"/>
      <c r="P36" s="112"/>
      <c r="Q36" s="1"/>
      <c r="R36" s="112">
        <f>R25+R31+R34+R35</f>
        <v>23920564</v>
      </c>
      <c r="AK36" s="190"/>
      <c r="AL36" s="99"/>
    </row>
    <row r="37" spans="1:38" x14ac:dyDescent="0.3">
      <c r="C37" s="99"/>
      <c r="F37" s="106"/>
      <c r="G37" s="1"/>
      <c r="H37" s="106"/>
      <c r="I37" s="1"/>
      <c r="J37" s="171"/>
      <c r="K37" s="1"/>
      <c r="L37" s="106"/>
      <c r="M37" s="1"/>
      <c r="N37" s="175"/>
      <c r="O37" s="1"/>
      <c r="P37" s="106"/>
      <c r="Q37" s="1"/>
      <c r="R37" s="106"/>
      <c r="AK37" s="190"/>
      <c r="AL37" s="99"/>
    </row>
    <row r="38" spans="1:38" x14ac:dyDescent="0.3">
      <c r="A38" s="98">
        <v>16</v>
      </c>
      <c r="C38" s="124" t="s">
        <v>57</v>
      </c>
      <c r="F38" s="147"/>
      <c r="G38" s="1"/>
      <c r="H38" s="241">
        <f>185857814-185857934</f>
        <v>-120</v>
      </c>
      <c r="I38" s="1"/>
      <c r="J38" s="171"/>
      <c r="K38" s="1"/>
      <c r="L38" s="106"/>
      <c r="M38" s="1"/>
      <c r="N38" s="175"/>
      <c r="O38" s="1"/>
      <c r="P38" s="106"/>
      <c r="Q38" s="1"/>
      <c r="R38" s="106"/>
    </row>
    <row r="39" spans="1:38" x14ac:dyDescent="0.3">
      <c r="A39" s="98">
        <v>17</v>
      </c>
      <c r="C39" s="124" t="s">
        <v>133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237"/>
      <c r="R39" s="1"/>
    </row>
    <row r="40" spans="1:38" x14ac:dyDescent="0.3">
      <c r="A40" s="98">
        <v>18</v>
      </c>
      <c r="C40" s="99" t="s">
        <v>134</v>
      </c>
      <c r="F40" s="172">
        <f>F23</f>
        <v>0</v>
      </c>
      <c r="G40" s="1"/>
      <c r="H40" s="147"/>
      <c r="I40" s="1"/>
      <c r="J40" s="180">
        <f>J23</f>
        <v>64</v>
      </c>
      <c r="K40" s="1"/>
      <c r="L40" s="106">
        <f>ROUND(+F40*J40,0)</f>
        <v>0</v>
      </c>
      <c r="M40" s="1"/>
      <c r="N40" s="154">
        <f>ROUND((+L40/$L$63)*100,1)</f>
        <v>0</v>
      </c>
      <c r="O40" s="1"/>
      <c r="P40" s="106"/>
      <c r="Q40" s="1"/>
      <c r="R40" s="106">
        <f>L40+P40</f>
        <v>0</v>
      </c>
    </row>
    <row r="41" spans="1:38" x14ac:dyDescent="0.3">
      <c r="A41" s="98">
        <v>19</v>
      </c>
      <c r="C41" s="99" t="s">
        <v>135</v>
      </c>
      <c r="F41" s="172">
        <f>'[5]Forecast BILLS'!$I$69</f>
        <v>929</v>
      </c>
      <c r="G41" s="1"/>
      <c r="H41" s="147"/>
      <c r="I41" s="1"/>
      <c r="J41" s="180">
        <f>J24</f>
        <v>128</v>
      </c>
      <c r="K41" s="1"/>
      <c r="L41" s="106">
        <f>ROUND(+F41*J41,0)</f>
        <v>118912</v>
      </c>
      <c r="M41" s="1"/>
      <c r="N41" s="154">
        <f>ROUND((+L41/$L$63)*100,1)</f>
        <v>0.2</v>
      </c>
      <c r="O41" s="1"/>
      <c r="P41" s="106"/>
      <c r="Q41" s="1"/>
      <c r="R41" s="106">
        <f>L41+P41</f>
        <v>118912</v>
      </c>
    </row>
    <row r="42" spans="1:38" ht="20.100000000000001" customHeight="1" x14ac:dyDescent="0.3">
      <c r="A42" s="98">
        <v>20</v>
      </c>
      <c r="C42" s="124" t="s">
        <v>136</v>
      </c>
      <c r="F42" s="112">
        <f>SUM(F40:F41)</f>
        <v>929</v>
      </c>
      <c r="G42" s="1"/>
      <c r="H42" s="106"/>
      <c r="I42" s="1"/>
      <c r="J42" s="171"/>
      <c r="K42" s="1"/>
      <c r="L42" s="112">
        <f>SUM(L40:L41)</f>
        <v>118912</v>
      </c>
      <c r="M42" s="1"/>
      <c r="N42" s="158">
        <f>ROUND((+L42/$L$63)*100,1)</f>
        <v>0.2</v>
      </c>
      <c r="O42" s="1"/>
      <c r="P42" s="112"/>
      <c r="Q42" s="2"/>
      <c r="R42" s="112">
        <f>SUM(R40:R41)</f>
        <v>118912</v>
      </c>
    </row>
    <row r="43" spans="1:38" x14ac:dyDescent="0.3">
      <c r="C43" s="99"/>
      <c r="F43" s="106"/>
      <c r="G43" s="1"/>
      <c r="H43" s="106"/>
      <c r="I43" s="1"/>
      <c r="J43" s="171"/>
      <c r="K43" s="1"/>
      <c r="L43" s="106"/>
      <c r="M43" s="1"/>
      <c r="N43" s="175"/>
      <c r="O43" s="1"/>
      <c r="P43" s="106"/>
      <c r="Q43" s="2"/>
      <c r="R43" s="106"/>
    </row>
    <row r="44" spans="1:38" x14ac:dyDescent="0.3">
      <c r="A44" s="98">
        <v>21</v>
      </c>
      <c r="C44" s="124" t="s">
        <v>63</v>
      </c>
      <c r="F44" s="147"/>
      <c r="G44" s="1"/>
      <c r="H44" s="147"/>
      <c r="I44" s="1"/>
      <c r="J44" s="240"/>
      <c r="K44" s="1"/>
      <c r="L44" s="106"/>
      <c r="M44" s="1"/>
      <c r="N44" s="175"/>
      <c r="O44" s="1"/>
      <c r="P44" s="106"/>
      <c r="Q44" s="237"/>
      <c r="R44" s="106"/>
    </row>
    <row r="45" spans="1:38" x14ac:dyDescent="0.3">
      <c r="A45" s="98">
        <v>22</v>
      </c>
      <c r="C45" s="99" t="s">
        <v>64</v>
      </c>
      <c r="F45" s="147"/>
      <c r="G45" s="1"/>
      <c r="H45" s="172">
        <f>'[5]Forecast KW'!$I$70</f>
        <v>792027.48047470022</v>
      </c>
      <c r="I45" s="1"/>
      <c r="J45" s="181">
        <f>PRO_DT_WIN_PEAK</f>
        <v>15.83</v>
      </c>
      <c r="K45" s="1"/>
      <c r="L45" s="106">
        <f>ROUND(+H45*J45,0)</f>
        <v>12537795</v>
      </c>
      <c r="M45" s="1"/>
      <c r="N45" s="154">
        <f>ROUND((+L45/$L$63)*100,1)-0.1</f>
        <v>18</v>
      </c>
      <c r="O45" s="1"/>
      <c r="P45" s="106"/>
      <c r="Q45" s="2"/>
      <c r="R45" s="106">
        <f>L45+P45</f>
        <v>12537795</v>
      </c>
    </row>
    <row r="46" spans="1:38" x14ac:dyDescent="0.3">
      <c r="A46" s="98">
        <v>23</v>
      </c>
      <c r="C46" s="99" t="s">
        <v>65</v>
      </c>
      <c r="F46" s="147"/>
      <c r="G46" s="1"/>
      <c r="H46" s="172">
        <f>'[5]Forecast KW'!$H$70</f>
        <v>15374.516988037991</v>
      </c>
      <c r="I46" s="1"/>
      <c r="J46" s="181">
        <f>PRO_DT_WIN_PK_OFF</f>
        <v>1.5</v>
      </c>
      <c r="K46" s="1"/>
      <c r="L46" s="106">
        <f>ROUND(+H46*J46,0)</f>
        <v>23062</v>
      </c>
      <c r="M46" s="1"/>
      <c r="N46" s="154">
        <f>ROUND((+L46/$L$63)*100,1)</f>
        <v>0</v>
      </c>
      <c r="O46" s="1"/>
      <c r="P46" s="106"/>
      <c r="Q46" s="1"/>
      <c r="R46" s="106">
        <f>L46+P46</f>
        <v>23062</v>
      </c>
    </row>
    <row r="47" spans="1:38" x14ac:dyDescent="0.3">
      <c r="A47" s="98">
        <v>24</v>
      </c>
      <c r="C47" s="99" t="s">
        <v>717</v>
      </c>
      <c r="F47" s="147"/>
      <c r="G47" s="1"/>
      <c r="H47" s="172">
        <f>H45+H46</f>
        <v>807401.99746273819</v>
      </c>
      <c r="I47" s="1"/>
      <c r="J47" s="181">
        <f>INPUT!$D$82</f>
        <v>7.77</v>
      </c>
      <c r="K47" s="1"/>
      <c r="L47" s="106">
        <f>ROUND(+H47*J47,0)</f>
        <v>6273514</v>
      </c>
      <c r="M47" s="1"/>
      <c r="N47" s="154">
        <f>ROUND((+L47/$L$63)*100,1)</f>
        <v>9.1</v>
      </c>
      <c r="O47" s="1"/>
      <c r="P47" s="106"/>
      <c r="Q47" s="1"/>
      <c r="R47" s="106">
        <f>L47+P47</f>
        <v>6273514</v>
      </c>
    </row>
    <row r="48" spans="1:38" ht="20.100000000000001" customHeight="1" x14ac:dyDescent="0.3">
      <c r="A48" s="98">
        <v>25</v>
      </c>
      <c r="C48" s="124" t="s">
        <v>66</v>
      </c>
      <c r="F48" s="106"/>
      <c r="G48" s="1"/>
      <c r="H48" s="112">
        <f>SUM(H45:H46)</f>
        <v>807401.99746273819</v>
      </c>
      <c r="I48" s="1"/>
      <c r="J48" s="171"/>
      <c r="K48" s="1"/>
      <c r="L48" s="112">
        <f>SUM(L45:L47)</f>
        <v>18834371</v>
      </c>
      <c r="M48" s="1"/>
      <c r="N48" s="158">
        <f>ROUND((+L48/$L$63)*100,1)</f>
        <v>27.3</v>
      </c>
      <c r="O48" s="1"/>
      <c r="P48" s="112"/>
      <c r="Q48" s="1"/>
      <c r="R48" s="112">
        <f>SUM(R45:R47)</f>
        <v>18834371</v>
      </c>
    </row>
    <row r="49" spans="1:18" x14ac:dyDescent="0.3">
      <c r="C49" s="99"/>
      <c r="F49" s="106"/>
      <c r="G49" s="1"/>
      <c r="H49" s="106"/>
      <c r="I49" s="1"/>
      <c r="J49" s="171"/>
      <c r="K49" s="1"/>
      <c r="L49" s="106"/>
      <c r="M49" s="1"/>
      <c r="N49" s="175"/>
      <c r="O49" s="1"/>
      <c r="P49" s="106"/>
      <c r="Q49" s="1"/>
      <c r="R49" s="106"/>
    </row>
    <row r="50" spans="1:18" x14ac:dyDescent="0.3">
      <c r="A50" s="98">
        <v>26</v>
      </c>
      <c r="C50" s="169" t="s">
        <v>371</v>
      </c>
      <c r="F50" s="106"/>
      <c r="G50" s="1"/>
      <c r="H50" s="106"/>
      <c r="I50" s="1"/>
      <c r="J50" s="136"/>
      <c r="K50" s="1"/>
      <c r="L50" s="106"/>
      <c r="M50" s="1"/>
      <c r="N50" s="175"/>
      <c r="O50" s="1"/>
      <c r="P50" s="106"/>
      <c r="Q50" s="106"/>
      <c r="R50" s="106"/>
    </row>
    <row r="51" spans="1:18" x14ac:dyDescent="0.3">
      <c r="A51" s="98">
        <v>27</v>
      </c>
      <c r="C51" s="99" t="s">
        <v>383</v>
      </c>
      <c r="F51" s="106"/>
      <c r="G51" s="1"/>
      <c r="H51" s="110">
        <f>'[5]Forecast KWH'!$I$68</f>
        <v>111506442.992</v>
      </c>
      <c r="I51" s="1"/>
      <c r="J51" s="239">
        <f>PRO_DT_WIN_E_ON</f>
        <v>6.2133000000000001E-2</v>
      </c>
      <c r="K51" s="1"/>
      <c r="L51" s="106">
        <f>ROUND((+H51*J51),0)-P51</f>
        <v>6928230</v>
      </c>
      <c r="M51" s="1"/>
      <c r="N51" s="154">
        <f>ROUND((+L51/$L$63)*100,1)</f>
        <v>10</v>
      </c>
      <c r="O51" s="1"/>
      <c r="P51" s="106"/>
      <c r="Q51" s="106"/>
      <c r="R51" s="106">
        <f>L51+P51</f>
        <v>6928230</v>
      </c>
    </row>
    <row r="52" spans="1:18" x14ac:dyDescent="0.3">
      <c r="A52" s="98">
        <v>28</v>
      </c>
      <c r="C52" s="99" t="s">
        <v>384</v>
      </c>
      <c r="F52" s="177"/>
      <c r="G52" s="1"/>
      <c r="H52" s="183">
        <f>'[5]Forecast KWH'!$H$68</f>
        <v>279357143.60313225</v>
      </c>
      <c r="I52" s="1"/>
      <c r="J52" s="239">
        <f>PRO_DT_WIN_E_OFF</f>
        <v>5.4975999999999997E-2</v>
      </c>
      <c r="K52" s="1"/>
      <c r="L52" s="117">
        <f>ROUND((+H52*J52),0)-P52</f>
        <v>15357938</v>
      </c>
      <c r="M52" s="1"/>
      <c r="N52" s="154">
        <f>ROUND((+L52/$L$63)*100,1)</f>
        <v>22.2</v>
      </c>
      <c r="O52" s="1"/>
      <c r="P52" s="117"/>
      <c r="Q52" s="106"/>
      <c r="R52" s="117">
        <f>L52+P52</f>
        <v>15357938</v>
      </c>
    </row>
    <row r="53" spans="1:18" ht="21.75" customHeight="1" x14ac:dyDescent="0.3">
      <c r="A53" s="98">
        <v>29</v>
      </c>
      <c r="C53" s="124" t="s">
        <v>58</v>
      </c>
      <c r="F53" s="112">
        <f>F42</f>
        <v>929</v>
      </c>
      <c r="G53" s="1"/>
      <c r="H53" s="112">
        <f>H51+H52</f>
        <v>390863586.59513223</v>
      </c>
      <c r="I53" s="1"/>
      <c r="J53" s="239"/>
      <c r="K53" s="1"/>
      <c r="L53" s="112">
        <f>L42+L48+L51+L52</f>
        <v>41239451</v>
      </c>
      <c r="M53" s="1"/>
      <c r="N53" s="158">
        <f>ROUND((+L53/$L$63)*100,1)</f>
        <v>59.7</v>
      </c>
      <c r="O53" s="1"/>
      <c r="P53" s="112"/>
      <c r="Q53" s="1"/>
      <c r="R53" s="112">
        <f>R42+R48+R51+R52</f>
        <v>41239451</v>
      </c>
    </row>
    <row r="54" spans="1:18" ht="21.75" customHeight="1" x14ac:dyDescent="0.3">
      <c r="A54" s="98">
        <v>30</v>
      </c>
      <c r="C54" s="169" t="s">
        <v>440</v>
      </c>
      <c r="F54" s="112">
        <f>F36+F53</f>
        <v>1395</v>
      </c>
      <c r="G54" s="1"/>
      <c r="H54" s="112">
        <f>H53+H36</f>
        <v>614580418.10400009</v>
      </c>
      <c r="I54" s="1"/>
      <c r="J54" s="239"/>
      <c r="K54" s="1"/>
      <c r="L54" s="112">
        <f>L36+L53</f>
        <v>65160015</v>
      </c>
      <c r="M54" s="1"/>
      <c r="N54" s="158">
        <f>ROUND((+L54/$L$63)*100,1)</f>
        <v>94.3</v>
      </c>
      <c r="O54" s="1"/>
      <c r="P54" s="112"/>
      <c r="Q54" s="1"/>
      <c r="R54" s="112">
        <f>R36+R53</f>
        <v>65160015</v>
      </c>
    </row>
    <row r="55" spans="1:18" ht="15.75" customHeight="1" x14ac:dyDescent="0.3">
      <c r="C55" s="99"/>
      <c r="F55" s="106"/>
      <c r="G55" s="1"/>
      <c r="H55" s="106"/>
      <c r="I55" s="1"/>
      <c r="J55" s="239"/>
      <c r="K55" s="1"/>
      <c r="L55" s="106"/>
      <c r="M55" s="1"/>
      <c r="N55" s="175"/>
      <c r="O55" s="1"/>
      <c r="P55" s="106"/>
      <c r="Q55" s="1"/>
      <c r="R55" s="106"/>
    </row>
    <row r="56" spans="1:18" ht="15.75" customHeight="1" x14ac:dyDescent="0.3">
      <c r="A56" s="98">
        <v>31</v>
      </c>
      <c r="C56" s="124" t="s">
        <v>428</v>
      </c>
      <c r="F56" s="106"/>
      <c r="G56" s="1"/>
      <c r="H56" s="106"/>
      <c r="I56" s="1"/>
      <c r="J56" s="239"/>
      <c r="K56" s="1"/>
      <c r="L56" s="106"/>
      <c r="M56" s="1"/>
      <c r="N56" s="175"/>
      <c r="O56" s="1"/>
      <c r="P56" s="106"/>
      <c r="Q56" s="1"/>
      <c r="R56" s="106"/>
    </row>
    <row r="57" spans="1:18" ht="15.75" customHeight="1" x14ac:dyDescent="0.3">
      <c r="A57" s="98">
        <v>32</v>
      </c>
      <c r="C57" s="176" t="str">
        <f>DSMR_Name</f>
        <v>DEMAND SIDE MANAGEMENT RIDER (DSMR)</v>
      </c>
      <c r="F57" s="106"/>
      <c r="G57" s="1"/>
      <c r="H57" s="106"/>
      <c r="I57" s="1"/>
      <c r="J57" s="218">
        <f>PRO_DSM_DIST</f>
        <v>3.503E-3</v>
      </c>
      <c r="K57" s="1"/>
      <c r="L57" s="106">
        <f>ROUND($H$54*J57,0)</f>
        <v>2152875</v>
      </c>
      <c r="M57" s="1"/>
      <c r="N57" s="154">
        <f>ROUND((+L57/$L$63)*100,1)</f>
        <v>3.1</v>
      </c>
      <c r="O57" s="1"/>
      <c r="P57" s="106"/>
      <c r="Q57" s="1"/>
      <c r="R57" s="106">
        <f>L57+P57</f>
        <v>2152875</v>
      </c>
    </row>
    <row r="58" spans="1:18" ht="15.75" customHeight="1" x14ac:dyDescent="0.3">
      <c r="A58" s="98">
        <v>33</v>
      </c>
      <c r="C58" s="176" t="str">
        <f>ESM_Name</f>
        <v>ENVIRONMENTAL SURCHARGE MECHANISM RIDER (ESM)</v>
      </c>
      <c r="F58" s="106"/>
      <c r="G58" s="1"/>
      <c r="H58" s="106"/>
      <c r="I58" s="1"/>
      <c r="J58" s="187">
        <f>PRO_ESM_NONRES</f>
        <v>5.3681872802409589E-3</v>
      </c>
      <c r="K58" s="1"/>
      <c r="L58" s="106">
        <f>ROUND((R54-(PRO_BASE_FUEL*H54)+R57+R60)*J58,0)</f>
        <v>258067</v>
      </c>
      <c r="M58" s="1"/>
      <c r="N58" s="154">
        <f>ROUND((+L58/$L$63)*100,1)</f>
        <v>0.4</v>
      </c>
      <c r="O58" s="1"/>
      <c r="P58" s="106"/>
      <c r="Q58" s="1"/>
      <c r="R58" s="106">
        <f>L58+P58</f>
        <v>258067</v>
      </c>
    </row>
    <row r="59" spans="1:18" ht="15.75" customHeight="1" x14ac:dyDescent="0.3">
      <c r="A59" s="98">
        <v>34</v>
      </c>
      <c r="C59" s="176" t="str">
        <f>FAC_Name</f>
        <v>FUEL ADJUSTMENT CLAUSE (FAC)</v>
      </c>
      <c r="F59" s="106"/>
      <c r="G59" s="1"/>
      <c r="H59" s="106"/>
      <c r="I59" s="1"/>
      <c r="J59" s="218">
        <f>PRO_FAC</f>
        <v>3.4872127999999998E-3</v>
      </c>
      <c r="K59" s="1"/>
      <c r="L59" s="106"/>
      <c r="M59" s="1"/>
      <c r="N59" s="154"/>
      <c r="O59" s="1"/>
      <c r="P59" s="106">
        <f>ROUND(H54*PRO_FAC,0)</f>
        <v>2143173</v>
      </c>
      <c r="Q59" s="1"/>
      <c r="R59" s="106">
        <f>L59+P59</f>
        <v>2143173</v>
      </c>
    </row>
    <row r="60" spans="1:18" ht="15.75" customHeight="1" x14ac:dyDescent="0.3">
      <c r="A60" s="98">
        <v>35</v>
      </c>
      <c r="C60" s="176" t="str">
        <f>PSM_Name</f>
        <v>PROFIT SHARING MECHANISM (PSM)</v>
      </c>
      <c r="F60" s="106"/>
      <c r="G60" s="1"/>
      <c r="H60" s="106"/>
      <c r="I60" s="1"/>
      <c r="J60" s="218">
        <f>PRO_PSM</f>
        <v>2.4750000000000002E-3</v>
      </c>
      <c r="K60" s="1"/>
      <c r="L60" s="117">
        <f>ROUND(H54*PRO_PSM,0)</f>
        <v>1521087</v>
      </c>
      <c r="M60" s="1"/>
      <c r="N60" s="156">
        <f>ROUND((+L60/$L$63)*100,1)</f>
        <v>2.2000000000000002</v>
      </c>
      <c r="O60" s="1"/>
      <c r="P60" s="117"/>
      <c r="Q60" s="1"/>
      <c r="R60" s="117">
        <f>L60+P60</f>
        <v>1521087</v>
      </c>
    </row>
    <row r="61" spans="1:18" ht="20.100000000000001" customHeight="1" x14ac:dyDescent="0.3">
      <c r="A61" s="98">
        <v>36</v>
      </c>
      <c r="C61" s="124" t="s">
        <v>433</v>
      </c>
      <c r="F61" s="117"/>
      <c r="G61" s="1"/>
      <c r="H61" s="117"/>
      <c r="I61" s="1"/>
      <c r="J61" s="171"/>
      <c r="K61" s="1"/>
      <c r="L61" s="117">
        <f>SUM(L57:L60)</f>
        <v>3932029</v>
      </c>
      <c r="M61" s="1"/>
      <c r="N61" s="158">
        <f>ROUND((+L61/$L$63)*100,1)</f>
        <v>5.7</v>
      </c>
      <c r="O61" s="1"/>
      <c r="P61" s="117">
        <f>SUM(P57:P60)</f>
        <v>2143173</v>
      </c>
      <c r="Q61" s="1"/>
      <c r="R61" s="117">
        <f>SUM(R57:R60)</f>
        <v>6075202</v>
      </c>
    </row>
    <row r="62" spans="1:18" ht="15.75" customHeight="1" x14ac:dyDescent="0.3">
      <c r="C62" s="99"/>
      <c r="F62" s="106"/>
      <c r="G62" s="1"/>
      <c r="H62" s="106"/>
      <c r="I62" s="1"/>
      <c r="J62" s="171"/>
      <c r="K62" s="1"/>
      <c r="L62" s="106"/>
      <c r="M62" s="1"/>
      <c r="N62" s="175"/>
      <c r="O62" s="1"/>
      <c r="P62" s="106"/>
      <c r="Q62" s="238"/>
      <c r="R62" s="106"/>
    </row>
    <row r="63" spans="1:18" ht="20.100000000000001" customHeight="1" thickBot="1" x14ac:dyDescent="0.35">
      <c r="A63" s="98">
        <v>37</v>
      </c>
      <c r="C63" s="169" t="s">
        <v>439</v>
      </c>
      <c r="F63" s="120">
        <f>F36+F53</f>
        <v>1395</v>
      </c>
      <c r="G63" s="1"/>
      <c r="H63" s="120">
        <f>H36+H53</f>
        <v>614580418.10400009</v>
      </c>
      <c r="I63" s="1"/>
      <c r="J63" s="1"/>
      <c r="K63" s="1"/>
      <c r="L63" s="120">
        <f>L61+L54</f>
        <v>69092044</v>
      </c>
      <c r="M63" s="1"/>
      <c r="N63" s="197">
        <v>100</v>
      </c>
      <c r="O63" s="1"/>
      <c r="P63" s="120">
        <f>P61+P54</f>
        <v>2143173</v>
      </c>
      <c r="Q63" s="147"/>
      <c r="R63" s="120">
        <f>R61+R54</f>
        <v>71235217</v>
      </c>
    </row>
    <row r="64" spans="1:18" ht="16.2" thickTop="1" x14ac:dyDescent="0.3"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238"/>
      <c r="R64" s="1"/>
    </row>
    <row r="65" spans="1:43" x14ac:dyDescent="0.3">
      <c r="C65" s="178" t="s">
        <v>59</v>
      </c>
      <c r="L65" s="110"/>
      <c r="N65" s="110"/>
      <c r="P65" s="110"/>
      <c r="Q65" s="110"/>
      <c r="R65" s="110"/>
    </row>
    <row r="66" spans="1:43" x14ac:dyDescent="0.3">
      <c r="C66" s="178" t="str">
        <f>"(2) REFLECTS FUEL COMPONENT OF "&amp;TEXT(PRO_FAC,"$0.000000;($0.000000)")&amp;"  PER KWH."</f>
        <v>(2) REFLECTS FUEL COMPONENT OF $0.003487  PER KWH.</v>
      </c>
      <c r="L66" s="110"/>
      <c r="N66" s="110"/>
      <c r="P66" s="110"/>
      <c r="Q66" s="110"/>
      <c r="R66" s="110"/>
    </row>
    <row r="67" spans="1:43" x14ac:dyDescent="0.3">
      <c r="C67" s="178" t="str">
        <f>"(3) REFLECTS FUEL COST RECOVERY INCLUDED IN BASE RATES OF "&amp;TEXT(PRO_BASE_FUEL,"$0.000000;($0.000000)")&amp;"  PER KWH."</f>
        <v>(3) REFLECTS FUEL COST RECOVERY INCLUDED IN BASE RATES OF $0.033780  PER KWH.</v>
      </c>
      <c r="F67" s="192"/>
      <c r="H67" s="192"/>
      <c r="J67" s="192"/>
      <c r="L67" s="217"/>
      <c r="N67" s="217"/>
      <c r="P67" s="192"/>
      <c r="Q67" s="192"/>
      <c r="R67" s="192"/>
    </row>
    <row r="68" spans="1:43" x14ac:dyDescent="0.3">
      <c r="F68" s="110"/>
      <c r="H68" s="110"/>
      <c r="J68" s="110"/>
      <c r="L68" s="198"/>
      <c r="N68" s="198"/>
      <c r="P68" s="110"/>
      <c r="Q68" s="110"/>
      <c r="R68" s="110"/>
    </row>
    <row r="69" spans="1:43" x14ac:dyDescent="0.3">
      <c r="C69" s="99"/>
      <c r="F69" s="110"/>
      <c r="H69" s="110"/>
      <c r="J69" s="110"/>
      <c r="L69" s="198"/>
      <c r="N69" s="198"/>
      <c r="P69" s="110"/>
      <c r="Q69" s="110"/>
      <c r="R69" s="110"/>
    </row>
    <row r="70" spans="1:43" x14ac:dyDescent="0.3">
      <c r="F70" s="110"/>
      <c r="H70" s="110"/>
      <c r="J70" s="110"/>
      <c r="L70" s="198"/>
      <c r="N70" s="106"/>
      <c r="P70" s="110"/>
      <c r="Q70" s="110"/>
      <c r="R70" s="110"/>
    </row>
    <row r="71" spans="1:43" x14ac:dyDescent="0.3">
      <c r="A71" s="99"/>
      <c r="F71" s="110"/>
      <c r="H71" s="110"/>
      <c r="L71" s="198"/>
      <c r="N71" s="106"/>
      <c r="P71" s="110"/>
      <c r="Q71" s="110"/>
      <c r="R71" s="110"/>
      <c r="T71" s="97" t="str">
        <f>NAME</f>
        <v>DUKE ENERGY KENTUCKY, INC.</v>
      </c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149"/>
      <c r="AH71" s="97"/>
      <c r="AI71" s="97"/>
      <c r="AJ71" s="97"/>
      <c r="AK71" s="149"/>
      <c r="AL71" s="97"/>
      <c r="AM71" s="97"/>
      <c r="AN71" s="97"/>
      <c r="AO71" s="97"/>
      <c r="AP71" s="97"/>
      <c r="AQ71" s="149"/>
    </row>
    <row r="72" spans="1:43" x14ac:dyDescent="0.3">
      <c r="A72" s="99"/>
      <c r="F72" s="110"/>
      <c r="H72" s="110"/>
      <c r="J72" s="110"/>
      <c r="L72" s="198"/>
      <c r="N72" s="106"/>
      <c r="P72" s="110"/>
      <c r="Q72" s="110"/>
      <c r="R72" s="110"/>
      <c r="T72" s="97" t="str">
        <f>CASE_NO</f>
        <v>CASE NO.   2024-00354</v>
      </c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149"/>
      <c r="AH72" s="97"/>
      <c r="AI72" s="97"/>
      <c r="AJ72" s="97"/>
      <c r="AK72" s="149"/>
      <c r="AL72" s="97"/>
      <c r="AM72" s="97"/>
      <c r="AN72" s="97"/>
      <c r="AO72" s="97"/>
      <c r="AP72" s="97"/>
      <c r="AQ72" s="149"/>
    </row>
    <row r="73" spans="1:43" x14ac:dyDescent="0.3">
      <c r="F73" s="179"/>
      <c r="T73" s="97" t="str">
        <f>TITLE</f>
        <v>ANNUALIZED BASE YEAR REVENUES AT PROPOSED VS. MOST CURRENT RATES</v>
      </c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149"/>
      <c r="AH73" s="97"/>
      <c r="AI73" s="97"/>
      <c r="AJ73" s="97"/>
      <c r="AK73" s="149"/>
      <c r="AL73" s="97"/>
      <c r="AM73" s="97"/>
      <c r="AN73" s="97"/>
      <c r="AO73" s="97"/>
      <c r="AP73" s="97"/>
      <c r="AQ73" s="149"/>
    </row>
    <row r="74" spans="1:43" x14ac:dyDescent="0.3">
      <c r="T74" s="97" t="str">
        <f>DATE</f>
        <v>FOR THE TWELVE MONTHS ENDED February 28, 2025</v>
      </c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149"/>
      <c r="AH74" s="97"/>
      <c r="AI74" s="97"/>
      <c r="AJ74" s="97"/>
      <c r="AK74" s="149"/>
      <c r="AL74" s="97"/>
      <c r="AM74" s="97"/>
      <c r="AN74" s="97"/>
      <c r="AO74" s="97"/>
      <c r="AP74" s="97"/>
      <c r="AQ74" s="149"/>
    </row>
    <row r="75" spans="1:43" x14ac:dyDescent="0.3">
      <c r="N75" s="110"/>
      <c r="P75" s="110"/>
      <c r="Q75" s="110"/>
      <c r="R75" s="110"/>
      <c r="T75" s="97" t="str">
        <f>SERVICE</f>
        <v>(ELECTRIC SERVICE)</v>
      </c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149"/>
      <c r="AH75" s="97"/>
      <c r="AI75" s="97"/>
      <c r="AJ75" s="97"/>
      <c r="AK75" s="149"/>
      <c r="AL75" s="97"/>
      <c r="AM75" s="97"/>
      <c r="AN75" s="97"/>
      <c r="AO75" s="97"/>
      <c r="AP75" s="97"/>
      <c r="AQ75" s="149"/>
    </row>
    <row r="76" spans="1:43" x14ac:dyDescent="0.3">
      <c r="N76" s="110"/>
      <c r="T76" s="98" t="str">
        <f>DATA_PERIOD</f>
        <v>DATA: __X__ BASE PERIOD   ____FORECASTED PERIOD</v>
      </c>
      <c r="AO76" s="99" t="s">
        <v>157</v>
      </c>
      <c r="AP76" s="99"/>
    </row>
    <row r="77" spans="1:43" x14ac:dyDescent="0.3">
      <c r="N77" s="110"/>
      <c r="T77" s="98" t="str">
        <f>TYPE</f>
        <v>TYPE OF FILING: _X_ ORIGINAL   ___UPDATED  ___ REVISED</v>
      </c>
      <c r="AO77" s="116" t="str">
        <f>"PAGE 5 OF "&amp;TEXT(Page_Num_2.2,"00")</f>
        <v>PAGE 5 OF 24</v>
      </c>
      <c r="AP77" s="99"/>
    </row>
    <row r="78" spans="1:43" x14ac:dyDescent="0.3">
      <c r="H78" s="99"/>
      <c r="J78" s="99"/>
      <c r="T78" s="99" t="s">
        <v>170</v>
      </c>
      <c r="AO78" s="99" t="s">
        <v>3</v>
      </c>
      <c r="AP78" s="99"/>
    </row>
    <row r="79" spans="1:43" x14ac:dyDescent="0.3">
      <c r="T79" s="124" t="str">
        <f>TIME</f>
        <v>6 Months Actual and 6 Months Projected with Riders</v>
      </c>
      <c r="AO79" s="98" t="str">
        <f>WIT</f>
        <v>B. L. Sailers</v>
      </c>
    </row>
    <row r="80" spans="1:43" x14ac:dyDescent="0.3">
      <c r="T80" s="124" t="str">
        <f>INPUT!B5</f>
        <v>6 Months Actual Ending August 31, 2024</v>
      </c>
    </row>
    <row r="81" spans="1:43" x14ac:dyDescent="0.3">
      <c r="P81" s="99"/>
      <c r="T81" s="97" t="s">
        <v>130</v>
      </c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149"/>
      <c r="AH81" s="97"/>
      <c r="AI81" s="97"/>
      <c r="AJ81" s="97"/>
      <c r="AK81" s="149"/>
      <c r="AL81" s="97"/>
      <c r="AM81" s="97"/>
      <c r="AN81" s="97"/>
      <c r="AO81" s="97"/>
      <c r="AP81" s="97"/>
      <c r="AQ81" s="149"/>
    </row>
    <row r="82" spans="1:43" x14ac:dyDescent="0.3">
      <c r="R82" s="99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50"/>
      <c r="AH82" s="100"/>
      <c r="AI82" s="100"/>
      <c r="AJ82" s="100"/>
      <c r="AK82" s="150"/>
      <c r="AL82" s="100"/>
      <c r="AM82" s="100"/>
      <c r="AN82" s="100"/>
      <c r="AO82" s="100"/>
      <c r="AP82" s="100"/>
      <c r="AQ82" s="150"/>
    </row>
    <row r="83" spans="1:43" ht="18" customHeight="1" x14ac:dyDescent="0.3">
      <c r="R83" s="99"/>
      <c r="AE83" s="102" t="s">
        <v>8</v>
      </c>
      <c r="AF83" s="102"/>
      <c r="AG83" s="151" t="s">
        <v>7</v>
      </c>
      <c r="AH83" s="102"/>
      <c r="AI83" s="102" t="s">
        <v>9</v>
      </c>
      <c r="AJ83" s="102"/>
      <c r="AK83" s="151" t="s">
        <v>10</v>
      </c>
      <c r="AL83" s="102"/>
      <c r="AO83" s="102" t="s">
        <v>8</v>
      </c>
      <c r="AP83" s="102"/>
      <c r="AQ83" s="151" t="s">
        <v>11</v>
      </c>
    </row>
    <row r="84" spans="1:43" x14ac:dyDescent="0.3">
      <c r="A84" s="99"/>
      <c r="R84" s="99"/>
      <c r="AC84" s="102" t="s">
        <v>14</v>
      </c>
      <c r="AD84" s="102"/>
      <c r="AE84" s="102" t="s">
        <v>12</v>
      </c>
      <c r="AF84" s="102"/>
      <c r="AG84" s="151" t="s">
        <v>13</v>
      </c>
      <c r="AH84" s="102"/>
      <c r="AI84" s="102" t="s">
        <v>15</v>
      </c>
      <c r="AJ84" s="102"/>
      <c r="AK84" s="151" t="s">
        <v>16</v>
      </c>
      <c r="AL84" s="102"/>
      <c r="AO84" s="102" t="s">
        <v>11</v>
      </c>
      <c r="AP84" s="102"/>
      <c r="AQ84" s="151" t="s">
        <v>9</v>
      </c>
    </row>
    <row r="85" spans="1:43" x14ac:dyDescent="0.3">
      <c r="O85" s="99"/>
      <c r="T85" s="102" t="s">
        <v>17</v>
      </c>
      <c r="V85" s="102" t="s">
        <v>18</v>
      </c>
      <c r="W85" s="102" t="s">
        <v>19</v>
      </c>
      <c r="X85" s="102"/>
      <c r="Y85" s="102" t="s">
        <v>20</v>
      </c>
      <c r="AC85" s="102" t="s">
        <v>8</v>
      </c>
      <c r="AD85" s="102"/>
      <c r="AE85" s="102" t="s">
        <v>593</v>
      </c>
      <c r="AF85" s="102"/>
      <c r="AG85" s="151" t="s">
        <v>593</v>
      </c>
      <c r="AH85" s="102"/>
      <c r="AI85" s="103" t="s">
        <v>708</v>
      </c>
      <c r="AJ85" s="102"/>
      <c r="AK85" s="152" t="s">
        <v>708</v>
      </c>
      <c r="AL85" s="102"/>
      <c r="AM85" s="102" t="s">
        <v>593</v>
      </c>
      <c r="AN85" s="102"/>
      <c r="AO85" s="102" t="s">
        <v>9</v>
      </c>
      <c r="AP85" s="102"/>
      <c r="AQ85" s="151" t="s">
        <v>21</v>
      </c>
    </row>
    <row r="86" spans="1:43" x14ac:dyDescent="0.3">
      <c r="A86" s="101"/>
      <c r="B86" s="101"/>
      <c r="C86" s="101"/>
      <c r="D86" s="101"/>
      <c r="E86" s="101"/>
      <c r="F86" s="101"/>
      <c r="G86" s="101"/>
      <c r="H86" s="101"/>
      <c r="J86" s="101"/>
      <c r="L86" s="101"/>
      <c r="N86" s="101"/>
      <c r="O86" s="101"/>
      <c r="P86" s="101"/>
      <c r="Q86" s="101"/>
      <c r="R86" s="101"/>
      <c r="T86" s="102" t="s">
        <v>22</v>
      </c>
      <c r="V86" s="102" t="s">
        <v>23</v>
      </c>
      <c r="W86" s="102" t="s">
        <v>24</v>
      </c>
      <c r="X86" s="102"/>
      <c r="Y86" s="102" t="s">
        <v>25</v>
      </c>
      <c r="AA86" s="102" t="s">
        <v>26</v>
      </c>
      <c r="AB86" s="102"/>
      <c r="AC86" s="102" t="s">
        <v>27</v>
      </c>
      <c r="AD86" s="102"/>
      <c r="AE86" s="102" t="s">
        <v>9</v>
      </c>
      <c r="AF86" s="102"/>
      <c r="AG86" s="151" t="s">
        <v>9</v>
      </c>
      <c r="AH86" s="102"/>
      <c r="AI86" s="131" t="s">
        <v>29</v>
      </c>
      <c r="AJ86" s="131"/>
      <c r="AK86" s="165" t="s">
        <v>30</v>
      </c>
      <c r="AL86" s="102"/>
      <c r="AM86" s="102" t="s">
        <v>323</v>
      </c>
      <c r="AN86" s="102"/>
      <c r="AO86" s="131" t="s">
        <v>31</v>
      </c>
      <c r="AP86" s="131"/>
      <c r="AQ86" s="165" t="s">
        <v>32</v>
      </c>
    </row>
    <row r="87" spans="1:43" x14ac:dyDescent="0.3">
      <c r="O87" s="102"/>
      <c r="P87" s="102"/>
      <c r="R87" s="102"/>
      <c r="V87" s="131" t="s">
        <v>33</v>
      </c>
      <c r="W87" s="131" t="s">
        <v>34</v>
      </c>
      <c r="X87" s="131"/>
      <c r="Y87" s="131" t="s">
        <v>35</v>
      </c>
      <c r="Z87" s="134"/>
      <c r="AA87" s="131" t="s">
        <v>36</v>
      </c>
      <c r="AB87" s="131"/>
      <c r="AC87" s="131" t="s">
        <v>42</v>
      </c>
      <c r="AD87" s="131"/>
      <c r="AE87" s="131" t="s">
        <v>43</v>
      </c>
      <c r="AF87" s="131"/>
      <c r="AG87" s="165" t="s">
        <v>44</v>
      </c>
      <c r="AH87" s="131"/>
      <c r="AI87" s="131" t="s">
        <v>45</v>
      </c>
      <c r="AJ87" s="131"/>
      <c r="AK87" s="165" t="s">
        <v>46</v>
      </c>
      <c r="AL87" s="131"/>
      <c r="AM87" s="131" t="s">
        <v>40</v>
      </c>
      <c r="AN87" s="131"/>
      <c r="AO87" s="131" t="s">
        <v>47</v>
      </c>
      <c r="AP87" s="131"/>
      <c r="AQ87" s="165" t="s">
        <v>48</v>
      </c>
    </row>
    <row r="88" spans="1:43" x14ac:dyDescent="0.3">
      <c r="O88" s="102"/>
      <c r="P88" s="102"/>
      <c r="R88" s="102"/>
      <c r="T88" s="100"/>
      <c r="U88" s="100"/>
      <c r="V88" s="100"/>
      <c r="W88" s="100"/>
      <c r="X88" s="100"/>
      <c r="Y88" s="100"/>
      <c r="Z88" s="100"/>
      <c r="AA88" s="100"/>
      <c r="AB88" s="100"/>
      <c r="AC88" s="100"/>
      <c r="AD88" s="100"/>
      <c r="AE88" s="100"/>
      <c r="AF88" s="100"/>
      <c r="AG88" s="150"/>
      <c r="AH88" s="100"/>
      <c r="AI88" s="100"/>
      <c r="AJ88" s="100"/>
      <c r="AK88" s="150"/>
      <c r="AL88" s="100"/>
      <c r="AM88" s="100"/>
      <c r="AN88" s="100"/>
      <c r="AO88" s="100"/>
      <c r="AP88" s="100"/>
      <c r="AQ88" s="150"/>
    </row>
    <row r="89" spans="1:43" ht="17.100000000000001" customHeight="1" x14ac:dyDescent="0.3">
      <c r="A89" s="102"/>
      <c r="C89" s="102"/>
      <c r="D89" s="102"/>
      <c r="E89" s="102"/>
      <c r="F89" s="102"/>
      <c r="L89" s="102"/>
      <c r="N89" s="102"/>
      <c r="O89" s="102"/>
      <c r="P89" s="102"/>
      <c r="Q89" s="102"/>
      <c r="R89" s="102"/>
      <c r="AA89" s="167" t="s">
        <v>196</v>
      </c>
      <c r="AB89" s="166"/>
      <c r="AC89" s="167" t="s">
        <v>331</v>
      </c>
      <c r="AD89" s="166"/>
      <c r="AE89" s="166" t="s">
        <v>50</v>
      </c>
      <c r="AF89" s="166"/>
      <c r="AG89" s="168" t="s">
        <v>51</v>
      </c>
      <c r="AH89" s="166"/>
      <c r="AI89" s="166" t="s">
        <v>50</v>
      </c>
      <c r="AJ89" s="166"/>
      <c r="AK89" s="168" t="s">
        <v>51</v>
      </c>
      <c r="AL89" s="166"/>
      <c r="AM89" s="166" t="s">
        <v>50</v>
      </c>
      <c r="AN89" s="166"/>
      <c r="AO89" s="166" t="s">
        <v>50</v>
      </c>
      <c r="AP89" s="166"/>
      <c r="AQ89" s="168" t="s">
        <v>51</v>
      </c>
    </row>
    <row r="90" spans="1:43" x14ac:dyDescent="0.3">
      <c r="A90" s="102"/>
      <c r="C90" s="102"/>
      <c r="D90" s="102"/>
      <c r="E90" s="102"/>
      <c r="F90" s="102"/>
      <c r="H90" s="102"/>
      <c r="J90" s="102"/>
      <c r="L90" s="102"/>
      <c r="N90" s="102"/>
      <c r="O90" s="102"/>
      <c r="P90" s="102"/>
      <c r="Q90" s="102"/>
      <c r="R90" s="102"/>
      <c r="T90" s="98">
        <f t="shared" ref="T90:T95" si="0">A20</f>
        <v>1</v>
      </c>
      <c r="V90" s="124" t="s">
        <v>376</v>
      </c>
      <c r="W90" s="124" t="s">
        <v>377</v>
      </c>
      <c r="X90" s="99"/>
      <c r="Y90" s="1"/>
      <c r="Z90" s="1"/>
      <c r="AA90" s="215"/>
      <c r="AB90" s="215"/>
      <c r="AC90" s="167" t="s">
        <v>328</v>
      </c>
      <c r="AD90" s="215"/>
      <c r="AE90" s="215"/>
      <c r="AF90" s="215"/>
      <c r="AG90" s="219"/>
      <c r="AH90" s="215"/>
      <c r="AI90" s="215"/>
      <c r="AJ90" s="215"/>
      <c r="AK90" s="219"/>
      <c r="AL90" s="215"/>
      <c r="AM90" s="215"/>
      <c r="AN90" s="215"/>
      <c r="AO90" s="215"/>
      <c r="AP90" s="215"/>
      <c r="AQ90" s="219"/>
    </row>
    <row r="91" spans="1:43" x14ac:dyDescent="0.3">
      <c r="C91" s="102"/>
      <c r="D91" s="102"/>
      <c r="E91" s="102"/>
      <c r="F91" s="102"/>
      <c r="H91" s="102"/>
      <c r="J91" s="102"/>
      <c r="L91" s="102"/>
      <c r="N91" s="102"/>
      <c r="O91" s="102"/>
      <c r="P91" s="102"/>
      <c r="Q91" s="102"/>
      <c r="R91" s="102"/>
      <c r="T91" s="98">
        <f t="shared" si="0"/>
        <v>2</v>
      </c>
      <c r="V91" s="124" t="s">
        <v>54</v>
      </c>
      <c r="Y91" s="1"/>
      <c r="Z91" s="1"/>
      <c r="AA91" s="1"/>
      <c r="AB91" s="1"/>
      <c r="AC91" s="1"/>
      <c r="AD91" s="1"/>
      <c r="AE91" s="1"/>
      <c r="AF91" s="1"/>
      <c r="AG91" s="154"/>
      <c r="AH91" s="1"/>
      <c r="AI91" s="1"/>
      <c r="AJ91" s="1"/>
      <c r="AK91" s="154"/>
      <c r="AL91" s="1"/>
      <c r="AM91" s="1"/>
      <c r="AN91" s="1"/>
      <c r="AO91" s="1"/>
      <c r="AP91" s="1"/>
      <c r="AQ91" s="154"/>
    </row>
    <row r="92" spans="1:43" x14ac:dyDescent="0.3">
      <c r="H92" s="102"/>
      <c r="J92" s="102"/>
      <c r="L92" s="102"/>
      <c r="N92" s="102"/>
      <c r="O92" s="102"/>
      <c r="P92" s="102"/>
      <c r="Q92" s="102"/>
      <c r="R92" s="102"/>
      <c r="T92" s="98">
        <f t="shared" si="0"/>
        <v>3</v>
      </c>
      <c r="V92" s="124" t="s">
        <v>133</v>
      </c>
      <c r="Y92" s="1"/>
      <c r="Z92" s="1"/>
      <c r="AA92" s="1"/>
      <c r="AB92" s="1"/>
      <c r="AC92" s="1"/>
      <c r="AD92" s="1"/>
      <c r="AE92" s="1"/>
      <c r="AF92" s="1"/>
      <c r="AG92" s="154"/>
      <c r="AH92" s="1"/>
      <c r="AI92" s="1"/>
      <c r="AJ92" s="1"/>
      <c r="AK92" s="154"/>
      <c r="AL92" s="1"/>
      <c r="AM92" s="1"/>
      <c r="AN92" s="1"/>
      <c r="AO92" s="1"/>
      <c r="AP92" s="1"/>
      <c r="AQ92" s="154"/>
    </row>
    <row r="93" spans="1:43" x14ac:dyDescent="0.3">
      <c r="C93" s="99"/>
      <c r="D93" s="99"/>
      <c r="E93" s="99"/>
      <c r="T93" s="98">
        <f t="shared" si="0"/>
        <v>4</v>
      </c>
      <c r="V93" s="99" t="s">
        <v>134</v>
      </c>
      <c r="Y93" s="106">
        <f>F23</f>
        <v>0</v>
      </c>
      <c r="Z93" s="1"/>
      <c r="AA93" s="147"/>
      <c r="AB93" s="147"/>
      <c r="AC93" s="181">
        <f>INPUT!C68</f>
        <v>63.5</v>
      </c>
      <c r="AD93" s="180"/>
      <c r="AE93" s="106">
        <f>ROUND(+Y93*AC93,0)</f>
        <v>0</v>
      </c>
      <c r="AF93" s="1"/>
      <c r="AG93" s="154">
        <f>ROUND((+AE93/$AE$133)*100,1)</f>
        <v>0</v>
      </c>
      <c r="AH93" s="1"/>
      <c r="AI93" s="106">
        <f>L23-AE93</f>
        <v>0</v>
      </c>
      <c r="AJ93" s="106"/>
      <c r="AK93" s="154">
        <f>IF(AE93=0,0,ROUND((AI93/AE93)*100,1))</f>
        <v>0</v>
      </c>
      <c r="AL93" s="138"/>
      <c r="AM93" s="106"/>
      <c r="AN93" s="1"/>
      <c r="AO93" s="106">
        <f>AE93+AM93</f>
        <v>0</v>
      </c>
      <c r="AP93" s="1"/>
      <c r="AQ93" s="202">
        <v>0</v>
      </c>
    </row>
    <row r="94" spans="1:43" x14ac:dyDescent="0.3">
      <c r="C94" s="99"/>
      <c r="T94" s="98">
        <f t="shared" si="0"/>
        <v>5</v>
      </c>
      <c r="V94" s="99" t="s">
        <v>135</v>
      </c>
      <c r="Y94" s="106">
        <f>F24</f>
        <v>466</v>
      </c>
      <c r="Z94" s="1"/>
      <c r="AA94" s="147"/>
      <c r="AB94" s="147"/>
      <c r="AC94" s="181">
        <f>INPUT!C69</f>
        <v>127</v>
      </c>
      <c r="AD94" s="180"/>
      <c r="AE94" s="106">
        <f>ROUND(+Y94*AC94,0)</f>
        <v>59182</v>
      </c>
      <c r="AF94" s="1"/>
      <c r="AG94" s="154">
        <f>ROUND((+AE94/$AE$133)*100,1)</f>
        <v>0.1</v>
      </c>
      <c r="AH94" s="1"/>
      <c r="AI94" s="106">
        <f>L24-AE94</f>
        <v>466</v>
      </c>
      <c r="AJ94" s="106"/>
      <c r="AK94" s="154">
        <f>IF(AE94=0,0,ROUND((AI94/AE94)*100,1))</f>
        <v>0.8</v>
      </c>
      <c r="AL94" s="138"/>
      <c r="AM94" s="106"/>
      <c r="AN94" s="1"/>
      <c r="AO94" s="106">
        <f>AE94+AM94</f>
        <v>59182</v>
      </c>
      <c r="AP94" s="1"/>
      <c r="AQ94" s="156">
        <f>ROUND((+AI94/AO94)*100,1)</f>
        <v>0.8</v>
      </c>
    </row>
    <row r="95" spans="1:43" ht="20.100000000000001" customHeight="1" x14ac:dyDescent="0.3">
      <c r="C95" s="99"/>
      <c r="F95" s="172"/>
      <c r="H95" s="172"/>
      <c r="J95" s="172"/>
      <c r="L95" s="181"/>
      <c r="N95" s="181"/>
      <c r="O95" s="110"/>
      <c r="P95" s="141"/>
      <c r="R95" s="110"/>
      <c r="T95" s="98">
        <f t="shared" si="0"/>
        <v>6</v>
      </c>
      <c r="V95" s="124" t="s">
        <v>136</v>
      </c>
      <c r="Y95" s="112">
        <f>F25</f>
        <v>466</v>
      </c>
      <c r="Z95" s="1"/>
      <c r="AA95" s="106"/>
      <c r="AB95" s="106"/>
      <c r="AC95" s="136"/>
      <c r="AD95" s="136"/>
      <c r="AE95" s="112">
        <f>SUM(AE93:AE94)</f>
        <v>59182</v>
      </c>
      <c r="AF95" s="1"/>
      <c r="AG95" s="158">
        <f>ROUND((+AE95/$AE$133)*100,1)</f>
        <v>0.1</v>
      </c>
      <c r="AH95" s="1"/>
      <c r="AI95" s="112">
        <f>SUM(AI93:AI94)</f>
        <v>466</v>
      </c>
      <c r="AJ95" s="106"/>
      <c r="AK95" s="158">
        <f>IF(AE95=0,0,ROUND((AI95/AE95)*100,1))</f>
        <v>0.8</v>
      </c>
      <c r="AL95" s="138"/>
      <c r="AM95" s="112"/>
      <c r="AN95" s="1"/>
      <c r="AO95" s="112">
        <f>SUM(AO93:AO94)</f>
        <v>59182</v>
      </c>
      <c r="AP95" s="1"/>
      <c r="AQ95" s="156">
        <f>ROUND((+AI95/AO95)*100,1)</f>
        <v>0.8</v>
      </c>
    </row>
    <row r="96" spans="1:43" x14ac:dyDescent="0.3">
      <c r="C96" s="99"/>
      <c r="F96" s="172"/>
      <c r="H96" s="172"/>
      <c r="J96" s="172"/>
      <c r="L96" s="181"/>
      <c r="N96" s="181"/>
      <c r="O96" s="110"/>
      <c r="P96" s="141"/>
      <c r="R96" s="110"/>
      <c r="V96" s="99"/>
      <c r="Y96" s="106"/>
      <c r="Z96" s="1"/>
      <c r="AA96" s="106"/>
      <c r="AB96" s="106"/>
      <c r="AC96" s="136"/>
      <c r="AD96" s="136"/>
      <c r="AE96" s="106"/>
      <c r="AF96" s="1"/>
      <c r="AG96" s="154"/>
      <c r="AH96" s="1"/>
      <c r="AI96" s="106"/>
      <c r="AJ96" s="106"/>
      <c r="AK96" s="154"/>
      <c r="AL96" s="138"/>
      <c r="AM96" s="106"/>
      <c r="AN96" s="1"/>
      <c r="AO96" s="106"/>
      <c r="AP96" s="1"/>
      <c r="AQ96" s="154"/>
    </row>
    <row r="97" spans="3:43" x14ac:dyDescent="0.3">
      <c r="C97" s="99"/>
      <c r="F97" s="172"/>
      <c r="H97" s="172"/>
      <c r="J97" s="172"/>
      <c r="L97" s="181"/>
      <c r="N97" s="181"/>
      <c r="O97" s="110"/>
      <c r="P97" s="141"/>
      <c r="R97" s="110"/>
      <c r="T97" s="98">
        <f>A27</f>
        <v>7</v>
      </c>
      <c r="V97" s="124" t="s">
        <v>63</v>
      </c>
      <c r="Y97" s="147"/>
      <c r="Z97" s="1"/>
      <c r="AA97" s="147"/>
      <c r="AB97" s="147"/>
      <c r="AC97" s="240"/>
      <c r="AD97" s="240"/>
      <c r="AE97" s="106"/>
      <c r="AF97" s="1"/>
      <c r="AG97" s="154"/>
      <c r="AH97" s="1"/>
      <c r="AI97" s="106"/>
      <c r="AJ97" s="106"/>
      <c r="AK97" s="154"/>
      <c r="AL97" s="175"/>
      <c r="AM97" s="106"/>
      <c r="AN97" s="1"/>
      <c r="AO97" s="106"/>
      <c r="AP97" s="1"/>
      <c r="AQ97" s="154"/>
    </row>
    <row r="98" spans="3:43" x14ac:dyDescent="0.3">
      <c r="F98" s="192"/>
      <c r="H98" s="110"/>
      <c r="J98" s="110"/>
      <c r="L98" s="217"/>
      <c r="N98" s="217"/>
      <c r="O98" s="192"/>
      <c r="P98" s="192"/>
      <c r="Q98" s="192"/>
      <c r="R98" s="192"/>
      <c r="T98" s="98">
        <f>A28</f>
        <v>8</v>
      </c>
      <c r="V98" s="99" t="s">
        <v>64</v>
      </c>
      <c r="Y98" s="147"/>
      <c r="Z98" s="1"/>
      <c r="AA98" s="106">
        <f>H28</f>
        <v>444209.3925252998</v>
      </c>
      <c r="AB98" s="106"/>
      <c r="AC98" s="180">
        <f>CUR_DT_SUM_PEAK_ON</f>
        <v>14.71</v>
      </c>
      <c r="AD98" s="180"/>
      <c r="AE98" s="106">
        <f>ROUND(+AA98*AC98,0)</f>
        <v>6534320</v>
      </c>
      <c r="AF98" s="1"/>
      <c r="AG98" s="154">
        <f>ROUND((+AE98/$AE$133)*100,1)</f>
        <v>10.8</v>
      </c>
      <c r="AH98" s="1"/>
      <c r="AI98" s="106">
        <f>L28-AE98</f>
        <v>897303</v>
      </c>
      <c r="AJ98" s="106"/>
      <c r="AK98" s="154">
        <f>IF(AE98=0,0,ROUND((AI98/AE98)*100,1))</f>
        <v>13.7</v>
      </c>
      <c r="AL98" s="138"/>
      <c r="AM98" s="106"/>
      <c r="AN98" s="1"/>
      <c r="AO98" s="106">
        <f>AE98+AM98</f>
        <v>6534320</v>
      </c>
      <c r="AP98" s="1"/>
      <c r="AQ98" s="154">
        <f>ROUND((+AI98/AO98)*100,1)</f>
        <v>13.7</v>
      </c>
    </row>
    <row r="99" spans="3:43" x14ac:dyDescent="0.3">
      <c r="C99" s="99"/>
      <c r="F99" s="110"/>
      <c r="H99" s="110"/>
      <c r="J99" s="110"/>
      <c r="L99" s="217"/>
      <c r="N99" s="217"/>
      <c r="O99" s="110"/>
      <c r="P99" s="141"/>
      <c r="Q99" s="110"/>
      <c r="R99" s="110"/>
      <c r="T99" s="98">
        <f>A29</f>
        <v>9</v>
      </c>
      <c r="V99" s="99" t="s">
        <v>65</v>
      </c>
      <c r="Y99" s="147"/>
      <c r="Z99" s="1"/>
      <c r="AA99" s="106">
        <f>H29</f>
        <v>5399.4010119620089</v>
      </c>
      <c r="AB99" s="106"/>
      <c r="AC99" s="180">
        <f>CUR_DT_SUM_PK_OFF</f>
        <v>1.32</v>
      </c>
      <c r="AD99" s="180"/>
      <c r="AE99" s="106">
        <f>ROUND(+AA99*AC99,0)</f>
        <v>7127</v>
      </c>
      <c r="AF99" s="1"/>
      <c r="AG99" s="154">
        <f>ROUND((+AE99/$AE$133)*100,1)</f>
        <v>0</v>
      </c>
      <c r="AH99" s="1"/>
      <c r="AI99" s="106">
        <f>L29-AE99</f>
        <v>972</v>
      </c>
      <c r="AJ99" s="106"/>
      <c r="AK99" s="154">
        <f>IF(AE99=0,0,ROUND((AI99/AE99)*100,1))</f>
        <v>13.6</v>
      </c>
      <c r="AL99" s="138"/>
      <c r="AM99" s="106"/>
      <c r="AN99" s="1"/>
      <c r="AO99" s="106">
        <f>AE99+AM99</f>
        <v>7127</v>
      </c>
      <c r="AP99" s="1"/>
      <c r="AQ99" s="154">
        <f>ROUND((+AI99/AO99)*100,1)</f>
        <v>13.6</v>
      </c>
    </row>
    <row r="100" spans="3:43" x14ac:dyDescent="0.3">
      <c r="C100" s="99"/>
      <c r="F100" s="110"/>
      <c r="H100" s="110"/>
      <c r="J100" s="110"/>
      <c r="L100" s="217"/>
      <c r="N100" s="217"/>
      <c r="O100" s="110"/>
      <c r="P100" s="141"/>
      <c r="Q100" s="110"/>
      <c r="R100" s="110"/>
      <c r="T100" s="98">
        <f>A30</f>
        <v>10</v>
      </c>
      <c r="V100" s="99" t="s">
        <v>717</v>
      </c>
      <c r="Y100" s="147"/>
      <c r="Z100" s="1"/>
      <c r="AA100" s="117">
        <f>AA98+AA99</f>
        <v>449608.79353726184</v>
      </c>
      <c r="AB100" s="106"/>
      <c r="AC100" s="180">
        <f>INPUT!$C$82</f>
        <v>6.07</v>
      </c>
      <c r="AD100" s="180"/>
      <c r="AE100" s="106">
        <f>ROUND(+AA100*AC100,0)</f>
        <v>2729125</v>
      </c>
      <c r="AF100" s="1"/>
      <c r="AG100" s="154">
        <f>ROUND((+AE100/$AE$133)*100,1)</f>
        <v>4.5</v>
      </c>
      <c r="AH100" s="1"/>
      <c r="AI100" s="106">
        <f>L30-AE100</f>
        <v>764335</v>
      </c>
      <c r="AJ100" s="106"/>
      <c r="AK100" s="156">
        <f>IF(AE100=0,0,ROUND((AI100/AE100)*100,1))</f>
        <v>28</v>
      </c>
      <c r="AL100" s="138"/>
      <c r="AM100" s="106"/>
      <c r="AN100" s="1"/>
      <c r="AO100" s="106">
        <f>AE100+AM100</f>
        <v>2729125</v>
      </c>
      <c r="AP100" s="1"/>
      <c r="AQ100" s="156">
        <f>ROUND((+AI100/AO100)*100,1)</f>
        <v>28</v>
      </c>
    </row>
    <row r="101" spans="3:43" ht="20.100000000000001" customHeight="1" x14ac:dyDescent="0.3">
      <c r="C101" s="99"/>
      <c r="F101" s="172"/>
      <c r="H101" s="172"/>
      <c r="J101" s="172"/>
      <c r="L101" s="227"/>
      <c r="N101" s="227"/>
      <c r="O101" s="110"/>
      <c r="P101" s="141"/>
      <c r="Q101" s="110"/>
      <c r="R101" s="110"/>
      <c r="S101" s="110"/>
      <c r="T101" s="98">
        <f>A31</f>
        <v>11</v>
      </c>
      <c r="V101" s="124" t="s">
        <v>66</v>
      </c>
      <c r="Y101" s="106"/>
      <c r="Z101" s="1"/>
      <c r="AA101" s="112">
        <f>H31</f>
        <v>449608.79353726184</v>
      </c>
      <c r="AB101" s="106"/>
      <c r="AC101" s="171"/>
      <c r="AD101" s="171"/>
      <c r="AE101" s="112">
        <f>SUM(AE98:AE100)</f>
        <v>9270572</v>
      </c>
      <c r="AF101" s="1"/>
      <c r="AG101" s="158">
        <f>ROUND((+AE101/$AE$133)*100,1)</f>
        <v>15.4</v>
      </c>
      <c r="AH101" s="1"/>
      <c r="AI101" s="112">
        <f>SUM(AI98:AI100)</f>
        <v>1662610</v>
      </c>
      <c r="AJ101" s="106"/>
      <c r="AK101" s="158">
        <f>IF(AE101=0,0,ROUND((AI101/AE101)*100,1))</f>
        <v>17.899999999999999</v>
      </c>
      <c r="AL101" s="138"/>
      <c r="AM101" s="112"/>
      <c r="AN101" s="1"/>
      <c r="AO101" s="112">
        <f>SUM(AO98:AO100)</f>
        <v>9270572</v>
      </c>
      <c r="AP101" s="1"/>
      <c r="AQ101" s="156">
        <f>ROUND((+AI101/AO101)*100,1)</f>
        <v>17.899999999999999</v>
      </c>
    </row>
    <row r="102" spans="3:43" x14ac:dyDescent="0.3">
      <c r="C102" s="99"/>
      <c r="F102" s="172"/>
      <c r="H102" s="172"/>
      <c r="J102" s="172"/>
      <c r="L102" s="227"/>
      <c r="N102" s="227"/>
      <c r="O102" s="110"/>
      <c r="P102" s="141"/>
      <c r="Q102" s="110"/>
      <c r="R102" s="110"/>
      <c r="S102" s="110"/>
      <c r="V102" s="99"/>
      <c r="Y102" s="106"/>
      <c r="Z102" s="1"/>
      <c r="AA102" s="106"/>
      <c r="AB102" s="106"/>
      <c r="AC102" s="171"/>
      <c r="AD102" s="171"/>
      <c r="AE102" s="106"/>
      <c r="AF102" s="1"/>
      <c r="AG102" s="154"/>
      <c r="AH102" s="1"/>
      <c r="AI102" s="106"/>
      <c r="AJ102" s="106"/>
      <c r="AK102" s="154"/>
      <c r="AL102" s="138"/>
      <c r="AM102" s="106"/>
      <c r="AN102" s="1"/>
      <c r="AO102" s="106"/>
      <c r="AP102" s="1"/>
      <c r="AQ102" s="154"/>
    </row>
    <row r="103" spans="3:43" x14ac:dyDescent="0.3">
      <c r="C103" s="99"/>
      <c r="H103" s="172"/>
      <c r="J103" s="172"/>
      <c r="L103" s="228"/>
      <c r="N103" s="228"/>
      <c r="O103" s="110"/>
      <c r="P103" s="141"/>
      <c r="Q103" s="110"/>
      <c r="R103" s="110"/>
      <c r="T103" s="98">
        <f>A33</f>
        <v>12</v>
      </c>
      <c r="V103" s="169" t="s">
        <v>371</v>
      </c>
      <c r="Y103" s="106"/>
      <c r="Z103" s="1"/>
      <c r="AA103" s="106"/>
      <c r="AB103" s="106"/>
      <c r="AC103" s="136"/>
      <c r="AD103" s="136"/>
      <c r="AE103" s="106"/>
      <c r="AF103" s="1"/>
      <c r="AG103" s="154"/>
      <c r="AH103" s="1"/>
      <c r="AI103" s="106"/>
      <c r="AJ103" s="106"/>
      <c r="AK103" s="154"/>
      <c r="AL103" s="138"/>
      <c r="AM103" s="106"/>
      <c r="AN103" s="1"/>
      <c r="AO103" s="106"/>
      <c r="AP103" s="1"/>
      <c r="AQ103" s="154"/>
    </row>
    <row r="104" spans="3:43" x14ac:dyDescent="0.3">
      <c r="C104" s="99"/>
      <c r="H104" s="172"/>
      <c r="J104" s="172"/>
      <c r="L104" s="228"/>
      <c r="N104" s="228"/>
      <c r="O104" s="110"/>
      <c r="P104" s="141"/>
      <c r="Q104" s="110"/>
      <c r="R104" s="110"/>
      <c r="T104" s="98">
        <f>A34</f>
        <v>13</v>
      </c>
      <c r="V104" s="99" t="s">
        <v>383</v>
      </c>
      <c r="Y104" s="106"/>
      <c r="Z104" s="1"/>
      <c r="AA104" s="106">
        <f>H34</f>
        <v>65816394.282999992</v>
      </c>
      <c r="AB104" s="106"/>
      <c r="AC104" s="244">
        <f>CUR_DT_SUM_E_ON</f>
        <v>5.6746999999999999E-2</v>
      </c>
      <c r="AD104" s="185"/>
      <c r="AE104" s="106">
        <f>ROUND((+AA104*AC104),0)-AM104</f>
        <v>3734883</v>
      </c>
      <c r="AF104" s="1"/>
      <c r="AG104" s="154">
        <f>ROUND((+AE104/$AE$133)*100,1)</f>
        <v>6.2</v>
      </c>
      <c r="AH104" s="1"/>
      <c r="AI104" s="106">
        <f>L34-AE104</f>
        <v>512117</v>
      </c>
      <c r="AJ104" s="106"/>
      <c r="AK104" s="154">
        <f>IF(AE104=0,0,ROUND((AI104/AE104)*100,1))</f>
        <v>13.7</v>
      </c>
      <c r="AL104" s="138"/>
      <c r="AM104" s="106"/>
      <c r="AN104" s="1"/>
      <c r="AO104" s="106">
        <f>AE104+AM104</f>
        <v>3734883</v>
      </c>
      <c r="AP104" s="1"/>
      <c r="AQ104" s="154">
        <f>ROUND((+AI104/AO104)*100,1)</f>
        <v>13.7</v>
      </c>
    </row>
    <row r="105" spans="3:43" x14ac:dyDescent="0.3">
      <c r="F105" s="110"/>
      <c r="H105" s="110"/>
      <c r="J105" s="110"/>
      <c r="L105" s="217"/>
      <c r="N105" s="217"/>
      <c r="O105" s="192"/>
      <c r="P105" s="192"/>
      <c r="Q105" s="192"/>
      <c r="R105" s="192"/>
      <c r="T105" s="98">
        <f>A35</f>
        <v>14</v>
      </c>
      <c r="V105" s="99" t="s">
        <v>384</v>
      </c>
      <c r="Y105" s="177"/>
      <c r="Z105" s="1"/>
      <c r="AA105" s="117">
        <f>H35</f>
        <v>157900437.22586781</v>
      </c>
      <c r="AB105" s="106"/>
      <c r="AC105" s="244">
        <f>CUR_DT_SUM_E_OFF</f>
        <v>4.8348000000000002E-2</v>
      </c>
      <c r="AD105" s="185"/>
      <c r="AE105" s="117">
        <f>ROUND((+AA105*AC105),0)-AM105</f>
        <v>7634170</v>
      </c>
      <c r="AF105" s="1"/>
      <c r="AG105" s="154">
        <f>ROUND((+AE105/$AE$133)*100,1)</f>
        <v>12.7</v>
      </c>
      <c r="AH105" s="1"/>
      <c r="AI105" s="117">
        <f>L35-AE105</f>
        <v>1046564</v>
      </c>
      <c r="AJ105" s="106"/>
      <c r="AK105" s="156">
        <f>IF(AE105=0,0,ROUND((AI105/AE105)*100,1))</f>
        <v>13.7</v>
      </c>
      <c r="AL105" s="138"/>
      <c r="AM105" s="117"/>
      <c r="AN105" s="1"/>
      <c r="AO105" s="117">
        <f>AE105+AM105</f>
        <v>7634170</v>
      </c>
      <c r="AP105" s="1"/>
      <c r="AQ105" s="156">
        <f>ROUND((+AI105/AO105)*100,1)</f>
        <v>13.7</v>
      </c>
    </row>
    <row r="106" spans="3:43" ht="22.5" customHeight="1" x14ac:dyDescent="0.3">
      <c r="F106" s="110"/>
      <c r="H106" s="110"/>
      <c r="J106" s="110"/>
      <c r="L106" s="217"/>
      <c r="N106" s="217"/>
      <c r="O106" s="192"/>
      <c r="P106" s="192"/>
      <c r="Q106" s="192"/>
      <c r="R106" s="192"/>
      <c r="T106" s="98">
        <f>A36</f>
        <v>15</v>
      </c>
      <c r="V106" s="124" t="s">
        <v>56</v>
      </c>
      <c r="Y106" s="112">
        <f>F36</f>
        <v>466</v>
      </c>
      <c r="Z106" s="1"/>
      <c r="AA106" s="112">
        <f>H36</f>
        <v>223716831.5088678</v>
      </c>
      <c r="AB106" s="106"/>
      <c r="AC106" s="171"/>
      <c r="AD106" s="171"/>
      <c r="AE106" s="112">
        <f>AE95+AE101+AE104+AE105</f>
        <v>20698807</v>
      </c>
      <c r="AF106" s="1"/>
      <c r="AG106" s="158">
        <f>ROUND((+AE106/$AE$133)*100,1)</f>
        <v>34.299999999999997</v>
      </c>
      <c r="AH106" s="1"/>
      <c r="AI106" s="112">
        <f>AI95+AI101+AI104+AI105</f>
        <v>3221757</v>
      </c>
      <c r="AJ106" s="106"/>
      <c r="AK106" s="158">
        <f>IF(AE106=0,0,ROUND((AI106/AE106)*100,1))</f>
        <v>15.6</v>
      </c>
      <c r="AL106" s="138"/>
      <c r="AM106" s="112"/>
      <c r="AN106" s="1"/>
      <c r="AO106" s="112">
        <f>AO95+AO101+AO104+AO105</f>
        <v>20698807</v>
      </c>
      <c r="AP106" s="1"/>
      <c r="AQ106" s="156">
        <f>ROUND((+AI106/AO106)*100,1)</f>
        <v>15.6</v>
      </c>
    </row>
    <row r="107" spans="3:43" x14ac:dyDescent="0.3">
      <c r="F107" s="110"/>
      <c r="H107" s="110"/>
      <c r="J107" s="110"/>
      <c r="L107" s="217"/>
      <c r="N107" s="217"/>
      <c r="O107" s="192"/>
      <c r="P107" s="192"/>
      <c r="Q107" s="192"/>
      <c r="R107" s="192"/>
      <c r="V107" s="99"/>
      <c r="Y107" s="106"/>
      <c r="Z107" s="1"/>
      <c r="AA107" s="106"/>
      <c r="AB107" s="106"/>
      <c r="AC107" s="171"/>
      <c r="AD107" s="171"/>
      <c r="AE107" s="106"/>
      <c r="AF107" s="1"/>
      <c r="AG107" s="154"/>
      <c r="AH107" s="1"/>
      <c r="AI107" s="106"/>
      <c r="AJ107" s="106"/>
      <c r="AK107" s="154"/>
      <c r="AL107" s="138"/>
      <c r="AM107" s="106"/>
      <c r="AN107" s="1"/>
      <c r="AO107" s="106"/>
      <c r="AP107" s="1"/>
      <c r="AQ107" s="154"/>
    </row>
    <row r="108" spans="3:43" x14ac:dyDescent="0.3">
      <c r="C108" s="99"/>
      <c r="F108" s="110"/>
      <c r="H108" s="172"/>
      <c r="J108" s="172"/>
      <c r="L108" s="222"/>
      <c r="N108" s="222"/>
      <c r="O108" s="110"/>
      <c r="P108" s="141"/>
      <c r="Q108" s="110"/>
      <c r="R108" s="110"/>
      <c r="T108" s="98">
        <f>A38</f>
        <v>16</v>
      </c>
      <c r="V108" s="124" t="s">
        <v>57</v>
      </c>
      <c r="Y108" s="147"/>
      <c r="Z108" s="1"/>
      <c r="AA108" s="147"/>
      <c r="AB108" s="147"/>
      <c r="AC108" s="171"/>
      <c r="AD108" s="171"/>
      <c r="AE108" s="106"/>
      <c r="AF108" s="1"/>
      <c r="AG108" s="154"/>
      <c r="AH108" s="1"/>
      <c r="AI108" s="106"/>
      <c r="AJ108" s="106"/>
      <c r="AK108" s="154"/>
      <c r="AL108" s="1"/>
      <c r="AM108" s="106"/>
      <c r="AN108" s="1"/>
      <c r="AO108" s="106"/>
      <c r="AP108" s="1"/>
      <c r="AQ108" s="154"/>
    </row>
    <row r="109" spans="3:43" x14ac:dyDescent="0.3">
      <c r="C109" s="99"/>
      <c r="F109" s="110"/>
      <c r="H109" s="110"/>
      <c r="J109" s="110"/>
      <c r="L109" s="217"/>
      <c r="N109" s="217"/>
      <c r="O109" s="110"/>
      <c r="P109" s="141"/>
      <c r="Q109" s="110"/>
      <c r="R109" s="110"/>
      <c r="S109" s="110"/>
      <c r="T109" s="98">
        <f>A39</f>
        <v>17</v>
      </c>
      <c r="V109" s="124" t="s">
        <v>133</v>
      </c>
      <c r="Y109" s="1"/>
      <c r="Z109" s="1"/>
      <c r="AA109" s="1"/>
      <c r="AB109" s="1"/>
      <c r="AC109" s="1"/>
      <c r="AD109" s="1"/>
      <c r="AE109" s="1"/>
      <c r="AF109" s="1"/>
      <c r="AG109" s="154"/>
      <c r="AH109" s="1"/>
      <c r="AI109" s="1"/>
      <c r="AJ109" s="1"/>
      <c r="AK109" s="154"/>
      <c r="AL109" s="1"/>
      <c r="AM109" s="1"/>
      <c r="AN109" s="1"/>
      <c r="AO109" s="1"/>
      <c r="AP109" s="1"/>
      <c r="AQ109" s="154"/>
    </row>
    <row r="110" spans="3:43" x14ac:dyDescent="0.3">
      <c r="F110" s="192"/>
      <c r="H110" s="192"/>
      <c r="J110" s="192"/>
      <c r="L110" s="217"/>
      <c r="N110" s="217"/>
      <c r="O110" s="192"/>
      <c r="P110" s="192"/>
      <c r="Q110" s="192"/>
      <c r="R110" s="192"/>
      <c r="S110" s="110"/>
      <c r="T110" s="98">
        <f>A40</f>
        <v>18</v>
      </c>
      <c r="V110" s="99" t="s">
        <v>134</v>
      </c>
      <c r="Y110" s="106">
        <f>F40</f>
        <v>0</v>
      </c>
      <c r="Z110" s="1"/>
      <c r="AA110" s="147"/>
      <c r="AB110" s="147"/>
      <c r="AC110" s="180">
        <f>AC93</f>
        <v>63.5</v>
      </c>
      <c r="AD110" s="180"/>
      <c r="AE110" s="106">
        <f>ROUND(+Y110*AC110,0)</f>
        <v>0</v>
      </c>
      <c r="AF110" s="1"/>
      <c r="AG110" s="154">
        <f>ROUND((+AE110/$AE$133)*100,1)</f>
        <v>0</v>
      </c>
      <c r="AH110" s="1"/>
      <c r="AI110" s="106">
        <f>L40-AE110</f>
        <v>0</v>
      </c>
      <c r="AJ110" s="106"/>
      <c r="AK110" s="154">
        <f>IF(AE110=0,0,ROUND((AI110/AE110)*100,1))</f>
        <v>0</v>
      </c>
      <c r="AL110" s="138"/>
      <c r="AM110" s="106"/>
      <c r="AN110" s="1"/>
      <c r="AO110" s="106">
        <f>AE110+AM110</f>
        <v>0</v>
      </c>
      <c r="AP110" s="1"/>
      <c r="AQ110" s="202">
        <v>0</v>
      </c>
    </row>
    <row r="111" spans="3:43" x14ac:dyDescent="0.3">
      <c r="C111" s="99"/>
      <c r="F111" s="172"/>
      <c r="H111" s="229"/>
      <c r="J111" s="229"/>
      <c r="L111" s="217"/>
      <c r="N111" s="217"/>
      <c r="O111" s="110"/>
      <c r="P111" s="141"/>
      <c r="Q111" s="110"/>
      <c r="R111" s="110"/>
      <c r="S111" s="110"/>
      <c r="T111" s="98">
        <f>A41</f>
        <v>19</v>
      </c>
      <c r="V111" s="99" t="s">
        <v>135</v>
      </c>
      <c r="Y111" s="106">
        <f>F41</f>
        <v>929</v>
      </c>
      <c r="Z111" s="1"/>
      <c r="AA111" s="147"/>
      <c r="AB111" s="147"/>
      <c r="AC111" s="180">
        <f>AC94</f>
        <v>127</v>
      </c>
      <c r="AD111" s="180"/>
      <c r="AE111" s="106">
        <f>ROUND(+Y111*AC111,0)</f>
        <v>117983</v>
      </c>
      <c r="AF111" s="1"/>
      <c r="AG111" s="154">
        <f>ROUND((+AE111/$AE$133)*100,1)</f>
        <v>0.2</v>
      </c>
      <c r="AH111" s="1"/>
      <c r="AI111" s="106">
        <f>L41-AE111</f>
        <v>929</v>
      </c>
      <c r="AJ111" s="106"/>
      <c r="AK111" s="154">
        <f>IF(AE111=0,0,ROUND((AI111/AE111)*100,1))</f>
        <v>0.8</v>
      </c>
      <c r="AL111" s="138"/>
      <c r="AM111" s="106"/>
      <c r="AN111" s="1"/>
      <c r="AO111" s="106">
        <f>AE111+AM111</f>
        <v>117983</v>
      </c>
      <c r="AP111" s="1"/>
      <c r="AQ111" s="156">
        <f>ROUND((+AI111/AO111)*100,1)</f>
        <v>0.8</v>
      </c>
    </row>
    <row r="112" spans="3:43" ht="20.100000000000001" customHeight="1" x14ac:dyDescent="0.3">
      <c r="C112" s="99"/>
      <c r="F112" s="172"/>
      <c r="H112" s="172"/>
      <c r="J112" s="172"/>
      <c r="L112" s="181"/>
      <c r="N112" s="181"/>
      <c r="O112" s="110"/>
      <c r="P112" s="141"/>
      <c r="R112" s="110"/>
      <c r="T112" s="98">
        <f>A42</f>
        <v>20</v>
      </c>
      <c r="V112" s="124" t="s">
        <v>136</v>
      </c>
      <c r="Y112" s="112">
        <f>F42</f>
        <v>929</v>
      </c>
      <c r="Z112" s="1"/>
      <c r="AA112" s="106"/>
      <c r="AB112" s="106"/>
      <c r="AC112" s="171"/>
      <c r="AD112" s="171"/>
      <c r="AE112" s="112">
        <f>SUM(AE110:AE111)</f>
        <v>117983</v>
      </c>
      <c r="AF112" s="1"/>
      <c r="AG112" s="158">
        <f>ROUND((+AE112/$AE$133)*100,1)</f>
        <v>0.2</v>
      </c>
      <c r="AH112" s="1"/>
      <c r="AI112" s="112">
        <f>SUM(AI110:AI111)</f>
        <v>929</v>
      </c>
      <c r="AJ112" s="106"/>
      <c r="AK112" s="158">
        <f>IF(AE112=0,0,ROUND((AI112/AE112)*100,1))</f>
        <v>0.8</v>
      </c>
      <c r="AL112" s="138"/>
      <c r="AM112" s="112"/>
      <c r="AN112" s="1"/>
      <c r="AO112" s="112">
        <f>SUM(AO110:AO111)</f>
        <v>117983</v>
      </c>
      <c r="AP112" s="1"/>
      <c r="AQ112" s="156">
        <f>ROUND((+AI112/AO112)*100,1)</f>
        <v>0.8</v>
      </c>
    </row>
    <row r="113" spans="3:43" x14ac:dyDescent="0.3">
      <c r="C113" s="99"/>
      <c r="F113" s="172"/>
      <c r="H113" s="172"/>
      <c r="J113" s="172"/>
      <c r="L113" s="181"/>
      <c r="N113" s="181"/>
      <c r="O113" s="110"/>
      <c r="P113" s="141"/>
      <c r="R113" s="110"/>
      <c r="V113" s="99"/>
      <c r="Y113" s="106"/>
      <c r="Z113" s="1"/>
      <c r="AA113" s="106"/>
      <c r="AB113" s="106"/>
      <c r="AC113" s="171"/>
      <c r="AD113" s="171"/>
      <c r="AE113" s="106"/>
      <c r="AF113" s="1"/>
      <c r="AG113" s="154"/>
      <c r="AH113" s="1"/>
      <c r="AI113" s="106"/>
      <c r="AJ113" s="106"/>
      <c r="AK113" s="154"/>
      <c r="AL113" s="138"/>
      <c r="AM113" s="106"/>
      <c r="AN113" s="1"/>
      <c r="AO113" s="106"/>
      <c r="AP113" s="1"/>
      <c r="AQ113" s="154"/>
    </row>
    <row r="114" spans="3:43" x14ac:dyDescent="0.3">
      <c r="C114" s="99"/>
      <c r="F114" s="172"/>
      <c r="H114" s="172"/>
      <c r="J114" s="172"/>
      <c r="L114" s="181"/>
      <c r="N114" s="181"/>
      <c r="O114" s="110"/>
      <c r="P114" s="141"/>
      <c r="R114" s="110"/>
      <c r="T114" s="98">
        <f>A44</f>
        <v>21</v>
      </c>
      <c r="V114" s="124" t="s">
        <v>63</v>
      </c>
      <c r="Y114" s="147"/>
      <c r="Z114" s="1"/>
      <c r="AA114" s="147"/>
      <c r="AB114" s="147"/>
      <c r="AC114" s="240"/>
      <c r="AD114" s="240"/>
      <c r="AE114" s="106"/>
      <c r="AF114" s="1"/>
      <c r="AG114" s="154"/>
      <c r="AH114" s="1"/>
      <c r="AI114" s="106"/>
      <c r="AJ114" s="106"/>
      <c r="AK114" s="154"/>
      <c r="AL114" s="175"/>
      <c r="AM114" s="106"/>
      <c r="AN114" s="1"/>
      <c r="AO114" s="106"/>
      <c r="AP114" s="1"/>
      <c r="AQ114" s="154"/>
    </row>
    <row r="115" spans="3:43" x14ac:dyDescent="0.3">
      <c r="F115" s="192"/>
      <c r="H115" s="110"/>
      <c r="J115" s="110"/>
      <c r="L115" s="217"/>
      <c r="N115" s="217"/>
      <c r="O115" s="192"/>
      <c r="P115" s="192"/>
      <c r="Q115" s="192"/>
      <c r="R115" s="192"/>
      <c r="T115" s="98">
        <f>A45</f>
        <v>22</v>
      </c>
      <c r="V115" s="99" t="s">
        <v>64</v>
      </c>
      <c r="Y115" s="147"/>
      <c r="Z115" s="1"/>
      <c r="AA115" s="106">
        <f>H45</f>
        <v>792027.48047470022</v>
      </c>
      <c r="AB115" s="106"/>
      <c r="AC115" s="180">
        <f>CUR_DT_WIN_PEAK_ON</f>
        <v>13.92</v>
      </c>
      <c r="AD115" s="180"/>
      <c r="AE115" s="106">
        <f>ROUND(+AA115*AC115,0)</f>
        <v>11025023</v>
      </c>
      <c r="AF115" s="1"/>
      <c r="AG115" s="154">
        <f>ROUND((+AE115/$AE$133)*100,1)</f>
        <v>18.3</v>
      </c>
      <c r="AH115" s="1"/>
      <c r="AI115" s="106">
        <f>L45-AE115</f>
        <v>1512772</v>
      </c>
      <c r="AJ115" s="106"/>
      <c r="AK115" s="154">
        <f>IF(AE115=0,0,ROUND((AI115/AE115)*100,1))</f>
        <v>13.7</v>
      </c>
      <c r="AL115" s="138"/>
      <c r="AM115" s="106"/>
      <c r="AN115" s="1"/>
      <c r="AO115" s="106">
        <f>AE115+AM115</f>
        <v>11025023</v>
      </c>
      <c r="AP115" s="1"/>
      <c r="AQ115" s="154">
        <f>ROUND((+AI115/AO115)*100,1)</f>
        <v>13.7</v>
      </c>
    </row>
    <row r="116" spans="3:43" x14ac:dyDescent="0.3">
      <c r="C116" s="99"/>
      <c r="F116" s="110"/>
      <c r="H116" s="110"/>
      <c r="J116" s="110"/>
      <c r="L116" s="217"/>
      <c r="N116" s="217"/>
      <c r="O116" s="110"/>
      <c r="P116" s="141"/>
      <c r="Q116" s="110"/>
      <c r="R116" s="110"/>
      <c r="T116" s="98">
        <f>A46</f>
        <v>23</v>
      </c>
      <c r="V116" s="99" t="s">
        <v>65</v>
      </c>
      <c r="Y116" s="147"/>
      <c r="Z116" s="1"/>
      <c r="AA116" s="106">
        <f>H46</f>
        <v>15374.516988037991</v>
      </c>
      <c r="AB116" s="106"/>
      <c r="AC116" s="180">
        <f>CUR_DT_WIN_PK_OFF</f>
        <v>1.32</v>
      </c>
      <c r="AD116" s="180"/>
      <c r="AE116" s="106">
        <f>ROUND(+AA116*AC116,0)</f>
        <v>20294</v>
      </c>
      <c r="AF116" s="1"/>
      <c r="AG116" s="154">
        <f>ROUND((+AE116/$AE$133)*100,1)</f>
        <v>0</v>
      </c>
      <c r="AH116" s="1"/>
      <c r="AI116" s="106">
        <f>L46-AE116</f>
        <v>2768</v>
      </c>
      <c r="AJ116" s="106"/>
      <c r="AK116" s="154">
        <f>IF(AE116=0,0,ROUND((AI116/AE116)*100,1))</f>
        <v>13.6</v>
      </c>
      <c r="AL116" s="138"/>
      <c r="AM116" s="106"/>
      <c r="AN116" s="1"/>
      <c r="AO116" s="106">
        <f>AE116+AM116</f>
        <v>20294</v>
      </c>
      <c r="AP116" s="1"/>
      <c r="AQ116" s="154">
        <f>ROUND((+AI116/AO116)*100,1)</f>
        <v>13.6</v>
      </c>
    </row>
    <row r="117" spans="3:43" x14ac:dyDescent="0.3">
      <c r="C117" s="99"/>
      <c r="F117" s="110"/>
      <c r="H117" s="110"/>
      <c r="J117" s="110"/>
      <c r="L117" s="217"/>
      <c r="N117" s="217"/>
      <c r="O117" s="110"/>
      <c r="P117" s="141"/>
      <c r="Q117" s="110"/>
      <c r="R117" s="110"/>
      <c r="T117" s="98">
        <f>A47</f>
        <v>24</v>
      </c>
      <c r="V117" s="99" t="s">
        <v>717</v>
      </c>
      <c r="Y117" s="147"/>
      <c r="Z117" s="1"/>
      <c r="AA117" s="106">
        <f>AA115+AA116</f>
        <v>807401.99746273819</v>
      </c>
      <c r="AB117" s="106"/>
      <c r="AC117" s="180">
        <f>AC100</f>
        <v>6.07</v>
      </c>
      <c r="AD117" s="180"/>
      <c r="AE117" s="106">
        <f>ROUND(+AA117*AC117,0)</f>
        <v>4900930</v>
      </c>
      <c r="AF117" s="1"/>
      <c r="AG117" s="154">
        <f>ROUND((+AE117/$AE$133)*100,1)</f>
        <v>8.1</v>
      </c>
      <c r="AH117" s="1"/>
      <c r="AI117" s="106">
        <f>L47-AE117</f>
        <v>1372584</v>
      </c>
      <c r="AJ117" s="106"/>
      <c r="AK117" s="156">
        <f>IF(AE117=0,0,ROUND((AI117/AE117)*100,1))</f>
        <v>28</v>
      </c>
      <c r="AL117" s="138"/>
      <c r="AM117" s="106"/>
      <c r="AN117" s="1"/>
      <c r="AO117" s="106">
        <f>AE117+AM117</f>
        <v>4900930</v>
      </c>
      <c r="AP117" s="1"/>
      <c r="AQ117" s="156">
        <f>ROUND((+AI117/AO117)*100,1)</f>
        <v>28</v>
      </c>
    </row>
    <row r="118" spans="3:43" ht="20.100000000000001" customHeight="1" x14ac:dyDescent="0.3">
      <c r="C118" s="99"/>
      <c r="F118" s="172"/>
      <c r="H118" s="172"/>
      <c r="J118" s="172"/>
      <c r="L118" s="227"/>
      <c r="N118" s="227"/>
      <c r="O118" s="110"/>
      <c r="P118" s="141"/>
      <c r="Q118" s="110"/>
      <c r="R118" s="110"/>
      <c r="S118" s="110"/>
      <c r="T118" s="98">
        <f>A48</f>
        <v>25</v>
      </c>
      <c r="V118" s="124" t="s">
        <v>66</v>
      </c>
      <c r="Y118" s="106"/>
      <c r="Z118" s="1"/>
      <c r="AA118" s="112">
        <f>H48</f>
        <v>807401.99746273819</v>
      </c>
      <c r="AB118" s="106"/>
      <c r="AC118" s="171"/>
      <c r="AD118" s="171"/>
      <c r="AE118" s="112">
        <f>SUM(AE115:AE117)</f>
        <v>15946247</v>
      </c>
      <c r="AF118" s="1"/>
      <c r="AG118" s="158">
        <f>ROUND((+AE118/$AE$133)*100,1)</f>
        <v>26.5</v>
      </c>
      <c r="AH118" s="1"/>
      <c r="AI118" s="112">
        <f>SUM(AI115:AI117)</f>
        <v>2888124</v>
      </c>
      <c r="AJ118" s="106"/>
      <c r="AK118" s="158">
        <f>IF(AE118=0,0,ROUND((AI118/AE118)*100,1))</f>
        <v>18.100000000000001</v>
      </c>
      <c r="AL118" s="138"/>
      <c r="AM118" s="112"/>
      <c r="AN118" s="1"/>
      <c r="AO118" s="112">
        <f>SUM(AO115:AO117)</f>
        <v>15946247</v>
      </c>
      <c r="AP118" s="1"/>
      <c r="AQ118" s="156">
        <f>ROUND((+AI118/AO118)*100,1)</f>
        <v>18.100000000000001</v>
      </c>
    </row>
    <row r="119" spans="3:43" x14ac:dyDescent="0.3">
      <c r="C119" s="99"/>
      <c r="F119" s="172"/>
      <c r="H119" s="172"/>
      <c r="J119" s="172"/>
      <c r="L119" s="227"/>
      <c r="N119" s="227"/>
      <c r="O119" s="110"/>
      <c r="P119" s="141"/>
      <c r="Q119" s="110"/>
      <c r="R119" s="110"/>
      <c r="S119" s="110"/>
      <c r="V119" s="99"/>
      <c r="Y119" s="106"/>
      <c r="Z119" s="1"/>
      <c r="AA119" s="106"/>
      <c r="AB119" s="106"/>
      <c r="AC119" s="171"/>
      <c r="AD119" s="171"/>
      <c r="AE119" s="106"/>
      <c r="AF119" s="1"/>
      <c r="AG119" s="154"/>
      <c r="AH119" s="1"/>
      <c r="AI119" s="106"/>
      <c r="AJ119" s="106"/>
      <c r="AK119" s="154"/>
      <c r="AL119" s="138"/>
      <c r="AM119" s="106"/>
      <c r="AN119" s="1"/>
      <c r="AO119" s="106"/>
      <c r="AP119" s="1"/>
      <c r="AQ119" s="154"/>
    </row>
    <row r="120" spans="3:43" x14ac:dyDescent="0.3">
      <c r="C120" s="99"/>
      <c r="H120" s="172"/>
      <c r="J120" s="172"/>
      <c r="L120" s="228"/>
      <c r="N120" s="228"/>
      <c r="O120" s="110"/>
      <c r="P120" s="141"/>
      <c r="Q120" s="110"/>
      <c r="R120" s="110"/>
      <c r="T120" s="98">
        <f>A50</f>
        <v>26</v>
      </c>
      <c r="V120" s="169" t="s">
        <v>371</v>
      </c>
      <c r="Y120" s="106"/>
      <c r="Z120" s="1"/>
      <c r="AA120" s="106"/>
      <c r="AB120" s="106"/>
      <c r="AC120" s="136"/>
      <c r="AD120" s="136"/>
      <c r="AE120" s="106"/>
      <c r="AF120" s="1"/>
      <c r="AG120" s="154"/>
      <c r="AH120" s="1"/>
      <c r="AI120" s="106"/>
      <c r="AJ120" s="106"/>
      <c r="AK120" s="154"/>
      <c r="AL120" s="138"/>
      <c r="AM120" s="106"/>
      <c r="AN120" s="1"/>
      <c r="AO120" s="106"/>
      <c r="AP120" s="1"/>
      <c r="AQ120" s="154"/>
    </row>
    <row r="121" spans="3:43" x14ac:dyDescent="0.3">
      <c r="C121" s="99"/>
      <c r="H121" s="172"/>
      <c r="J121" s="172"/>
      <c r="L121" s="228"/>
      <c r="N121" s="228"/>
      <c r="O121" s="110"/>
      <c r="P121" s="141"/>
      <c r="Q121" s="110"/>
      <c r="R121" s="110"/>
      <c r="T121" s="98">
        <f>A51</f>
        <v>27</v>
      </c>
      <c r="V121" s="99" t="s">
        <v>383</v>
      </c>
      <c r="Y121" s="147"/>
      <c r="Z121" s="1"/>
      <c r="AA121" s="106">
        <f>H51</f>
        <v>111506442.992</v>
      </c>
      <c r="AB121" s="106"/>
      <c r="AC121" s="239">
        <f>CUR_DT_WIN_E_ON</f>
        <v>5.4640000000000001E-2</v>
      </c>
      <c r="AD121" s="185"/>
      <c r="AE121" s="106">
        <f>ROUND((+AA121*AC121),0)-AM121</f>
        <v>6092712</v>
      </c>
      <c r="AF121" s="1"/>
      <c r="AG121" s="154">
        <f>ROUND((+AE121/$AE$133)*100,1)</f>
        <v>10.1</v>
      </c>
      <c r="AH121" s="1"/>
      <c r="AI121" s="106">
        <f>L51-AE121</f>
        <v>835518</v>
      </c>
      <c r="AJ121" s="106"/>
      <c r="AK121" s="154">
        <f>IF(AE121=0,0,ROUND((AI121/AE121)*100,1))</f>
        <v>13.7</v>
      </c>
      <c r="AL121" s="138"/>
      <c r="AM121" s="106"/>
      <c r="AN121" s="1"/>
      <c r="AO121" s="106">
        <f>AE121+AM121</f>
        <v>6092712</v>
      </c>
      <c r="AP121" s="1"/>
      <c r="AQ121" s="154">
        <f>ROUND((+AI121/AO121)*100,1)</f>
        <v>13.7</v>
      </c>
    </row>
    <row r="122" spans="3:43" x14ac:dyDescent="0.3">
      <c r="F122" s="110"/>
      <c r="H122" s="110"/>
      <c r="J122" s="110"/>
      <c r="L122" s="217"/>
      <c r="N122" s="217"/>
      <c r="O122" s="192"/>
      <c r="P122" s="192"/>
      <c r="Q122" s="192"/>
      <c r="R122" s="192"/>
      <c r="T122" s="98">
        <f>A52</f>
        <v>28</v>
      </c>
      <c r="V122" s="99" t="s">
        <v>384</v>
      </c>
      <c r="Y122" s="177"/>
      <c r="Z122" s="1"/>
      <c r="AA122" s="117">
        <f>H52</f>
        <v>279357143.60313225</v>
      </c>
      <c r="AB122" s="106"/>
      <c r="AC122" s="239">
        <f>'Rate DT-Pri'!AC126</f>
        <v>4.8348000000000002E-2</v>
      </c>
      <c r="AD122" s="185"/>
      <c r="AE122" s="117">
        <f>ROUND((+AA122*AC122),0)-AM122</f>
        <v>13506359</v>
      </c>
      <c r="AF122" s="1"/>
      <c r="AG122" s="154">
        <f>ROUND((+AE122/$AE$133)*100,1)</f>
        <v>22.4</v>
      </c>
      <c r="AH122" s="1"/>
      <c r="AI122" s="117">
        <f>L52-AE122</f>
        <v>1851579</v>
      </c>
      <c r="AJ122" s="106"/>
      <c r="AK122" s="156">
        <f>IF(AE122=0,0,ROUND((AI122/AE122)*100,1))</f>
        <v>13.7</v>
      </c>
      <c r="AL122" s="138"/>
      <c r="AM122" s="117"/>
      <c r="AN122" s="1"/>
      <c r="AO122" s="117">
        <f>AE122+AM122</f>
        <v>13506359</v>
      </c>
      <c r="AP122" s="1"/>
      <c r="AQ122" s="156">
        <f>ROUND((+AI122/AO122)*100,1)</f>
        <v>13.7</v>
      </c>
    </row>
    <row r="123" spans="3:43" ht="22.5" customHeight="1" x14ac:dyDescent="0.3">
      <c r="F123" s="110"/>
      <c r="H123" s="110"/>
      <c r="J123" s="110"/>
      <c r="L123" s="217"/>
      <c r="N123" s="217"/>
      <c r="O123" s="192"/>
      <c r="P123" s="192"/>
      <c r="Q123" s="192"/>
      <c r="R123" s="192"/>
      <c r="T123" s="98">
        <f>A53</f>
        <v>29</v>
      </c>
      <c r="V123" s="124" t="s">
        <v>58</v>
      </c>
      <c r="Y123" s="112">
        <f>F53</f>
        <v>929</v>
      </c>
      <c r="Z123" s="1"/>
      <c r="AA123" s="112">
        <f>H53</f>
        <v>390863586.59513223</v>
      </c>
      <c r="AB123" s="106"/>
      <c r="AC123" s="239"/>
      <c r="AD123" s="171"/>
      <c r="AE123" s="112">
        <f>AE112+AE118+AE121+AE122</f>
        <v>35663301</v>
      </c>
      <c r="AF123" s="1"/>
      <c r="AG123" s="158">
        <f>ROUND((+AE123/$AE$133)*100,1)</f>
        <v>59.2</v>
      </c>
      <c r="AH123" s="1"/>
      <c r="AI123" s="112">
        <f>AI112+AI118+AI121+AI122</f>
        <v>5576150</v>
      </c>
      <c r="AJ123" s="106"/>
      <c r="AK123" s="158">
        <f>IF(AE123=0,0,ROUND((AI123/AE123)*100,1))</f>
        <v>15.6</v>
      </c>
      <c r="AL123" s="138"/>
      <c r="AM123" s="112"/>
      <c r="AN123" s="1"/>
      <c r="AO123" s="112">
        <f>AO112+AO118+AO121+AO122</f>
        <v>35663301</v>
      </c>
      <c r="AP123" s="1"/>
      <c r="AQ123" s="156">
        <f>ROUND((+AI123/AO123)*100,1)</f>
        <v>15.6</v>
      </c>
    </row>
    <row r="124" spans="3:43" ht="20.100000000000001" customHeight="1" x14ac:dyDescent="0.3">
      <c r="F124" s="110"/>
      <c r="H124" s="110"/>
      <c r="J124" s="110"/>
      <c r="L124" s="217"/>
      <c r="N124" s="217"/>
      <c r="O124" s="192"/>
      <c r="P124" s="192"/>
      <c r="Q124" s="192"/>
      <c r="R124" s="192"/>
      <c r="T124" s="98">
        <f>A54</f>
        <v>30</v>
      </c>
      <c r="V124" s="169" t="s">
        <v>440</v>
      </c>
      <c r="Y124" s="112">
        <f>Y106+Y123</f>
        <v>1395</v>
      </c>
      <c r="Z124" s="1"/>
      <c r="AA124" s="112">
        <f>AA123+AA106</f>
        <v>614580418.10400009</v>
      </c>
      <c r="AB124" s="106"/>
      <c r="AC124" s="239"/>
      <c r="AD124" s="171"/>
      <c r="AE124" s="112">
        <f>AE123+AE106</f>
        <v>56362108</v>
      </c>
      <c r="AF124" s="1"/>
      <c r="AG124" s="158">
        <f>ROUND((+AE124/$AE$133)*100,1)</f>
        <v>93.5</v>
      </c>
      <c r="AH124" s="1"/>
      <c r="AI124" s="112">
        <f>AI123+AI106</f>
        <v>8797907</v>
      </c>
      <c r="AJ124" s="106"/>
      <c r="AK124" s="158">
        <f>IF(AE124=0,0,ROUND((AI124/AE124)*100,1))</f>
        <v>15.6</v>
      </c>
      <c r="AL124" s="138"/>
      <c r="AM124" s="112"/>
      <c r="AN124" s="1"/>
      <c r="AO124" s="112">
        <f>AO123+AO106</f>
        <v>56362108</v>
      </c>
      <c r="AP124" s="1"/>
      <c r="AQ124" s="156">
        <f>ROUND((+AI124/AO124)*100,1)</f>
        <v>15.6</v>
      </c>
    </row>
    <row r="125" spans="3:43" ht="15.75" customHeight="1" x14ac:dyDescent="0.3">
      <c r="F125" s="110"/>
      <c r="H125" s="110"/>
      <c r="J125" s="110"/>
      <c r="L125" s="217"/>
      <c r="N125" s="217"/>
      <c r="O125" s="192"/>
      <c r="P125" s="192"/>
      <c r="Q125" s="192"/>
      <c r="R125" s="192"/>
      <c r="V125" s="99"/>
      <c r="Y125" s="106"/>
      <c r="Z125" s="1"/>
      <c r="AA125" s="106"/>
      <c r="AB125" s="106"/>
      <c r="AC125" s="239"/>
      <c r="AD125" s="171"/>
      <c r="AE125" s="106"/>
      <c r="AF125" s="1"/>
      <c r="AG125" s="154"/>
      <c r="AH125" s="1"/>
      <c r="AI125" s="106"/>
      <c r="AJ125" s="106"/>
      <c r="AK125" s="154"/>
      <c r="AL125" s="138"/>
      <c r="AM125" s="110"/>
      <c r="AN125" s="1"/>
      <c r="AO125" s="106"/>
      <c r="AP125" s="1"/>
      <c r="AQ125" s="154"/>
    </row>
    <row r="126" spans="3:43" ht="15.75" customHeight="1" x14ac:dyDescent="0.3">
      <c r="F126" s="110"/>
      <c r="H126" s="110"/>
      <c r="J126" s="110"/>
      <c r="L126" s="217"/>
      <c r="N126" s="217"/>
      <c r="O126" s="192"/>
      <c r="P126" s="192"/>
      <c r="Q126" s="192"/>
      <c r="R126" s="192"/>
      <c r="T126" s="98">
        <f t="shared" ref="T126:T131" si="1">A56</f>
        <v>31</v>
      </c>
      <c r="V126" s="124" t="s">
        <v>428</v>
      </c>
      <c r="Y126" s="106"/>
      <c r="Z126" s="1"/>
      <c r="AA126" s="106"/>
      <c r="AB126" s="106"/>
      <c r="AC126" s="239"/>
      <c r="AD126" s="171"/>
      <c r="AE126" s="106"/>
      <c r="AF126" s="1"/>
      <c r="AG126" s="154"/>
      <c r="AH126" s="1"/>
      <c r="AI126" s="106"/>
      <c r="AJ126" s="106"/>
      <c r="AK126" s="154"/>
      <c r="AL126" s="138"/>
      <c r="AM126" s="110"/>
      <c r="AN126" s="1"/>
      <c r="AO126" s="106"/>
      <c r="AP126" s="1"/>
      <c r="AQ126" s="154"/>
    </row>
    <row r="127" spans="3:43" ht="15.75" customHeight="1" x14ac:dyDescent="0.3">
      <c r="F127" s="110"/>
      <c r="H127" s="110"/>
      <c r="J127" s="110"/>
      <c r="L127" s="217"/>
      <c r="N127" s="217"/>
      <c r="O127" s="192"/>
      <c r="P127" s="192"/>
      <c r="Q127" s="192"/>
      <c r="R127" s="192"/>
      <c r="T127" s="98">
        <f t="shared" si="1"/>
        <v>32</v>
      </c>
      <c r="V127" s="176" t="str">
        <f>C57</f>
        <v>DEMAND SIDE MANAGEMENT RIDER (DSMR)</v>
      </c>
      <c r="Y127" s="106"/>
      <c r="Z127" s="1"/>
      <c r="AA127" s="106"/>
      <c r="AB127" s="106"/>
      <c r="AC127" s="218">
        <f>DSM_DIST</f>
        <v>3.503E-3</v>
      </c>
      <c r="AD127" s="171"/>
      <c r="AE127" s="106">
        <f>ROUND($AA$124*AC127,0)</f>
        <v>2152875</v>
      </c>
      <c r="AF127" s="1"/>
      <c r="AG127" s="154">
        <f>ROUND((+AE127/$AE$133)*100,1)+0.1</f>
        <v>3.7</v>
      </c>
      <c r="AH127" s="1"/>
      <c r="AI127" s="106">
        <f>L57-AE127</f>
        <v>0</v>
      </c>
      <c r="AJ127" s="106"/>
      <c r="AK127" s="154">
        <f>IF(AE127=0,0,ROUND((AI127/AE127)*100,1))</f>
        <v>0</v>
      </c>
      <c r="AL127" s="138"/>
      <c r="AM127" s="110"/>
      <c r="AN127" s="1"/>
      <c r="AO127" s="106">
        <f>AE127+AM127</f>
        <v>2152875</v>
      </c>
      <c r="AP127" s="1"/>
      <c r="AQ127" s="154">
        <f>IF(AO127=0,0,ROUND((+AI127/AO127)*100,1))</f>
        <v>0</v>
      </c>
    </row>
    <row r="128" spans="3:43" ht="15.75" customHeight="1" x14ac:dyDescent="0.3">
      <c r="F128" s="110"/>
      <c r="H128" s="110"/>
      <c r="J128" s="110"/>
      <c r="L128" s="217"/>
      <c r="N128" s="217"/>
      <c r="O128" s="192"/>
      <c r="P128" s="192"/>
      <c r="Q128" s="192"/>
      <c r="R128" s="192"/>
      <c r="T128" s="98">
        <f t="shared" si="1"/>
        <v>33</v>
      </c>
      <c r="V128" s="176" t="str">
        <f>C58</f>
        <v>ENVIRONMENTAL SURCHARGE MECHANISM RIDER (ESM)</v>
      </c>
      <c r="Y128" s="106"/>
      <c r="Z128" s="1"/>
      <c r="AA128" s="106"/>
      <c r="AB128" s="106"/>
      <c r="AC128" s="223">
        <f>CUR_ESM_NonRes</f>
        <v>6.3863133253205971E-3</v>
      </c>
      <c r="AD128" s="171"/>
      <c r="AE128" s="106">
        <f>ROUND((AO124-(CUR_BASE_FUEL*AA124)+AO127+AO130)*AC128,0)</f>
        <v>250826</v>
      </c>
      <c r="AF128" s="1"/>
      <c r="AG128" s="154">
        <f>ROUND((+AE128/$AE$133)*100,1)</f>
        <v>0.4</v>
      </c>
      <c r="AH128" s="1"/>
      <c r="AI128" s="106">
        <f>L58-AE128</f>
        <v>7241</v>
      </c>
      <c r="AJ128" s="106"/>
      <c r="AK128" s="154">
        <f>IF(AE128=0,0,ROUND((AI128/AE128)*100,1))</f>
        <v>2.9</v>
      </c>
      <c r="AL128" s="138"/>
      <c r="AM128" s="110"/>
      <c r="AN128" s="1"/>
      <c r="AO128" s="106">
        <f>AE128+AM128</f>
        <v>250826</v>
      </c>
      <c r="AP128" s="1"/>
      <c r="AQ128" s="154">
        <f>IF(AO128=0,0,ROUND((+AI128/AO128)*100,1))</f>
        <v>2.9</v>
      </c>
    </row>
    <row r="129" spans="1:43" ht="15.75" customHeight="1" x14ac:dyDescent="0.3">
      <c r="F129" s="110"/>
      <c r="H129" s="110"/>
      <c r="J129" s="110"/>
      <c r="L129" s="217"/>
      <c r="N129" s="217"/>
      <c r="O129" s="192"/>
      <c r="P129" s="192"/>
      <c r="Q129" s="192"/>
      <c r="R129" s="192"/>
      <c r="T129" s="98">
        <f t="shared" si="1"/>
        <v>34</v>
      </c>
      <c r="V129" s="176" t="str">
        <f>C59</f>
        <v>FUEL ADJUSTMENT CLAUSE (FAC)</v>
      </c>
      <c r="Y129" s="106"/>
      <c r="Z129" s="1"/>
      <c r="AA129" s="106"/>
      <c r="AB129" s="106"/>
      <c r="AC129" s="218">
        <f>CUR_FAC</f>
        <v>3.4872127999999998E-3</v>
      </c>
      <c r="AD129" s="171"/>
      <c r="AE129" s="106"/>
      <c r="AF129" s="1"/>
      <c r="AG129" s="154"/>
      <c r="AH129" s="1"/>
      <c r="AI129" s="106"/>
      <c r="AJ129" s="106"/>
      <c r="AK129" s="154"/>
      <c r="AL129" s="138"/>
      <c r="AM129" s="106">
        <f>ROUND(AA124*CUR_FAC,0)</f>
        <v>2143173</v>
      </c>
      <c r="AN129" s="1"/>
      <c r="AO129" s="106">
        <f>AE129+AM129</f>
        <v>2143173</v>
      </c>
      <c r="AP129" s="1"/>
      <c r="AQ129" s="154">
        <f>IF(AO129=0,0,ROUND(((R59-AO129)/AO129)*100,1))</f>
        <v>0</v>
      </c>
    </row>
    <row r="130" spans="1:43" ht="15.75" customHeight="1" x14ac:dyDescent="0.3">
      <c r="F130" s="110"/>
      <c r="H130" s="110"/>
      <c r="J130" s="110"/>
      <c r="L130" s="217"/>
      <c r="N130" s="217"/>
      <c r="O130" s="192"/>
      <c r="P130" s="192"/>
      <c r="Q130" s="192"/>
      <c r="R130" s="192"/>
      <c r="T130" s="98">
        <f t="shared" si="1"/>
        <v>35</v>
      </c>
      <c r="V130" s="176" t="str">
        <f>C60</f>
        <v>PROFIT SHARING MECHANISM (PSM)</v>
      </c>
      <c r="Y130" s="106"/>
      <c r="Z130" s="1"/>
      <c r="AA130" s="106"/>
      <c r="AB130" s="106"/>
      <c r="AC130" s="218">
        <f>RS_PSM</f>
        <v>2.4750000000000002E-3</v>
      </c>
      <c r="AD130" s="171"/>
      <c r="AE130" s="117">
        <f>ROUND(AA124*RS_PSM,0)</f>
        <v>1521087</v>
      </c>
      <c r="AF130" s="1"/>
      <c r="AG130" s="156">
        <f>ROUND((+AE130/$AE$133)*100,1)</f>
        <v>2.5</v>
      </c>
      <c r="AH130" s="1"/>
      <c r="AI130" s="117">
        <f>L60-AE130</f>
        <v>0</v>
      </c>
      <c r="AJ130" s="106"/>
      <c r="AK130" s="156">
        <f>IF(AE130=0,0,ROUND((AI130/AE130)*100,1))</f>
        <v>0</v>
      </c>
      <c r="AL130" s="138"/>
      <c r="AM130" s="243"/>
      <c r="AN130" s="1"/>
      <c r="AO130" s="117">
        <f>AE130+AM130</f>
        <v>1521087</v>
      </c>
      <c r="AP130" s="1"/>
      <c r="AQ130" s="156">
        <f>IF(AO130=0,0,ROUND((+AI130/AO130)*100,1))</f>
        <v>0</v>
      </c>
    </row>
    <row r="131" spans="1:43" ht="20.100000000000001" customHeight="1" x14ac:dyDescent="0.3">
      <c r="F131" s="110"/>
      <c r="H131" s="110"/>
      <c r="J131" s="110"/>
      <c r="L131" s="217"/>
      <c r="N131" s="217"/>
      <c r="O131" s="192"/>
      <c r="P131" s="192"/>
      <c r="Q131" s="192"/>
      <c r="R131" s="192"/>
      <c r="T131" s="98">
        <f t="shared" si="1"/>
        <v>36</v>
      </c>
      <c r="V131" s="124" t="s">
        <v>433</v>
      </c>
      <c r="Y131" s="117"/>
      <c r="Z131" s="1"/>
      <c r="AA131" s="117"/>
      <c r="AB131" s="106"/>
      <c r="AC131" s="171"/>
      <c r="AD131" s="171"/>
      <c r="AE131" s="112">
        <f>SUM(AE127:AE130)</f>
        <v>3924788</v>
      </c>
      <c r="AF131" s="1"/>
      <c r="AG131" s="158">
        <f>ROUND((+AE131/$AE$133)*100,1)</f>
        <v>6.5</v>
      </c>
      <c r="AH131" s="1"/>
      <c r="AI131" s="112">
        <f>SUM(AI127:AI130)</f>
        <v>7241</v>
      </c>
      <c r="AJ131" s="106"/>
      <c r="AK131" s="158">
        <f>IF(AE131=0,0,ROUND((AI131/AE131)*100,1))</f>
        <v>0.2</v>
      </c>
      <c r="AL131" s="138"/>
      <c r="AM131" s="112">
        <f>SUM(AM127:AM130)</f>
        <v>2143173</v>
      </c>
      <c r="AN131" s="1"/>
      <c r="AO131" s="112">
        <f>SUM(AO127:AO130)</f>
        <v>6067961</v>
      </c>
      <c r="AP131" s="1"/>
      <c r="AQ131" s="156">
        <f>ROUND((+AI131/AO131)*100,1)</f>
        <v>0.1</v>
      </c>
    </row>
    <row r="132" spans="1:43" x14ac:dyDescent="0.3">
      <c r="F132" s="110"/>
      <c r="H132" s="110"/>
      <c r="J132" s="110"/>
      <c r="L132" s="217"/>
      <c r="N132" s="217"/>
      <c r="O132" s="192"/>
      <c r="P132" s="192"/>
      <c r="Q132" s="192"/>
      <c r="R132" s="192"/>
      <c r="V132" s="99"/>
      <c r="Y132" s="106"/>
      <c r="Z132" s="1"/>
      <c r="AA132" s="106"/>
      <c r="AB132" s="106"/>
      <c r="AC132" s="171"/>
      <c r="AD132" s="171"/>
      <c r="AE132" s="106"/>
      <c r="AF132" s="1"/>
      <c r="AG132" s="154"/>
      <c r="AH132" s="1"/>
      <c r="AI132" s="106"/>
      <c r="AJ132" s="106"/>
      <c r="AK132" s="154"/>
      <c r="AL132" s="138"/>
      <c r="AM132" s="106"/>
      <c r="AN132" s="1"/>
      <c r="AO132" s="106"/>
      <c r="AP132" s="1"/>
      <c r="AQ132" s="154"/>
    </row>
    <row r="133" spans="1:43" ht="22.5" customHeight="1" thickBot="1" x14ac:dyDescent="0.35">
      <c r="F133" s="192"/>
      <c r="H133" s="192"/>
      <c r="J133" s="192"/>
      <c r="L133" s="217"/>
      <c r="N133" s="217"/>
      <c r="O133" s="192"/>
      <c r="P133" s="192"/>
      <c r="Q133" s="192"/>
      <c r="R133" s="192"/>
      <c r="T133" s="98">
        <f>A63</f>
        <v>37</v>
      </c>
      <c r="V133" s="169" t="s">
        <v>439</v>
      </c>
      <c r="Y133" s="120">
        <f>Y124</f>
        <v>1395</v>
      </c>
      <c r="Z133" s="1"/>
      <c r="AA133" s="120">
        <f>AA124</f>
        <v>614580418.10400009</v>
      </c>
      <c r="AB133" s="106"/>
      <c r="AC133" s="1"/>
      <c r="AD133" s="1"/>
      <c r="AE133" s="120">
        <f>AE131+AE124</f>
        <v>60286896</v>
      </c>
      <c r="AF133" s="1"/>
      <c r="AG133" s="162">
        <v>100</v>
      </c>
      <c r="AH133" s="1"/>
      <c r="AI133" s="120">
        <f>AI131+AI124</f>
        <v>8805148</v>
      </c>
      <c r="AJ133" s="106"/>
      <c r="AK133" s="162">
        <f>IF(AE133=0,0,ROUND((AI133/AE133)*100,1))</f>
        <v>14.6</v>
      </c>
      <c r="AL133" s="138"/>
      <c r="AM133" s="120">
        <f>AM131+AM124</f>
        <v>2143173</v>
      </c>
      <c r="AN133" s="1"/>
      <c r="AO133" s="120">
        <f>AO131+AO124</f>
        <v>62430069</v>
      </c>
      <c r="AP133" s="1"/>
      <c r="AQ133" s="162">
        <f>ROUND((+AI133/AO133)*100,1)</f>
        <v>14.1</v>
      </c>
    </row>
    <row r="134" spans="1:43" ht="16.2" thickTop="1" x14ac:dyDescent="0.3">
      <c r="F134" s="192"/>
      <c r="H134" s="192"/>
      <c r="J134" s="192"/>
      <c r="K134" s="217"/>
      <c r="L134" s="217"/>
      <c r="N134" s="192"/>
      <c r="O134" s="192"/>
      <c r="P134" s="192"/>
      <c r="Q134" s="192"/>
      <c r="R134" s="192"/>
      <c r="S134" s="110"/>
      <c r="Y134" s="1"/>
      <c r="Z134" s="1"/>
      <c r="AA134" s="1"/>
      <c r="AB134" s="1"/>
      <c r="AC134" s="1"/>
      <c r="AD134" s="1"/>
      <c r="AE134" s="1"/>
      <c r="AF134" s="1"/>
      <c r="AG134" s="154"/>
      <c r="AH134" s="1"/>
      <c r="AI134" s="1"/>
      <c r="AJ134" s="1"/>
      <c r="AK134" s="154"/>
      <c r="AL134" s="1"/>
      <c r="AM134" s="1"/>
      <c r="AN134" s="1"/>
      <c r="AO134" s="1"/>
      <c r="AP134" s="1"/>
      <c r="AQ134" s="154"/>
    </row>
    <row r="135" spans="1:43" x14ac:dyDescent="0.3">
      <c r="C135" s="99"/>
      <c r="V135" s="178" t="s">
        <v>59</v>
      </c>
      <c r="AE135" s="110"/>
      <c r="AF135" s="110"/>
      <c r="AM135" s="110"/>
      <c r="AO135" s="110"/>
    </row>
    <row r="136" spans="1:43" x14ac:dyDescent="0.3">
      <c r="C136" s="99"/>
      <c r="V136" s="178" t="str">
        <f>"(2) REFLECTS FUEL COMPONENT OF "&amp;TEXT(CUR_FAC,"$0.000000;($0.000000)")&amp;"  PER KWH."</f>
        <v>(2) REFLECTS FUEL COMPONENT OF $0.003487  PER KWH.</v>
      </c>
      <c r="AE136" s="110"/>
      <c r="AF136" s="110"/>
      <c r="AM136" s="110"/>
      <c r="AO136" s="110"/>
    </row>
    <row r="137" spans="1:43" x14ac:dyDescent="0.3">
      <c r="C137" s="99"/>
      <c r="F137" s="110"/>
      <c r="H137" s="110"/>
      <c r="J137" s="110"/>
      <c r="N137" s="110"/>
      <c r="O137" s="110"/>
      <c r="P137" s="141"/>
      <c r="Q137" s="172"/>
      <c r="R137" s="110"/>
      <c r="T137" s="99"/>
      <c r="V137" s="178" t="str">
        <f>"(3) REFLECTS FUEL COST RECOVERY INCLUDED IN BASE RATES OF "&amp;TEXT(CUR_BASE_FUEL,"$0.000000;($0.000000)")&amp;"  PER KWH."</f>
        <v>(3) REFLECTS FUEL COST RECOVERY INCLUDED IN BASE RATES OF $0.033780  PER KWH.</v>
      </c>
      <c r="Y137" s="110"/>
      <c r="Z137" s="228"/>
      <c r="AA137" s="110"/>
      <c r="AB137" s="110"/>
      <c r="AC137" s="141"/>
      <c r="AD137" s="141"/>
      <c r="AE137" s="110"/>
      <c r="AF137" s="110"/>
      <c r="AI137" s="207"/>
      <c r="AJ137" s="207"/>
      <c r="AL137" s="110"/>
      <c r="AO137" s="141"/>
    </row>
    <row r="138" spans="1:43" x14ac:dyDescent="0.3">
      <c r="F138" s="192"/>
      <c r="H138" s="192"/>
      <c r="J138" s="192"/>
      <c r="K138" s="217"/>
      <c r="L138" s="217"/>
      <c r="N138" s="192"/>
      <c r="O138" s="192"/>
      <c r="P138" s="192"/>
      <c r="Q138" s="192"/>
      <c r="R138" s="192"/>
      <c r="Y138" s="110"/>
      <c r="Z138" s="217"/>
      <c r="AA138" s="192"/>
      <c r="AB138" s="192"/>
      <c r="AC138" s="192"/>
      <c r="AD138" s="192"/>
      <c r="AE138" s="192"/>
      <c r="AF138" s="192"/>
      <c r="AK138" s="194"/>
      <c r="AL138" s="192"/>
      <c r="AO138" s="141"/>
      <c r="AQ138" s="194"/>
    </row>
    <row r="139" spans="1:43" x14ac:dyDescent="0.3">
      <c r="T139" s="99"/>
      <c r="V139" s="110"/>
      <c r="Y139" s="110"/>
      <c r="Z139" s="198"/>
      <c r="AA139" s="110"/>
      <c r="AB139" s="110"/>
      <c r="AC139" s="141"/>
      <c r="AD139" s="141"/>
      <c r="AE139" s="110"/>
      <c r="AF139" s="110"/>
      <c r="AI139" s="207"/>
      <c r="AJ139" s="207"/>
      <c r="AL139" s="110"/>
      <c r="AO139" s="141"/>
    </row>
    <row r="140" spans="1:43" x14ac:dyDescent="0.3">
      <c r="C140" s="99"/>
      <c r="N140" s="110"/>
      <c r="O140" s="110"/>
      <c r="P140" s="110"/>
      <c r="Q140" s="110"/>
      <c r="R140" s="110"/>
      <c r="S140" s="110"/>
      <c r="V140" s="110"/>
      <c r="Y140" s="110"/>
      <c r="Z140" s="217"/>
      <c r="AA140" s="192"/>
      <c r="AB140" s="192"/>
      <c r="AC140" s="192"/>
      <c r="AD140" s="192"/>
      <c r="AE140" s="192"/>
      <c r="AF140" s="192"/>
      <c r="AK140" s="194"/>
      <c r="AL140" s="192"/>
      <c r="AO140" s="141"/>
      <c r="AQ140" s="194"/>
    </row>
    <row r="141" spans="1:43" x14ac:dyDescent="0.3">
      <c r="A141" s="99"/>
      <c r="T141" s="99"/>
      <c r="V141" s="110"/>
      <c r="Y141" s="110"/>
      <c r="Z141" s="198"/>
      <c r="AA141" s="110"/>
      <c r="AB141" s="110"/>
      <c r="AC141" s="141"/>
      <c r="AD141" s="141"/>
      <c r="AE141" s="110"/>
      <c r="AF141" s="110"/>
      <c r="AI141" s="207"/>
      <c r="AJ141" s="207"/>
      <c r="AL141" s="110"/>
      <c r="AO141" s="141"/>
    </row>
    <row r="142" spans="1:43" x14ac:dyDescent="0.3">
      <c r="T142" s="99"/>
      <c r="V142" s="172"/>
      <c r="Y142" s="110"/>
      <c r="Z142" s="222"/>
      <c r="AA142" s="110"/>
      <c r="AB142" s="110"/>
      <c r="AC142" s="141"/>
      <c r="AD142" s="141"/>
      <c r="AE142" s="110"/>
      <c r="AF142" s="110"/>
      <c r="AI142" s="207"/>
      <c r="AJ142" s="207"/>
      <c r="AL142" s="110"/>
      <c r="AO142" s="141"/>
    </row>
    <row r="143" spans="1:43" x14ac:dyDescent="0.3">
      <c r="H143" s="99"/>
      <c r="J143" s="99"/>
      <c r="V143" s="192"/>
      <c r="Y143" s="192"/>
      <c r="Z143" s="217"/>
      <c r="AA143" s="192"/>
      <c r="AB143" s="192"/>
      <c r="AC143" s="192"/>
      <c r="AD143" s="192"/>
      <c r="AE143" s="192"/>
      <c r="AF143" s="192"/>
      <c r="AK143" s="194"/>
      <c r="AL143" s="192"/>
      <c r="AO143" s="141"/>
      <c r="AQ143" s="194"/>
    </row>
    <row r="144" spans="1:43" x14ac:dyDescent="0.3">
      <c r="T144" s="99"/>
      <c r="V144" s="110"/>
      <c r="Y144" s="110"/>
      <c r="Z144" s="217"/>
      <c r="AA144" s="110"/>
      <c r="AB144" s="110"/>
      <c r="AC144" s="141"/>
      <c r="AD144" s="141"/>
      <c r="AE144" s="110"/>
      <c r="AF144" s="110"/>
      <c r="AI144" s="141"/>
      <c r="AJ144" s="141"/>
      <c r="AL144" s="110"/>
      <c r="AO144" s="141"/>
    </row>
    <row r="145" spans="1:43" x14ac:dyDescent="0.3">
      <c r="M145" s="99"/>
      <c r="N145" s="99"/>
      <c r="V145" s="192"/>
      <c r="Y145" s="192"/>
      <c r="Z145" s="217"/>
      <c r="AA145" s="192"/>
      <c r="AB145" s="192"/>
      <c r="AC145" s="192"/>
      <c r="AD145" s="192"/>
      <c r="AE145" s="192"/>
      <c r="AF145" s="192"/>
      <c r="AK145" s="194"/>
      <c r="AL145" s="192"/>
      <c r="AO145" s="141"/>
      <c r="AQ145" s="194"/>
    </row>
    <row r="146" spans="1:43" x14ac:dyDescent="0.3">
      <c r="R146" s="99"/>
      <c r="T146" s="99"/>
      <c r="V146" s="172"/>
      <c r="Y146" s="172"/>
      <c r="Z146" s="217"/>
      <c r="AA146" s="110"/>
      <c r="AB146" s="110"/>
      <c r="AC146" s="141"/>
      <c r="AD146" s="141"/>
      <c r="AE146" s="110"/>
      <c r="AF146" s="110"/>
      <c r="AL146" s="110"/>
      <c r="AO146" s="141"/>
    </row>
    <row r="147" spans="1:43" x14ac:dyDescent="0.3">
      <c r="R147" s="99"/>
    </row>
    <row r="148" spans="1:43" x14ac:dyDescent="0.3">
      <c r="A148" s="99"/>
      <c r="R148" s="99"/>
      <c r="T148" s="99"/>
    </row>
    <row r="149" spans="1:43" x14ac:dyDescent="0.3">
      <c r="M149" s="99"/>
      <c r="N149" s="99"/>
      <c r="T149" s="99"/>
      <c r="V149" s="110"/>
      <c r="Y149" s="172"/>
      <c r="Z149" s="181"/>
      <c r="AA149" s="110"/>
      <c r="AB149" s="110"/>
      <c r="AC149" s="141"/>
      <c r="AD149" s="141"/>
      <c r="AE149" s="110"/>
      <c r="AF149" s="110"/>
      <c r="AG149" s="224"/>
      <c r="AI149" s="225"/>
      <c r="AJ149" s="225"/>
      <c r="AO149" s="226"/>
    </row>
    <row r="150" spans="1:43" x14ac:dyDescent="0.3">
      <c r="A150" s="101"/>
      <c r="B150" s="101"/>
      <c r="C150" s="101"/>
      <c r="D150" s="101"/>
      <c r="E150" s="101"/>
      <c r="F150" s="101"/>
      <c r="G150" s="101"/>
      <c r="H150" s="101"/>
      <c r="J150" s="101"/>
      <c r="K150" s="101"/>
      <c r="L150" s="101"/>
      <c r="M150" s="101"/>
      <c r="N150" s="101"/>
      <c r="O150" s="101"/>
      <c r="P150" s="101"/>
      <c r="Q150" s="101"/>
      <c r="R150" s="101"/>
      <c r="T150" s="99"/>
      <c r="V150" s="110"/>
      <c r="Y150" s="172"/>
      <c r="Z150" s="181"/>
      <c r="AA150" s="110"/>
      <c r="AB150" s="110"/>
      <c r="AC150" s="141"/>
      <c r="AD150" s="141"/>
      <c r="AE150" s="110"/>
      <c r="AF150" s="110"/>
      <c r="AI150" s="207"/>
      <c r="AJ150" s="207"/>
      <c r="AO150" s="141"/>
    </row>
    <row r="151" spans="1:43" x14ac:dyDescent="0.3">
      <c r="M151" s="102"/>
      <c r="N151" s="102"/>
      <c r="O151" s="102"/>
      <c r="P151" s="102"/>
      <c r="R151" s="102"/>
      <c r="T151" s="99"/>
      <c r="V151" s="110"/>
      <c r="Y151" s="172"/>
      <c r="Z151" s="181"/>
      <c r="AA151" s="110"/>
      <c r="AB151" s="110"/>
      <c r="AC151" s="141"/>
      <c r="AD151" s="141"/>
      <c r="AE151" s="110"/>
      <c r="AF151" s="110"/>
      <c r="AI151" s="207"/>
      <c r="AJ151" s="207"/>
      <c r="AO151" s="141"/>
    </row>
    <row r="152" spans="1:43" x14ac:dyDescent="0.3">
      <c r="M152" s="102"/>
      <c r="N152" s="102"/>
      <c r="O152" s="102"/>
      <c r="P152" s="102"/>
      <c r="R152" s="102"/>
      <c r="V152" s="192"/>
      <c r="Y152" s="110"/>
      <c r="Z152" s="217"/>
      <c r="AA152" s="192"/>
      <c r="AB152" s="192"/>
      <c r="AC152" s="192"/>
      <c r="AD152" s="192"/>
      <c r="AE152" s="192"/>
      <c r="AF152" s="192"/>
      <c r="AK152" s="194"/>
      <c r="AL152" s="192"/>
      <c r="AO152" s="141"/>
      <c r="AQ152" s="194"/>
    </row>
    <row r="153" spans="1:43" x14ac:dyDescent="0.3">
      <c r="A153" s="102"/>
      <c r="C153" s="102"/>
      <c r="D153" s="102"/>
      <c r="E153" s="102"/>
      <c r="F153" s="102"/>
      <c r="K153" s="102"/>
      <c r="L153" s="102"/>
      <c r="M153" s="102"/>
      <c r="N153" s="102"/>
      <c r="O153" s="102"/>
      <c r="P153" s="102"/>
      <c r="Q153" s="102"/>
      <c r="R153" s="102"/>
      <c r="T153" s="99"/>
      <c r="V153" s="110"/>
      <c r="Y153" s="110"/>
      <c r="Z153" s="217"/>
      <c r="AA153" s="110"/>
      <c r="AB153" s="110"/>
      <c r="AC153" s="141"/>
      <c r="AD153" s="141"/>
      <c r="AE153" s="110"/>
      <c r="AF153" s="110"/>
      <c r="AI153" s="207"/>
      <c r="AJ153" s="207"/>
      <c r="AL153" s="110"/>
      <c r="AO153" s="141"/>
    </row>
    <row r="154" spans="1:43" x14ac:dyDescent="0.3">
      <c r="A154" s="102"/>
      <c r="C154" s="102"/>
      <c r="D154" s="102"/>
      <c r="E154" s="102"/>
      <c r="F154" s="102"/>
      <c r="H154" s="102"/>
      <c r="J154" s="102"/>
      <c r="K154" s="102"/>
      <c r="L154" s="102"/>
      <c r="M154" s="102"/>
      <c r="N154" s="102"/>
      <c r="O154" s="102"/>
      <c r="P154" s="102"/>
      <c r="Q154" s="102"/>
      <c r="R154" s="102"/>
      <c r="V154" s="192"/>
      <c r="Y154" s="110"/>
      <c r="Z154" s="217"/>
      <c r="AA154" s="192"/>
      <c r="AB154" s="192"/>
      <c r="AC154" s="192"/>
      <c r="AD154" s="192"/>
      <c r="AE154" s="192"/>
      <c r="AF154" s="192"/>
      <c r="AK154" s="194"/>
      <c r="AL154" s="192"/>
      <c r="AO154" s="141"/>
      <c r="AQ154" s="194"/>
    </row>
    <row r="155" spans="1:43" x14ac:dyDescent="0.3">
      <c r="C155" s="102"/>
      <c r="D155" s="102"/>
      <c r="E155" s="102"/>
      <c r="F155" s="102"/>
      <c r="H155" s="102"/>
      <c r="J155" s="102"/>
      <c r="K155" s="102"/>
      <c r="L155" s="102"/>
      <c r="M155" s="102"/>
      <c r="N155" s="102"/>
      <c r="O155" s="102"/>
      <c r="P155" s="102"/>
      <c r="Q155" s="102"/>
      <c r="R155" s="102"/>
      <c r="T155" s="99"/>
      <c r="V155" s="172"/>
      <c r="Y155" s="172"/>
      <c r="Z155" s="227"/>
      <c r="AA155" s="110"/>
      <c r="AB155" s="110"/>
      <c r="AC155" s="141"/>
      <c r="AD155" s="141"/>
      <c r="AE155" s="110"/>
      <c r="AF155" s="110"/>
      <c r="AI155" s="141"/>
      <c r="AJ155" s="141"/>
      <c r="AL155" s="110"/>
      <c r="AO155" s="141"/>
    </row>
    <row r="156" spans="1:43" x14ac:dyDescent="0.3">
      <c r="A156" s="101"/>
      <c r="B156" s="101"/>
      <c r="C156" s="101"/>
      <c r="D156" s="101"/>
      <c r="E156" s="101"/>
      <c r="F156" s="101"/>
      <c r="G156" s="101"/>
      <c r="H156" s="101"/>
      <c r="J156" s="101"/>
      <c r="K156" s="101"/>
      <c r="L156" s="101"/>
      <c r="M156" s="101"/>
      <c r="N156" s="101"/>
      <c r="O156" s="101"/>
      <c r="P156" s="101"/>
      <c r="Q156" s="101"/>
      <c r="R156" s="101"/>
      <c r="T156" s="99"/>
      <c r="V156" s="172"/>
      <c r="Y156" s="110"/>
      <c r="Z156" s="181"/>
      <c r="AA156" s="110"/>
      <c r="AB156" s="110"/>
      <c r="AC156" s="141"/>
      <c r="AD156" s="141"/>
      <c r="AE156" s="110"/>
      <c r="AF156" s="110"/>
      <c r="AI156" s="207"/>
      <c r="AJ156" s="207"/>
      <c r="AL156" s="110"/>
      <c r="AO156" s="141"/>
    </row>
    <row r="157" spans="1:43" x14ac:dyDescent="0.3">
      <c r="H157" s="102"/>
      <c r="J157" s="102"/>
      <c r="K157" s="102"/>
      <c r="L157" s="102"/>
      <c r="M157" s="102"/>
      <c r="N157" s="102"/>
      <c r="O157" s="102"/>
      <c r="P157" s="102"/>
      <c r="Q157" s="102"/>
      <c r="R157" s="102"/>
      <c r="T157" s="99"/>
      <c r="V157" s="172"/>
      <c r="Y157" s="110"/>
      <c r="Z157" s="181"/>
      <c r="AA157" s="110"/>
      <c r="AB157" s="110"/>
      <c r="AC157" s="141"/>
      <c r="AD157" s="141"/>
      <c r="AE157" s="110"/>
      <c r="AF157" s="110"/>
      <c r="AI157" s="207"/>
      <c r="AJ157" s="207"/>
      <c r="AL157" s="110"/>
      <c r="AO157" s="141"/>
    </row>
    <row r="158" spans="1:43" x14ac:dyDescent="0.3">
      <c r="C158" s="99"/>
      <c r="D158" s="99"/>
      <c r="E158" s="99"/>
      <c r="V158" s="110"/>
      <c r="Y158" s="192"/>
      <c r="Z158" s="217"/>
      <c r="AA158" s="192"/>
      <c r="AB158" s="192"/>
      <c r="AC158" s="192"/>
      <c r="AD158" s="192"/>
      <c r="AE158" s="192"/>
      <c r="AF158" s="192"/>
      <c r="AK158" s="194"/>
      <c r="AL158" s="192"/>
      <c r="AO158" s="141"/>
      <c r="AQ158" s="194"/>
    </row>
    <row r="159" spans="1:43" x14ac:dyDescent="0.3">
      <c r="D159" s="99"/>
      <c r="E159" s="99"/>
      <c r="T159" s="99"/>
      <c r="V159" s="110"/>
      <c r="Y159" s="110"/>
      <c r="Z159" s="217"/>
      <c r="AA159" s="110"/>
      <c r="AB159" s="110"/>
      <c r="AC159" s="141"/>
      <c r="AD159" s="141"/>
      <c r="AE159" s="110"/>
      <c r="AF159" s="110"/>
      <c r="AI159" s="207"/>
      <c r="AJ159" s="207"/>
      <c r="AL159" s="110"/>
      <c r="AO159" s="141"/>
    </row>
    <row r="160" spans="1:43" x14ac:dyDescent="0.3">
      <c r="V160" s="110"/>
      <c r="Y160" s="192"/>
      <c r="Z160" s="217"/>
      <c r="AA160" s="192"/>
      <c r="AB160" s="192"/>
      <c r="AC160" s="192"/>
      <c r="AD160" s="192"/>
      <c r="AE160" s="192"/>
      <c r="AF160" s="192"/>
      <c r="AK160" s="194"/>
      <c r="AL160" s="192"/>
      <c r="AO160" s="141"/>
      <c r="AQ160" s="194"/>
    </row>
    <row r="161" spans="3:43" x14ac:dyDescent="0.3">
      <c r="C161" s="99"/>
      <c r="F161" s="172"/>
      <c r="H161" s="172"/>
      <c r="J161" s="172"/>
      <c r="K161" s="181"/>
      <c r="L161" s="181"/>
      <c r="M161" s="110"/>
      <c r="N161" s="110"/>
      <c r="O161" s="141"/>
      <c r="P161" s="141"/>
      <c r="R161" s="110"/>
      <c r="T161" s="99"/>
      <c r="V161" s="110"/>
      <c r="Y161" s="110"/>
      <c r="Z161" s="217"/>
      <c r="AA161" s="110"/>
      <c r="AB161" s="110"/>
      <c r="AC161" s="110"/>
      <c r="AD161" s="110"/>
      <c r="AE161" s="110"/>
      <c r="AF161" s="110"/>
      <c r="AI161" s="207"/>
      <c r="AJ161" s="207"/>
      <c r="AL161" s="110"/>
      <c r="AO161" s="141"/>
    </row>
    <row r="162" spans="3:43" x14ac:dyDescent="0.3">
      <c r="C162" s="99"/>
      <c r="F162" s="172"/>
      <c r="H162" s="172"/>
      <c r="J162" s="172"/>
      <c r="K162" s="181"/>
      <c r="L162" s="181"/>
      <c r="M162" s="110"/>
      <c r="N162" s="110"/>
      <c r="O162" s="141"/>
      <c r="P162" s="141"/>
      <c r="R162" s="110"/>
      <c r="T162" s="99"/>
      <c r="V162" s="110"/>
      <c r="Y162" s="110"/>
      <c r="Z162" s="228"/>
      <c r="AA162" s="110"/>
      <c r="AB162" s="110"/>
      <c r="AC162" s="141"/>
      <c r="AD162" s="141"/>
      <c r="AE162" s="110"/>
      <c r="AF162" s="110"/>
      <c r="AI162" s="207"/>
      <c r="AJ162" s="207"/>
      <c r="AL162" s="110"/>
      <c r="AO162" s="141"/>
    </row>
    <row r="163" spans="3:43" x14ac:dyDescent="0.3">
      <c r="F163" s="192"/>
      <c r="H163" s="110"/>
      <c r="J163" s="110"/>
      <c r="K163" s="217"/>
      <c r="L163" s="217"/>
      <c r="M163" s="192"/>
      <c r="N163" s="192"/>
      <c r="O163" s="192"/>
      <c r="P163" s="192"/>
      <c r="Q163" s="192"/>
      <c r="R163" s="192"/>
      <c r="T163" s="99"/>
      <c r="Y163" s="110"/>
      <c r="Z163" s="228"/>
      <c r="AA163" s="110"/>
      <c r="AB163" s="110"/>
      <c r="AC163" s="141"/>
      <c r="AD163" s="141"/>
      <c r="AE163" s="110"/>
      <c r="AF163" s="110"/>
      <c r="AI163" s="207"/>
      <c r="AJ163" s="207"/>
      <c r="AL163" s="110"/>
      <c r="AO163" s="141"/>
    </row>
    <row r="164" spans="3:43" x14ac:dyDescent="0.3">
      <c r="C164" s="99"/>
      <c r="F164" s="110"/>
      <c r="H164" s="110"/>
      <c r="J164" s="110"/>
      <c r="K164" s="217"/>
      <c r="L164" s="217"/>
      <c r="M164" s="110"/>
      <c r="N164" s="110"/>
      <c r="O164" s="141"/>
      <c r="P164" s="141"/>
      <c r="Q164" s="110"/>
      <c r="R164" s="110"/>
      <c r="V164" s="110"/>
      <c r="Y164" s="110"/>
      <c r="Z164" s="217"/>
      <c r="AA164" s="192"/>
      <c r="AB164" s="192"/>
      <c r="AC164" s="192"/>
      <c r="AD164" s="192"/>
      <c r="AE164" s="192"/>
      <c r="AF164" s="192"/>
      <c r="AK164" s="194"/>
      <c r="AL164" s="192"/>
      <c r="AO164" s="141"/>
      <c r="AQ164" s="194"/>
    </row>
    <row r="165" spans="3:43" x14ac:dyDescent="0.3">
      <c r="F165" s="192"/>
      <c r="H165" s="110"/>
      <c r="J165" s="110"/>
      <c r="K165" s="217"/>
      <c r="L165" s="217"/>
      <c r="M165" s="192"/>
      <c r="N165" s="192"/>
      <c r="O165" s="192"/>
      <c r="P165" s="192"/>
      <c r="Q165" s="192"/>
      <c r="R165" s="192"/>
      <c r="T165" s="99"/>
      <c r="V165" s="110"/>
      <c r="Y165" s="110"/>
      <c r="Z165" s="198"/>
      <c r="AA165" s="110"/>
      <c r="AB165" s="110"/>
      <c r="AC165" s="141"/>
      <c r="AD165" s="141"/>
      <c r="AE165" s="110"/>
      <c r="AF165" s="110"/>
      <c r="AI165" s="207"/>
      <c r="AJ165" s="207"/>
      <c r="AL165" s="110"/>
      <c r="AO165" s="141"/>
    </row>
    <row r="166" spans="3:43" x14ac:dyDescent="0.3">
      <c r="F166" s="110"/>
      <c r="H166" s="110"/>
      <c r="J166" s="110"/>
      <c r="K166" s="217"/>
      <c r="L166" s="217"/>
      <c r="M166" s="110"/>
      <c r="N166" s="110"/>
      <c r="O166" s="141"/>
      <c r="P166" s="141"/>
      <c r="Q166" s="110"/>
      <c r="R166" s="110"/>
      <c r="V166" s="110"/>
      <c r="Y166" s="110"/>
      <c r="Z166" s="217"/>
      <c r="AA166" s="192"/>
      <c r="AB166" s="192"/>
      <c r="AC166" s="192"/>
      <c r="AD166" s="192"/>
      <c r="AE166" s="192"/>
      <c r="AF166" s="192"/>
      <c r="AK166" s="194"/>
      <c r="AL166" s="192"/>
      <c r="AO166" s="141"/>
      <c r="AQ166" s="194"/>
    </row>
    <row r="167" spans="3:43" x14ac:dyDescent="0.3">
      <c r="C167" s="99"/>
      <c r="F167" s="172"/>
      <c r="H167" s="172"/>
      <c r="J167" s="172"/>
      <c r="K167" s="181"/>
      <c r="L167" s="181"/>
      <c r="M167" s="110"/>
      <c r="N167" s="110"/>
      <c r="O167" s="141"/>
      <c r="P167" s="141"/>
      <c r="Q167" s="110"/>
      <c r="R167" s="110"/>
      <c r="T167" s="99"/>
      <c r="V167" s="110"/>
      <c r="Y167" s="110"/>
      <c r="Z167" s="198"/>
      <c r="AA167" s="110"/>
      <c r="AB167" s="110"/>
      <c r="AC167" s="141"/>
      <c r="AD167" s="141"/>
      <c r="AE167" s="110"/>
      <c r="AF167" s="110"/>
      <c r="AI167" s="207"/>
      <c r="AJ167" s="207"/>
      <c r="AL167" s="110"/>
      <c r="AO167" s="141"/>
    </row>
    <row r="168" spans="3:43" x14ac:dyDescent="0.3">
      <c r="C168" s="99"/>
      <c r="F168" s="172"/>
      <c r="H168" s="172"/>
      <c r="J168" s="172"/>
      <c r="K168" s="181"/>
      <c r="L168" s="181"/>
      <c r="M168" s="110"/>
      <c r="N168" s="110"/>
      <c r="O168" s="141"/>
      <c r="P168" s="141"/>
      <c r="Q168" s="110"/>
      <c r="R168" s="110"/>
      <c r="T168" s="99"/>
      <c r="V168" s="172"/>
      <c r="Y168" s="110"/>
      <c r="Z168" s="222"/>
      <c r="AA168" s="110"/>
      <c r="AB168" s="110"/>
      <c r="AC168" s="141"/>
      <c r="AD168" s="141"/>
      <c r="AE168" s="110"/>
      <c r="AF168" s="110"/>
      <c r="AI168" s="207"/>
      <c r="AJ168" s="207"/>
      <c r="AL168" s="110"/>
      <c r="AO168" s="141"/>
    </row>
    <row r="169" spans="3:43" x14ac:dyDescent="0.3">
      <c r="F169" s="110"/>
      <c r="H169" s="192"/>
      <c r="J169" s="192"/>
      <c r="K169" s="217"/>
      <c r="L169" s="217"/>
      <c r="M169" s="192"/>
      <c r="N169" s="192"/>
      <c r="O169" s="192"/>
      <c r="P169" s="192"/>
      <c r="Q169" s="192"/>
      <c r="R169" s="192"/>
      <c r="V169" s="192"/>
      <c r="Y169" s="192"/>
      <c r="Z169" s="217"/>
      <c r="AA169" s="192"/>
      <c r="AB169" s="192"/>
      <c r="AC169" s="192"/>
      <c r="AD169" s="192"/>
      <c r="AE169" s="192"/>
      <c r="AF169" s="192"/>
      <c r="AK169" s="194"/>
      <c r="AL169" s="192"/>
      <c r="AO169" s="141"/>
      <c r="AQ169" s="194"/>
    </row>
    <row r="170" spans="3:43" x14ac:dyDescent="0.3">
      <c r="C170" s="99"/>
      <c r="F170" s="110"/>
      <c r="H170" s="110"/>
      <c r="J170" s="110"/>
      <c r="K170" s="217"/>
      <c r="L170" s="217"/>
      <c r="M170" s="110"/>
      <c r="N170" s="110"/>
      <c r="O170" s="141"/>
      <c r="P170" s="141"/>
      <c r="Q170" s="110"/>
      <c r="R170" s="110"/>
      <c r="T170" s="99"/>
      <c r="V170" s="110"/>
      <c r="Y170" s="110"/>
      <c r="Z170" s="217"/>
      <c r="AA170" s="110"/>
      <c r="AB170" s="110"/>
      <c r="AC170" s="141"/>
      <c r="AD170" s="141"/>
      <c r="AE170" s="110"/>
      <c r="AF170" s="110"/>
      <c r="AI170" s="141"/>
      <c r="AJ170" s="141"/>
      <c r="AL170" s="110"/>
      <c r="AO170" s="141"/>
    </row>
    <row r="171" spans="3:43" x14ac:dyDescent="0.3">
      <c r="F171" s="110"/>
      <c r="H171" s="192"/>
      <c r="J171" s="192"/>
      <c r="K171" s="217"/>
      <c r="L171" s="217"/>
      <c r="M171" s="192"/>
      <c r="N171" s="192"/>
      <c r="O171" s="192"/>
      <c r="P171" s="192"/>
      <c r="Q171" s="192"/>
      <c r="R171" s="192"/>
      <c r="V171" s="192"/>
      <c r="Y171" s="192"/>
      <c r="Z171" s="217"/>
      <c r="AA171" s="192"/>
      <c r="AB171" s="192"/>
      <c r="AC171" s="192"/>
      <c r="AD171" s="192"/>
      <c r="AE171" s="192"/>
      <c r="AF171" s="192"/>
      <c r="AK171" s="194"/>
      <c r="AL171" s="192"/>
      <c r="AO171" s="141"/>
      <c r="AQ171" s="194"/>
    </row>
    <row r="172" spans="3:43" x14ac:dyDescent="0.3">
      <c r="F172" s="110"/>
      <c r="H172" s="110"/>
      <c r="J172" s="110"/>
      <c r="K172" s="217"/>
      <c r="L172" s="217"/>
      <c r="M172" s="110"/>
      <c r="N172" s="110"/>
      <c r="O172" s="110"/>
      <c r="P172" s="110"/>
      <c r="Q172" s="110"/>
      <c r="R172" s="110"/>
      <c r="T172" s="99"/>
    </row>
    <row r="173" spans="3:43" x14ac:dyDescent="0.3">
      <c r="C173" s="99"/>
      <c r="F173" s="172"/>
      <c r="H173" s="172"/>
      <c r="J173" s="172"/>
      <c r="K173" s="222"/>
      <c r="L173" s="222"/>
      <c r="M173" s="110"/>
      <c r="N173" s="110"/>
      <c r="O173" s="141"/>
      <c r="P173" s="141"/>
      <c r="Q173" s="172"/>
      <c r="R173" s="110"/>
      <c r="T173" s="99"/>
      <c r="V173" s="110"/>
      <c r="Y173" s="110"/>
      <c r="AA173" s="110"/>
      <c r="AB173" s="110"/>
      <c r="AC173" s="141"/>
      <c r="AD173" s="141"/>
      <c r="AE173" s="110"/>
      <c r="AF173" s="110"/>
      <c r="AI173" s="141"/>
      <c r="AJ173" s="141"/>
      <c r="AK173" s="224"/>
      <c r="AL173" s="172"/>
      <c r="AO173" s="141"/>
    </row>
    <row r="174" spans="3:43" x14ac:dyDescent="0.3">
      <c r="C174" s="99"/>
      <c r="F174" s="172"/>
      <c r="H174" s="172"/>
      <c r="J174" s="172"/>
      <c r="K174" s="222"/>
      <c r="L174" s="222"/>
      <c r="M174" s="110"/>
      <c r="N174" s="110"/>
      <c r="O174" s="141"/>
      <c r="P174" s="141"/>
      <c r="Q174" s="172"/>
      <c r="R174" s="110"/>
      <c r="V174" s="192"/>
      <c r="Y174" s="192"/>
      <c r="Z174" s="217"/>
      <c r="AA174" s="192"/>
      <c r="AB174" s="192"/>
      <c r="AC174" s="192"/>
      <c r="AD174" s="192"/>
      <c r="AE174" s="192"/>
      <c r="AF174" s="192"/>
      <c r="AK174" s="194"/>
      <c r="AL174" s="192"/>
      <c r="AQ174" s="194"/>
    </row>
    <row r="175" spans="3:43" x14ac:dyDescent="0.3">
      <c r="C175" s="99"/>
      <c r="F175" s="172"/>
      <c r="H175" s="172"/>
      <c r="J175" s="172"/>
      <c r="K175" s="222"/>
      <c r="L175" s="222"/>
      <c r="M175" s="110"/>
      <c r="N175" s="110"/>
      <c r="O175" s="141"/>
      <c r="P175" s="141"/>
      <c r="Q175" s="172"/>
      <c r="R175" s="110"/>
    </row>
    <row r="176" spans="3:43" x14ac:dyDescent="0.3">
      <c r="F176" s="192"/>
      <c r="H176" s="192"/>
      <c r="J176" s="192"/>
      <c r="K176" s="217"/>
      <c r="L176" s="217"/>
      <c r="M176" s="192"/>
      <c r="N176" s="192"/>
      <c r="O176" s="192"/>
      <c r="P176" s="192"/>
      <c r="Q176" s="192"/>
      <c r="R176" s="192"/>
      <c r="T176" s="99"/>
      <c r="AA176" s="110"/>
      <c r="AB176" s="110"/>
      <c r="AC176" s="110"/>
      <c r="AD176" s="110"/>
      <c r="AI176" s="110"/>
      <c r="AJ176" s="110"/>
      <c r="AL176" s="110"/>
    </row>
    <row r="177" spans="1:38" x14ac:dyDescent="0.3">
      <c r="C177" s="99"/>
      <c r="F177" s="110"/>
      <c r="H177" s="110"/>
      <c r="J177" s="110"/>
      <c r="K177" s="198"/>
      <c r="L177" s="198"/>
      <c r="M177" s="110"/>
      <c r="N177" s="110"/>
      <c r="O177" s="141"/>
      <c r="P177" s="141"/>
      <c r="Q177" s="110"/>
      <c r="R177" s="110"/>
    </row>
    <row r="178" spans="1:38" x14ac:dyDescent="0.3">
      <c r="F178" s="192"/>
      <c r="H178" s="192"/>
      <c r="J178" s="192"/>
      <c r="K178" s="217"/>
      <c r="L178" s="217"/>
      <c r="M178" s="192"/>
      <c r="N178" s="192"/>
      <c r="O178" s="192"/>
      <c r="P178" s="192"/>
      <c r="Q178" s="192"/>
      <c r="R178" s="192"/>
    </row>
    <row r="179" spans="1:38" x14ac:dyDescent="0.3">
      <c r="C179" s="99"/>
      <c r="F179" s="110"/>
      <c r="H179" s="110"/>
      <c r="J179" s="110"/>
      <c r="K179" s="198"/>
      <c r="L179" s="198"/>
      <c r="M179" s="110"/>
      <c r="N179" s="110"/>
      <c r="O179" s="141"/>
      <c r="P179" s="141"/>
      <c r="Q179" s="110"/>
      <c r="R179" s="110"/>
      <c r="Y179" s="99"/>
    </row>
    <row r="180" spans="1:38" x14ac:dyDescent="0.3">
      <c r="C180" s="99"/>
      <c r="F180" s="110"/>
      <c r="H180" s="110"/>
      <c r="I180" s="110"/>
      <c r="J180" s="198"/>
      <c r="K180" s="198"/>
      <c r="L180" s="110"/>
      <c r="M180" s="110"/>
      <c r="N180" s="141"/>
      <c r="O180" s="141"/>
      <c r="P180" s="110"/>
      <c r="Q180" s="110"/>
      <c r="R180" s="110"/>
    </row>
    <row r="181" spans="1:38" x14ac:dyDescent="0.3">
      <c r="F181" s="192"/>
      <c r="H181" s="192"/>
      <c r="I181" s="192"/>
      <c r="J181" s="217"/>
      <c r="K181" s="217"/>
      <c r="L181" s="192"/>
      <c r="M181" s="192"/>
      <c r="N181" s="192"/>
      <c r="O181" s="192"/>
      <c r="P181" s="192"/>
      <c r="Q181" s="192"/>
      <c r="R181" s="192"/>
      <c r="AA181" s="99"/>
      <c r="AB181" s="99"/>
    </row>
    <row r="182" spans="1:38" x14ac:dyDescent="0.3">
      <c r="F182" s="110"/>
      <c r="H182" s="110"/>
      <c r="I182" s="110"/>
      <c r="J182" s="198"/>
      <c r="K182" s="198"/>
      <c r="L182" s="110"/>
      <c r="M182" s="110"/>
      <c r="N182" s="110"/>
      <c r="O182" s="110"/>
      <c r="P182" s="110"/>
      <c r="Q182" s="110"/>
      <c r="R182" s="110"/>
      <c r="AK182" s="190"/>
      <c r="AL182" s="99"/>
    </row>
    <row r="183" spans="1:38" x14ac:dyDescent="0.3">
      <c r="C183" s="99"/>
      <c r="F183" s="110"/>
      <c r="H183" s="110"/>
      <c r="I183" s="110"/>
      <c r="J183" s="198"/>
      <c r="K183" s="198"/>
      <c r="L183" s="110"/>
      <c r="M183" s="110"/>
      <c r="N183" s="110"/>
      <c r="O183" s="110"/>
      <c r="P183" s="110"/>
      <c r="Q183" s="110"/>
      <c r="R183" s="110"/>
      <c r="AK183" s="190"/>
      <c r="AL183" s="99"/>
    </row>
    <row r="184" spans="1:38" x14ac:dyDescent="0.3">
      <c r="A184" s="99"/>
      <c r="AK184" s="190"/>
      <c r="AL184" s="99"/>
    </row>
    <row r="186" spans="1:38" x14ac:dyDescent="0.3">
      <c r="H186" s="99"/>
      <c r="I186" s="99"/>
      <c r="Y186" s="99"/>
    </row>
    <row r="188" spans="1:38" x14ac:dyDescent="0.3">
      <c r="L188" s="99"/>
      <c r="M188" s="99"/>
      <c r="AA188" s="99"/>
      <c r="AB188" s="99"/>
    </row>
    <row r="189" spans="1:38" x14ac:dyDescent="0.3">
      <c r="R189" s="99"/>
      <c r="AK189" s="190"/>
      <c r="AL189" s="99"/>
    </row>
    <row r="190" spans="1:38" x14ac:dyDescent="0.3">
      <c r="R190" s="99"/>
      <c r="AK190" s="190"/>
      <c r="AL190" s="99"/>
    </row>
    <row r="191" spans="1:38" x14ac:dyDescent="0.3">
      <c r="A191" s="99"/>
      <c r="R191" s="99"/>
      <c r="AK191" s="190"/>
      <c r="AL191" s="99"/>
    </row>
    <row r="192" spans="1:38" x14ac:dyDescent="0.3">
      <c r="L192" s="99"/>
      <c r="M192" s="99"/>
      <c r="AA192" s="99"/>
      <c r="AB192" s="99"/>
    </row>
    <row r="193" spans="1:40" x14ac:dyDescent="0.3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91"/>
      <c r="AH193" s="101"/>
      <c r="AI193" s="101"/>
      <c r="AJ193" s="101"/>
      <c r="AK193" s="191"/>
      <c r="AL193" s="101"/>
      <c r="AM193" s="101"/>
      <c r="AN193" s="101"/>
    </row>
    <row r="194" spans="1:40" x14ac:dyDescent="0.3">
      <c r="L194" s="102"/>
      <c r="M194" s="102"/>
      <c r="N194" s="102"/>
      <c r="O194" s="102"/>
      <c r="R194" s="102"/>
      <c r="AA194" s="102"/>
      <c r="AB194" s="102"/>
      <c r="AC194" s="102"/>
      <c r="AD194" s="102"/>
      <c r="AE194" s="102"/>
      <c r="AF194" s="102"/>
      <c r="AG194" s="151"/>
      <c r="AH194" s="102"/>
      <c r="AK194" s="151"/>
      <c r="AL194" s="102"/>
      <c r="AM194" s="102"/>
      <c r="AN194" s="102"/>
    </row>
    <row r="195" spans="1:40" x14ac:dyDescent="0.3">
      <c r="L195" s="102"/>
      <c r="M195" s="102"/>
      <c r="N195" s="102"/>
      <c r="O195" s="102"/>
      <c r="R195" s="102"/>
      <c r="Z195" s="102"/>
      <c r="AA195" s="102"/>
      <c r="AB195" s="102"/>
      <c r="AC195" s="102"/>
      <c r="AD195" s="102"/>
      <c r="AE195" s="102"/>
      <c r="AF195" s="102"/>
      <c r="AG195" s="151"/>
      <c r="AH195" s="102"/>
      <c r="AK195" s="151"/>
      <c r="AL195" s="102"/>
      <c r="AM195" s="102"/>
      <c r="AN195" s="102"/>
    </row>
    <row r="196" spans="1:40" x14ac:dyDescent="0.3">
      <c r="A196" s="102"/>
      <c r="C196" s="102"/>
      <c r="D196" s="102"/>
      <c r="E196" s="102"/>
      <c r="F196" s="102"/>
      <c r="J196" s="102"/>
      <c r="K196" s="102"/>
      <c r="L196" s="102"/>
      <c r="M196" s="102"/>
      <c r="N196" s="102"/>
      <c r="O196" s="102"/>
      <c r="P196" s="102"/>
      <c r="Q196" s="102"/>
      <c r="R196" s="102"/>
      <c r="T196" s="102"/>
      <c r="U196" s="102"/>
      <c r="V196" s="102"/>
      <c r="Z196" s="102"/>
      <c r="AA196" s="102"/>
      <c r="AB196" s="102"/>
      <c r="AC196" s="102"/>
      <c r="AD196" s="102"/>
      <c r="AE196" s="102"/>
      <c r="AF196" s="102"/>
      <c r="AG196" s="151"/>
      <c r="AH196" s="102"/>
      <c r="AI196" s="102"/>
      <c r="AJ196" s="102"/>
      <c r="AK196" s="151"/>
      <c r="AL196" s="102"/>
      <c r="AM196" s="102"/>
      <c r="AN196" s="102"/>
    </row>
    <row r="197" spans="1:40" x14ac:dyDescent="0.3">
      <c r="A197" s="102"/>
      <c r="C197" s="102"/>
      <c r="D197" s="102"/>
      <c r="E197" s="102"/>
      <c r="F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T197" s="102"/>
      <c r="U197" s="102"/>
      <c r="V197" s="102"/>
      <c r="Y197" s="102"/>
      <c r="Z197" s="102"/>
      <c r="AA197" s="102"/>
      <c r="AB197" s="102"/>
      <c r="AC197" s="102"/>
      <c r="AD197" s="102"/>
      <c r="AE197" s="102"/>
      <c r="AF197" s="102"/>
      <c r="AG197" s="151"/>
      <c r="AH197" s="102"/>
      <c r="AI197" s="102"/>
      <c r="AJ197" s="102"/>
      <c r="AK197" s="151"/>
      <c r="AL197" s="102"/>
      <c r="AM197" s="102"/>
      <c r="AN197" s="102"/>
    </row>
    <row r="198" spans="1:40" x14ac:dyDescent="0.3">
      <c r="C198" s="102"/>
      <c r="D198" s="102"/>
      <c r="E198" s="102"/>
      <c r="F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T198" s="102"/>
      <c r="U198" s="102"/>
      <c r="V198" s="102"/>
      <c r="Y198" s="102"/>
      <c r="Z198" s="102"/>
      <c r="AA198" s="102"/>
      <c r="AB198" s="102"/>
      <c r="AC198" s="102"/>
      <c r="AD198" s="102"/>
      <c r="AE198" s="102"/>
      <c r="AF198" s="102"/>
      <c r="AG198" s="151"/>
      <c r="AH198" s="102"/>
      <c r="AI198" s="102"/>
      <c r="AJ198" s="102"/>
      <c r="AK198" s="151"/>
      <c r="AL198" s="102"/>
      <c r="AM198" s="102"/>
      <c r="AN198" s="102"/>
    </row>
    <row r="199" spans="1:40" x14ac:dyDescent="0.3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91"/>
      <c r="AH199" s="101"/>
      <c r="AI199" s="101"/>
      <c r="AJ199" s="101"/>
      <c r="AK199" s="191"/>
      <c r="AL199" s="101"/>
      <c r="AM199" s="101"/>
      <c r="AN199" s="101"/>
    </row>
    <row r="200" spans="1:40" x14ac:dyDescent="0.3"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Y200" s="102"/>
      <c r="Z200" s="102"/>
      <c r="AA200" s="102"/>
      <c r="AB200" s="102"/>
      <c r="AC200" s="102"/>
      <c r="AD200" s="102"/>
      <c r="AE200" s="102"/>
      <c r="AF200" s="102"/>
      <c r="AG200" s="151"/>
      <c r="AH200" s="102"/>
      <c r="AI200" s="102"/>
      <c r="AJ200" s="102"/>
      <c r="AK200" s="151"/>
      <c r="AL200" s="102"/>
      <c r="AM200" s="102"/>
      <c r="AN200" s="102"/>
    </row>
    <row r="201" spans="1:40" x14ac:dyDescent="0.3">
      <c r="C201" s="99"/>
      <c r="D201" s="99"/>
      <c r="E201" s="99"/>
      <c r="T201" s="99"/>
      <c r="U201" s="99"/>
    </row>
    <row r="203" spans="1:40" x14ac:dyDescent="0.3">
      <c r="C203" s="99"/>
      <c r="F203" s="172"/>
      <c r="H203" s="220"/>
      <c r="I203" s="220"/>
      <c r="J203" s="181"/>
      <c r="K203" s="181"/>
      <c r="L203" s="110"/>
      <c r="M203" s="110"/>
      <c r="R203" s="110"/>
      <c r="T203" s="99"/>
      <c r="V203" s="110"/>
      <c r="Z203" s="181"/>
      <c r="AA203" s="110"/>
      <c r="AB203" s="110"/>
      <c r="AE203" s="110"/>
      <c r="AF203" s="110"/>
      <c r="AG203" s="224"/>
      <c r="AH203" s="225"/>
      <c r="AI203" s="110"/>
      <c r="AJ203" s="110"/>
      <c r="AL203" s="110"/>
      <c r="AM203" s="226"/>
      <c r="AN203" s="226"/>
    </row>
    <row r="204" spans="1:40" x14ac:dyDescent="0.3">
      <c r="F204" s="172"/>
      <c r="H204" s="220"/>
      <c r="I204" s="220"/>
      <c r="J204" s="220"/>
      <c r="K204" s="220"/>
      <c r="R204" s="110"/>
      <c r="V204" s="110"/>
      <c r="Z204" s="220"/>
    </row>
    <row r="205" spans="1:40" x14ac:dyDescent="0.3">
      <c r="C205" s="99"/>
      <c r="F205" s="172"/>
      <c r="H205" s="172"/>
      <c r="I205" s="172"/>
      <c r="J205" s="222"/>
      <c r="K205" s="222"/>
      <c r="L205" s="110"/>
      <c r="M205" s="110"/>
      <c r="N205" s="141"/>
      <c r="O205" s="141"/>
      <c r="P205" s="172"/>
      <c r="Q205" s="172"/>
      <c r="R205" s="110"/>
      <c r="T205" s="99"/>
      <c r="V205" s="110"/>
      <c r="Y205" s="110"/>
      <c r="Z205" s="216"/>
      <c r="AA205" s="110"/>
      <c r="AB205" s="110"/>
      <c r="AC205" s="141"/>
      <c r="AD205" s="141"/>
      <c r="AE205" s="110"/>
      <c r="AF205" s="110"/>
      <c r="AH205" s="207"/>
      <c r="AI205" s="172"/>
      <c r="AJ205" s="172"/>
      <c r="AL205" s="110"/>
      <c r="AM205" s="141"/>
      <c r="AN205" s="141"/>
    </row>
    <row r="206" spans="1:40" x14ac:dyDescent="0.3">
      <c r="F206" s="192"/>
      <c r="H206" s="192"/>
      <c r="I206" s="192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92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</row>
    <row r="207" spans="1:40" x14ac:dyDescent="0.3">
      <c r="D207" s="99"/>
      <c r="E207" s="99"/>
      <c r="F207" s="110"/>
      <c r="H207" s="110"/>
      <c r="I207" s="110"/>
      <c r="J207" s="198"/>
      <c r="K207" s="198"/>
      <c r="L207" s="110"/>
      <c r="M207" s="110"/>
      <c r="N207" s="141"/>
      <c r="O207" s="141"/>
      <c r="P207" s="110"/>
      <c r="Q207" s="110"/>
      <c r="R207" s="110"/>
      <c r="U207" s="99"/>
      <c r="V207" s="110"/>
      <c r="Y207" s="110"/>
      <c r="Z207" s="198"/>
      <c r="AA207" s="110"/>
      <c r="AB207" s="110"/>
      <c r="AC207" s="141"/>
      <c r="AD207" s="141"/>
      <c r="AE207" s="110"/>
      <c r="AF207" s="110"/>
      <c r="AH207" s="207"/>
      <c r="AI207" s="110"/>
      <c r="AJ207" s="110"/>
      <c r="AL207" s="110"/>
      <c r="AM207" s="141"/>
      <c r="AN207" s="141"/>
    </row>
    <row r="208" spans="1:40" x14ac:dyDescent="0.3">
      <c r="F208" s="192"/>
      <c r="H208" s="192"/>
      <c r="I208" s="192"/>
      <c r="J208" s="217"/>
      <c r="K208" s="217"/>
      <c r="L208" s="192"/>
      <c r="M208" s="192"/>
      <c r="N208" s="192"/>
      <c r="O208" s="192"/>
      <c r="P208" s="192"/>
      <c r="Q208" s="192"/>
      <c r="R208" s="192"/>
      <c r="V208" s="192"/>
      <c r="Y208" s="192"/>
      <c r="Z208" s="217"/>
      <c r="AA208" s="192"/>
      <c r="AB208" s="192"/>
      <c r="AC208" s="192"/>
      <c r="AD208" s="192"/>
      <c r="AE208" s="192"/>
      <c r="AF208" s="192"/>
      <c r="AI208" s="192"/>
      <c r="AJ208" s="192"/>
      <c r="AK208" s="194"/>
      <c r="AL208" s="192"/>
    </row>
    <row r="209" spans="3:40" x14ac:dyDescent="0.3">
      <c r="R209" s="110"/>
    </row>
    <row r="210" spans="3:40" x14ac:dyDescent="0.3">
      <c r="R210" s="110"/>
    </row>
    <row r="211" spans="3:40" x14ac:dyDescent="0.3">
      <c r="R211" s="110"/>
    </row>
    <row r="212" spans="3:40" x14ac:dyDescent="0.3">
      <c r="C212" s="99"/>
      <c r="D212" s="99"/>
      <c r="E212" s="99"/>
      <c r="H212" s="110"/>
      <c r="I212" s="110"/>
      <c r="J212" s="198"/>
      <c r="K212" s="198"/>
      <c r="L212" s="110"/>
      <c r="M212" s="110"/>
      <c r="N212" s="141"/>
      <c r="O212" s="141"/>
      <c r="P212" s="110"/>
      <c r="Q212" s="110"/>
      <c r="R212" s="110"/>
      <c r="T212" s="99"/>
      <c r="U212" s="99"/>
      <c r="Y212" s="110"/>
      <c r="Z212" s="198"/>
      <c r="AA212" s="110"/>
      <c r="AB212" s="110"/>
      <c r="AC212" s="141"/>
      <c r="AD212" s="141"/>
    </row>
    <row r="213" spans="3:40" x14ac:dyDescent="0.3">
      <c r="H213" s="110"/>
      <c r="I213" s="110"/>
      <c r="J213" s="198"/>
      <c r="K213" s="198"/>
      <c r="L213" s="110"/>
      <c r="M213" s="110"/>
      <c r="N213" s="141"/>
      <c r="O213" s="141"/>
      <c r="P213" s="110"/>
      <c r="Q213" s="110"/>
      <c r="R213" s="110"/>
      <c r="Y213" s="110"/>
      <c r="Z213" s="198"/>
      <c r="AA213" s="110"/>
      <c r="AB213" s="110"/>
      <c r="AC213" s="141"/>
      <c r="AD213" s="141"/>
    </row>
    <row r="214" spans="3:40" x14ac:dyDescent="0.3">
      <c r="C214" s="99"/>
      <c r="F214" s="172"/>
      <c r="H214" s="172"/>
      <c r="I214" s="172"/>
      <c r="J214" s="208"/>
      <c r="K214" s="208"/>
      <c r="L214" s="172"/>
      <c r="M214" s="172"/>
      <c r="N214" s="141"/>
      <c r="O214" s="141"/>
      <c r="P214" s="110"/>
      <c r="Q214" s="110"/>
      <c r="R214" s="110"/>
      <c r="T214" s="99"/>
      <c r="V214" s="110"/>
      <c r="Y214" s="110"/>
      <c r="Z214" s="208"/>
      <c r="AA214" s="110"/>
      <c r="AB214" s="110"/>
      <c r="AC214" s="141"/>
      <c r="AD214" s="141"/>
      <c r="AE214" s="110"/>
      <c r="AF214" s="110"/>
      <c r="AH214" s="207"/>
      <c r="AI214" s="110"/>
      <c r="AJ214" s="110"/>
      <c r="AL214" s="110"/>
      <c r="AM214" s="141"/>
      <c r="AN214" s="141"/>
    </row>
    <row r="215" spans="3:40" x14ac:dyDescent="0.3">
      <c r="F215" s="172"/>
      <c r="H215" s="220"/>
      <c r="I215" s="220"/>
      <c r="J215" s="220"/>
      <c r="K215" s="220"/>
      <c r="R215" s="110"/>
      <c r="V215" s="110"/>
      <c r="Z215" s="220"/>
    </row>
    <row r="216" spans="3:40" x14ac:dyDescent="0.3">
      <c r="C216" s="99"/>
      <c r="F216" s="172"/>
      <c r="H216" s="172"/>
      <c r="I216" s="172"/>
      <c r="J216" s="181"/>
      <c r="K216" s="181"/>
      <c r="L216" s="110"/>
      <c r="M216" s="110"/>
      <c r="N216" s="141"/>
      <c r="O216" s="141"/>
      <c r="P216" s="110"/>
      <c r="Q216" s="110"/>
      <c r="R216" s="110"/>
      <c r="T216" s="99"/>
      <c r="V216" s="110"/>
      <c r="Y216" s="110"/>
      <c r="Z216" s="181"/>
      <c r="AA216" s="110"/>
      <c r="AB216" s="110"/>
      <c r="AC216" s="141"/>
      <c r="AD216" s="141"/>
      <c r="AE216" s="110"/>
      <c r="AF216" s="110"/>
      <c r="AH216" s="207"/>
      <c r="AI216" s="110"/>
      <c r="AJ216" s="110"/>
      <c r="AL216" s="110"/>
      <c r="AM216" s="141"/>
      <c r="AN216" s="141"/>
    </row>
    <row r="217" spans="3:40" x14ac:dyDescent="0.3">
      <c r="F217" s="172"/>
      <c r="H217" s="220"/>
      <c r="I217" s="220"/>
      <c r="J217" s="220"/>
      <c r="K217" s="220"/>
      <c r="R217" s="110"/>
      <c r="V217" s="110"/>
      <c r="Z217" s="220"/>
    </row>
    <row r="218" spans="3:40" x14ac:dyDescent="0.3">
      <c r="C218" s="99"/>
      <c r="F218" s="172"/>
      <c r="H218" s="172"/>
      <c r="I218" s="172"/>
      <c r="J218" s="222"/>
      <c r="K218" s="222"/>
      <c r="L218" s="110"/>
      <c r="M218" s="110"/>
      <c r="N218" s="141"/>
      <c r="O218" s="141"/>
      <c r="P218" s="110"/>
      <c r="Q218" s="110"/>
      <c r="R218" s="110"/>
      <c r="T218" s="99"/>
      <c r="V218" s="110"/>
      <c r="Y218" s="110"/>
      <c r="Z218" s="216"/>
      <c r="AA218" s="110"/>
      <c r="AB218" s="110"/>
      <c r="AC218" s="141"/>
      <c r="AD218" s="141"/>
      <c r="AE218" s="110"/>
      <c r="AF218" s="110"/>
      <c r="AH218" s="207"/>
      <c r="AI218" s="110"/>
      <c r="AJ218" s="110"/>
      <c r="AL218" s="110"/>
      <c r="AM218" s="141"/>
      <c r="AN218" s="141"/>
    </row>
    <row r="219" spans="3:40" x14ac:dyDescent="0.3">
      <c r="F219" s="192"/>
      <c r="H219" s="192"/>
      <c r="I219" s="192"/>
      <c r="J219" s="217"/>
      <c r="K219" s="217"/>
      <c r="L219" s="192"/>
      <c r="M219" s="192"/>
      <c r="N219" s="192"/>
      <c r="O219" s="192"/>
      <c r="P219" s="192"/>
      <c r="Q219" s="192"/>
      <c r="R219" s="192"/>
      <c r="S219" s="110"/>
      <c r="V219" s="192"/>
      <c r="Y219" s="192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</row>
    <row r="220" spans="3:40" x14ac:dyDescent="0.3">
      <c r="D220" s="99"/>
      <c r="E220" s="99"/>
      <c r="F220" s="110"/>
      <c r="H220" s="110"/>
      <c r="I220" s="110"/>
      <c r="J220" s="198"/>
      <c r="K220" s="198"/>
      <c r="L220" s="110"/>
      <c r="M220" s="110"/>
      <c r="N220" s="141"/>
      <c r="O220" s="141"/>
      <c r="P220" s="172"/>
      <c r="Q220" s="172"/>
      <c r="R220" s="110"/>
      <c r="S220" s="110"/>
      <c r="U220" s="99"/>
      <c r="V220" s="110"/>
      <c r="Y220" s="110"/>
      <c r="Z220" s="198"/>
      <c r="AA220" s="110"/>
      <c r="AB220" s="110"/>
      <c r="AC220" s="141"/>
      <c r="AD220" s="141"/>
      <c r="AE220" s="110"/>
      <c r="AF220" s="110"/>
      <c r="AH220" s="207"/>
      <c r="AI220" s="172"/>
      <c r="AJ220" s="172"/>
      <c r="AL220" s="110"/>
      <c r="AM220" s="141"/>
      <c r="AN220" s="141"/>
    </row>
    <row r="221" spans="3:40" x14ac:dyDescent="0.3">
      <c r="F221" s="192"/>
      <c r="H221" s="192"/>
      <c r="I221" s="192"/>
      <c r="J221" s="217"/>
      <c r="K221" s="217"/>
      <c r="L221" s="192"/>
      <c r="M221" s="192"/>
      <c r="N221" s="192"/>
      <c r="O221" s="192"/>
      <c r="P221" s="192"/>
      <c r="Q221" s="192"/>
      <c r="R221" s="192"/>
      <c r="S221" s="110"/>
      <c r="V221" s="192"/>
      <c r="Y221" s="192"/>
      <c r="Z221" s="217"/>
      <c r="AA221" s="192"/>
      <c r="AB221" s="192"/>
      <c r="AC221" s="192"/>
      <c r="AD221" s="192"/>
      <c r="AE221" s="192"/>
      <c r="AF221" s="192"/>
      <c r="AI221" s="192"/>
      <c r="AJ221" s="192"/>
      <c r="AK221" s="194"/>
      <c r="AL221" s="192"/>
    </row>
    <row r="222" spans="3:40" x14ac:dyDescent="0.3">
      <c r="R222" s="110"/>
    </row>
    <row r="223" spans="3:40" x14ac:dyDescent="0.3">
      <c r="F223" s="110"/>
      <c r="H223" s="110"/>
      <c r="I223" s="110"/>
      <c r="J223" s="198"/>
      <c r="K223" s="198"/>
      <c r="L223" s="110"/>
      <c r="M223" s="110"/>
      <c r="N223" s="110"/>
      <c r="O223" s="110"/>
      <c r="P223" s="110"/>
      <c r="Q223" s="110"/>
      <c r="R223" s="110"/>
      <c r="V223" s="110"/>
      <c r="Y223" s="110"/>
      <c r="Z223" s="198"/>
      <c r="AA223" s="110"/>
      <c r="AB223" s="110"/>
      <c r="AC223" s="110"/>
      <c r="AD223" s="110"/>
    </row>
    <row r="224" spans="3:40" x14ac:dyDescent="0.3">
      <c r="C224" s="99"/>
      <c r="F224" s="110"/>
      <c r="H224" s="110"/>
      <c r="I224" s="110"/>
      <c r="J224" s="198"/>
      <c r="K224" s="198"/>
      <c r="L224" s="110"/>
      <c r="M224" s="110"/>
      <c r="N224" s="110"/>
      <c r="O224" s="110"/>
      <c r="P224" s="110"/>
      <c r="Q224" s="110"/>
      <c r="R224" s="110"/>
      <c r="T224" s="99"/>
      <c r="V224" s="110"/>
      <c r="Y224" s="110"/>
      <c r="Z224" s="198"/>
      <c r="AA224" s="110"/>
      <c r="AB224" s="110"/>
      <c r="AC224" s="110"/>
      <c r="AD224" s="110"/>
    </row>
    <row r="225" spans="1:40" x14ac:dyDescent="0.3">
      <c r="C225" s="99"/>
      <c r="T225" s="99"/>
    </row>
    <row r="226" spans="1:40" x14ac:dyDescent="0.3">
      <c r="A226" s="99"/>
    </row>
    <row r="229" spans="1:40" x14ac:dyDescent="0.3">
      <c r="H229" s="99"/>
      <c r="I229" s="99"/>
      <c r="Y229" s="99"/>
    </row>
    <row r="231" spans="1:40" x14ac:dyDescent="0.3">
      <c r="L231" s="99"/>
      <c r="M231" s="99"/>
      <c r="AA231" s="99"/>
      <c r="AB231" s="99"/>
    </row>
    <row r="232" spans="1:40" x14ac:dyDescent="0.3">
      <c r="R232" s="99"/>
      <c r="AK232" s="190"/>
      <c r="AL232" s="99"/>
    </row>
    <row r="233" spans="1:40" x14ac:dyDescent="0.3">
      <c r="R233" s="99"/>
      <c r="AK233" s="190"/>
      <c r="AL233" s="99"/>
    </row>
    <row r="234" spans="1:40" x14ac:dyDescent="0.3">
      <c r="A234" s="99"/>
      <c r="R234" s="99"/>
      <c r="AK234" s="190"/>
      <c r="AL234" s="99"/>
    </row>
    <row r="235" spans="1:40" x14ac:dyDescent="0.3">
      <c r="L235" s="99"/>
      <c r="M235" s="99"/>
      <c r="AA235" s="99"/>
      <c r="AB235" s="99"/>
    </row>
    <row r="236" spans="1:40" x14ac:dyDescent="0.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91"/>
      <c r="AH236" s="101"/>
      <c r="AI236" s="101"/>
      <c r="AJ236" s="101"/>
      <c r="AK236" s="191"/>
      <c r="AL236" s="101"/>
      <c r="AM236" s="101"/>
      <c r="AN236" s="101"/>
    </row>
    <row r="237" spans="1:40" x14ac:dyDescent="0.3">
      <c r="L237" s="102"/>
      <c r="M237" s="102"/>
      <c r="N237" s="102"/>
      <c r="O237" s="102"/>
      <c r="R237" s="102"/>
      <c r="AA237" s="102"/>
      <c r="AB237" s="102"/>
      <c r="AC237" s="102"/>
      <c r="AD237" s="102"/>
      <c r="AE237" s="102"/>
      <c r="AF237" s="102"/>
      <c r="AG237" s="151"/>
      <c r="AH237" s="102"/>
      <c r="AK237" s="151"/>
      <c r="AL237" s="102"/>
      <c r="AM237" s="102"/>
      <c r="AN237" s="102"/>
    </row>
    <row r="238" spans="1:40" x14ac:dyDescent="0.3">
      <c r="L238" s="102"/>
      <c r="M238" s="102"/>
      <c r="N238" s="102"/>
      <c r="O238" s="102"/>
      <c r="R238" s="102"/>
      <c r="Z238" s="102"/>
      <c r="AA238" s="102"/>
      <c r="AB238" s="102"/>
      <c r="AC238" s="102"/>
      <c r="AD238" s="102"/>
      <c r="AE238" s="102"/>
      <c r="AF238" s="102"/>
      <c r="AG238" s="151"/>
      <c r="AH238" s="102"/>
      <c r="AK238" s="151"/>
      <c r="AL238" s="102"/>
      <c r="AM238" s="102"/>
      <c r="AN238" s="102"/>
    </row>
    <row r="239" spans="1:40" x14ac:dyDescent="0.3">
      <c r="A239" s="102"/>
      <c r="C239" s="102"/>
      <c r="D239" s="102"/>
      <c r="E239" s="102"/>
      <c r="F239" s="102"/>
      <c r="J239" s="102"/>
      <c r="K239" s="102"/>
      <c r="L239" s="102"/>
      <c r="M239" s="102"/>
      <c r="N239" s="102"/>
      <c r="O239" s="102"/>
      <c r="P239" s="102"/>
      <c r="Q239" s="102"/>
      <c r="R239" s="102"/>
      <c r="T239" s="102"/>
      <c r="U239" s="102"/>
      <c r="V239" s="102"/>
      <c r="Z239" s="102"/>
      <c r="AA239" s="102"/>
      <c r="AB239" s="102"/>
      <c r="AC239" s="102"/>
      <c r="AD239" s="102"/>
      <c r="AE239" s="102"/>
      <c r="AF239" s="102"/>
      <c r="AG239" s="151"/>
      <c r="AH239" s="102"/>
      <c r="AI239" s="102"/>
      <c r="AJ239" s="102"/>
      <c r="AK239" s="151"/>
      <c r="AL239" s="102"/>
      <c r="AM239" s="102"/>
      <c r="AN239" s="102"/>
    </row>
    <row r="240" spans="1:40" x14ac:dyDescent="0.3">
      <c r="A240" s="102"/>
      <c r="C240" s="102"/>
      <c r="D240" s="102"/>
      <c r="E240" s="102"/>
      <c r="F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Y240" s="102"/>
      <c r="Z240" s="102"/>
      <c r="AA240" s="102"/>
      <c r="AB240" s="102"/>
      <c r="AC240" s="102"/>
      <c r="AD240" s="102"/>
      <c r="AE240" s="102"/>
      <c r="AF240" s="102"/>
      <c r="AG240" s="151"/>
      <c r="AH240" s="102"/>
      <c r="AI240" s="102"/>
      <c r="AJ240" s="102"/>
      <c r="AK240" s="151"/>
      <c r="AL240" s="102"/>
      <c r="AM240" s="102"/>
      <c r="AN240" s="102"/>
    </row>
    <row r="241" spans="1:40" x14ac:dyDescent="0.3">
      <c r="C241" s="102"/>
      <c r="D241" s="102"/>
      <c r="E241" s="102"/>
      <c r="F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Y241" s="102"/>
      <c r="Z241" s="102"/>
      <c r="AA241" s="102"/>
      <c r="AB241" s="102"/>
      <c r="AC241" s="102"/>
      <c r="AD241" s="102"/>
      <c r="AE241" s="102"/>
      <c r="AF241" s="102"/>
      <c r="AG241" s="151"/>
      <c r="AH241" s="102"/>
      <c r="AI241" s="102"/>
      <c r="AJ241" s="102"/>
      <c r="AK241" s="151"/>
      <c r="AL241" s="102"/>
      <c r="AM241" s="102"/>
      <c r="AN241" s="102"/>
    </row>
    <row r="242" spans="1:40" x14ac:dyDescent="0.3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91"/>
      <c r="AH242" s="101"/>
      <c r="AI242" s="101"/>
      <c r="AJ242" s="101"/>
      <c r="AK242" s="191"/>
      <c r="AL242" s="101"/>
      <c r="AM242" s="101"/>
      <c r="AN242" s="101"/>
    </row>
    <row r="243" spans="1:40" x14ac:dyDescent="0.3"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Y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I243" s="102"/>
      <c r="AJ243" s="102"/>
      <c r="AK243" s="151"/>
      <c r="AL243" s="102"/>
      <c r="AM243" s="102"/>
      <c r="AN243" s="102"/>
    </row>
    <row r="244" spans="1:40" x14ac:dyDescent="0.3">
      <c r="C244" s="99"/>
      <c r="D244" s="99"/>
      <c r="E244" s="99"/>
      <c r="T244" s="99"/>
      <c r="U244" s="99"/>
    </row>
    <row r="245" spans="1:40" x14ac:dyDescent="0.3">
      <c r="D245" s="99"/>
      <c r="E245" s="99"/>
      <c r="U245" s="99"/>
    </row>
    <row r="247" spans="1:40" x14ac:dyDescent="0.3">
      <c r="C247" s="99"/>
      <c r="F247" s="110"/>
      <c r="J247" s="209"/>
      <c r="K247" s="209"/>
      <c r="L247" s="110"/>
      <c r="M247" s="110"/>
      <c r="R247" s="110"/>
      <c r="T247" s="99"/>
      <c r="V247" s="110"/>
      <c r="Z247" s="209"/>
      <c r="AA247" s="110"/>
      <c r="AB247" s="110"/>
      <c r="AL247" s="110"/>
    </row>
    <row r="248" spans="1:40" x14ac:dyDescent="0.3">
      <c r="F248" s="110"/>
      <c r="R248" s="110"/>
      <c r="V248" s="110"/>
      <c r="AL248" s="110"/>
    </row>
    <row r="249" spans="1:40" x14ac:dyDescent="0.3">
      <c r="C249" s="99"/>
      <c r="F249" s="172"/>
      <c r="H249" s="172"/>
      <c r="I249" s="172"/>
      <c r="J249" s="181"/>
      <c r="K249" s="181"/>
      <c r="L249" s="110"/>
      <c r="M249" s="110"/>
      <c r="N249" s="141"/>
      <c r="O249" s="141"/>
      <c r="P249" s="110"/>
      <c r="Q249" s="110"/>
      <c r="R249" s="110"/>
      <c r="T249" s="99"/>
      <c r="V249" s="110"/>
      <c r="Y249" s="110"/>
      <c r="Z249" s="181"/>
      <c r="AA249" s="110"/>
      <c r="AB249" s="110"/>
      <c r="AC249" s="141"/>
      <c r="AD249" s="141"/>
      <c r="AE249" s="110"/>
      <c r="AF249" s="110"/>
      <c r="AH249" s="207"/>
      <c r="AI249" s="110"/>
      <c r="AJ249" s="110"/>
      <c r="AL249" s="110"/>
      <c r="AM249" s="141"/>
      <c r="AN249" s="141"/>
    </row>
    <row r="250" spans="1:40" x14ac:dyDescent="0.3">
      <c r="C250" s="99"/>
      <c r="F250" s="172"/>
      <c r="H250" s="220"/>
      <c r="I250" s="220"/>
      <c r="J250" s="181"/>
      <c r="K250" s="181"/>
      <c r="L250" s="110"/>
      <c r="M250" s="110"/>
      <c r="N250" s="141"/>
      <c r="O250" s="141"/>
      <c r="P250" s="110"/>
      <c r="Q250" s="110"/>
      <c r="R250" s="110"/>
      <c r="T250" s="99"/>
      <c r="V250" s="110"/>
      <c r="Y250" s="110"/>
      <c r="Z250" s="181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1:40" x14ac:dyDescent="0.3">
      <c r="F251" s="192"/>
      <c r="H251" s="110"/>
      <c r="I251" s="110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10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</row>
    <row r="252" spans="1:40" x14ac:dyDescent="0.3">
      <c r="C252" s="99"/>
      <c r="F252" s="110"/>
      <c r="H252" s="110"/>
      <c r="I252" s="110"/>
      <c r="J252" s="198"/>
      <c r="K252" s="198"/>
      <c r="L252" s="110"/>
      <c r="M252" s="110"/>
      <c r="N252" s="141"/>
      <c r="O252" s="141"/>
      <c r="P252" s="110"/>
      <c r="Q252" s="110"/>
      <c r="R252" s="110"/>
      <c r="T252" s="99"/>
      <c r="V252" s="110"/>
      <c r="Y252" s="110"/>
      <c r="Z252" s="198"/>
      <c r="AA252" s="110"/>
      <c r="AB252" s="110"/>
      <c r="AC252" s="141"/>
      <c r="AD252" s="141"/>
      <c r="AE252" s="110"/>
      <c r="AF252" s="110"/>
      <c r="AH252" s="207"/>
      <c r="AI252" s="110"/>
      <c r="AJ252" s="110"/>
      <c r="AL252" s="110"/>
      <c r="AM252" s="141"/>
      <c r="AN252" s="141"/>
    </row>
    <row r="253" spans="1:40" x14ac:dyDescent="0.3">
      <c r="F253" s="192"/>
      <c r="H253" s="110"/>
      <c r="I253" s="110"/>
      <c r="J253" s="217"/>
      <c r="K253" s="217"/>
      <c r="L253" s="192"/>
      <c r="M253" s="192"/>
      <c r="N253" s="192"/>
      <c r="O253" s="192"/>
      <c r="P253" s="192"/>
      <c r="Q253" s="192"/>
      <c r="R253" s="192"/>
      <c r="V253" s="192"/>
      <c r="Y253" s="110"/>
      <c r="Z253" s="217"/>
      <c r="AA253" s="192"/>
      <c r="AB253" s="192"/>
      <c r="AC253" s="192"/>
      <c r="AD253" s="192"/>
      <c r="AE253" s="192"/>
      <c r="AF253" s="192"/>
      <c r="AI253" s="192"/>
      <c r="AJ253" s="192"/>
      <c r="AK253" s="194"/>
      <c r="AL253" s="192"/>
    </row>
    <row r="254" spans="1:40" x14ac:dyDescent="0.3">
      <c r="F254" s="110"/>
      <c r="R254" s="110"/>
      <c r="V254" s="110"/>
      <c r="AL254" s="110"/>
    </row>
    <row r="255" spans="1:40" x14ac:dyDescent="0.3">
      <c r="C255" s="99"/>
      <c r="F255" s="110"/>
      <c r="R255" s="110"/>
      <c r="T255" s="99"/>
      <c r="V255" s="110"/>
      <c r="AL255" s="110"/>
    </row>
    <row r="256" spans="1:40" x14ac:dyDescent="0.3">
      <c r="F256" s="110"/>
      <c r="R256" s="110"/>
      <c r="V256" s="110"/>
      <c r="AL256" s="110"/>
    </row>
    <row r="257" spans="1:40" x14ac:dyDescent="0.3">
      <c r="C257" s="99"/>
      <c r="F257" s="110"/>
      <c r="H257" s="172"/>
      <c r="I257" s="172"/>
      <c r="J257" s="222"/>
      <c r="K257" s="222"/>
      <c r="L257" s="110"/>
      <c r="M257" s="110"/>
      <c r="N257" s="141"/>
      <c r="O257" s="141"/>
      <c r="P257" s="172"/>
      <c r="Q257" s="172"/>
      <c r="R257" s="110"/>
      <c r="T257" s="99"/>
      <c r="V257" s="110"/>
      <c r="Y257" s="110"/>
      <c r="Z257" s="216"/>
      <c r="AA257" s="110"/>
      <c r="AB257" s="110"/>
      <c r="AC257" s="141"/>
      <c r="AD257" s="141"/>
      <c r="AE257" s="110"/>
      <c r="AF257" s="110"/>
      <c r="AH257" s="207"/>
      <c r="AI257" s="172"/>
      <c r="AJ257" s="172"/>
      <c r="AL257" s="110"/>
      <c r="AM257" s="141"/>
      <c r="AN257" s="141"/>
    </row>
    <row r="258" spans="1:40" x14ac:dyDescent="0.3">
      <c r="F258" s="192"/>
      <c r="H258" s="192"/>
      <c r="I258" s="192"/>
      <c r="J258" s="217"/>
      <c r="K258" s="217"/>
      <c r="L258" s="192"/>
      <c r="M258" s="192"/>
      <c r="N258" s="192"/>
      <c r="O258" s="192"/>
      <c r="P258" s="192"/>
      <c r="Q258" s="192"/>
      <c r="R258" s="192"/>
      <c r="V258" s="192"/>
      <c r="Y258" s="192"/>
      <c r="Z258" s="217"/>
      <c r="AA258" s="192"/>
      <c r="AB258" s="192"/>
      <c r="AC258" s="192"/>
      <c r="AD258" s="192"/>
      <c r="AE258" s="192"/>
      <c r="AF258" s="192"/>
      <c r="AI258" s="192"/>
      <c r="AJ258" s="192"/>
      <c r="AK258" s="194"/>
      <c r="AL258" s="192"/>
    </row>
    <row r="260" spans="1:40" x14ac:dyDescent="0.3">
      <c r="C260" s="99"/>
      <c r="F260" s="110"/>
      <c r="H260" s="110"/>
      <c r="I260" s="110"/>
      <c r="J260" s="209"/>
      <c r="K260" s="209"/>
      <c r="L260" s="110"/>
      <c r="M260" s="110"/>
      <c r="N260" s="141"/>
      <c r="O260" s="141"/>
      <c r="P260" s="110"/>
      <c r="Q260" s="110"/>
      <c r="R260" s="110"/>
      <c r="T260" s="99"/>
      <c r="V260" s="110"/>
      <c r="Y260" s="110"/>
      <c r="Z260" s="209"/>
      <c r="AA260" s="110"/>
      <c r="AB260" s="110"/>
      <c r="AC260" s="141"/>
      <c r="AD260" s="141"/>
      <c r="AE260" s="110"/>
      <c r="AF260" s="110"/>
      <c r="AH260" s="207"/>
      <c r="AI260" s="110"/>
      <c r="AJ260" s="110"/>
      <c r="AL260" s="110"/>
      <c r="AM260" s="141"/>
      <c r="AN260" s="141"/>
    </row>
    <row r="261" spans="1:40" x14ac:dyDescent="0.3">
      <c r="F261" s="192"/>
      <c r="H261" s="192"/>
      <c r="I261" s="192"/>
      <c r="J261" s="217"/>
      <c r="K261" s="217"/>
      <c r="L261" s="192"/>
      <c r="M261" s="192"/>
      <c r="N261" s="192"/>
      <c r="O261" s="192"/>
      <c r="P261" s="192"/>
      <c r="Q261" s="192"/>
      <c r="R261" s="192"/>
      <c r="V261" s="192"/>
      <c r="Y261" s="192"/>
      <c r="Z261" s="217"/>
      <c r="AA261" s="192"/>
      <c r="AB261" s="192"/>
      <c r="AC261" s="192"/>
      <c r="AD261" s="192"/>
      <c r="AE261" s="192"/>
      <c r="AF261" s="192"/>
      <c r="AI261" s="192"/>
      <c r="AJ261" s="192"/>
      <c r="AK261" s="194"/>
      <c r="AL261" s="192"/>
    </row>
    <row r="262" spans="1:40" x14ac:dyDescent="0.3">
      <c r="R262" s="110"/>
      <c r="AH262" s="110"/>
    </row>
    <row r="263" spans="1:40" x14ac:dyDescent="0.3">
      <c r="F263" s="110"/>
      <c r="H263" s="110"/>
      <c r="I263" s="110"/>
      <c r="J263" s="198"/>
      <c r="K263" s="198"/>
      <c r="L263" s="110"/>
      <c r="M263" s="110"/>
      <c r="N263" s="110"/>
      <c r="O263" s="110"/>
      <c r="P263" s="110"/>
      <c r="Q263" s="110"/>
      <c r="R263" s="110"/>
      <c r="V263" s="110"/>
      <c r="Y263" s="110"/>
      <c r="Z263" s="198"/>
      <c r="AA263" s="110"/>
      <c r="AB263" s="110"/>
      <c r="AC263" s="110"/>
      <c r="AD263" s="110"/>
      <c r="AE263" s="110"/>
      <c r="AF263" s="110"/>
      <c r="AH263" s="110"/>
    </row>
    <row r="264" spans="1:40" x14ac:dyDescent="0.3">
      <c r="C264" s="99"/>
      <c r="F264" s="110"/>
      <c r="H264" s="110"/>
      <c r="I264" s="110"/>
      <c r="J264" s="198"/>
      <c r="K264" s="198"/>
      <c r="L264" s="110"/>
      <c r="M264" s="110"/>
      <c r="N264" s="110"/>
      <c r="O264" s="110"/>
      <c r="P264" s="110"/>
      <c r="Q264" s="110"/>
      <c r="R264" s="110"/>
      <c r="T264" s="99"/>
      <c r="V264" s="110"/>
      <c r="Y264" s="110"/>
      <c r="Z264" s="198"/>
      <c r="AA264" s="110"/>
      <c r="AB264" s="110"/>
      <c r="AC264" s="110"/>
      <c r="AD264" s="110"/>
      <c r="AE264" s="110"/>
      <c r="AF264" s="110"/>
      <c r="AH264" s="110"/>
    </row>
    <row r="265" spans="1:40" x14ac:dyDescent="0.3">
      <c r="A265" s="99"/>
    </row>
    <row r="268" spans="1:40" x14ac:dyDescent="0.3">
      <c r="H268" s="99"/>
      <c r="I268" s="99"/>
      <c r="Y268" s="99"/>
    </row>
    <row r="270" spans="1:40" x14ac:dyDescent="0.3">
      <c r="L270" s="99"/>
      <c r="M270" s="99"/>
      <c r="AA270" s="99"/>
      <c r="AB270" s="99"/>
    </row>
    <row r="271" spans="1:40" x14ac:dyDescent="0.3">
      <c r="R271" s="99"/>
      <c r="AK271" s="190"/>
      <c r="AL271" s="99"/>
    </row>
    <row r="272" spans="1:40" x14ac:dyDescent="0.3">
      <c r="R272" s="99"/>
      <c r="AK272" s="190"/>
      <c r="AL272" s="99"/>
    </row>
    <row r="273" spans="1:40" x14ac:dyDescent="0.3">
      <c r="A273" s="99"/>
      <c r="R273" s="99"/>
      <c r="AK273" s="190"/>
      <c r="AL273" s="99"/>
    </row>
    <row r="274" spans="1:40" x14ac:dyDescent="0.3">
      <c r="L274" s="99"/>
      <c r="M274" s="99"/>
      <c r="AA274" s="99"/>
      <c r="AB274" s="99"/>
    </row>
    <row r="275" spans="1:40" x14ac:dyDescent="0.3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91"/>
      <c r="AH275" s="101"/>
      <c r="AI275" s="101"/>
      <c r="AJ275" s="101"/>
      <c r="AK275" s="191"/>
      <c r="AL275" s="101"/>
      <c r="AM275" s="101"/>
      <c r="AN275" s="101"/>
    </row>
    <row r="276" spans="1:40" x14ac:dyDescent="0.3">
      <c r="L276" s="102"/>
      <c r="M276" s="102"/>
      <c r="N276" s="102"/>
      <c r="O276" s="102"/>
      <c r="R276" s="102"/>
      <c r="AA276" s="102"/>
      <c r="AB276" s="102"/>
      <c r="AC276" s="102"/>
      <c r="AD276" s="102"/>
      <c r="AE276" s="102"/>
      <c r="AF276" s="102"/>
      <c r="AG276" s="151"/>
      <c r="AH276" s="102"/>
      <c r="AK276" s="151"/>
      <c r="AL276" s="102"/>
      <c r="AM276" s="102"/>
      <c r="AN276" s="102"/>
    </row>
    <row r="277" spans="1:40" x14ac:dyDescent="0.3">
      <c r="L277" s="102"/>
      <c r="M277" s="102"/>
      <c r="N277" s="102"/>
      <c r="O277" s="102"/>
      <c r="R277" s="102"/>
      <c r="Z277" s="102"/>
      <c r="AA277" s="102"/>
      <c r="AB277" s="102"/>
      <c r="AC277" s="102"/>
      <c r="AD277" s="102"/>
      <c r="AE277" s="102"/>
      <c r="AF277" s="102"/>
      <c r="AG277" s="151"/>
      <c r="AH277" s="102"/>
      <c r="AK277" s="151"/>
      <c r="AL277" s="102"/>
      <c r="AM277" s="102"/>
      <c r="AN277" s="102"/>
    </row>
    <row r="278" spans="1:40" x14ac:dyDescent="0.3">
      <c r="A278" s="102"/>
      <c r="C278" s="102"/>
      <c r="D278" s="102"/>
      <c r="E278" s="102"/>
      <c r="F278" s="102"/>
      <c r="J278" s="102"/>
      <c r="K278" s="102"/>
      <c r="L278" s="102"/>
      <c r="M278" s="102"/>
      <c r="N278" s="102"/>
      <c r="O278" s="102"/>
      <c r="P278" s="102"/>
      <c r="Q278" s="102"/>
      <c r="R278" s="102"/>
      <c r="T278" s="102"/>
      <c r="U278" s="102"/>
      <c r="V278" s="102"/>
      <c r="Z278" s="102"/>
      <c r="AA278" s="102"/>
      <c r="AB278" s="102"/>
      <c r="AC278" s="102"/>
      <c r="AD278" s="102"/>
      <c r="AE278" s="102"/>
      <c r="AF278" s="102"/>
      <c r="AG278" s="151"/>
      <c r="AH278" s="102"/>
      <c r="AI278" s="102"/>
      <c r="AJ278" s="102"/>
      <c r="AK278" s="151"/>
      <c r="AL278" s="102"/>
      <c r="AM278" s="102"/>
      <c r="AN278" s="102"/>
    </row>
    <row r="279" spans="1:40" x14ac:dyDescent="0.3">
      <c r="A279" s="102"/>
      <c r="C279" s="102"/>
      <c r="D279" s="102"/>
      <c r="E279" s="102"/>
      <c r="F279" s="102"/>
      <c r="H279" s="102"/>
      <c r="I279" s="102"/>
      <c r="J279" s="102"/>
      <c r="K279" s="102"/>
      <c r="L279" s="102"/>
      <c r="M279" s="102"/>
      <c r="N279" s="102"/>
      <c r="O279" s="102"/>
      <c r="P279" s="102"/>
      <c r="Q279" s="102"/>
      <c r="R279" s="102"/>
      <c r="T279" s="102"/>
      <c r="U279" s="102"/>
      <c r="V279" s="102"/>
      <c r="Y279" s="102"/>
      <c r="Z279" s="102"/>
      <c r="AA279" s="102"/>
      <c r="AB279" s="102"/>
      <c r="AC279" s="102"/>
      <c r="AD279" s="102"/>
      <c r="AE279" s="102"/>
      <c r="AF279" s="102"/>
      <c r="AG279" s="151"/>
      <c r="AH279" s="102"/>
      <c r="AI279" s="102"/>
      <c r="AJ279" s="102"/>
      <c r="AK279" s="151"/>
      <c r="AL279" s="102"/>
      <c r="AM279" s="102"/>
      <c r="AN279" s="102"/>
    </row>
    <row r="280" spans="1:40" x14ac:dyDescent="0.3">
      <c r="C280" s="102"/>
      <c r="D280" s="102"/>
      <c r="E280" s="102"/>
      <c r="F280" s="102"/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T280" s="102"/>
      <c r="U280" s="102"/>
      <c r="V280" s="102"/>
      <c r="Y280" s="102"/>
      <c r="Z280" s="102"/>
      <c r="AA280" s="102"/>
      <c r="AB280" s="102"/>
      <c r="AC280" s="102"/>
      <c r="AD280" s="102"/>
      <c r="AE280" s="102"/>
      <c r="AF280" s="102"/>
      <c r="AG280" s="151"/>
      <c r="AH280" s="102"/>
      <c r="AI280" s="102"/>
      <c r="AJ280" s="102"/>
      <c r="AK280" s="151"/>
      <c r="AL280" s="102"/>
      <c r="AM280" s="102"/>
      <c r="AN280" s="102"/>
    </row>
    <row r="281" spans="1:40" x14ac:dyDescent="0.3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91"/>
      <c r="AH281" s="101"/>
      <c r="AI281" s="101"/>
      <c r="AJ281" s="101"/>
      <c r="AK281" s="191"/>
      <c r="AL281" s="101"/>
      <c r="AM281" s="101"/>
      <c r="AN281" s="101"/>
    </row>
    <row r="282" spans="1:40" x14ac:dyDescent="0.3"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Y282" s="102"/>
      <c r="Z282" s="102"/>
      <c r="AA282" s="102"/>
      <c r="AB282" s="102"/>
      <c r="AC282" s="102"/>
      <c r="AD282" s="102"/>
      <c r="AE282" s="102"/>
      <c r="AF282" s="102"/>
      <c r="AG282" s="151"/>
      <c r="AH282" s="102"/>
      <c r="AI282" s="102"/>
      <c r="AJ282" s="102"/>
      <c r="AK282" s="151"/>
      <c r="AL282" s="102"/>
      <c r="AM282" s="102"/>
      <c r="AN282" s="102"/>
    </row>
    <row r="283" spans="1:40" x14ac:dyDescent="0.3">
      <c r="C283" s="99"/>
      <c r="D283" s="99"/>
      <c r="E283" s="99"/>
      <c r="T283" s="99"/>
      <c r="U283" s="99"/>
    </row>
    <row r="284" spans="1:40" x14ac:dyDescent="0.3">
      <c r="C284" s="99"/>
      <c r="T284" s="99"/>
    </row>
    <row r="286" spans="1:40" x14ac:dyDescent="0.3">
      <c r="C286" s="99"/>
      <c r="F286" s="172"/>
      <c r="H286" s="172"/>
      <c r="I286" s="172"/>
      <c r="J286" s="181"/>
      <c r="K286" s="181"/>
      <c r="L286" s="110"/>
      <c r="M286" s="110"/>
      <c r="N286" s="141"/>
      <c r="O286" s="141"/>
      <c r="R286" s="110"/>
      <c r="T286" s="99"/>
      <c r="V286" s="110"/>
      <c r="Y286" s="172"/>
      <c r="Z286" s="181"/>
      <c r="AA286" s="110"/>
      <c r="AB286" s="110"/>
      <c r="AC286" s="141"/>
      <c r="AD286" s="141"/>
      <c r="AE286" s="110"/>
      <c r="AF286" s="110"/>
      <c r="AH286" s="207"/>
      <c r="AL286" s="110"/>
      <c r="AM286" s="141"/>
      <c r="AN286" s="141"/>
    </row>
    <row r="287" spans="1:40" x14ac:dyDescent="0.3">
      <c r="F287" s="192"/>
      <c r="H287" s="110"/>
      <c r="I287" s="110"/>
      <c r="J287" s="217"/>
      <c r="K287" s="217"/>
      <c r="L287" s="192"/>
      <c r="M287" s="192"/>
      <c r="N287" s="192"/>
      <c r="O287" s="192"/>
      <c r="P287" s="192"/>
      <c r="Q287" s="192"/>
      <c r="R287" s="192"/>
      <c r="V287" s="192"/>
      <c r="Y287" s="110"/>
      <c r="Z287" s="217"/>
      <c r="AA287" s="192"/>
      <c r="AB287" s="192"/>
      <c r="AC287" s="192"/>
      <c r="AD287" s="192"/>
      <c r="AE287" s="192"/>
      <c r="AF287" s="192"/>
      <c r="AI287" s="192"/>
      <c r="AJ287" s="192"/>
      <c r="AK287" s="194"/>
      <c r="AL287" s="192"/>
      <c r="AM287" s="141"/>
      <c r="AN287" s="141"/>
    </row>
    <row r="288" spans="1:40" x14ac:dyDescent="0.3">
      <c r="C288" s="99"/>
      <c r="F288" s="172"/>
      <c r="H288" s="172"/>
      <c r="I288" s="172"/>
      <c r="J288" s="227"/>
      <c r="K288" s="227"/>
      <c r="L288" s="110"/>
      <c r="M288" s="110"/>
      <c r="N288" s="141"/>
      <c r="O288" s="141"/>
      <c r="P288" s="110"/>
      <c r="Q288" s="110"/>
      <c r="R288" s="110"/>
      <c r="S288" s="110"/>
      <c r="T288" s="99"/>
      <c r="V288" s="172"/>
      <c r="Y288" s="172"/>
      <c r="Z288" s="227"/>
      <c r="AA288" s="110"/>
      <c r="AB288" s="110"/>
      <c r="AC288" s="141"/>
      <c r="AD288" s="141"/>
      <c r="AE288" s="110"/>
      <c r="AF288" s="110"/>
      <c r="AH288" s="141"/>
      <c r="AI288" s="110"/>
      <c r="AJ288" s="110"/>
      <c r="AL288" s="110"/>
      <c r="AM288" s="141"/>
      <c r="AN288" s="141"/>
    </row>
    <row r="289" spans="3:40" x14ac:dyDescent="0.3">
      <c r="C289" s="99"/>
      <c r="F289" s="172"/>
      <c r="H289" s="172"/>
      <c r="I289" s="172"/>
      <c r="J289" s="181"/>
      <c r="K289" s="181"/>
      <c r="L289" s="110"/>
      <c r="M289" s="110"/>
      <c r="N289" s="141"/>
      <c r="O289" s="141"/>
      <c r="P289" s="110"/>
      <c r="Q289" s="110"/>
      <c r="R289" s="110"/>
      <c r="T289" s="99"/>
      <c r="V289" s="172"/>
      <c r="Y289" s="110"/>
      <c r="Z289" s="181"/>
      <c r="AA289" s="110"/>
      <c r="AB289" s="110"/>
      <c r="AC289" s="141"/>
      <c r="AD289" s="141"/>
      <c r="AE289" s="110"/>
      <c r="AF289" s="110"/>
      <c r="AH289" s="207"/>
      <c r="AI289" s="110"/>
      <c r="AJ289" s="110"/>
      <c r="AL289" s="110"/>
      <c r="AM289" s="141"/>
      <c r="AN289" s="141"/>
    </row>
    <row r="290" spans="3:40" x14ac:dyDescent="0.3">
      <c r="C290" s="99"/>
      <c r="F290" s="172"/>
      <c r="H290" s="172"/>
      <c r="I290" s="172"/>
      <c r="J290" s="181"/>
      <c r="K290" s="181"/>
      <c r="L290" s="110"/>
      <c r="M290" s="110"/>
      <c r="N290" s="141"/>
      <c r="O290" s="141"/>
      <c r="P290" s="110"/>
      <c r="Q290" s="110"/>
      <c r="R290" s="110"/>
      <c r="T290" s="99"/>
      <c r="V290" s="172"/>
      <c r="Y290" s="110"/>
      <c r="Z290" s="181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3:40" x14ac:dyDescent="0.3">
      <c r="F291" s="192"/>
      <c r="H291" s="192"/>
      <c r="I291" s="192"/>
      <c r="J291" s="217"/>
      <c r="K291" s="217"/>
      <c r="L291" s="192"/>
      <c r="M291" s="192"/>
      <c r="N291" s="192"/>
      <c r="O291" s="192"/>
      <c r="P291" s="192"/>
      <c r="Q291" s="192"/>
      <c r="R291" s="192"/>
      <c r="V291" s="192"/>
      <c r="Y291" s="192"/>
      <c r="Z291" s="217"/>
      <c r="AA291" s="192"/>
      <c r="AB291" s="192"/>
      <c r="AC291" s="192"/>
      <c r="AD291" s="192"/>
      <c r="AE291" s="192"/>
      <c r="AF291" s="192"/>
      <c r="AI291" s="192"/>
      <c r="AJ291" s="192"/>
      <c r="AK291" s="194"/>
      <c r="AL291" s="192"/>
      <c r="AM291" s="141"/>
      <c r="AN291" s="141"/>
    </row>
    <row r="292" spans="3:40" x14ac:dyDescent="0.3">
      <c r="C292" s="99"/>
      <c r="F292" s="110"/>
      <c r="H292" s="110"/>
      <c r="I292" s="110"/>
      <c r="J292" s="198"/>
      <c r="K292" s="198"/>
      <c r="L292" s="110"/>
      <c r="M292" s="110"/>
      <c r="N292" s="141"/>
      <c r="O292" s="141"/>
      <c r="P292" s="110"/>
      <c r="Q292" s="110"/>
      <c r="R292" s="110"/>
      <c r="T292" s="99"/>
      <c r="V292" s="110"/>
      <c r="Y292" s="110"/>
      <c r="Z292" s="198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F293" s="192"/>
      <c r="H293" s="192"/>
      <c r="I293" s="192"/>
      <c r="J293" s="217"/>
      <c r="K293" s="217"/>
      <c r="L293" s="192"/>
      <c r="M293" s="192"/>
      <c r="N293" s="192"/>
      <c r="O293" s="192"/>
      <c r="P293" s="192"/>
      <c r="Q293" s="192"/>
      <c r="R293" s="192"/>
      <c r="V293" s="192"/>
      <c r="Y293" s="192"/>
      <c r="Z293" s="217"/>
      <c r="AA293" s="192"/>
      <c r="AB293" s="192"/>
      <c r="AC293" s="192"/>
      <c r="AD293" s="192"/>
      <c r="AE293" s="192"/>
      <c r="AF293" s="192"/>
      <c r="AI293" s="192"/>
      <c r="AJ293" s="192"/>
      <c r="AK293" s="194"/>
      <c r="AL293" s="192"/>
      <c r="AM293" s="141"/>
      <c r="AN293" s="141"/>
    </row>
    <row r="294" spans="3:40" x14ac:dyDescent="0.3">
      <c r="C294" s="99"/>
      <c r="F294" s="110"/>
      <c r="H294" s="110"/>
      <c r="I294" s="110"/>
      <c r="J294" s="198"/>
      <c r="K294" s="198"/>
      <c r="L294" s="110"/>
      <c r="M294" s="110"/>
      <c r="N294" s="141"/>
      <c r="O294" s="141"/>
      <c r="P294" s="110"/>
      <c r="Q294" s="110"/>
      <c r="R294" s="110"/>
      <c r="T294" s="99"/>
      <c r="V294" s="110"/>
      <c r="Y294" s="110"/>
      <c r="Z294" s="198"/>
      <c r="AA294" s="110"/>
      <c r="AB294" s="110"/>
      <c r="AC294" s="141"/>
      <c r="AD294" s="141"/>
      <c r="AE294" s="110"/>
      <c r="AF294" s="110"/>
      <c r="AH294" s="207"/>
      <c r="AI294" s="110"/>
      <c r="AJ294" s="110"/>
      <c r="AL294" s="110"/>
      <c r="AM294" s="141"/>
      <c r="AN294" s="141"/>
    </row>
    <row r="295" spans="3:40" x14ac:dyDescent="0.3">
      <c r="C295" s="99"/>
      <c r="F295" s="110"/>
      <c r="H295" s="172"/>
      <c r="I295" s="172"/>
      <c r="J295" s="222"/>
      <c r="K295" s="222"/>
      <c r="L295" s="110"/>
      <c r="M295" s="110"/>
      <c r="N295" s="141"/>
      <c r="O295" s="141"/>
      <c r="P295" s="110"/>
      <c r="Q295" s="110"/>
      <c r="R295" s="110"/>
      <c r="T295" s="99"/>
      <c r="V295" s="110"/>
      <c r="Y295" s="110"/>
      <c r="Z295" s="216"/>
      <c r="AA295" s="110"/>
      <c r="AB295" s="110"/>
      <c r="AC295" s="141"/>
      <c r="AD295" s="141"/>
      <c r="AE295" s="110"/>
      <c r="AF295" s="110"/>
      <c r="AH295" s="207"/>
      <c r="AI295" s="110"/>
      <c r="AJ295" s="110"/>
      <c r="AL295" s="110"/>
      <c r="AM295" s="141"/>
      <c r="AN295" s="141"/>
    </row>
    <row r="296" spans="3:40" x14ac:dyDescent="0.3">
      <c r="F296" s="192"/>
      <c r="H296" s="192"/>
      <c r="I296" s="192"/>
      <c r="J296" s="217"/>
      <c r="K296" s="217"/>
      <c r="L296" s="192"/>
      <c r="M296" s="192"/>
      <c r="N296" s="192"/>
      <c r="O296" s="192"/>
      <c r="P296" s="192"/>
      <c r="Q296" s="192"/>
      <c r="R296" s="192"/>
      <c r="V296" s="192"/>
      <c r="Y296" s="192"/>
      <c r="Z296" s="217"/>
      <c r="AA296" s="192"/>
      <c r="AB296" s="192"/>
      <c r="AC296" s="192"/>
      <c r="AD296" s="192"/>
      <c r="AE296" s="192"/>
      <c r="AF296" s="192"/>
      <c r="AI296" s="192"/>
      <c r="AJ296" s="192"/>
      <c r="AK296" s="194"/>
      <c r="AL296" s="192"/>
      <c r="AM296" s="141"/>
      <c r="AN296" s="141"/>
    </row>
    <row r="298" spans="3:40" x14ac:dyDescent="0.3">
      <c r="C298" s="99"/>
      <c r="F298" s="110"/>
      <c r="H298" s="110"/>
      <c r="I298" s="110"/>
      <c r="J298" s="217"/>
      <c r="K298" s="217"/>
      <c r="L298" s="110"/>
      <c r="M298" s="110"/>
      <c r="N298" s="141"/>
      <c r="O298" s="141"/>
      <c r="P298" s="110"/>
      <c r="Q298" s="110"/>
      <c r="R298" s="110"/>
      <c r="S298" s="110"/>
      <c r="T298" s="99"/>
      <c r="V298" s="110"/>
      <c r="Y298" s="110"/>
      <c r="Z298" s="217"/>
      <c r="AA298" s="110"/>
      <c r="AB298" s="110"/>
      <c r="AC298" s="141"/>
      <c r="AD298" s="141"/>
      <c r="AE298" s="110"/>
      <c r="AF298" s="110"/>
      <c r="AH298" s="141"/>
      <c r="AI298" s="110"/>
      <c r="AJ298" s="110"/>
      <c r="AL298" s="110"/>
      <c r="AM298" s="141"/>
      <c r="AN298" s="141"/>
    </row>
    <row r="299" spans="3:40" x14ac:dyDescent="0.3">
      <c r="F299" s="192"/>
      <c r="H299" s="192"/>
      <c r="I299" s="192"/>
      <c r="J299" s="217"/>
      <c r="K299" s="217"/>
      <c r="L299" s="192"/>
      <c r="M299" s="192"/>
      <c r="N299" s="192"/>
      <c r="O299" s="192"/>
      <c r="P299" s="192"/>
      <c r="Q299" s="192"/>
      <c r="R299" s="192"/>
      <c r="S299" s="110"/>
      <c r="V299" s="192"/>
      <c r="Y299" s="192"/>
      <c r="Z299" s="217"/>
      <c r="AA299" s="192"/>
      <c r="AB299" s="192"/>
      <c r="AC299" s="192"/>
      <c r="AD299" s="192"/>
      <c r="AE299" s="192"/>
      <c r="AF299" s="192"/>
      <c r="AI299" s="192"/>
      <c r="AJ299" s="192"/>
      <c r="AK299" s="194"/>
      <c r="AL299" s="192"/>
      <c r="AM299" s="141"/>
      <c r="AN299" s="141"/>
    </row>
    <row r="300" spans="3:40" x14ac:dyDescent="0.3">
      <c r="C300" s="99"/>
      <c r="F300" s="172"/>
      <c r="H300" s="172"/>
      <c r="I300" s="172"/>
      <c r="J300" s="217"/>
      <c r="K300" s="217"/>
      <c r="L300" s="110"/>
      <c r="M300" s="110"/>
      <c r="N300" s="141"/>
      <c r="O300" s="141"/>
      <c r="P300" s="110"/>
      <c r="Q300" s="110"/>
      <c r="R300" s="110"/>
      <c r="S300" s="110"/>
      <c r="T300" s="99"/>
      <c r="V300" s="172"/>
      <c r="Y300" s="172"/>
      <c r="Z300" s="217"/>
      <c r="AA300" s="110"/>
      <c r="AB300" s="110"/>
      <c r="AC300" s="141"/>
      <c r="AD300" s="141"/>
      <c r="AE300" s="110"/>
      <c r="AF300" s="110"/>
      <c r="AI300" s="110"/>
      <c r="AJ300" s="110"/>
      <c r="AL300" s="110"/>
      <c r="AM300" s="141"/>
      <c r="AN300" s="141"/>
    </row>
    <row r="302" spans="3:40" x14ac:dyDescent="0.3">
      <c r="C302" s="99"/>
      <c r="F302" s="172"/>
      <c r="H302" s="172"/>
      <c r="I302" s="172"/>
      <c r="J302" s="181"/>
      <c r="K302" s="181"/>
      <c r="L302" s="110"/>
      <c r="M302" s="110"/>
      <c r="N302" s="141"/>
      <c r="O302" s="141"/>
      <c r="R302" s="110"/>
      <c r="T302" s="99"/>
      <c r="V302" s="110"/>
      <c r="Y302" s="172"/>
      <c r="Z302" s="181"/>
      <c r="AA302" s="110"/>
      <c r="AB302" s="110"/>
      <c r="AC302" s="141"/>
      <c r="AD302" s="141"/>
      <c r="AE302" s="110"/>
      <c r="AF302" s="110"/>
      <c r="AH302" s="207"/>
      <c r="AL302" s="110"/>
      <c r="AM302" s="141"/>
      <c r="AN302" s="141"/>
    </row>
    <row r="303" spans="3:40" x14ac:dyDescent="0.3">
      <c r="F303" s="192"/>
      <c r="H303" s="110"/>
      <c r="I303" s="110"/>
      <c r="J303" s="217"/>
      <c r="K303" s="217"/>
      <c r="L303" s="192"/>
      <c r="M303" s="192"/>
      <c r="N303" s="192"/>
      <c r="O303" s="192"/>
      <c r="P303" s="192"/>
      <c r="Q303" s="192"/>
      <c r="R303" s="192"/>
      <c r="V303" s="192"/>
      <c r="Y303" s="110"/>
      <c r="Z303" s="217"/>
      <c r="AA303" s="192"/>
      <c r="AB303" s="192"/>
      <c r="AC303" s="192"/>
      <c r="AD303" s="192"/>
      <c r="AE303" s="192"/>
      <c r="AF303" s="192"/>
      <c r="AI303" s="192"/>
      <c r="AJ303" s="192"/>
      <c r="AK303" s="194"/>
      <c r="AL303" s="192"/>
      <c r="AM303" s="141"/>
      <c r="AN303" s="141"/>
    </row>
    <row r="304" spans="3:40" x14ac:dyDescent="0.3">
      <c r="C304" s="99"/>
      <c r="F304" s="172"/>
      <c r="H304" s="172"/>
      <c r="I304" s="172"/>
      <c r="J304" s="227"/>
      <c r="K304" s="227"/>
      <c r="L304" s="110"/>
      <c r="M304" s="110"/>
      <c r="N304" s="141"/>
      <c r="O304" s="141"/>
      <c r="P304" s="110"/>
      <c r="Q304" s="110"/>
      <c r="R304" s="110"/>
      <c r="S304" s="110"/>
      <c r="T304" s="99"/>
      <c r="V304" s="172"/>
      <c r="Y304" s="172"/>
      <c r="Z304" s="227"/>
      <c r="AA304" s="110"/>
      <c r="AB304" s="110"/>
      <c r="AC304" s="141"/>
      <c r="AD304" s="141"/>
      <c r="AE304" s="110"/>
      <c r="AF304" s="110"/>
      <c r="AH304" s="141"/>
      <c r="AI304" s="110"/>
      <c r="AJ304" s="110"/>
      <c r="AL304" s="110"/>
      <c r="AM304" s="141"/>
      <c r="AN304" s="141"/>
    </row>
    <row r="305" spans="3:40" x14ac:dyDescent="0.3">
      <c r="C305" s="99"/>
      <c r="F305" s="172"/>
      <c r="H305" s="172"/>
      <c r="I305" s="172"/>
      <c r="J305" s="181"/>
      <c r="K305" s="181"/>
      <c r="L305" s="110"/>
      <c r="M305" s="110"/>
      <c r="N305" s="141"/>
      <c r="O305" s="141"/>
      <c r="P305" s="110"/>
      <c r="Q305" s="110"/>
      <c r="R305" s="110"/>
      <c r="T305" s="99"/>
      <c r="V305" s="172"/>
      <c r="Y305" s="110"/>
      <c r="Z305" s="181"/>
      <c r="AA305" s="110"/>
      <c r="AB305" s="110"/>
      <c r="AC305" s="141"/>
      <c r="AD305" s="141"/>
      <c r="AE305" s="110"/>
      <c r="AF305" s="110"/>
      <c r="AH305" s="207"/>
      <c r="AI305" s="110"/>
      <c r="AJ305" s="110"/>
      <c r="AL305" s="110"/>
      <c r="AM305" s="141"/>
      <c r="AN305" s="141"/>
    </row>
    <row r="306" spans="3:40" x14ac:dyDescent="0.3">
      <c r="C306" s="99"/>
      <c r="F306" s="172"/>
      <c r="H306" s="172"/>
      <c r="I306" s="172"/>
      <c r="J306" s="181"/>
      <c r="K306" s="181"/>
      <c r="L306" s="110"/>
      <c r="M306" s="110"/>
      <c r="N306" s="141"/>
      <c r="O306" s="141"/>
      <c r="P306" s="110"/>
      <c r="Q306" s="110"/>
      <c r="R306" s="110"/>
      <c r="T306" s="99"/>
      <c r="V306" s="172"/>
      <c r="Y306" s="110"/>
      <c r="Z306" s="181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3:40" x14ac:dyDescent="0.3">
      <c r="F307" s="192"/>
      <c r="H307" s="192"/>
      <c r="I307" s="192"/>
      <c r="J307" s="217"/>
      <c r="K307" s="217"/>
      <c r="L307" s="192"/>
      <c r="M307" s="192"/>
      <c r="N307" s="192"/>
      <c r="O307" s="192"/>
      <c r="P307" s="192"/>
      <c r="Q307" s="192"/>
      <c r="R307" s="192"/>
      <c r="V307" s="192"/>
      <c r="Y307" s="192"/>
      <c r="Z307" s="217"/>
      <c r="AA307" s="192"/>
      <c r="AB307" s="192"/>
      <c r="AC307" s="192"/>
      <c r="AD307" s="192"/>
      <c r="AE307" s="192"/>
      <c r="AF307" s="192"/>
      <c r="AI307" s="192"/>
      <c r="AJ307" s="192"/>
      <c r="AK307" s="194"/>
      <c r="AL307" s="192"/>
      <c r="AM307" s="141"/>
      <c r="AN307" s="141"/>
    </row>
    <row r="308" spans="3:40" x14ac:dyDescent="0.3">
      <c r="C308" s="99"/>
      <c r="F308" s="110"/>
      <c r="H308" s="110"/>
      <c r="I308" s="110"/>
      <c r="J308" s="198"/>
      <c r="K308" s="198"/>
      <c r="L308" s="110"/>
      <c r="M308" s="110"/>
      <c r="N308" s="141"/>
      <c r="O308" s="141"/>
      <c r="P308" s="110"/>
      <c r="Q308" s="110"/>
      <c r="R308" s="110"/>
      <c r="T308" s="99"/>
      <c r="V308" s="110"/>
      <c r="Y308" s="110"/>
      <c r="Z308" s="19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3:40" x14ac:dyDescent="0.3">
      <c r="F309" s="192"/>
      <c r="H309" s="192"/>
      <c r="I309" s="192"/>
      <c r="J309" s="217"/>
      <c r="K309" s="217"/>
      <c r="L309" s="192"/>
      <c r="M309" s="192"/>
      <c r="N309" s="192"/>
      <c r="O309" s="192"/>
      <c r="P309" s="192"/>
      <c r="Q309" s="192"/>
      <c r="R309" s="192"/>
      <c r="V309" s="192"/>
      <c r="Y309" s="192"/>
      <c r="Z309" s="217"/>
      <c r="AA309" s="192"/>
      <c r="AB309" s="192"/>
      <c r="AC309" s="192"/>
      <c r="AD309" s="192"/>
      <c r="AE309" s="192"/>
      <c r="AF309" s="192"/>
      <c r="AI309" s="192"/>
      <c r="AJ309" s="192"/>
      <c r="AK309" s="194"/>
      <c r="AL309" s="192"/>
      <c r="AM309" s="141"/>
      <c r="AN309" s="141"/>
    </row>
    <row r="310" spans="3:40" x14ac:dyDescent="0.3">
      <c r="C310" s="99"/>
      <c r="F310" s="110"/>
      <c r="H310" s="110"/>
      <c r="I310" s="110"/>
      <c r="J310" s="198"/>
      <c r="K310" s="198"/>
      <c r="L310" s="110"/>
      <c r="M310" s="110"/>
      <c r="N310" s="141"/>
      <c r="O310" s="141"/>
      <c r="P310" s="110"/>
      <c r="Q310" s="110"/>
      <c r="R310" s="110"/>
      <c r="T310" s="99"/>
      <c r="V310" s="110"/>
      <c r="Y310" s="110"/>
      <c r="Z310" s="198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C311" s="99"/>
      <c r="F311" s="110"/>
      <c r="H311" s="172"/>
      <c r="I311" s="172"/>
      <c r="J311" s="222"/>
      <c r="K311" s="222"/>
      <c r="L311" s="110"/>
      <c r="M311" s="110"/>
      <c r="N311" s="141"/>
      <c r="O311" s="141"/>
      <c r="P311" s="110"/>
      <c r="Q311" s="110"/>
      <c r="R311" s="110"/>
      <c r="T311" s="99"/>
      <c r="V311" s="110"/>
      <c r="Y311" s="110"/>
      <c r="Z311" s="216"/>
      <c r="AA311" s="110"/>
      <c r="AB311" s="110"/>
      <c r="AC311" s="141"/>
      <c r="AD311" s="141"/>
      <c r="AE311" s="110"/>
      <c r="AF311" s="110"/>
      <c r="AH311" s="207"/>
      <c r="AI311" s="110"/>
      <c r="AJ311" s="110"/>
      <c r="AL311" s="110"/>
      <c r="AM311" s="141"/>
      <c r="AN311" s="141"/>
    </row>
    <row r="312" spans="3:40" x14ac:dyDescent="0.3">
      <c r="F312" s="192"/>
      <c r="H312" s="192"/>
      <c r="I312" s="192"/>
      <c r="J312" s="217"/>
      <c r="K312" s="217"/>
      <c r="L312" s="192"/>
      <c r="M312" s="192"/>
      <c r="N312" s="192"/>
      <c r="O312" s="192"/>
      <c r="P312" s="192"/>
      <c r="Q312" s="192"/>
      <c r="R312" s="192"/>
      <c r="V312" s="192"/>
      <c r="Y312" s="192"/>
      <c r="Z312" s="217"/>
      <c r="AA312" s="192"/>
      <c r="AB312" s="192"/>
      <c r="AC312" s="192"/>
      <c r="AD312" s="192"/>
      <c r="AE312" s="192"/>
      <c r="AF312" s="192"/>
      <c r="AI312" s="192"/>
      <c r="AJ312" s="192"/>
      <c r="AK312" s="194"/>
      <c r="AL312" s="192"/>
      <c r="AM312" s="141"/>
      <c r="AN312" s="141"/>
    </row>
    <row r="314" spans="3:40" x14ac:dyDescent="0.3">
      <c r="C314" s="99"/>
      <c r="F314" s="110"/>
      <c r="H314" s="110"/>
      <c r="I314" s="110"/>
      <c r="J314" s="217"/>
      <c r="K314" s="217"/>
      <c r="L314" s="110"/>
      <c r="M314" s="110"/>
      <c r="N314" s="141"/>
      <c r="O314" s="141"/>
      <c r="P314" s="110"/>
      <c r="Q314" s="110"/>
      <c r="R314" s="110"/>
      <c r="S314" s="110"/>
      <c r="T314" s="99"/>
      <c r="V314" s="110"/>
      <c r="Y314" s="110"/>
      <c r="Z314" s="217"/>
      <c r="AA314" s="110"/>
      <c r="AB314" s="110"/>
      <c r="AC314" s="141"/>
      <c r="AD314" s="141"/>
      <c r="AE314" s="110"/>
      <c r="AF314" s="110"/>
      <c r="AH314" s="141"/>
      <c r="AI314" s="110"/>
      <c r="AJ314" s="110"/>
      <c r="AL314" s="110"/>
      <c r="AM314" s="141"/>
      <c r="AN314" s="141"/>
    </row>
    <row r="315" spans="3:40" x14ac:dyDescent="0.3">
      <c r="F315" s="192"/>
      <c r="H315" s="192"/>
      <c r="I315" s="192"/>
      <c r="J315" s="217"/>
      <c r="K315" s="217"/>
      <c r="L315" s="192"/>
      <c r="M315" s="192"/>
      <c r="N315" s="192"/>
      <c r="O315" s="192"/>
      <c r="P315" s="192"/>
      <c r="Q315" s="192"/>
      <c r="R315" s="192"/>
      <c r="S315" s="110"/>
      <c r="V315" s="192"/>
      <c r="Y315" s="192"/>
      <c r="Z315" s="217"/>
      <c r="AA315" s="192"/>
      <c r="AB315" s="192"/>
      <c r="AC315" s="192"/>
      <c r="AD315" s="192"/>
      <c r="AE315" s="192"/>
      <c r="AF315" s="192"/>
      <c r="AI315" s="192"/>
      <c r="AJ315" s="192"/>
      <c r="AK315" s="194"/>
      <c r="AL315" s="192"/>
      <c r="AM315" s="141"/>
      <c r="AN315" s="141"/>
    </row>
    <row r="316" spans="3:40" x14ac:dyDescent="0.3">
      <c r="C316" s="99"/>
      <c r="T316" s="99"/>
    </row>
    <row r="317" spans="3:40" x14ac:dyDescent="0.3">
      <c r="C317" s="99"/>
      <c r="F317" s="110"/>
      <c r="H317" s="110"/>
      <c r="I317" s="110"/>
      <c r="L317" s="110"/>
      <c r="M317" s="110"/>
      <c r="N317" s="141"/>
      <c r="O317" s="141"/>
      <c r="P317" s="172"/>
      <c r="Q317" s="172"/>
      <c r="R317" s="110"/>
      <c r="T317" s="99"/>
      <c r="V317" s="110"/>
      <c r="Y317" s="110"/>
      <c r="AA317" s="110"/>
      <c r="AB317" s="110"/>
      <c r="AC317" s="141"/>
      <c r="AD317" s="141"/>
      <c r="AE317" s="110"/>
      <c r="AF317" s="110"/>
      <c r="AH317" s="141"/>
      <c r="AI317" s="172"/>
      <c r="AJ317" s="172"/>
      <c r="AL317" s="110"/>
      <c r="AM317" s="141"/>
      <c r="AN317" s="141"/>
    </row>
    <row r="318" spans="3:40" x14ac:dyDescent="0.3">
      <c r="F318" s="192"/>
      <c r="H318" s="192"/>
      <c r="I318" s="192"/>
      <c r="J318" s="217"/>
      <c r="K318" s="217"/>
      <c r="L318" s="192"/>
      <c r="M318" s="192"/>
      <c r="N318" s="192"/>
      <c r="O318" s="192"/>
      <c r="P318" s="192"/>
      <c r="Q318" s="192"/>
      <c r="R318" s="192"/>
      <c r="V318" s="192"/>
      <c r="Y318" s="192"/>
      <c r="Z318" s="217"/>
      <c r="AA318" s="192"/>
      <c r="AB318" s="192"/>
      <c r="AC318" s="192"/>
      <c r="AD318" s="192"/>
      <c r="AE318" s="192"/>
      <c r="AF318" s="192"/>
      <c r="AI318" s="192"/>
      <c r="AJ318" s="192"/>
      <c r="AK318" s="194"/>
      <c r="AL318" s="192"/>
    </row>
    <row r="320" spans="3:40" x14ac:dyDescent="0.3">
      <c r="C320" s="99"/>
      <c r="L320" s="110"/>
      <c r="M320" s="110"/>
      <c r="N320" s="110"/>
      <c r="O320" s="110"/>
      <c r="P320" s="110"/>
      <c r="Q320" s="110"/>
      <c r="R320" s="110"/>
      <c r="S320" s="110"/>
      <c r="T320" s="99"/>
      <c r="AA320" s="110"/>
      <c r="AB320" s="110"/>
      <c r="AC320" s="110"/>
      <c r="AD320" s="110"/>
      <c r="AI320" s="110"/>
      <c r="AJ320" s="110"/>
      <c r="AL320" s="110"/>
    </row>
    <row r="321" spans="1:40" x14ac:dyDescent="0.3">
      <c r="A321" s="99"/>
    </row>
    <row r="323" spans="1:40" x14ac:dyDescent="0.3">
      <c r="H323" s="99"/>
      <c r="I323" s="99"/>
      <c r="Y323" s="99"/>
    </row>
    <row r="325" spans="1:40" x14ac:dyDescent="0.3">
      <c r="L325" s="99"/>
      <c r="M325" s="99"/>
      <c r="AA325" s="99"/>
      <c r="AB325" s="99"/>
    </row>
    <row r="326" spans="1:40" x14ac:dyDescent="0.3">
      <c r="R326" s="99"/>
      <c r="AK326" s="190"/>
      <c r="AL326" s="99"/>
    </row>
    <row r="327" spans="1:40" x14ac:dyDescent="0.3">
      <c r="R327" s="99"/>
      <c r="AK327" s="190"/>
      <c r="AL327" s="99"/>
    </row>
    <row r="328" spans="1:40" x14ac:dyDescent="0.3">
      <c r="A328" s="99"/>
      <c r="R328" s="99"/>
      <c r="AK328" s="190"/>
      <c r="AL328" s="99"/>
    </row>
    <row r="329" spans="1:40" x14ac:dyDescent="0.3">
      <c r="L329" s="99"/>
      <c r="M329" s="99"/>
      <c r="AA329" s="99"/>
      <c r="AB329" s="99"/>
    </row>
    <row r="330" spans="1:40" x14ac:dyDescent="0.3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T330" s="101"/>
      <c r="U330" s="101"/>
      <c r="V330" s="101"/>
      <c r="W330" s="101"/>
      <c r="X330" s="101"/>
      <c r="Y330" s="101"/>
      <c r="Z330" s="101"/>
      <c r="AA330" s="101"/>
      <c r="AB330" s="101"/>
      <c r="AC330" s="101"/>
      <c r="AD330" s="101"/>
      <c r="AE330" s="101"/>
      <c r="AF330" s="101"/>
      <c r="AG330" s="191"/>
      <c r="AH330" s="101"/>
      <c r="AI330" s="101"/>
      <c r="AJ330" s="101"/>
      <c r="AK330" s="191"/>
      <c r="AL330" s="101"/>
      <c r="AM330" s="101"/>
      <c r="AN330" s="101"/>
    </row>
    <row r="331" spans="1:40" x14ac:dyDescent="0.3">
      <c r="L331" s="102"/>
      <c r="M331" s="102"/>
      <c r="N331" s="102"/>
      <c r="O331" s="102"/>
      <c r="R331" s="102"/>
      <c r="AA331" s="102"/>
      <c r="AB331" s="102"/>
      <c r="AC331" s="102"/>
      <c r="AD331" s="102"/>
      <c r="AE331" s="102"/>
      <c r="AF331" s="102"/>
      <c r="AG331" s="151"/>
      <c r="AH331" s="102"/>
      <c r="AK331" s="151"/>
      <c r="AL331" s="102"/>
      <c r="AM331" s="102"/>
      <c r="AN331" s="102"/>
    </row>
    <row r="332" spans="1:40" x14ac:dyDescent="0.3">
      <c r="L332" s="102"/>
      <c r="M332" s="102"/>
      <c r="N332" s="102"/>
      <c r="O332" s="102"/>
      <c r="R332" s="102"/>
      <c r="Z332" s="102"/>
      <c r="AA332" s="102"/>
      <c r="AB332" s="102"/>
      <c r="AC332" s="102"/>
      <c r="AD332" s="102"/>
      <c r="AE332" s="102"/>
      <c r="AF332" s="102"/>
      <c r="AG332" s="151"/>
      <c r="AH332" s="102"/>
      <c r="AK332" s="151"/>
      <c r="AL332" s="102"/>
      <c r="AM332" s="102"/>
      <c r="AN332" s="102"/>
    </row>
    <row r="333" spans="1:40" x14ac:dyDescent="0.3">
      <c r="A333" s="102"/>
      <c r="C333" s="102"/>
      <c r="D333" s="102"/>
      <c r="E333" s="102"/>
      <c r="F333" s="102"/>
      <c r="J333" s="102"/>
      <c r="K333" s="102"/>
      <c r="L333" s="102"/>
      <c r="M333" s="102"/>
      <c r="N333" s="102"/>
      <c r="O333" s="102"/>
      <c r="P333" s="102"/>
      <c r="Q333" s="102"/>
      <c r="R333" s="102"/>
      <c r="T333" s="102"/>
      <c r="U333" s="102"/>
      <c r="V333" s="102"/>
      <c r="Z333" s="102"/>
      <c r="AA333" s="102"/>
      <c r="AB333" s="102"/>
      <c r="AC333" s="102"/>
      <c r="AD333" s="102"/>
      <c r="AE333" s="102"/>
      <c r="AF333" s="102"/>
      <c r="AG333" s="151"/>
      <c r="AH333" s="102"/>
      <c r="AI333" s="102"/>
      <c r="AJ333" s="102"/>
      <c r="AK333" s="151"/>
      <c r="AL333" s="102"/>
      <c r="AM333" s="102"/>
      <c r="AN333" s="102"/>
    </row>
    <row r="334" spans="1:40" x14ac:dyDescent="0.3">
      <c r="A334" s="102"/>
      <c r="C334" s="102"/>
      <c r="D334" s="102"/>
      <c r="E334" s="102"/>
      <c r="F334" s="102"/>
      <c r="H334" s="102"/>
      <c r="I334" s="102"/>
      <c r="J334" s="102"/>
      <c r="K334" s="102"/>
      <c r="L334" s="102"/>
      <c r="M334" s="102"/>
      <c r="N334" s="102"/>
      <c r="O334" s="102"/>
      <c r="P334" s="102"/>
      <c r="Q334" s="102"/>
      <c r="R334" s="102"/>
      <c r="T334" s="102"/>
      <c r="U334" s="102"/>
      <c r="V334" s="102"/>
      <c r="Y334" s="102"/>
      <c r="Z334" s="102"/>
      <c r="AA334" s="102"/>
      <c r="AB334" s="102"/>
      <c r="AC334" s="102"/>
      <c r="AD334" s="102"/>
      <c r="AE334" s="102"/>
      <c r="AF334" s="102"/>
      <c r="AG334" s="151"/>
      <c r="AH334" s="102"/>
      <c r="AI334" s="102"/>
      <c r="AJ334" s="102"/>
      <c r="AK334" s="151"/>
      <c r="AL334" s="102"/>
      <c r="AM334" s="102"/>
      <c r="AN334" s="102"/>
    </row>
    <row r="335" spans="1:40" x14ac:dyDescent="0.3">
      <c r="C335" s="102"/>
      <c r="D335" s="102"/>
      <c r="E335" s="102"/>
      <c r="F335" s="102"/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T335" s="102"/>
      <c r="U335" s="102"/>
      <c r="V335" s="102"/>
      <c r="Y335" s="102"/>
      <c r="Z335" s="102"/>
      <c r="AA335" s="102"/>
      <c r="AB335" s="102"/>
      <c r="AC335" s="102"/>
      <c r="AD335" s="102"/>
      <c r="AE335" s="102"/>
      <c r="AF335" s="102"/>
      <c r="AG335" s="151"/>
      <c r="AH335" s="102"/>
      <c r="AI335" s="102"/>
      <c r="AJ335" s="102"/>
      <c r="AK335" s="151"/>
      <c r="AL335" s="102"/>
      <c r="AM335" s="102"/>
      <c r="AN335" s="102"/>
    </row>
    <row r="336" spans="1:40" x14ac:dyDescent="0.3">
      <c r="A336" s="101"/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T336" s="101"/>
      <c r="U336" s="101"/>
      <c r="V336" s="101"/>
      <c r="W336" s="101"/>
      <c r="X336" s="101"/>
      <c r="Y336" s="101"/>
      <c r="Z336" s="101"/>
      <c r="AA336" s="101"/>
      <c r="AB336" s="101"/>
      <c r="AC336" s="101"/>
      <c r="AD336" s="101"/>
      <c r="AE336" s="101"/>
      <c r="AF336" s="101"/>
      <c r="AG336" s="191"/>
      <c r="AH336" s="101"/>
      <c r="AI336" s="101"/>
      <c r="AJ336" s="101"/>
      <c r="AK336" s="191"/>
      <c r="AL336" s="101"/>
      <c r="AM336" s="101"/>
      <c r="AN336" s="101"/>
    </row>
    <row r="337" spans="3:40" x14ac:dyDescent="0.3"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Y337" s="102"/>
      <c r="Z337" s="102"/>
      <c r="AA337" s="102"/>
      <c r="AB337" s="102"/>
      <c r="AC337" s="102"/>
      <c r="AD337" s="102"/>
      <c r="AE337" s="102"/>
      <c r="AF337" s="102"/>
      <c r="AG337" s="151"/>
      <c r="AH337" s="102"/>
      <c r="AI337" s="102"/>
      <c r="AJ337" s="102"/>
      <c r="AK337" s="151"/>
      <c r="AL337" s="102"/>
      <c r="AM337" s="102"/>
      <c r="AN337" s="102"/>
    </row>
    <row r="338" spans="3:40" x14ac:dyDescent="0.3">
      <c r="C338" s="99"/>
      <c r="D338" s="99"/>
      <c r="E338" s="99"/>
      <c r="T338" s="99"/>
      <c r="U338" s="99"/>
    </row>
    <row r="339" spans="3:40" x14ac:dyDescent="0.3">
      <c r="D339" s="99"/>
      <c r="E339" s="99"/>
      <c r="U339" s="99"/>
    </row>
    <row r="341" spans="3:40" x14ac:dyDescent="0.3">
      <c r="C341" s="99"/>
      <c r="T341" s="99"/>
    </row>
    <row r="342" spans="3:40" x14ac:dyDescent="0.3">
      <c r="C342" s="99"/>
      <c r="F342" s="172"/>
      <c r="H342" s="172"/>
      <c r="I342" s="172"/>
      <c r="J342" s="228"/>
      <c r="K342" s="228"/>
      <c r="L342" s="110"/>
      <c r="M342" s="110"/>
      <c r="N342" s="141"/>
      <c r="O342" s="141"/>
      <c r="P342" s="110"/>
      <c r="Q342" s="110"/>
      <c r="R342" s="110"/>
      <c r="T342" s="99"/>
      <c r="V342" s="172"/>
      <c r="W342" s="110"/>
      <c r="X342" s="110"/>
      <c r="Y342" s="172"/>
      <c r="Z342" s="228"/>
      <c r="AA342" s="110"/>
      <c r="AB342" s="110"/>
      <c r="AC342" s="141"/>
      <c r="AD342" s="141"/>
      <c r="AE342" s="110"/>
      <c r="AF342" s="110"/>
      <c r="AH342" s="207"/>
      <c r="AI342" s="110"/>
      <c r="AJ342" s="110"/>
      <c r="AL342" s="110"/>
      <c r="AM342" s="141"/>
      <c r="AN342" s="141"/>
    </row>
    <row r="343" spans="3:40" x14ac:dyDescent="0.3">
      <c r="C343" s="99"/>
      <c r="F343" s="110"/>
      <c r="H343" s="110"/>
      <c r="I343" s="110"/>
      <c r="J343" s="217"/>
      <c r="K343" s="217"/>
      <c r="L343" s="110"/>
      <c r="M343" s="110"/>
      <c r="N343" s="141"/>
      <c r="O343" s="141"/>
      <c r="P343" s="110"/>
      <c r="Q343" s="110"/>
      <c r="R343" s="110"/>
      <c r="T343" s="99"/>
      <c r="V343" s="172"/>
      <c r="W343" s="110"/>
      <c r="X343" s="110"/>
      <c r="Y343" s="172"/>
      <c r="Z343" s="217"/>
      <c r="AA343" s="110"/>
      <c r="AB343" s="110"/>
      <c r="AC343" s="141"/>
      <c r="AD343" s="141"/>
      <c r="AE343" s="110"/>
      <c r="AF343" s="110"/>
      <c r="AH343" s="207"/>
      <c r="AI343" s="110"/>
      <c r="AJ343" s="110"/>
      <c r="AL343" s="110"/>
      <c r="AM343" s="141"/>
      <c r="AN343" s="141"/>
    </row>
    <row r="344" spans="3:40" x14ac:dyDescent="0.3">
      <c r="C344" s="99"/>
      <c r="F344" s="172"/>
      <c r="H344" s="172"/>
      <c r="I344" s="172"/>
      <c r="J344" s="228"/>
      <c r="K344" s="228"/>
      <c r="L344" s="110"/>
      <c r="M344" s="110"/>
      <c r="N344" s="141"/>
      <c r="O344" s="141"/>
      <c r="P344" s="110"/>
      <c r="Q344" s="110"/>
      <c r="R344" s="110"/>
      <c r="T344" s="99"/>
      <c r="V344" s="172"/>
      <c r="W344" s="110"/>
      <c r="X344" s="110"/>
      <c r="Y344" s="172"/>
      <c r="Z344" s="228"/>
      <c r="AA344" s="110"/>
      <c r="AB344" s="110"/>
      <c r="AC344" s="141"/>
      <c r="AD344" s="141"/>
      <c r="AE344" s="110"/>
      <c r="AF344" s="110"/>
      <c r="AH344" s="207"/>
      <c r="AI344" s="110"/>
      <c r="AJ344" s="110"/>
      <c r="AL344" s="110"/>
      <c r="AM344" s="141"/>
      <c r="AN344" s="141"/>
    </row>
    <row r="345" spans="3:40" x14ac:dyDescent="0.3">
      <c r="C345" s="99"/>
      <c r="F345" s="172"/>
      <c r="H345" s="172"/>
      <c r="I345" s="172"/>
      <c r="J345" s="228"/>
      <c r="K345" s="228"/>
      <c r="L345" s="110"/>
      <c r="M345" s="110"/>
      <c r="N345" s="141"/>
      <c r="O345" s="141"/>
      <c r="P345" s="110"/>
      <c r="Q345" s="110"/>
      <c r="R345" s="110"/>
      <c r="T345" s="99"/>
      <c r="V345" s="172"/>
      <c r="W345" s="110"/>
      <c r="X345" s="110"/>
      <c r="Y345" s="172"/>
      <c r="Z345" s="228"/>
      <c r="AA345" s="110"/>
      <c r="AB345" s="110"/>
      <c r="AC345" s="141"/>
      <c r="AD345" s="141"/>
      <c r="AE345" s="110"/>
      <c r="AF345" s="110"/>
      <c r="AH345" s="207"/>
      <c r="AI345" s="110"/>
      <c r="AJ345" s="110"/>
      <c r="AL345" s="110"/>
      <c r="AM345" s="141"/>
      <c r="AN345" s="141"/>
    </row>
    <row r="346" spans="3:40" x14ac:dyDescent="0.3">
      <c r="C346" s="99"/>
      <c r="F346" s="172"/>
      <c r="H346" s="172"/>
      <c r="I346" s="172"/>
      <c r="J346" s="228"/>
      <c r="K346" s="228"/>
      <c r="L346" s="110"/>
      <c r="M346" s="110"/>
      <c r="N346" s="141"/>
      <c r="O346" s="141"/>
      <c r="P346" s="110"/>
      <c r="Q346" s="110"/>
      <c r="R346" s="110"/>
      <c r="T346" s="99"/>
      <c r="V346" s="172"/>
      <c r="W346" s="110"/>
      <c r="X346" s="110"/>
      <c r="Y346" s="172"/>
      <c r="Z346" s="228"/>
      <c r="AA346" s="110"/>
      <c r="AB346" s="110"/>
      <c r="AC346" s="141"/>
      <c r="AD346" s="141"/>
      <c r="AE346" s="110"/>
      <c r="AF346" s="110"/>
      <c r="AH346" s="207"/>
      <c r="AI346" s="110"/>
      <c r="AJ346" s="110"/>
      <c r="AL346" s="110"/>
      <c r="AM346" s="141"/>
      <c r="AN346" s="141"/>
    </row>
    <row r="347" spans="3:40" x14ac:dyDescent="0.3">
      <c r="C347" s="99"/>
      <c r="F347" s="110"/>
      <c r="H347" s="110"/>
      <c r="I347" s="110"/>
      <c r="J347" s="228"/>
      <c r="K347" s="228"/>
      <c r="L347" s="110"/>
      <c r="M347" s="110"/>
      <c r="N347" s="141"/>
      <c r="O347" s="141"/>
      <c r="P347" s="110"/>
      <c r="Q347" s="110"/>
      <c r="R347" s="110"/>
      <c r="T347" s="99"/>
      <c r="V347" s="172"/>
      <c r="W347" s="110"/>
      <c r="X347" s="110"/>
      <c r="Y347" s="172"/>
      <c r="Z347" s="228"/>
      <c r="AA347" s="110"/>
      <c r="AB347" s="110"/>
      <c r="AC347" s="141"/>
      <c r="AD347" s="141"/>
      <c r="AE347" s="110"/>
      <c r="AF347" s="110"/>
      <c r="AH347" s="207"/>
      <c r="AI347" s="110"/>
      <c r="AJ347" s="110"/>
      <c r="AL347" s="110"/>
      <c r="AM347" s="141"/>
      <c r="AN347" s="141"/>
    </row>
    <row r="348" spans="3:40" x14ac:dyDescent="0.3">
      <c r="C348" s="99"/>
      <c r="F348" s="110"/>
      <c r="H348" s="110"/>
      <c r="I348" s="110"/>
      <c r="J348" s="228"/>
      <c r="K348" s="228"/>
      <c r="L348" s="110"/>
      <c r="M348" s="110"/>
      <c r="N348" s="141"/>
      <c r="O348" s="141"/>
      <c r="P348" s="110"/>
      <c r="Q348" s="110"/>
      <c r="R348" s="110"/>
      <c r="T348" s="99"/>
      <c r="V348" s="172"/>
      <c r="W348" s="110"/>
      <c r="X348" s="110"/>
      <c r="Y348" s="172"/>
      <c r="Z348" s="228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F349" s="210"/>
      <c r="H349" s="230"/>
      <c r="I349" s="230"/>
      <c r="J349" s="228"/>
      <c r="K349" s="228"/>
      <c r="L349" s="210"/>
      <c r="M349" s="210"/>
      <c r="N349" s="192"/>
      <c r="O349" s="192"/>
      <c r="P349" s="210"/>
      <c r="Q349" s="210"/>
      <c r="R349" s="210"/>
      <c r="V349" s="210"/>
      <c r="W349" s="110"/>
      <c r="X349" s="110"/>
      <c r="Y349" s="210"/>
      <c r="Z349" s="228"/>
      <c r="AA349" s="210"/>
      <c r="AB349" s="210"/>
      <c r="AC349" s="211"/>
      <c r="AD349" s="211"/>
      <c r="AE349" s="210"/>
      <c r="AF349" s="210"/>
      <c r="AH349" s="207"/>
      <c r="AI349" s="210"/>
      <c r="AJ349" s="210"/>
      <c r="AK349" s="191"/>
      <c r="AL349" s="210"/>
      <c r="AM349" s="141"/>
      <c r="AN349" s="141"/>
    </row>
    <row r="350" spans="3:40" x14ac:dyDescent="0.3">
      <c r="C350" s="99"/>
      <c r="F350" s="110"/>
      <c r="H350" s="110"/>
      <c r="I350" s="110"/>
      <c r="J350" s="228"/>
      <c r="K350" s="228"/>
      <c r="L350" s="110"/>
      <c r="M350" s="110"/>
      <c r="N350" s="207"/>
      <c r="O350" s="207"/>
      <c r="P350" s="110"/>
      <c r="Q350" s="110"/>
      <c r="R350" s="110"/>
      <c r="T350" s="102"/>
      <c r="V350" s="110"/>
      <c r="W350" s="110"/>
      <c r="X350" s="110"/>
      <c r="Y350" s="110"/>
      <c r="Z350" s="228"/>
      <c r="AA350" s="110"/>
      <c r="AB350" s="110"/>
      <c r="AC350" s="207"/>
      <c r="AD350" s="207"/>
      <c r="AE350" s="110"/>
      <c r="AF350" s="110"/>
      <c r="AH350" s="207"/>
      <c r="AI350" s="110"/>
      <c r="AJ350" s="110"/>
      <c r="AL350" s="110"/>
      <c r="AM350" s="141"/>
      <c r="AN350" s="141"/>
    </row>
    <row r="351" spans="3:40" x14ac:dyDescent="0.3">
      <c r="F351" s="101"/>
      <c r="H351" s="101"/>
      <c r="I351" s="101"/>
      <c r="L351" s="101"/>
      <c r="M351" s="101"/>
      <c r="N351" s="211"/>
      <c r="O351" s="211"/>
      <c r="P351" s="210"/>
      <c r="Q351" s="210"/>
      <c r="R351" s="210"/>
      <c r="V351" s="210"/>
      <c r="Y351" s="210"/>
      <c r="Z351" s="217"/>
      <c r="AA351" s="210"/>
      <c r="AB351" s="210"/>
      <c r="AC351" s="210"/>
      <c r="AD351" s="210"/>
      <c r="AE351" s="210"/>
      <c r="AF351" s="210"/>
      <c r="AI351" s="210"/>
      <c r="AJ351" s="210"/>
      <c r="AK351" s="191"/>
      <c r="AL351" s="210"/>
      <c r="AM351" s="211"/>
      <c r="AN351" s="211"/>
    </row>
    <row r="356" spans="1:40" x14ac:dyDescent="0.3">
      <c r="N356" s="110"/>
      <c r="O356" s="110"/>
      <c r="P356" s="110"/>
      <c r="Q356" s="110"/>
      <c r="R356" s="110"/>
      <c r="V356" s="110"/>
      <c r="Y356" s="110"/>
      <c r="Z356" s="19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1:40" x14ac:dyDescent="0.3">
      <c r="C357" s="99"/>
      <c r="D357" s="99"/>
      <c r="E357" s="99"/>
      <c r="J357" s="163"/>
      <c r="K357" s="163"/>
      <c r="T357" s="99"/>
      <c r="U357" s="99"/>
      <c r="Z357" s="163"/>
      <c r="AE357" s="110"/>
      <c r="AF357" s="110"/>
      <c r="AI357" s="110"/>
      <c r="AJ357" s="110"/>
      <c r="AL357" s="110"/>
      <c r="AM357" s="141"/>
      <c r="AN357" s="141"/>
    </row>
    <row r="358" spans="1:40" x14ac:dyDescent="0.3">
      <c r="D358" s="99"/>
      <c r="E358" s="99"/>
      <c r="F358" s="110"/>
      <c r="H358" s="110"/>
      <c r="I358" s="110"/>
      <c r="J358" s="228"/>
      <c r="K358" s="228"/>
      <c r="L358" s="110"/>
      <c r="M358" s="110"/>
      <c r="N358" s="141"/>
      <c r="O358" s="141"/>
      <c r="P358" s="110"/>
      <c r="Q358" s="110"/>
      <c r="R358" s="110"/>
      <c r="U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1:40" x14ac:dyDescent="0.3">
      <c r="F359" s="110"/>
      <c r="H359" s="110"/>
      <c r="I359" s="110"/>
      <c r="J359" s="217"/>
      <c r="K359" s="217"/>
      <c r="L359" s="110"/>
      <c r="M359" s="110"/>
      <c r="N359" s="110"/>
      <c r="O359" s="110"/>
      <c r="P359" s="110"/>
      <c r="Q359" s="110"/>
      <c r="R359" s="110"/>
      <c r="V359" s="110"/>
      <c r="Y359" s="110"/>
      <c r="Z359" s="217"/>
      <c r="AA359" s="110"/>
      <c r="AB359" s="110"/>
      <c r="AC359" s="110"/>
      <c r="AD359" s="110"/>
      <c r="AE359" s="110"/>
      <c r="AF359" s="110"/>
      <c r="AH359" s="207"/>
      <c r="AI359" s="172"/>
      <c r="AJ359" s="172"/>
      <c r="AL359" s="110"/>
      <c r="AM359" s="141"/>
      <c r="AN359" s="141"/>
    </row>
    <row r="360" spans="1:40" x14ac:dyDescent="0.3">
      <c r="C360" s="99"/>
      <c r="F360" s="172"/>
      <c r="H360" s="172"/>
      <c r="I360" s="172"/>
      <c r="J360" s="216"/>
      <c r="K360" s="216"/>
      <c r="L360" s="110"/>
      <c r="M360" s="110"/>
      <c r="N360" s="141"/>
      <c r="O360" s="141"/>
      <c r="P360" s="110"/>
      <c r="Q360" s="110"/>
      <c r="R360" s="110"/>
      <c r="T360" s="99"/>
      <c r="V360" s="172"/>
      <c r="Y360" s="172"/>
      <c r="Z360" s="216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1:40" x14ac:dyDescent="0.3">
      <c r="F361" s="101"/>
      <c r="H361" s="101"/>
      <c r="I361" s="101"/>
      <c r="L361" s="101"/>
      <c r="M361" s="101"/>
      <c r="N361" s="101"/>
      <c r="O361" s="101"/>
      <c r="P361" s="101"/>
      <c r="Q361" s="101"/>
      <c r="R361" s="101"/>
      <c r="V361" s="101"/>
      <c r="Y361" s="101"/>
      <c r="AA361" s="101"/>
      <c r="AB361" s="101"/>
      <c r="AC361" s="101"/>
      <c r="AD361" s="101"/>
      <c r="AE361" s="101"/>
      <c r="AF361" s="101"/>
      <c r="AG361" s="191"/>
      <c r="AH361" s="101"/>
      <c r="AI361" s="101"/>
      <c r="AJ361" s="101"/>
      <c r="AK361" s="191"/>
      <c r="AL361" s="101"/>
      <c r="AM361" s="101"/>
      <c r="AN361" s="101"/>
    </row>
    <row r="362" spans="1:40" x14ac:dyDescent="0.3">
      <c r="C362" s="102"/>
      <c r="F362" s="172"/>
      <c r="H362" s="172"/>
      <c r="I362" s="172"/>
      <c r="J362" s="181"/>
      <c r="K362" s="181"/>
      <c r="L362" s="172"/>
      <c r="M362" s="172"/>
      <c r="N362" s="141"/>
      <c r="O362" s="141"/>
      <c r="P362" s="172"/>
      <c r="Q362" s="172"/>
      <c r="R362" s="172"/>
      <c r="T362" s="102"/>
      <c r="V362" s="110"/>
      <c r="Y362" s="110"/>
      <c r="Z362" s="198"/>
      <c r="AA362" s="110"/>
      <c r="AB362" s="110"/>
      <c r="AC362" s="141"/>
      <c r="AD362" s="141"/>
      <c r="AH362" s="207"/>
      <c r="AI362" s="110"/>
      <c r="AJ362" s="110"/>
      <c r="AL362" s="110"/>
      <c r="AM362" s="141"/>
      <c r="AN362" s="141"/>
    </row>
    <row r="363" spans="1:40" x14ac:dyDescent="0.3">
      <c r="F363" s="210"/>
      <c r="H363" s="210"/>
      <c r="I363" s="210"/>
      <c r="J363" s="217"/>
      <c r="K363" s="217"/>
      <c r="L363" s="210"/>
      <c r="M363" s="210"/>
      <c r="N363" s="210"/>
      <c r="O363" s="210"/>
      <c r="P363" s="210"/>
      <c r="Q363" s="210"/>
      <c r="R363" s="210"/>
      <c r="V363" s="101"/>
      <c r="Y363" s="101"/>
      <c r="AA363" s="101"/>
      <c r="AB363" s="101"/>
      <c r="AC363" s="101"/>
      <c r="AD363" s="101"/>
      <c r="AE363" s="101"/>
      <c r="AF363" s="101"/>
      <c r="AG363" s="191"/>
      <c r="AH363" s="101"/>
      <c r="AI363" s="101"/>
      <c r="AJ363" s="101"/>
      <c r="AK363" s="191"/>
      <c r="AL363" s="101"/>
      <c r="AM363" s="101"/>
      <c r="AN363" s="101"/>
    </row>
    <row r="364" spans="1:40" x14ac:dyDescent="0.3">
      <c r="F364" s="172"/>
      <c r="H364" s="172"/>
      <c r="I364" s="172"/>
      <c r="J364" s="227"/>
      <c r="K364" s="227"/>
      <c r="L364" s="110"/>
      <c r="M364" s="110"/>
      <c r="N364" s="141"/>
      <c r="O364" s="141"/>
      <c r="P364" s="110"/>
      <c r="Q364" s="110"/>
      <c r="R364" s="110"/>
    </row>
    <row r="365" spans="1:40" x14ac:dyDescent="0.3">
      <c r="A365" s="99"/>
      <c r="F365" s="172"/>
      <c r="H365" s="172"/>
      <c r="I365" s="172"/>
      <c r="J365" s="181"/>
      <c r="K365" s="181"/>
      <c r="L365" s="110"/>
      <c r="M365" s="110"/>
      <c r="N365" s="141"/>
      <c r="O365" s="141"/>
      <c r="P365" s="110"/>
      <c r="Q365" s="110"/>
      <c r="R365" s="110"/>
    </row>
    <row r="366" spans="1:40" x14ac:dyDescent="0.3">
      <c r="F366" s="172"/>
      <c r="H366" s="172"/>
      <c r="I366" s="172"/>
      <c r="J366" s="181"/>
      <c r="K366" s="181"/>
      <c r="L366" s="110"/>
      <c r="M366" s="110"/>
      <c r="N366" s="141"/>
      <c r="O366" s="141"/>
      <c r="P366" s="110"/>
      <c r="Q366" s="110"/>
      <c r="R366" s="110"/>
    </row>
    <row r="367" spans="1:40" x14ac:dyDescent="0.3">
      <c r="A367" s="99"/>
    </row>
    <row r="370" spans="1:40" x14ac:dyDescent="0.3">
      <c r="H370" s="99"/>
      <c r="I370" s="99"/>
      <c r="Y370" s="99"/>
    </row>
    <row r="372" spans="1:40" x14ac:dyDescent="0.3">
      <c r="L372" s="99"/>
      <c r="M372" s="99"/>
      <c r="AA372" s="99"/>
      <c r="AB372" s="99"/>
    </row>
    <row r="373" spans="1:40" x14ac:dyDescent="0.3">
      <c r="R373" s="99"/>
      <c r="AK373" s="190"/>
      <c r="AL373" s="99"/>
    </row>
    <row r="374" spans="1:40" x14ac:dyDescent="0.3">
      <c r="R374" s="99"/>
      <c r="AK374" s="190"/>
      <c r="AL374" s="99"/>
    </row>
    <row r="375" spans="1:40" x14ac:dyDescent="0.3">
      <c r="A375" s="99"/>
      <c r="R375" s="99"/>
      <c r="AK375" s="190"/>
      <c r="AL375" s="99"/>
    </row>
    <row r="376" spans="1:40" x14ac:dyDescent="0.3">
      <c r="L376" s="99"/>
      <c r="M376" s="99"/>
      <c r="AA376" s="99"/>
      <c r="AB376" s="99"/>
    </row>
    <row r="377" spans="1:40" x14ac:dyDescent="0.3">
      <c r="A377" s="101"/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/>
      <c r="AD377" s="101"/>
      <c r="AE377" s="101"/>
      <c r="AF377" s="101"/>
      <c r="AG377" s="191"/>
      <c r="AH377" s="101"/>
      <c r="AI377" s="101"/>
      <c r="AJ377" s="101"/>
      <c r="AK377" s="191"/>
      <c r="AL377" s="101"/>
      <c r="AM377" s="101"/>
      <c r="AN377" s="101"/>
    </row>
    <row r="378" spans="1:40" x14ac:dyDescent="0.3">
      <c r="L378" s="102"/>
      <c r="M378" s="102"/>
      <c r="N378" s="102"/>
      <c r="O378" s="102"/>
      <c r="R378" s="102"/>
      <c r="AA378" s="102"/>
      <c r="AB378" s="102"/>
      <c r="AC378" s="102"/>
      <c r="AD378" s="102"/>
      <c r="AE378" s="102"/>
      <c r="AF378" s="102"/>
      <c r="AG378" s="151"/>
      <c r="AH378" s="102"/>
      <c r="AK378" s="151"/>
      <c r="AL378" s="102"/>
      <c r="AM378" s="102"/>
      <c r="AN378" s="102"/>
    </row>
    <row r="379" spans="1:40" x14ac:dyDescent="0.3">
      <c r="L379" s="102"/>
      <c r="M379" s="102"/>
      <c r="N379" s="102"/>
      <c r="O379" s="102"/>
      <c r="R379" s="102"/>
      <c r="Z379" s="102"/>
      <c r="AA379" s="102"/>
      <c r="AB379" s="102"/>
      <c r="AC379" s="102"/>
      <c r="AD379" s="102"/>
      <c r="AE379" s="102"/>
      <c r="AF379" s="102"/>
      <c r="AG379" s="151"/>
      <c r="AH379" s="102"/>
      <c r="AK379" s="151"/>
      <c r="AL379" s="102"/>
      <c r="AM379" s="102"/>
      <c r="AN379" s="102"/>
    </row>
    <row r="380" spans="1:40" x14ac:dyDescent="0.3">
      <c r="A380" s="102"/>
      <c r="C380" s="102"/>
      <c r="D380" s="102"/>
      <c r="E380" s="102"/>
      <c r="F380" s="102"/>
      <c r="J380" s="102"/>
      <c r="K380" s="102"/>
      <c r="L380" s="102"/>
      <c r="M380" s="102"/>
      <c r="N380" s="102"/>
      <c r="O380" s="102"/>
      <c r="P380" s="102"/>
      <c r="Q380" s="102"/>
      <c r="R380" s="102"/>
      <c r="T380" s="102"/>
      <c r="U380" s="102"/>
      <c r="V380" s="102"/>
      <c r="Z380" s="102"/>
      <c r="AA380" s="102"/>
      <c r="AB380" s="102"/>
      <c r="AC380" s="102"/>
      <c r="AD380" s="102"/>
      <c r="AE380" s="102"/>
      <c r="AF380" s="102"/>
      <c r="AG380" s="151"/>
      <c r="AH380" s="102"/>
      <c r="AI380" s="102"/>
      <c r="AJ380" s="102"/>
      <c r="AK380" s="151"/>
      <c r="AL380" s="102"/>
      <c r="AM380" s="102"/>
      <c r="AN380" s="102"/>
    </row>
    <row r="381" spans="1:40" x14ac:dyDescent="0.3">
      <c r="A381" s="102"/>
      <c r="C381" s="102"/>
      <c r="D381" s="102"/>
      <c r="E381" s="102"/>
      <c r="F381" s="102"/>
      <c r="H381" s="102"/>
      <c r="I381" s="102"/>
      <c r="J381" s="102"/>
      <c r="K381" s="102"/>
      <c r="L381" s="102"/>
      <c r="M381" s="102"/>
      <c r="N381" s="102"/>
      <c r="O381" s="102"/>
      <c r="P381" s="102"/>
      <c r="Q381" s="102"/>
      <c r="R381" s="102"/>
      <c r="T381" s="102"/>
      <c r="U381" s="102"/>
      <c r="V381" s="102"/>
      <c r="Y381" s="102"/>
      <c r="Z381" s="102"/>
      <c r="AA381" s="102"/>
      <c r="AB381" s="102"/>
      <c r="AC381" s="102"/>
      <c r="AD381" s="102"/>
      <c r="AE381" s="102"/>
      <c r="AF381" s="102"/>
      <c r="AG381" s="151"/>
      <c r="AH381" s="102"/>
      <c r="AI381" s="102"/>
      <c r="AJ381" s="102"/>
      <c r="AK381" s="151"/>
      <c r="AL381" s="102"/>
      <c r="AM381" s="102"/>
      <c r="AN381" s="102"/>
    </row>
    <row r="382" spans="1:40" x14ac:dyDescent="0.3">
      <c r="C382" s="102"/>
      <c r="D382" s="102"/>
      <c r="E382" s="102"/>
      <c r="F382" s="102"/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T382" s="102"/>
      <c r="U382" s="102"/>
      <c r="V382" s="102"/>
      <c r="Y382" s="102"/>
      <c r="Z382" s="102"/>
      <c r="AA382" s="102"/>
      <c r="AB382" s="102"/>
      <c r="AC382" s="102"/>
      <c r="AD382" s="102"/>
      <c r="AE382" s="102"/>
      <c r="AF382" s="102"/>
      <c r="AG382" s="151"/>
      <c r="AH382" s="102"/>
      <c r="AI382" s="102"/>
      <c r="AJ382" s="102"/>
      <c r="AK382" s="151"/>
      <c r="AL382" s="102"/>
      <c r="AM382" s="102"/>
      <c r="AN382" s="102"/>
    </row>
    <row r="383" spans="1:40" x14ac:dyDescent="0.3">
      <c r="A383" s="101"/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T383" s="101"/>
      <c r="U383" s="101"/>
      <c r="V383" s="101"/>
      <c r="W383" s="101"/>
      <c r="X383" s="101"/>
      <c r="Y383" s="101"/>
      <c r="Z383" s="101"/>
      <c r="AA383" s="101"/>
      <c r="AB383" s="101"/>
      <c r="AC383" s="101"/>
      <c r="AD383" s="101"/>
      <c r="AE383" s="101"/>
      <c r="AF383" s="101"/>
      <c r="AG383" s="191"/>
      <c r="AH383" s="101"/>
      <c r="AI383" s="101"/>
      <c r="AJ383" s="101"/>
      <c r="AK383" s="191"/>
      <c r="AL383" s="101"/>
      <c r="AM383" s="101"/>
      <c r="AN383" s="101"/>
    </row>
    <row r="384" spans="1:40" x14ac:dyDescent="0.3">
      <c r="H384" s="102"/>
      <c r="I384" s="102"/>
      <c r="J384" s="102"/>
      <c r="K384" s="102"/>
      <c r="L384" s="102"/>
      <c r="M384" s="102"/>
      <c r="N384" s="102"/>
      <c r="O384" s="102"/>
      <c r="P384" s="102"/>
      <c r="Q384" s="102"/>
      <c r="R384" s="102"/>
      <c r="Y384" s="102"/>
      <c r="Z384" s="102"/>
      <c r="AA384" s="102"/>
      <c r="AB384" s="102"/>
      <c r="AC384" s="102"/>
      <c r="AD384" s="102"/>
      <c r="AE384" s="102"/>
      <c r="AF384" s="102"/>
      <c r="AG384" s="151"/>
      <c r="AH384" s="102"/>
      <c r="AI384" s="102"/>
      <c r="AJ384" s="102"/>
      <c r="AK384" s="151"/>
      <c r="AL384" s="102"/>
      <c r="AM384" s="102"/>
      <c r="AN384" s="102"/>
    </row>
    <row r="385" spans="3:40" x14ac:dyDescent="0.3">
      <c r="C385" s="99"/>
      <c r="D385" s="99"/>
      <c r="E385" s="99"/>
      <c r="T385" s="99"/>
      <c r="U385" s="99"/>
    </row>
    <row r="387" spans="3:40" x14ac:dyDescent="0.3">
      <c r="C387" s="99"/>
      <c r="T387" s="99"/>
    </row>
    <row r="388" spans="3:40" x14ac:dyDescent="0.3">
      <c r="C388" s="99"/>
      <c r="F388" s="172"/>
      <c r="H388" s="172"/>
      <c r="I388" s="172"/>
      <c r="J388" s="217"/>
      <c r="K388" s="217"/>
      <c r="L388" s="110"/>
      <c r="M388" s="110"/>
      <c r="N388" s="141"/>
      <c r="O388" s="141"/>
      <c r="P388" s="110"/>
      <c r="Q388" s="110"/>
      <c r="R388" s="110"/>
      <c r="T388" s="99"/>
      <c r="V388" s="172"/>
      <c r="Y388" s="172"/>
      <c r="Z388" s="217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C389" s="99"/>
      <c r="T389" s="99"/>
    </row>
    <row r="390" spans="3:40" x14ac:dyDescent="0.3">
      <c r="C390" s="99"/>
      <c r="F390" s="172"/>
      <c r="H390" s="172"/>
      <c r="I390" s="172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10"/>
      <c r="Y390" s="110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72"/>
      <c r="H391" s="172"/>
      <c r="I391" s="172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10"/>
      <c r="Y391" s="110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C392" s="99"/>
      <c r="F392" s="172"/>
      <c r="H392" s="172"/>
      <c r="I392" s="172"/>
      <c r="J392" s="228"/>
      <c r="K392" s="228"/>
      <c r="L392" s="110"/>
      <c r="M392" s="110"/>
      <c r="N392" s="141"/>
      <c r="O392" s="141"/>
      <c r="P392" s="110"/>
      <c r="Q392" s="110"/>
      <c r="R392" s="110"/>
      <c r="T392" s="99"/>
      <c r="V392" s="110"/>
      <c r="Y392" s="110"/>
      <c r="Z392" s="228"/>
      <c r="AA392" s="110"/>
      <c r="AB392" s="110"/>
      <c r="AC392" s="141"/>
      <c r="AD392" s="141"/>
      <c r="AE392" s="110"/>
      <c r="AF392" s="110"/>
      <c r="AH392" s="207"/>
      <c r="AI392" s="110"/>
      <c r="AJ392" s="110"/>
      <c r="AL392" s="110"/>
      <c r="AM392" s="141"/>
      <c r="AN392" s="141"/>
    </row>
    <row r="393" spans="3:40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Y393" s="110"/>
      <c r="Z393" s="228"/>
      <c r="AA393" s="110"/>
      <c r="AB393" s="110"/>
      <c r="AC393" s="141"/>
      <c r="AD393" s="141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C394" s="99"/>
      <c r="J394" s="163"/>
      <c r="K394" s="163"/>
      <c r="T394" s="99"/>
      <c r="Z394" s="163"/>
    </row>
    <row r="395" spans="3:40" x14ac:dyDescent="0.3">
      <c r="C395" s="99"/>
      <c r="F395" s="172"/>
      <c r="H395" s="172"/>
      <c r="I395" s="172"/>
      <c r="J395" s="228"/>
      <c r="K395" s="228"/>
      <c r="L395" s="110"/>
      <c r="M395" s="110"/>
      <c r="N395" s="141"/>
      <c r="O395" s="141"/>
      <c r="P395" s="110"/>
      <c r="Q395" s="110"/>
      <c r="R395" s="110"/>
      <c r="T395" s="99"/>
      <c r="V395" s="110"/>
      <c r="Y395" s="110"/>
      <c r="Z395" s="228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C396" s="99"/>
      <c r="F396" s="172"/>
      <c r="H396" s="172"/>
      <c r="I396" s="172"/>
      <c r="J396" s="228"/>
      <c r="K396" s="228"/>
      <c r="L396" s="110"/>
      <c r="M396" s="110"/>
      <c r="N396" s="141"/>
      <c r="O396" s="141"/>
      <c r="P396" s="110"/>
      <c r="Q396" s="110"/>
      <c r="R396" s="110"/>
      <c r="T396" s="99"/>
      <c r="V396" s="110"/>
      <c r="Y396" s="110"/>
      <c r="Z396" s="228"/>
      <c r="AA396" s="110"/>
      <c r="AB396" s="110"/>
      <c r="AC396" s="141"/>
      <c r="AD396" s="141"/>
      <c r="AE396" s="110"/>
      <c r="AF396" s="110"/>
      <c r="AH396" s="207"/>
      <c r="AI396" s="110"/>
      <c r="AJ396" s="110"/>
      <c r="AL396" s="110"/>
      <c r="AM396" s="141"/>
      <c r="AN396" s="141"/>
    </row>
    <row r="397" spans="3:40" x14ac:dyDescent="0.3">
      <c r="C397" s="99"/>
      <c r="F397" s="172"/>
      <c r="H397" s="172"/>
      <c r="I397" s="172"/>
      <c r="J397" s="228"/>
      <c r="K397" s="228"/>
      <c r="L397" s="110"/>
      <c r="M397" s="110"/>
      <c r="N397" s="141"/>
      <c r="O397" s="141"/>
      <c r="P397" s="110"/>
      <c r="Q397" s="110"/>
      <c r="R397" s="110"/>
      <c r="T397" s="99"/>
      <c r="V397" s="110"/>
      <c r="Y397" s="110"/>
      <c r="Z397" s="228"/>
      <c r="AA397" s="110"/>
      <c r="AB397" s="110"/>
      <c r="AC397" s="141"/>
      <c r="AD397" s="141"/>
      <c r="AE397" s="110"/>
      <c r="AF397" s="110"/>
      <c r="AH397" s="207"/>
      <c r="AI397" s="110"/>
      <c r="AJ397" s="110"/>
      <c r="AL397" s="110"/>
      <c r="AM397" s="141"/>
      <c r="AN397" s="141"/>
    </row>
    <row r="398" spans="3:40" x14ac:dyDescent="0.3">
      <c r="C398" s="99"/>
      <c r="J398" s="163"/>
      <c r="K398" s="163"/>
      <c r="T398" s="99"/>
      <c r="Z398" s="163"/>
    </row>
    <row r="399" spans="3:40" x14ac:dyDescent="0.3">
      <c r="C399" s="99"/>
      <c r="F399" s="172"/>
      <c r="H399" s="172"/>
      <c r="I399" s="172"/>
      <c r="J399" s="228"/>
      <c r="K399" s="228"/>
      <c r="L399" s="110"/>
      <c r="M399" s="110"/>
      <c r="N399" s="141"/>
      <c r="O399" s="141"/>
      <c r="P399" s="110"/>
      <c r="Q399" s="110"/>
      <c r="R399" s="110"/>
      <c r="T399" s="99"/>
      <c r="V399" s="110"/>
      <c r="Y399" s="110"/>
      <c r="Z399" s="228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3:40" x14ac:dyDescent="0.3">
      <c r="C400" s="99"/>
      <c r="F400" s="172"/>
      <c r="H400" s="172"/>
      <c r="I400" s="172"/>
      <c r="J400" s="228"/>
      <c r="K400" s="228"/>
      <c r="L400" s="110"/>
      <c r="M400" s="110"/>
      <c r="N400" s="141"/>
      <c r="O400" s="141"/>
      <c r="P400" s="110"/>
      <c r="Q400" s="110"/>
      <c r="R400" s="110"/>
      <c r="T400" s="99"/>
      <c r="V400" s="110"/>
      <c r="Y400" s="110"/>
      <c r="Z400" s="228"/>
      <c r="AA400" s="110"/>
      <c r="AB400" s="110"/>
      <c r="AC400" s="141"/>
      <c r="AD400" s="141"/>
      <c r="AE400" s="110"/>
      <c r="AF400" s="110"/>
      <c r="AH400" s="207"/>
      <c r="AI400" s="110"/>
      <c r="AJ400" s="110"/>
      <c r="AL400" s="110"/>
      <c r="AM400" s="141"/>
      <c r="AN400" s="141"/>
    </row>
    <row r="401" spans="3:40" x14ac:dyDescent="0.3">
      <c r="C401" s="99"/>
      <c r="J401" s="163"/>
      <c r="K401" s="163"/>
      <c r="T401" s="99"/>
      <c r="Z401" s="163"/>
    </row>
    <row r="402" spans="3:40" x14ac:dyDescent="0.3">
      <c r="C402" s="99"/>
      <c r="F402" s="172"/>
      <c r="H402" s="172"/>
      <c r="I402" s="172"/>
      <c r="J402" s="228"/>
      <c r="K402" s="228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Z402" s="228"/>
      <c r="AA402" s="110"/>
      <c r="AB402" s="110"/>
      <c r="AC402" s="141"/>
      <c r="AD402" s="141"/>
      <c r="AE402" s="110"/>
      <c r="AF402" s="110"/>
      <c r="AH402" s="207"/>
      <c r="AI402" s="110"/>
      <c r="AJ402" s="110"/>
      <c r="AL402" s="110"/>
      <c r="AM402" s="141"/>
      <c r="AN402" s="141"/>
    </row>
    <row r="403" spans="3:40" x14ac:dyDescent="0.3">
      <c r="C403" s="99"/>
      <c r="F403" s="172"/>
      <c r="H403" s="172"/>
      <c r="I403" s="172"/>
      <c r="J403" s="228"/>
      <c r="K403" s="228"/>
      <c r="L403" s="110"/>
      <c r="M403" s="110"/>
      <c r="N403" s="141"/>
      <c r="O403" s="141"/>
      <c r="P403" s="110"/>
      <c r="Q403" s="110"/>
      <c r="R403" s="110"/>
      <c r="T403" s="99"/>
      <c r="V403" s="110"/>
      <c r="Y403" s="110"/>
      <c r="Z403" s="228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3:40" x14ac:dyDescent="0.3">
      <c r="C404" s="99"/>
      <c r="F404" s="172"/>
      <c r="H404" s="172"/>
      <c r="I404" s="172"/>
      <c r="J404" s="228"/>
      <c r="K404" s="228"/>
      <c r="L404" s="110"/>
      <c r="M404" s="110"/>
      <c r="N404" s="141"/>
      <c r="O404" s="141"/>
      <c r="P404" s="110"/>
      <c r="Q404" s="110"/>
      <c r="R404" s="110"/>
      <c r="T404" s="99"/>
      <c r="V404" s="110"/>
      <c r="Y404" s="110"/>
      <c r="Z404" s="228"/>
      <c r="AA404" s="110"/>
      <c r="AB404" s="110"/>
      <c r="AC404" s="141"/>
      <c r="AD404" s="141"/>
      <c r="AE404" s="110"/>
      <c r="AF404" s="110"/>
      <c r="AH404" s="207"/>
      <c r="AI404" s="110"/>
      <c r="AJ404" s="110"/>
      <c r="AL404" s="110"/>
      <c r="AM404" s="141"/>
      <c r="AN404" s="141"/>
    </row>
    <row r="405" spans="3:40" x14ac:dyDescent="0.3">
      <c r="F405" s="192"/>
      <c r="H405" s="192"/>
      <c r="I405" s="192"/>
      <c r="J405" s="228"/>
      <c r="K405" s="228"/>
      <c r="L405" s="192"/>
      <c r="M405" s="192"/>
      <c r="N405" s="192"/>
      <c r="O405" s="192"/>
      <c r="P405" s="192"/>
      <c r="Q405" s="192"/>
      <c r="R405" s="192"/>
      <c r="V405" s="192"/>
      <c r="Y405" s="192"/>
      <c r="Z405" s="228"/>
      <c r="AA405" s="192"/>
      <c r="AB405" s="192"/>
      <c r="AC405" s="192"/>
      <c r="AD405" s="192"/>
      <c r="AE405" s="192"/>
      <c r="AF405" s="192"/>
      <c r="AI405" s="192"/>
      <c r="AJ405" s="192"/>
      <c r="AK405" s="194"/>
      <c r="AL405" s="192"/>
    </row>
    <row r="406" spans="3:40" x14ac:dyDescent="0.3">
      <c r="C406" s="102"/>
      <c r="F406" s="110"/>
      <c r="H406" s="110"/>
      <c r="I406" s="110"/>
      <c r="J406" s="163"/>
      <c r="K406" s="163"/>
      <c r="L406" s="110"/>
      <c r="M406" s="110"/>
      <c r="N406" s="207"/>
      <c r="O406" s="207"/>
      <c r="P406" s="110"/>
      <c r="Q406" s="110"/>
      <c r="R406" s="110"/>
      <c r="T406" s="102"/>
      <c r="V406" s="110"/>
      <c r="Y406" s="110"/>
      <c r="Z406" s="163"/>
      <c r="AA406" s="110"/>
      <c r="AB406" s="110"/>
      <c r="AC406" s="110"/>
      <c r="AD406" s="110"/>
      <c r="AE406" s="110"/>
      <c r="AF406" s="110"/>
      <c r="AH406" s="207"/>
      <c r="AI406" s="110"/>
      <c r="AJ406" s="110"/>
      <c r="AL406" s="110"/>
      <c r="AM406" s="141"/>
      <c r="AN406" s="141"/>
    </row>
    <row r="407" spans="3:40" x14ac:dyDescent="0.3">
      <c r="F407" s="192"/>
      <c r="H407" s="192"/>
      <c r="I407" s="192"/>
      <c r="J407" s="228"/>
      <c r="K407" s="228"/>
      <c r="L407" s="192"/>
      <c r="M407" s="192"/>
      <c r="N407" s="192"/>
      <c r="O407" s="192"/>
      <c r="P407" s="192"/>
      <c r="Q407" s="192"/>
      <c r="R407" s="192"/>
      <c r="V407" s="192"/>
      <c r="Y407" s="192"/>
      <c r="Z407" s="228"/>
      <c r="AA407" s="192"/>
      <c r="AB407" s="192"/>
      <c r="AC407" s="192"/>
      <c r="AD407" s="192"/>
      <c r="AE407" s="192"/>
      <c r="AF407" s="192"/>
      <c r="AI407" s="192"/>
      <c r="AJ407" s="192"/>
      <c r="AK407" s="194"/>
      <c r="AL407" s="192"/>
    </row>
    <row r="408" spans="3:40" x14ac:dyDescent="0.3">
      <c r="C408" s="99"/>
      <c r="J408" s="163"/>
      <c r="K408" s="163"/>
      <c r="T408" s="99"/>
      <c r="Z408" s="163"/>
    </row>
    <row r="409" spans="3:40" x14ac:dyDescent="0.3">
      <c r="C409" s="99"/>
      <c r="J409" s="163"/>
      <c r="K409" s="163"/>
      <c r="T409" s="99"/>
      <c r="Z409" s="163"/>
    </row>
    <row r="410" spans="3:40" x14ac:dyDescent="0.3">
      <c r="C410" s="99"/>
      <c r="F410" s="172"/>
      <c r="H410" s="172"/>
      <c r="I410" s="172"/>
      <c r="J410" s="228"/>
      <c r="K410" s="228"/>
      <c r="L410" s="110"/>
      <c r="M410" s="110"/>
      <c r="N410" s="141"/>
      <c r="O410" s="141"/>
      <c r="P410" s="110"/>
      <c r="Q410" s="110"/>
      <c r="R410" s="110"/>
      <c r="T410" s="99"/>
      <c r="V410" s="110"/>
      <c r="Y410" s="110"/>
      <c r="Z410" s="228"/>
      <c r="AA410" s="110"/>
      <c r="AB410" s="110"/>
      <c r="AC410" s="141"/>
      <c r="AD410" s="141"/>
      <c r="AE410" s="110"/>
      <c r="AF410" s="110"/>
      <c r="AH410" s="207"/>
      <c r="AI410" s="110"/>
      <c r="AJ410" s="110"/>
      <c r="AL410" s="110"/>
      <c r="AM410" s="141"/>
      <c r="AN410" s="141"/>
    </row>
    <row r="411" spans="3:40" x14ac:dyDescent="0.3">
      <c r="C411" s="99"/>
      <c r="F411" s="172"/>
      <c r="H411" s="172"/>
      <c r="I411" s="172"/>
      <c r="J411" s="228"/>
      <c r="K411" s="228"/>
      <c r="L411" s="110"/>
      <c r="M411" s="110"/>
      <c r="N411" s="141"/>
      <c r="O411" s="141"/>
      <c r="P411" s="110"/>
      <c r="Q411" s="110"/>
      <c r="R411" s="110"/>
      <c r="T411" s="99"/>
      <c r="V411" s="110"/>
      <c r="Y411" s="110"/>
      <c r="Z411" s="228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3:40" x14ac:dyDescent="0.3">
      <c r="C412" s="99"/>
      <c r="F412" s="172"/>
      <c r="H412" s="172"/>
      <c r="I412" s="172"/>
      <c r="J412" s="228"/>
      <c r="K412" s="228"/>
      <c r="L412" s="110"/>
      <c r="M412" s="110"/>
      <c r="N412" s="141"/>
      <c r="O412" s="141"/>
      <c r="P412" s="110"/>
      <c r="Q412" s="110"/>
      <c r="R412" s="110"/>
      <c r="T412" s="99"/>
      <c r="V412" s="110"/>
      <c r="Y412" s="110"/>
      <c r="Z412" s="228"/>
      <c r="AA412" s="110"/>
      <c r="AB412" s="110"/>
      <c r="AC412" s="141"/>
      <c r="AD412" s="141"/>
      <c r="AE412" s="110"/>
      <c r="AF412" s="110"/>
      <c r="AH412" s="207"/>
      <c r="AI412" s="110"/>
      <c r="AJ412" s="110"/>
      <c r="AL412" s="110"/>
      <c r="AM412" s="141"/>
      <c r="AN412" s="141"/>
    </row>
    <row r="413" spans="3:40" x14ac:dyDescent="0.3">
      <c r="C413" s="99"/>
      <c r="F413" s="172"/>
      <c r="H413" s="172"/>
      <c r="I413" s="172"/>
      <c r="J413" s="228"/>
      <c r="K413" s="228"/>
      <c r="L413" s="110"/>
      <c r="M413" s="110"/>
      <c r="N413" s="141"/>
      <c r="O413" s="141"/>
      <c r="P413" s="110"/>
      <c r="Q413" s="110"/>
      <c r="R413" s="110"/>
      <c r="T413" s="99"/>
      <c r="V413" s="110"/>
      <c r="Y413" s="110"/>
      <c r="Z413" s="228"/>
      <c r="AA413" s="110"/>
      <c r="AB413" s="110"/>
      <c r="AC413" s="141"/>
      <c r="AD413" s="141"/>
      <c r="AE413" s="110"/>
      <c r="AF413" s="110"/>
      <c r="AH413" s="207"/>
      <c r="AI413" s="110"/>
      <c r="AJ413" s="110"/>
      <c r="AL413" s="110"/>
      <c r="AM413" s="141"/>
      <c r="AN413" s="141"/>
    </row>
    <row r="414" spans="3:40" x14ac:dyDescent="0.3">
      <c r="C414" s="99"/>
      <c r="F414" s="172"/>
      <c r="H414" s="172"/>
      <c r="I414" s="172"/>
      <c r="J414" s="228"/>
      <c r="K414" s="228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228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F415" s="172"/>
      <c r="H415" s="172"/>
      <c r="I415" s="172"/>
      <c r="J415" s="228"/>
      <c r="K415" s="228"/>
      <c r="L415" s="110"/>
      <c r="M415" s="110"/>
      <c r="N415" s="141"/>
      <c r="O415" s="141"/>
      <c r="P415" s="110"/>
      <c r="Q415" s="110"/>
      <c r="R415" s="110"/>
      <c r="T415" s="99"/>
      <c r="V415" s="110"/>
      <c r="Y415" s="110"/>
      <c r="Z415" s="228"/>
      <c r="AA415" s="110"/>
      <c r="AB415" s="110"/>
      <c r="AC415" s="141"/>
      <c r="AD415" s="141"/>
      <c r="AE415" s="110"/>
      <c r="AF415" s="110"/>
      <c r="AH415" s="207"/>
      <c r="AI415" s="110"/>
      <c r="AJ415" s="110"/>
      <c r="AL415" s="110"/>
      <c r="AM415" s="141"/>
      <c r="AN415" s="141"/>
    </row>
    <row r="416" spans="3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C417" s="99"/>
      <c r="J417" s="163"/>
      <c r="K417" s="163"/>
      <c r="T417" s="99"/>
      <c r="Z417" s="163"/>
    </row>
    <row r="418" spans="3:40" x14ac:dyDescent="0.3">
      <c r="C418" s="99"/>
      <c r="F418" s="172"/>
      <c r="H418" s="172"/>
      <c r="I418" s="172"/>
      <c r="J418" s="228"/>
      <c r="K418" s="228"/>
      <c r="L418" s="110"/>
      <c r="M418" s="110"/>
      <c r="N418" s="141"/>
      <c r="O418" s="141"/>
      <c r="P418" s="110"/>
      <c r="Q418" s="110"/>
      <c r="R418" s="110"/>
      <c r="T418" s="99"/>
      <c r="V418" s="110"/>
      <c r="Y418" s="110"/>
      <c r="Z418" s="228"/>
      <c r="AA418" s="110"/>
      <c r="AB418" s="110"/>
      <c r="AC418" s="141"/>
      <c r="AD418" s="141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C419" s="99"/>
      <c r="F419" s="172"/>
      <c r="H419" s="172"/>
      <c r="I419" s="172"/>
      <c r="J419" s="228"/>
      <c r="K419" s="228"/>
      <c r="L419" s="110"/>
      <c r="M419" s="110"/>
      <c r="N419" s="141"/>
      <c r="O419" s="141"/>
      <c r="P419" s="110"/>
      <c r="Q419" s="110"/>
      <c r="R419" s="110"/>
      <c r="T419" s="99"/>
      <c r="V419" s="110"/>
      <c r="Y419" s="110"/>
      <c r="Z419" s="228"/>
      <c r="AA419" s="110"/>
      <c r="AB419" s="110"/>
      <c r="AC419" s="141"/>
      <c r="AD419" s="141"/>
      <c r="AE419" s="110"/>
      <c r="AF419" s="110"/>
      <c r="AH419" s="207"/>
      <c r="AI419" s="110"/>
      <c r="AJ419" s="110"/>
      <c r="AL419" s="110"/>
      <c r="AM419" s="141"/>
      <c r="AN419" s="141"/>
    </row>
    <row r="420" spans="3:40" x14ac:dyDescent="0.3">
      <c r="C420" s="99"/>
      <c r="F420" s="172"/>
      <c r="H420" s="172"/>
      <c r="I420" s="172"/>
      <c r="J420" s="228"/>
      <c r="K420" s="228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28"/>
      <c r="AA420" s="110"/>
      <c r="AB420" s="110"/>
      <c r="AC420" s="141"/>
      <c r="AD420" s="141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C421" s="99"/>
      <c r="F421" s="172"/>
      <c r="H421" s="172"/>
      <c r="I421" s="172"/>
      <c r="J421" s="228"/>
      <c r="K421" s="228"/>
      <c r="L421" s="110"/>
      <c r="M421" s="110"/>
      <c r="N421" s="141"/>
      <c r="O421" s="141"/>
      <c r="P421" s="110"/>
      <c r="Q421" s="110"/>
      <c r="R421" s="110"/>
      <c r="T421" s="99"/>
      <c r="V421" s="110"/>
      <c r="Y421" s="110"/>
      <c r="Z421" s="228"/>
      <c r="AA421" s="110"/>
      <c r="AB421" s="110"/>
      <c r="AC421" s="141"/>
      <c r="AD421" s="141"/>
      <c r="AE421" s="110"/>
      <c r="AF421" s="110"/>
      <c r="AH421" s="207"/>
      <c r="AI421" s="110"/>
      <c r="AJ421" s="110"/>
      <c r="AL421" s="110"/>
      <c r="AM421" s="141"/>
      <c r="AN421" s="141"/>
    </row>
    <row r="422" spans="3:40" x14ac:dyDescent="0.3">
      <c r="C422" s="99"/>
      <c r="J422" s="163"/>
      <c r="K422" s="163"/>
      <c r="T422" s="99"/>
      <c r="Z422" s="163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C426" s="99"/>
      <c r="F426" s="172"/>
      <c r="H426" s="172"/>
      <c r="I426" s="172"/>
      <c r="J426" s="228"/>
      <c r="K426" s="228"/>
      <c r="L426" s="110"/>
      <c r="M426" s="110"/>
      <c r="N426" s="141"/>
      <c r="O426" s="141"/>
      <c r="P426" s="110"/>
      <c r="Q426" s="110"/>
      <c r="R426" s="110"/>
      <c r="T426" s="99"/>
      <c r="V426" s="110"/>
      <c r="Y426" s="110"/>
      <c r="Z426" s="228"/>
      <c r="AA426" s="110"/>
      <c r="AB426" s="110"/>
      <c r="AC426" s="141"/>
      <c r="AD426" s="141"/>
      <c r="AE426" s="110"/>
      <c r="AF426" s="110"/>
      <c r="AH426" s="207"/>
      <c r="AI426" s="110"/>
      <c r="AJ426" s="110"/>
      <c r="AL426" s="110"/>
      <c r="AM426" s="141"/>
      <c r="AN426" s="141"/>
    </row>
    <row r="427" spans="3:40" x14ac:dyDescent="0.3">
      <c r="C427" s="99"/>
      <c r="F427" s="172"/>
      <c r="H427" s="172"/>
      <c r="I427" s="172"/>
      <c r="J427" s="228"/>
      <c r="K427" s="228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8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F428" s="192"/>
      <c r="H428" s="192"/>
      <c r="I428" s="192"/>
      <c r="J428" s="217"/>
      <c r="K428" s="217"/>
      <c r="L428" s="192"/>
      <c r="M428" s="192"/>
      <c r="N428" s="192"/>
      <c r="O428" s="192"/>
      <c r="P428" s="192"/>
      <c r="Q428" s="192"/>
      <c r="R428" s="192"/>
      <c r="V428" s="192"/>
      <c r="Y428" s="192"/>
      <c r="Z428" s="228"/>
      <c r="AA428" s="192"/>
      <c r="AB428" s="192"/>
      <c r="AC428" s="192"/>
      <c r="AD428" s="192"/>
      <c r="AE428" s="192"/>
      <c r="AF428" s="192"/>
      <c r="AI428" s="192"/>
      <c r="AJ428" s="192"/>
      <c r="AK428" s="194"/>
      <c r="AL428" s="192"/>
    </row>
    <row r="429" spans="3:40" x14ac:dyDescent="0.3">
      <c r="C429" s="99"/>
      <c r="F429" s="110"/>
      <c r="H429" s="110"/>
      <c r="I429" s="110"/>
      <c r="L429" s="110"/>
      <c r="M429" s="110"/>
      <c r="N429" s="207"/>
      <c r="O429" s="207"/>
      <c r="P429" s="110"/>
      <c r="Q429" s="110"/>
      <c r="R429" s="110"/>
      <c r="T429" s="99"/>
      <c r="V429" s="110"/>
      <c r="Y429" s="110"/>
      <c r="AA429" s="110"/>
      <c r="AB429" s="110"/>
      <c r="AC429" s="141"/>
      <c r="AD429" s="141"/>
      <c r="AE429" s="110"/>
      <c r="AF429" s="110"/>
      <c r="AH429" s="207"/>
      <c r="AI429" s="110"/>
      <c r="AJ429" s="110"/>
      <c r="AL429" s="110"/>
      <c r="AM429" s="141"/>
      <c r="AN429" s="141"/>
    </row>
    <row r="430" spans="3:40" x14ac:dyDescent="0.3">
      <c r="F430" s="192"/>
      <c r="H430" s="192"/>
      <c r="I430" s="192"/>
      <c r="J430" s="217"/>
      <c r="K430" s="217"/>
      <c r="L430" s="192"/>
      <c r="M430" s="192"/>
      <c r="N430" s="192"/>
      <c r="O430" s="192"/>
      <c r="P430" s="192"/>
      <c r="Q430" s="192"/>
      <c r="R430" s="192"/>
      <c r="V430" s="192"/>
      <c r="Y430" s="192"/>
      <c r="Z430" s="217"/>
      <c r="AA430" s="192"/>
      <c r="AB430" s="192"/>
      <c r="AC430" s="192"/>
      <c r="AD430" s="192"/>
      <c r="AE430" s="192"/>
      <c r="AF430" s="192"/>
      <c r="AI430" s="192"/>
      <c r="AJ430" s="192"/>
      <c r="AK430" s="194"/>
      <c r="AL430" s="192"/>
    </row>
    <row r="431" spans="3:40" x14ac:dyDescent="0.3">
      <c r="C431" s="99"/>
      <c r="T431" s="99"/>
    </row>
    <row r="432" spans="3:40" x14ac:dyDescent="0.3">
      <c r="C432" s="99"/>
      <c r="F432" s="172"/>
      <c r="H432" s="172"/>
      <c r="I432" s="172"/>
      <c r="J432" s="181"/>
      <c r="K432" s="181"/>
      <c r="L432" s="110"/>
      <c r="M432" s="110"/>
      <c r="N432" s="141"/>
      <c r="O432" s="141"/>
      <c r="P432" s="110"/>
      <c r="Q432" s="110"/>
      <c r="R432" s="110"/>
      <c r="T432" s="99"/>
      <c r="V432" s="110"/>
      <c r="Y432" s="110"/>
      <c r="Z432" s="181"/>
      <c r="AA432" s="110"/>
      <c r="AB432" s="110"/>
      <c r="AC432" s="141"/>
      <c r="AD432" s="141"/>
      <c r="AE432" s="110"/>
      <c r="AF432" s="110"/>
      <c r="AH432" s="207"/>
      <c r="AI432" s="110"/>
      <c r="AJ432" s="110"/>
      <c r="AL432" s="110"/>
      <c r="AM432" s="141"/>
      <c r="AN432" s="141"/>
    </row>
    <row r="433" spans="1:40" x14ac:dyDescent="0.3">
      <c r="C433" s="99"/>
      <c r="F433" s="172"/>
      <c r="H433" s="172"/>
      <c r="I433" s="172"/>
      <c r="J433" s="181"/>
      <c r="K433" s="181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181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1:40" x14ac:dyDescent="0.3">
      <c r="F434" s="192"/>
      <c r="H434" s="110"/>
      <c r="I434" s="110"/>
      <c r="J434" s="217"/>
      <c r="K434" s="217"/>
      <c r="L434" s="192"/>
      <c r="M434" s="192"/>
      <c r="N434" s="192"/>
      <c r="O434" s="192"/>
      <c r="P434" s="192"/>
      <c r="Q434" s="192"/>
      <c r="R434" s="192"/>
      <c r="V434" s="192"/>
      <c r="Y434" s="110"/>
      <c r="Z434" s="217"/>
      <c r="AA434" s="192"/>
      <c r="AB434" s="192"/>
      <c r="AC434" s="192"/>
      <c r="AD434" s="192"/>
      <c r="AE434" s="192"/>
      <c r="AF434" s="192"/>
      <c r="AI434" s="192"/>
      <c r="AJ434" s="192"/>
      <c r="AK434" s="194"/>
      <c r="AL434" s="192"/>
    </row>
    <row r="435" spans="1:40" x14ac:dyDescent="0.3">
      <c r="F435" s="110"/>
      <c r="H435" s="110"/>
      <c r="I435" s="110"/>
      <c r="J435" s="217"/>
      <c r="K435" s="217"/>
      <c r="L435" s="110"/>
      <c r="M435" s="110"/>
      <c r="N435" s="110"/>
      <c r="O435" s="110"/>
      <c r="P435" s="110"/>
      <c r="Q435" s="110"/>
      <c r="R435" s="110"/>
      <c r="V435" s="110"/>
      <c r="Y435" s="110"/>
      <c r="Z435" s="217"/>
      <c r="AA435" s="110"/>
      <c r="AB435" s="110"/>
      <c r="AC435" s="110"/>
      <c r="AD435" s="110"/>
      <c r="AE435" s="110"/>
      <c r="AF435" s="110"/>
      <c r="AI435" s="110"/>
      <c r="AJ435" s="110"/>
      <c r="AL435" s="110"/>
    </row>
    <row r="436" spans="1:40" x14ac:dyDescent="0.3">
      <c r="C436" s="99"/>
      <c r="F436" s="110"/>
      <c r="H436" s="110"/>
      <c r="I436" s="110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AA436" s="110"/>
      <c r="AB436" s="110"/>
      <c r="AC436" s="141"/>
      <c r="AD436" s="141"/>
      <c r="AE436" s="110"/>
      <c r="AF436" s="110"/>
      <c r="AH436" s="207"/>
      <c r="AI436" s="172"/>
      <c r="AJ436" s="172"/>
      <c r="AL436" s="110"/>
      <c r="AM436" s="141"/>
      <c r="AN436" s="141"/>
    </row>
    <row r="437" spans="1:40" x14ac:dyDescent="0.3">
      <c r="F437" s="192"/>
      <c r="H437" s="192"/>
      <c r="I437" s="192"/>
      <c r="J437" s="217"/>
      <c r="K437" s="217"/>
      <c r="L437" s="192"/>
      <c r="M437" s="192"/>
      <c r="N437" s="192"/>
      <c r="O437" s="192"/>
      <c r="P437" s="192"/>
      <c r="Q437" s="192"/>
      <c r="R437" s="192"/>
      <c r="V437" s="192"/>
      <c r="Y437" s="192"/>
      <c r="Z437" s="217"/>
      <c r="AA437" s="192"/>
      <c r="AB437" s="192"/>
      <c r="AC437" s="192"/>
      <c r="AD437" s="192"/>
      <c r="AE437" s="192"/>
      <c r="AF437" s="192"/>
      <c r="AI437" s="192"/>
      <c r="AJ437" s="192"/>
      <c r="AK437" s="194"/>
      <c r="AL437" s="192"/>
    </row>
    <row r="439" spans="1:40" x14ac:dyDescent="0.3">
      <c r="A439" s="99"/>
      <c r="T439" s="99"/>
    </row>
    <row r="440" spans="1:40" x14ac:dyDescent="0.3">
      <c r="A440" s="99"/>
      <c r="T440" s="99"/>
    </row>
    <row r="441" spans="1:40" x14ac:dyDescent="0.3">
      <c r="A441" s="99"/>
      <c r="T441" s="99"/>
    </row>
    <row r="442" spans="1:40" x14ac:dyDescent="0.3">
      <c r="A442" s="99"/>
      <c r="T442" s="99"/>
    </row>
    <row r="443" spans="1:40" x14ac:dyDescent="0.3">
      <c r="A443" s="99"/>
      <c r="T443" s="99"/>
    </row>
    <row r="444" spans="1:40" x14ac:dyDescent="0.3">
      <c r="A444" s="99"/>
      <c r="T444" s="99"/>
    </row>
    <row r="445" spans="1:40" x14ac:dyDescent="0.3">
      <c r="A445" s="99"/>
      <c r="T445" s="99"/>
    </row>
    <row r="446" spans="1:40" x14ac:dyDescent="0.3">
      <c r="A446" s="99"/>
      <c r="T446" s="99"/>
    </row>
    <row r="447" spans="1:40" x14ac:dyDescent="0.3">
      <c r="A447" s="99"/>
      <c r="T447" s="99"/>
    </row>
    <row r="449" spans="1:40" x14ac:dyDescent="0.3">
      <c r="A449" s="99"/>
    </row>
    <row r="451" spans="1:40" x14ac:dyDescent="0.3">
      <c r="H451" s="99"/>
      <c r="I451" s="99"/>
      <c r="Y451" s="99"/>
    </row>
    <row r="453" spans="1:40" x14ac:dyDescent="0.3">
      <c r="L453" s="99"/>
      <c r="M453" s="99"/>
      <c r="AA453" s="99"/>
      <c r="AB453" s="99"/>
    </row>
    <row r="454" spans="1:40" x14ac:dyDescent="0.3">
      <c r="R454" s="99"/>
      <c r="AK454" s="190"/>
      <c r="AL454" s="99"/>
    </row>
    <row r="455" spans="1:40" x14ac:dyDescent="0.3">
      <c r="R455" s="99"/>
      <c r="AK455" s="190"/>
      <c r="AL455" s="99"/>
    </row>
    <row r="456" spans="1:40" x14ac:dyDescent="0.3">
      <c r="A456" s="99"/>
      <c r="R456" s="99"/>
      <c r="AK456" s="190"/>
      <c r="AL456" s="99"/>
    </row>
    <row r="457" spans="1:40" x14ac:dyDescent="0.3">
      <c r="L457" s="99"/>
      <c r="M457" s="99"/>
      <c r="AA457" s="99"/>
      <c r="AB457" s="99"/>
    </row>
    <row r="458" spans="1:40" x14ac:dyDescent="0.3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91"/>
      <c r="AH458" s="101"/>
      <c r="AI458" s="101"/>
      <c r="AJ458" s="101"/>
      <c r="AK458" s="191"/>
      <c r="AL458" s="101"/>
      <c r="AM458" s="101"/>
      <c r="AN458" s="101"/>
    </row>
    <row r="459" spans="1:40" x14ac:dyDescent="0.3">
      <c r="L459" s="102"/>
      <c r="M459" s="102"/>
      <c r="N459" s="102"/>
      <c r="O459" s="102"/>
      <c r="R459" s="102"/>
      <c r="AA459" s="102"/>
      <c r="AB459" s="102"/>
      <c r="AC459" s="102"/>
      <c r="AD459" s="102"/>
      <c r="AE459" s="102"/>
      <c r="AF459" s="102"/>
      <c r="AG459" s="151"/>
      <c r="AH459" s="102"/>
      <c r="AK459" s="151"/>
      <c r="AL459" s="102"/>
      <c r="AM459" s="102"/>
      <c r="AN459" s="102"/>
    </row>
    <row r="460" spans="1:40" x14ac:dyDescent="0.3">
      <c r="L460" s="102"/>
      <c r="M460" s="102"/>
      <c r="N460" s="102"/>
      <c r="O460" s="102"/>
      <c r="R460" s="102"/>
      <c r="Z460" s="102"/>
      <c r="AA460" s="102"/>
      <c r="AB460" s="102"/>
      <c r="AC460" s="102"/>
      <c r="AD460" s="102"/>
      <c r="AE460" s="102"/>
      <c r="AF460" s="102"/>
      <c r="AG460" s="151"/>
      <c r="AH460" s="102"/>
      <c r="AK460" s="151"/>
      <c r="AL460" s="102"/>
      <c r="AM460" s="102"/>
      <c r="AN460" s="102"/>
    </row>
    <row r="461" spans="1:40" x14ac:dyDescent="0.3">
      <c r="A461" s="102"/>
      <c r="C461" s="102"/>
      <c r="D461" s="102"/>
      <c r="E461" s="102"/>
      <c r="F461" s="102"/>
      <c r="J461" s="102"/>
      <c r="K461" s="102"/>
      <c r="L461" s="102"/>
      <c r="M461" s="102"/>
      <c r="N461" s="102"/>
      <c r="O461" s="102"/>
      <c r="P461" s="102"/>
      <c r="Q461" s="102"/>
      <c r="R461" s="102"/>
      <c r="T461" s="102"/>
      <c r="U461" s="102"/>
      <c r="V461" s="102"/>
      <c r="Z461" s="102"/>
      <c r="AA461" s="102"/>
      <c r="AB461" s="102"/>
      <c r="AC461" s="102"/>
      <c r="AD461" s="102"/>
      <c r="AE461" s="102"/>
      <c r="AF461" s="102"/>
      <c r="AG461" s="151"/>
      <c r="AH461" s="102"/>
      <c r="AI461" s="102"/>
      <c r="AJ461" s="102"/>
      <c r="AK461" s="151"/>
      <c r="AL461" s="102"/>
      <c r="AM461" s="102"/>
      <c r="AN461" s="102"/>
    </row>
    <row r="462" spans="1:40" x14ac:dyDescent="0.3">
      <c r="A462" s="102"/>
      <c r="C462" s="102"/>
      <c r="D462" s="102"/>
      <c r="E462" s="102"/>
      <c r="F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T462" s="102"/>
      <c r="U462" s="102"/>
      <c r="V462" s="102"/>
      <c r="Y462" s="102"/>
      <c r="Z462" s="102"/>
      <c r="AA462" s="102"/>
      <c r="AB462" s="102"/>
      <c r="AC462" s="102"/>
      <c r="AD462" s="102"/>
      <c r="AE462" s="102"/>
      <c r="AF462" s="102"/>
      <c r="AG462" s="151"/>
      <c r="AH462" s="102"/>
      <c r="AI462" s="102"/>
      <c r="AJ462" s="102"/>
      <c r="AK462" s="151"/>
      <c r="AL462" s="102"/>
      <c r="AM462" s="102"/>
      <c r="AN462" s="102"/>
    </row>
    <row r="463" spans="1:40" x14ac:dyDescent="0.3">
      <c r="C463" s="102"/>
      <c r="D463" s="102"/>
      <c r="E463" s="102"/>
      <c r="F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T463" s="102"/>
      <c r="U463" s="102"/>
      <c r="V463" s="102"/>
      <c r="Y463" s="102"/>
      <c r="Z463" s="102"/>
      <c r="AA463" s="102"/>
      <c r="AB463" s="102"/>
      <c r="AC463" s="102"/>
      <c r="AD463" s="102"/>
      <c r="AE463" s="102"/>
      <c r="AF463" s="102"/>
      <c r="AG463" s="151"/>
      <c r="AH463" s="102"/>
      <c r="AI463" s="102"/>
      <c r="AJ463" s="102"/>
      <c r="AK463" s="151"/>
      <c r="AL463" s="102"/>
      <c r="AM463" s="102"/>
      <c r="AN463" s="102"/>
    </row>
    <row r="464" spans="1:40" x14ac:dyDescent="0.3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91"/>
      <c r="AH464" s="101"/>
      <c r="AI464" s="101"/>
      <c r="AJ464" s="101"/>
      <c r="AK464" s="191"/>
      <c r="AL464" s="101"/>
      <c r="AM464" s="101"/>
      <c r="AN464" s="101"/>
    </row>
    <row r="465" spans="3:40" x14ac:dyDescent="0.3"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Y465" s="102"/>
      <c r="Z465" s="102"/>
      <c r="AA465" s="102"/>
      <c r="AB465" s="102"/>
      <c r="AC465" s="102"/>
      <c r="AD465" s="102"/>
      <c r="AE465" s="102"/>
      <c r="AF465" s="102"/>
      <c r="AG465" s="151"/>
      <c r="AH465" s="102"/>
      <c r="AI465" s="102"/>
      <c r="AJ465" s="102"/>
      <c r="AK465" s="151"/>
      <c r="AL465" s="102"/>
      <c r="AM465" s="102"/>
      <c r="AN465" s="102"/>
    </row>
    <row r="466" spans="3:40" x14ac:dyDescent="0.3">
      <c r="C466" s="99"/>
      <c r="D466" s="99"/>
      <c r="E466" s="99"/>
      <c r="T466" s="99"/>
      <c r="U466" s="99"/>
    </row>
    <row r="467" spans="3:40" x14ac:dyDescent="0.3">
      <c r="D467" s="99"/>
      <c r="E467" s="99"/>
      <c r="U467" s="99"/>
    </row>
    <row r="469" spans="3:40" x14ac:dyDescent="0.3">
      <c r="C469" s="99"/>
      <c r="F469" s="110"/>
      <c r="J469" s="209"/>
      <c r="K469" s="209"/>
      <c r="L469" s="110"/>
      <c r="M469" s="110"/>
      <c r="R469" s="110"/>
      <c r="T469" s="99"/>
      <c r="V469" s="110"/>
      <c r="Z469" s="209"/>
      <c r="AA469" s="110"/>
      <c r="AB469" s="110"/>
      <c r="AH469" s="110"/>
      <c r="AL469" s="110"/>
    </row>
    <row r="470" spans="3:40" x14ac:dyDescent="0.3">
      <c r="C470" s="99"/>
      <c r="F470" s="110"/>
      <c r="R470" s="110"/>
      <c r="T470" s="99"/>
      <c r="V470" s="110"/>
      <c r="AH470" s="110"/>
      <c r="AL470" s="110"/>
    </row>
    <row r="471" spans="3:40" x14ac:dyDescent="0.3">
      <c r="AI471" s="110"/>
      <c r="AJ471" s="110"/>
      <c r="AL471" s="110"/>
      <c r="AM471" s="141"/>
      <c r="AN471" s="141"/>
    </row>
    <row r="472" spans="3:40" x14ac:dyDescent="0.3">
      <c r="C472" s="99"/>
      <c r="F472" s="172"/>
      <c r="H472" s="172"/>
      <c r="I472" s="172"/>
      <c r="J472" s="227"/>
      <c r="K472" s="227"/>
      <c r="L472" s="110"/>
      <c r="M472" s="110"/>
      <c r="N472" s="141"/>
      <c r="O472" s="141"/>
      <c r="P472" s="110"/>
      <c r="Q472" s="110"/>
      <c r="R472" s="110"/>
      <c r="T472" s="99"/>
      <c r="V472" s="110"/>
      <c r="Y472" s="110"/>
      <c r="Z472" s="227"/>
      <c r="AA472" s="110"/>
      <c r="AB472" s="110"/>
      <c r="AC472" s="141"/>
      <c r="AD472" s="141"/>
      <c r="AE472" s="110"/>
      <c r="AF472" s="110"/>
      <c r="AH472" s="207"/>
      <c r="AI472" s="110"/>
      <c r="AJ472" s="110"/>
      <c r="AL472" s="110"/>
      <c r="AM472" s="141"/>
      <c r="AN472" s="141"/>
    </row>
    <row r="473" spans="3:40" x14ac:dyDescent="0.3">
      <c r="F473" s="110"/>
      <c r="H473" s="110"/>
      <c r="I473" s="110"/>
      <c r="J473" s="198"/>
      <c r="K473" s="198"/>
      <c r="L473" s="110"/>
      <c r="M473" s="110"/>
      <c r="P473" s="110"/>
      <c r="Q473" s="110"/>
      <c r="R473" s="110"/>
      <c r="V473" s="110"/>
      <c r="Y473" s="110"/>
      <c r="Z473" s="198"/>
      <c r="AA473" s="110"/>
      <c r="AB473" s="110"/>
      <c r="AI473" s="110"/>
      <c r="AJ473" s="110"/>
      <c r="AL473" s="110"/>
      <c r="AM473" s="141"/>
      <c r="AN473" s="141"/>
    </row>
    <row r="474" spans="3:40" x14ac:dyDescent="0.3">
      <c r="F474" s="110"/>
      <c r="R474" s="110"/>
      <c r="V474" s="110"/>
      <c r="AL474" s="110"/>
      <c r="AM474" s="141"/>
      <c r="AN474" s="141"/>
    </row>
    <row r="475" spans="3:40" x14ac:dyDescent="0.3">
      <c r="C475" s="99"/>
      <c r="F475" s="110"/>
      <c r="J475" s="209"/>
      <c r="K475" s="209"/>
      <c r="L475" s="110"/>
      <c r="M475" s="110"/>
      <c r="N475" s="141"/>
      <c r="O475" s="141"/>
      <c r="R475" s="110"/>
      <c r="T475" s="99"/>
      <c r="V475" s="110"/>
      <c r="Z475" s="209"/>
      <c r="AA475" s="110"/>
      <c r="AB475" s="110"/>
      <c r="AC475" s="141"/>
      <c r="AD475" s="141"/>
      <c r="AL475" s="110"/>
      <c r="AM475" s="141"/>
      <c r="AN475" s="141"/>
    </row>
    <row r="476" spans="3:40" x14ac:dyDescent="0.3">
      <c r="C476" s="99"/>
      <c r="F476" s="110"/>
      <c r="H476" s="110"/>
      <c r="I476" s="110"/>
      <c r="J476" s="209"/>
      <c r="K476" s="209"/>
      <c r="L476" s="110"/>
      <c r="M476" s="110"/>
      <c r="N476" s="141"/>
      <c r="O476" s="141"/>
      <c r="P476" s="110"/>
      <c r="Q476" s="110"/>
      <c r="R476" s="110"/>
      <c r="T476" s="99"/>
      <c r="V476" s="110"/>
      <c r="Y476" s="110"/>
      <c r="Z476" s="209"/>
      <c r="AA476" s="110"/>
      <c r="AB476" s="110"/>
      <c r="AC476" s="141"/>
      <c r="AD476" s="141"/>
      <c r="AI476" s="110"/>
      <c r="AJ476" s="110"/>
      <c r="AL476" s="110"/>
      <c r="AM476" s="141"/>
      <c r="AN476" s="141"/>
    </row>
    <row r="477" spans="3:40" x14ac:dyDescent="0.3">
      <c r="C477" s="99"/>
      <c r="T477" s="99"/>
      <c r="AM477" s="141"/>
      <c r="AN477" s="141"/>
    </row>
    <row r="478" spans="3:40" x14ac:dyDescent="0.3">
      <c r="C478" s="99"/>
      <c r="T478" s="99"/>
      <c r="AM478" s="141"/>
      <c r="AN478" s="141"/>
    </row>
    <row r="479" spans="3:40" x14ac:dyDescent="0.3">
      <c r="AM479" s="141"/>
      <c r="AN479" s="141"/>
    </row>
    <row r="480" spans="3:40" x14ac:dyDescent="0.3">
      <c r="C480" s="99"/>
      <c r="F480" s="172"/>
      <c r="H480" s="172"/>
      <c r="I480" s="172"/>
      <c r="J480" s="227"/>
      <c r="K480" s="227"/>
      <c r="L480" s="110"/>
      <c r="M480" s="110"/>
      <c r="N480" s="141"/>
      <c r="O480" s="141"/>
      <c r="P480" s="110"/>
      <c r="Q480" s="110"/>
      <c r="R480" s="110"/>
      <c r="T480" s="99"/>
      <c r="V480" s="110"/>
      <c r="Y480" s="110"/>
      <c r="Z480" s="227"/>
      <c r="AA480" s="110"/>
      <c r="AB480" s="110"/>
      <c r="AC480" s="141"/>
      <c r="AD480" s="141"/>
      <c r="AE480" s="110"/>
      <c r="AF480" s="110"/>
      <c r="AH480" s="207"/>
      <c r="AI480" s="110"/>
      <c r="AJ480" s="110"/>
      <c r="AL480" s="110"/>
      <c r="AM480" s="141"/>
      <c r="AN480" s="141"/>
    </row>
    <row r="481" spans="1:40" x14ac:dyDescent="0.3">
      <c r="F481" s="192"/>
      <c r="H481" s="192"/>
      <c r="I481" s="192"/>
      <c r="J481" s="217"/>
      <c r="K481" s="217"/>
      <c r="L481" s="192"/>
      <c r="M481" s="192"/>
      <c r="N481" s="192"/>
      <c r="O481" s="192"/>
      <c r="P481" s="192"/>
      <c r="Q481" s="192"/>
      <c r="R481" s="192"/>
      <c r="V481" s="192"/>
      <c r="Y481" s="192"/>
      <c r="Z481" s="217"/>
      <c r="AA481" s="192"/>
      <c r="AB481" s="192"/>
      <c r="AC481" s="192"/>
      <c r="AD481" s="192"/>
      <c r="AE481" s="192"/>
      <c r="AF481" s="192"/>
      <c r="AI481" s="192"/>
      <c r="AJ481" s="192"/>
      <c r="AK481" s="194"/>
      <c r="AL481" s="192"/>
      <c r="AM481" s="141"/>
      <c r="AN481" s="141"/>
    </row>
    <row r="482" spans="1:40" x14ac:dyDescent="0.3">
      <c r="H482" s="110"/>
      <c r="I482" s="110"/>
      <c r="Y482" s="110"/>
      <c r="AM482" s="141"/>
      <c r="AN482" s="141"/>
    </row>
    <row r="483" spans="1:40" x14ac:dyDescent="0.3">
      <c r="C483" s="99"/>
      <c r="F483" s="110"/>
      <c r="H483" s="110"/>
      <c r="I483" s="110"/>
      <c r="L483" s="110"/>
      <c r="M483" s="110"/>
      <c r="N483" s="141"/>
      <c r="O483" s="141"/>
      <c r="P483" s="172"/>
      <c r="Q483" s="172"/>
      <c r="R483" s="110"/>
      <c r="T483" s="99"/>
      <c r="V483" s="110"/>
      <c r="Y483" s="110"/>
      <c r="AA483" s="110"/>
      <c r="AB483" s="110"/>
      <c r="AC483" s="141"/>
      <c r="AD483" s="141"/>
      <c r="AE483" s="110"/>
      <c r="AF483" s="110"/>
      <c r="AH483" s="207"/>
      <c r="AI483" s="172"/>
      <c r="AJ483" s="172"/>
      <c r="AL483" s="110"/>
      <c r="AM483" s="141"/>
      <c r="AN483" s="141"/>
    </row>
    <row r="484" spans="1:40" x14ac:dyDescent="0.3">
      <c r="F484" s="192"/>
      <c r="H484" s="192"/>
      <c r="I484" s="192"/>
      <c r="J484" s="217"/>
      <c r="K484" s="217"/>
      <c r="L484" s="192"/>
      <c r="M484" s="192"/>
      <c r="N484" s="192"/>
      <c r="O484" s="192"/>
      <c r="P484" s="192"/>
      <c r="Q484" s="192"/>
      <c r="R484" s="192"/>
      <c r="V484" s="192"/>
      <c r="Y484" s="192"/>
      <c r="Z484" s="217"/>
      <c r="AA484" s="192"/>
      <c r="AB484" s="192"/>
      <c r="AC484" s="192"/>
      <c r="AD484" s="192"/>
      <c r="AE484" s="192"/>
      <c r="AF484" s="192"/>
      <c r="AI484" s="192"/>
      <c r="AJ484" s="192"/>
      <c r="AK484" s="194"/>
      <c r="AL484" s="192"/>
      <c r="AM484" s="141"/>
      <c r="AN484" s="141"/>
    </row>
    <row r="486" spans="1:40" x14ac:dyDescent="0.3">
      <c r="F486" s="110"/>
      <c r="H486" s="110"/>
      <c r="I486" s="110"/>
      <c r="J486" s="198"/>
      <c r="K486" s="198"/>
      <c r="L486" s="110"/>
      <c r="M486" s="110"/>
      <c r="N486" s="110"/>
      <c r="O486" s="110"/>
      <c r="P486" s="110"/>
      <c r="Q486" s="110"/>
      <c r="R486" s="110"/>
      <c r="V486" s="110"/>
      <c r="Y486" s="110"/>
      <c r="Z486" s="198"/>
      <c r="AA486" s="110"/>
      <c r="AB486" s="110"/>
      <c r="AC486" s="110"/>
      <c r="AD486" s="110"/>
      <c r="AE486" s="110"/>
      <c r="AF486" s="110"/>
      <c r="AH486" s="110"/>
      <c r="AI486" s="110"/>
      <c r="AJ486" s="110"/>
      <c r="AL486" s="110"/>
    </row>
    <row r="487" spans="1:40" x14ac:dyDescent="0.3">
      <c r="A487" s="99"/>
    </row>
    <row r="489" spans="1:40" x14ac:dyDescent="0.3">
      <c r="H489" s="99"/>
      <c r="I489" s="99"/>
      <c r="Y489" s="99"/>
    </row>
    <row r="491" spans="1:40" x14ac:dyDescent="0.3">
      <c r="L491" s="99"/>
      <c r="M491" s="99"/>
      <c r="AA491" s="99"/>
      <c r="AB491" s="99"/>
    </row>
    <row r="492" spans="1:40" x14ac:dyDescent="0.3">
      <c r="R492" s="99"/>
      <c r="AK492" s="190"/>
      <c r="AL492" s="99"/>
    </row>
    <row r="493" spans="1:40" x14ac:dyDescent="0.3">
      <c r="R493" s="99"/>
      <c r="AK493" s="190"/>
      <c r="AL493" s="99"/>
    </row>
    <row r="494" spans="1:40" x14ac:dyDescent="0.3">
      <c r="A494" s="99"/>
      <c r="R494" s="99"/>
      <c r="AK494" s="190"/>
      <c r="AL494" s="99"/>
    </row>
    <row r="495" spans="1:40" x14ac:dyDescent="0.3">
      <c r="L495" s="99"/>
      <c r="M495" s="99"/>
      <c r="AA495" s="99"/>
      <c r="AB495" s="99"/>
    </row>
    <row r="496" spans="1:40" x14ac:dyDescent="0.3">
      <c r="A496" s="101"/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91"/>
      <c r="AH496" s="101"/>
      <c r="AI496" s="101"/>
      <c r="AJ496" s="101"/>
      <c r="AK496" s="191"/>
      <c r="AL496" s="101"/>
      <c r="AM496" s="101"/>
      <c r="AN496" s="101"/>
    </row>
    <row r="497" spans="1:40" x14ac:dyDescent="0.3">
      <c r="L497" s="102"/>
      <c r="M497" s="102"/>
      <c r="N497" s="102"/>
      <c r="O497" s="102"/>
      <c r="R497" s="102"/>
      <c r="AA497" s="102"/>
      <c r="AB497" s="102"/>
      <c r="AC497" s="102"/>
      <c r="AD497" s="102"/>
      <c r="AE497" s="102"/>
      <c r="AF497" s="102"/>
      <c r="AG497" s="151"/>
      <c r="AH497" s="102"/>
      <c r="AK497" s="151"/>
      <c r="AL497" s="102"/>
      <c r="AM497" s="102"/>
      <c r="AN497" s="102"/>
    </row>
    <row r="498" spans="1:40" x14ac:dyDescent="0.3">
      <c r="L498" s="102"/>
      <c r="M498" s="102"/>
      <c r="N498" s="102"/>
      <c r="O498" s="102"/>
      <c r="R498" s="102"/>
      <c r="Z498" s="102"/>
      <c r="AA498" s="102"/>
      <c r="AB498" s="102"/>
      <c r="AC498" s="102"/>
      <c r="AD498" s="102"/>
      <c r="AE498" s="102"/>
      <c r="AF498" s="102"/>
      <c r="AG498" s="151"/>
      <c r="AH498" s="102"/>
      <c r="AK498" s="151"/>
      <c r="AL498" s="102"/>
      <c r="AM498" s="102"/>
      <c r="AN498" s="102"/>
    </row>
    <row r="499" spans="1:40" x14ac:dyDescent="0.3">
      <c r="A499" s="102"/>
      <c r="C499" s="102"/>
      <c r="D499" s="102"/>
      <c r="E499" s="102"/>
      <c r="F499" s="102"/>
      <c r="J499" s="102"/>
      <c r="K499" s="102"/>
      <c r="L499" s="102"/>
      <c r="M499" s="102"/>
      <c r="N499" s="102"/>
      <c r="O499" s="102"/>
      <c r="P499" s="102"/>
      <c r="Q499" s="102"/>
      <c r="R499" s="102"/>
      <c r="T499" s="102"/>
      <c r="U499" s="102"/>
      <c r="V499" s="102"/>
      <c r="Z499" s="102"/>
      <c r="AA499" s="102"/>
      <c r="AB499" s="102"/>
      <c r="AC499" s="102"/>
      <c r="AD499" s="102"/>
      <c r="AE499" s="102"/>
      <c r="AF499" s="102"/>
      <c r="AG499" s="151"/>
      <c r="AH499" s="102"/>
      <c r="AI499" s="102"/>
      <c r="AJ499" s="102"/>
      <c r="AK499" s="151"/>
      <c r="AL499" s="102"/>
      <c r="AM499" s="102"/>
      <c r="AN499" s="102"/>
    </row>
    <row r="500" spans="1:40" x14ac:dyDescent="0.3">
      <c r="A500" s="102"/>
      <c r="C500" s="102"/>
      <c r="D500" s="102"/>
      <c r="E500" s="102"/>
      <c r="F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T500" s="102"/>
      <c r="U500" s="102"/>
      <c r="V500" s="102"/>
      <c r="Y500" s="102"/>
      <c r="Z500" s="102"/>
      <c r="AA500" s="102"/>
      <c r="AB500" s="102"/>
      <c r="AC500" s="102"/>
      <c r="AD500" s="102"/>
      <c r="AE500" s="102"/>
      <c r="AF500" s="102"/>
      <c r="AG500" s="151"/>
      <c r="AH500" s="102"/>
      <c r="AI500" s="102"/>
      <c r="AJ500" s="102"/>
      <c r="AK500" s="151"/>
      <c r="AL500" s="102"/>
      <c r="AM500" s="102"/>
      <c r="AN500" s="102"/>
    </row>
    <row r="501" spans="1:40" x14ac:dyDescent="0.3">
      <c r="C501" s="102"/>
      <c r="D501" s="102"/>
      <c r="E501" s="102"/>
      <c r="F501" s="102"/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T501" s="102"/>
      <c r="U501" s="102"/>
      <c r="V501" s="102"/>
      <c r="Y501" s="102"/>
      <c r="Z501" s="102"/>
      <c r="AA501" s="102"/>
      <c r="AB501" s="102"/>
      <c r="AC501" s="102"/>
      <c r="AD501" s="102"/>
      <c r="AE501" s="102"/>
      <c r="AF501" s="102"/>
      <c r="AG501" s="151"/>
      <c r="AH501" s="102"/>
      <c r="AI501" s="102"/>
      <c r="AJ501" s="102"/>
      <c r="AK501" s="151"/>
      <c r="AL501" s="102"/>
      <c r="AM501" s="102"/>
      <c r="AN501" s="102"/>
    </row>
    <row r="502" spans="1:40" x14ac:dyDescent="0.3">
      <c r="A502" s="101"/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91"/>
      <c r="AH502" s="101"/>
      <c r="AI502" s="101"/>
      <c r="AJ502" s="101"/>
      <c r="AK502" s="191"/>
      <c r="AL502" s="101"/>
      <c r="AM502" s="101"/>
      <c r="AN502" s="101"/>
    </row>
    <row r="503" spans="1:40" x14ac:dyDescent="0.3"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Y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I503" s="102"/>
      <c r="AJ503" s="102"/>
      <c r="AK503" s="151"/>
      <c r="AL503" s="102"/>
      <c r="AM503" s="102"/>
      <c r="AN503" s="102"/>
    </row>
    <row r="504" spans="1:40" x14ac:dyDescent="0.3">
      <c r="C504" s="99"/>
      <c r="D504" s="99"/>
      <c r="E504" s="99"/>
      <c r="T504" s="99"/>
      <c r="U504" s="99"/>
      <c r="V504" s="110"/>
      <c r="W504" s="110"/>
      <c r="X504" s="110"/>
      <c r="Y504" s="110"/>
      <c r="Z504" s="227"/>
    </row>
    <row r="506" spans="1:40" x14ac:dyDescent="0.3">
      <c r="C506" s="99"/>
      <c r="T506" s="99"/>
      <c r="V506" s="110"/>
      <c r="W506" s="110"/>
      <c r="X506" s="110"/>
      <c r="Y506" s="110"/>
      <c r="Z506" s="227"/>
    </row>
    <row r="507" spans="1:40" x14ac:dyDescent="0.3">
      <c r="C507" s="99"/>
      <c r="F507" s="172"/>
      <c r="H507" s="172"/>
      <c r="I507" s="172"/>
      <c r="J507" s="228"/>
      <c r="K507" s="228"/>
      <c r="L507" s="110"/>
      <c r="M507" s="110"/>
      <c r="N507" s="141"/>
      <c r="O507" s="141"/>
      <c r="P507" s="110"/>
      <c r="Q507" s="110"/>
      <c r="R507" s="110"/>
      <c r="T507" s="99"/>
      <c r="V507" s="110"/>
      <c r="W507" s="110"/>
      <c r="X507" s="110"/>
      <c r="Y507" s="110"/>
      <c r="Z507" s="228"/>
      <c r="AA507" s="110"/>
      <c r="AB507" s="110"/>
      <c r="AC507" s="141"/>
      <c r="AD507" s="141"/>
      <c r="AE507" s="110"/>
      <c r="AF507" s="110"/>
      <c r="AH507" s="207"/>
      <c r="AI507" s="110"/>
      <c r="AJ507" s="110"/>
      <c r="AL507" s="110"/>
      <c r="AM507" s="141"/>
      <c r="AN507" s="141"/>
    </row>
    <row r="508" spans="1:40" x14ac:dyDescent="0.3">
      <c r="C508" s="99"/>
      <c r="F508" s="172"/>
      <c r="H508" s="172"/>
      <c r="I508" s="172"/>
      <c r="J508" s="228"/>
      <c r="K508" s="228"/>
      <c r="L508" s="110"/>
      <c r="M508" s="110"/>
      <c r="N508" s="141"/>
      <c r="O508" s="141"/>
      <c r="P508" s="110"/>
      <c r="Q508" s="110"/>
      <c r="R508" s="110"/>
      <c r="T508" s="99"/>
      <c r="V508" s="110"/>
      <c r="W508" s="110"/>
      <c r="X508" s="110"/>
      <c r="Y508" s="110"/>
      <c r="Z508" s="228"/>
      <c r="AA508" s="110"/>
      <c r="AB508" s="110"/>
      <c r="AC508" s="141"/>
      <c r="AD508" s="141"/>
      <c r="AE508" s="110"/>
      <c r="AF508" s="110"/>
      <c r="AH508" s="207"/>
      <c r="AI508" s="110"/>
      <c r="AJ508" s="110"/>
      <c r="AL508" s="110"/>
      <c r="AM508" s="141"/>
      <c r="AN508" s="141"/>
    </row>
    <row r="509" spans="1:40" x14ac:dyDescent="0.3">
      <c r="C509" s="99"/>
      <c r="F509" s="172"/>
      <c r="H509" s="172"/>
      <c r="I509" s="172"/>
      <c r="J509" s="228"/>
      <c r="K509" s="228"/>
      <c r="L509" s="110"/>
      <c r="M509" s="110"/>
      <c r="N509" s="141"/>
      <c r="O509" s="141"/>
      <c r="P509" s="110"/>
      <c r="Q509" s="110"/>
      <c r="R509" s="110"/>
      <c r="T509" s="99"/>
      <c r="V509" s="110"/>
      <c r="W509" s="110"/>
      <c r="X509" s="110"/>
      <c r="Y509" s="110"/>
      <c r="Z509" s="228"/>
      <c r="AA509" s="110"/>
      <c r="AB509" s="110"/>
      <c r="AC509" s="141"/>
      <c r="AD509" s="141"/>
      <c r="AE509" s="110"/>
      <c r="AF509" s="110"/>
      <c r="AH509" s="207"/>
      <c r="AI509" s="110"/>
      <c r="AJ509" s="110"/>
      <c r="AL509" s="110"/>
      <c r="AM509" s="141"/>
      <c r="AN509" s="141"/>
    </row>
    <row r="510" spans="1:40" x14ac:dyDescent="0.3">
      <c r="C510" s="99"/>
      <c r="F510" s="172"/>
      <c r="H510" s="172"/>
      <c r="I510" s="172"/>
      <c r="J510" s="228"/>
      <c r="K510" s="228"/>
      <c r="L510" s="110"/>
      <c r="M510" s="110"/>
      <c r="N510" s="141"/>
      <c r="O510" s="141"/>
      <c r="P510" s="110"/>
      <c r="Q510" s="110"/>
      <c r="R510" s="110"/>
      <c r="T510" s="99"/>
      <c r="V510" s="110"/>
      <c r="W510" s="110"/>
      <c r="X510" s="110"/>
      <c r="Y510" s="110"/>
      <c r="Z510" s="228"/>
      <c r="AA510" s="110"/>
      <c r="AB510" s="110"/>
      <c r="AC510" s="141"/>
      <c r="AD510" s="141"/>
      <c r="AE510" s="110"/>
      <c r="AF510" s="110"/>
      <c r="AH510" s="207"/>
      <c r="AI510" s="110"/>
      <c r="AJ510" s="110"/>
      <c r="AL510" s="110"/>
      <c r="AM510" s="141"/>
      <c r="AN510" s="141"/>
    </row>
    <row r="511" spans="1:40" x14ac:dyDescent="0.3">
      <c r="J511" s="163"/>
      <c r="K511" s="163"/>
      <c r="V511" s="110"/>
      <c r="W511" s="110"/>
      <c r="X511" s="110"/>
      <c r="Y511" s="110"/>
      <c r="Z511" s="228"/>
    </row>
    <row r="512" spans="1:40" x14ac:dyDescent="0.3">
      <c r="C512" s="99"/>
      <c r="F512" s="172"/>
      <c r="H512" s="172"/>
      <c r="I512" s="172"/>
      <c r="J512" s="228"/>
      <c r="K512" s="228"/>
      <c r="L512" s="110"/>
      <c r="M512" s="110"/>
      <c r="N512" s="141"/>
      <c r="O512" s="141"/>
      <c r="P512" s="110"/>
      <c r="Q512" s="110"/>
      <c r="R512" s="110"/>
      <c r="T512" s="99"/>
      <c r="V512" s="110"/>
      <c r="W512" s="110"/>
      <c r="X512" s="110"/>
      <c r="Y512" s="110"/>
      <c r="Z512" s="228"/>
      <c r="AA512" s="110"/>
      <c r="AB512" s="110"/>
      <c r="AC512" s="141"/>
      <c r="AD512" s="141"/>
      <c r="AE512" s="110"/>
      <c r="AF512" s="110"/>
      <c r="AH512" s="207"/>
      <c r="AI512" s="110"/>
      <c r="AJ512" s="110"/>
      <c r="AL512" s="110"/>
      <c r="AM512" s="207"/>
      <c r="AN512" s="207"/>
    </row>
    <row r="513" spans="1:40" x14ac:dyDescent="0.3">
      <c r="C513" s="99"/>
      <c r="J513" s="163"/>
      <c r="K513" s="163"/>
      <c r="T513" s="99"/>
      <c r="V513" s="110"/>
      <c r="W513" s="110"/>
      <c r="X513" s="110"/>
      <c r="Y513" s="110"/>
      <c r="Z513" s="228"/>
    </row>
    <row r="514" spans="1:40" x14ac:dyDescent="0.3">
      <c r="C514" s="99"/>
      <c r="F514" s="172"/>
      <c r="H514" s="172"/>
      <c r="I514" s="172"/>
      <c r="J514" s="228"/>
      <c r="K514" s="228"/>
      <c r="L514" s="110"/>
      <c r="M514" s="110"/>
      <c r="N514" s="141"/>
      <c r="O514" s="141"/>
      <c r="P514" s="110"/>
      <c r="Q514" s="110"/>
      <c r="R514" s="110"/>
      <c r="T514" s="99"/>
      <c r="V514" s="110"/>
      <c r="W514" s="110"/>
      <c r="X514" s="110"/>
      <c r="Y514" s="110"/>
      <c r="Z514" s="228"/>
      <c r="AA514" s="110"/>
      <c r="AB514" s="110"/>
      <c r="AC514" s="141"/>
      <c r="AD514" s="141"/>
      <c r="AE514" s="110"/>
      <c r="AF514" s="110"/>
      <c r="AH514" s="207"/>
      <c r="AI514" s="110"/>
      <c r="AJ514" s="110"/>
      <c r="AL514" s="110"/>
      <c r="AM514" s="207"/>
      <c r="AN514" s="207"/>
    </row>
    <row r="515" spans="1:40" x14ac:dyDescent="0.3">
      <c r="J515" s="163"/>
      <c r="K515" s="163"/>
      <c r="Z515" s="163"/>
    </row>
    <row r="516" spans="1:40" x14ac:dyDescent="0.3">
      <c r="C516" s="99"/>
      <c r="J516" s="163"/>
      <c r="K516" s="163"/>
      <c r="T516" s="99"/>
      <c r="V516" s="110"/>
      <c r="W516" s="110"/>
      <c r="X516" s="110"/>
      <c r="Y516" s="110"/>
      <c r="Z516" s="228"/>
    </row>
    <row r="517" spans="1:40" x14ac:dyDescent="0.3">
      <c r="C517" s="99"/>
      <c r="F517" s="172"/>
      <c r="H517" s="172"/>
      <c r="I517" s="172"/>
      <c r="J517" s="228"/>
      <c r="K517" s="228"/>
      <c r="L517" s="110"/>
      <c r="M517" s="110"/>
      <c r="N517" s="141"/>
      <c r="O517" s="141"/>
      <c r="P517" s="110"/>
      <c r="Q517" s="110"/>
      <c r="R517" s="110"/>
      <c r="T517" s="99"/>
      <c r="V517" s="110"/>
      <c r="W517" s="110"/>
      <c r="X517" s="110"/>
      <c r="Y517" s="110"/>
      <c r="Z517" s="228"/>
      <c r="AA517" s="110"/>
      <c r="AB517" s="110"/>
      <c r="AC517" s="141"/>
      <c r="AD517" s="141"/>
      <c r="AE517" s="110"/>
      <c r="AF517" s="110"/>
      <c r="AH517" s="207"/>
      <c r="AI517" s="110"/>
      <c r="AJ517" s="110"/>
      <c r="AL517" s="110"/>
      <c r="AM517" s="207"/>
      <c r="AN517" s="207"/>
    </row>
    <row r="518" spans="1:40" x14ac:dyDescent="0.3">
      <c r="C518" s="99"/>
      <c r="F518" s="172"/>
      <c r="H518" s="172"/>
      <c r="I518" s="172"/>
      <c r="J518" s="228"/>
      <c r="K518" s="228"/>
      <c r="L518" s="110"/>
      <c r="M518" s="110"/>
      <c r="N518" s="141"/>
      <c r="O518" s="141"/>
      <c r="P518" s="110"/>
      <c r="Q518" s="110"/>
      <c r="R518" s="110"/>
      <c r="T518" s="99"/>
      <c r="V518" s="110"/>
      <c r="W518" s="110"/>
      <c r="X518" s="110"/>
      <c r="Y518" s="110"/>
      <c r="Z518" s="228"/>
      <c r="AA518" s="110"/>
      <c r="AB518" s="110"/>
      <c r="AC518" s="141"/>
      <c r="AD518" s="141"/>
      <c r="AE518" s="110"/>
      <c r="AF518" s="110"/>
      <c r="AH518" s="207"/>
      <c r="AI518" s="110"/>
      <c r="AJ518" s="110"/>
      <c r="AL518" s="110"/>
      <c r="AM518" s="207"/>
      <c r="AN518" s="207"/>
    </row>
    <row r="519" spans="1:40" x14ac:dyDescent="0.3">
      <c r="F519" s="192"/>
      <c r="H519" s="192"/>
      <c r="I519" s="192"/>
      <c r="J519" s="228"/>
      <c r="K519" s="228"/>
      <c r="L519" s="192"/>
      <c r="M519" s="192"/>
      <c r="N519" s="192"/>
      <c r="O519" s="192"/>
      <c r="P519" s="192"/>
      <c r="Q519" s="192"/>
      <c r="R519" s="192"/>
      <c r="V519" s="192"/>
      <c r="Y519" s="192"/>
      <c r="Z519" s="217"/>
      <c r="AA519" s="192"/>
      <c r="AB519" s="192"/>
      <c r="AC519" s="192"/>
      <c r="AD519" s="192"/>
      <c r="AE519" s="192"/>
      <c r="AF519" s="192"/>
      <c r="AI519" s="192"/>
      <c r="AJ519" s="192"/>
      <c r="AK519" s="194"/>
      <c r="AL519" s="192"/>
    </row>
    <row r="520" spans="1:40" x14ac:dyDescent="0.3">
      <c r="C520" s="99"/>
      <c r="F520" s="110"/>
      <c r="H520" s="110"/>
      <c r="I520" s="110"/>
      <c r="L520" s="110"/>
      <c r="M520" s="110"/>
      <c r="N520" s="141"/>
      <c r="O520" s="141"/>
      <c r="P520" s="172"/>
      <c r="Q520" s="172"/>
      <c r="R520" s="110"/>
      <c r="T520" s="99"/>
      <c r="V520" s="110"/>
      <c r="W520" s="110"/>
      <c r="X520" s="110"/>
      <c r="Y520" s="110"/>
      <c r="Z520" s="227"/>
      <c r="AA520" s="110"/>
      <c r="AB520" s="110"/>
      <c r="AC520" s="141"/>
      <c r="AD520" s="141"/>
      <c r="AE520" s="110"/>
      <c r="AF520" s="110"/>
      <c r="AH520" s="207"/>
      <c r="AI520" s="172"/>
      <c r="AJ520" s="172"/>
      <c r="AL520" s="110"/>
      <c r="AM520" s="207"/>
      <c r="AN520" s="207"/>
    </row>
    <row r="521" spans="1:40" x14ac:dyDescent="0.3">
      <c r="F521" s="192"/>
      <c r="H521" s="192"/>
      <c r="I521" s="192"/>
      <c r="J521" s="217"/>
      <c r="K521" s="217"/>
      <c r="L521" s="192"/>
      <c r="M521" s="192"/>
      <c r="N521" s="192"/>
      <c r="O521" s="192"/>
      <c r="P521" s="192"/>
      <c r="Q521" s="192"/>
      <c r="R521" s="192"/>
      <c r="V521" s="192"/>
      <c r="Y521" s="192"/>
      <c r="Z521" s="217"/>
      <c r="AA521" s="192"/>
      <c r="AB521" s="192"/>
      <c r="AC521" s="192"/>
      <c r="AD521" s="192"/>
      <c r="AE521" s="192"/>
      <c r="AF521" s="192"/>
      <c r="AI521" s="192"/>
      <c r="AJ521" s="192"/>
      <c r="AK521" s="194"/>
      <c r="AL521" s="192"/>
    </row>
    <row r="524" spans="1:40" x14ac:dyDescent="0.3">
      <c r="A524" s="99"/>
    </row>
    <row r="526" spans="1:40" x14ac:dyDescent="0.3">
      <c r="H526" s="99"/>
      <c r="I526" s="99"/>
      <c r="Y526" s="99"/>
    </row>
    <row r="528" spans="1:40" x14ac:dyDescent="0.3">
      <c r="L528" s="99"/>
      <c r="M528" s="99"/>
      <c r="AA528" s="99"/>
      <c r="AB528" s="99"/>
    </row>
    <row r="529" spans="1:40" x14ac:dyDescent="0.3">
      <c r="R529" s="99"/>
      <c r="AK529" s="190"/>
      <c r="AL529" s="99"/>
    </row>
    <row r="530" spans="1:40" x14ac:dyDescent="0.3">
      <c r="R530" s="99"/>
      <c r="AK530" s="190"/>
      <c r="AL530" s="99"/>
    </row>
    <row r="531" spans="1:40" x14ac:dyDescent="0.3">
      <c r="A531" s="99"/>
      <c r="R531" s="99"/>
      <c r="AK531" s="190"/>
      <c r="AL531" s="99"/>
    </row>
    <row r="532" spans="1:40" x14ac:dyDescent="0.3">
      <c r="L532" s="99"/>
      <c r="M532" s="99"/>
      <c r="AA532" s="99"/>
      <c r="AB532" s="99"/>
    </row>
    <row r="533" spans="1:40" x14ac:dyDescent="0.3">
      <c r="A533" s="101"/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T533" s="101"/>
      <c r="U533" s="101"/>
      <c r="V533" s="101"/>
      <c r="W533" s="101"/>
      <c r="X533" s="101"/>
      <c r="Y533" s="101"/>
      <c r="Z533" s="101"/>
      <c r="AA533" s="101"/>
      <c r="AB533" s="101"/>
      <c r="AC533" s="101"/>
      <c r="AD533" s="101"/>
      <c r="AE533" s="101"/>
      <c r="AF533" s="101"/>
      <c r="AG533" s="191"/>
      <c r="AH533" s="101"/>
      <c r="AI533" s="101"/>
      <c r="AJ533" s="101"/>
      <c r="AK533" s="191"/>
      <c r="AL533" s="101"/>
      <c r="AM533" s="101"/>
      <c r="AN533" s="101"/>
    </row>
    <row r="534" spans="1:40" x14ac:dyDescent="0.3">
      <c r="L534" s="102"/>
      <c r="M534" s="102"/>
      <c r="N534" s="102"/>
      <c r="O534" s="102"/>
      <c r="R534" s="102"/>
      <c r="AA534" s="102"/>
      <c r="AB534" s="102"/>
      <c r="AC534" s="102"/>
      <c r="AD534" s="102"/>
      <c r="AE534" s="102"/>
      <c r="AF534" s="102"/>
      <c r="AG534" s="151"/>
      <c r="AH534" s="102"/>
      <c r="AK534" s="151"/>
      <c r="AL534" s="102"/>
      <c r="AM534" s="102"/>
      <c r="AN534" s="102"/>
    </row>
    <row r="535" spans="1:40" x14ac:dyDescent="0.3">
      <c r="L535" s="102"/>
      <c r="M535" s="102"/>
      <c r="N535" s="102"/>
      <c r="O535" s="102"/>
      <c r="R535" s="102"/>
      <c r="Z535" s="102"/>
      <c r="AA535" s="102"/>
      <c r="AB535" s="102"/>
      <c r="AC535" s="102"/>
      <c r="AD535" s="102"/>
      <c r="AE535" s="102"/>
      <c r="AF535" s="102"/>
      <c r="AG535" s="151"/>
      <c r="AH535" s="102"/>
      <c r="AK535" s="151"/>
      <c r="AL535" s="102"/>
      <c r="AM535" s="102"/>
      <c r="AN535" s="102"/>
    </row>
    <row r="536" spans="1:40" x14ac:dyDescent="0.3">
      <c r="A536" s="102"/>
      <c r="C536" s="102"/>
      <c r="D536" s="102"/>
      <c r="E536" s="102"/>
      <c r="F536" s="102"/>
      <c r="J536" s="102"/>
      <c r="K536" s="102"/>
      <c r="L536" s="102"/>
      <c r="M536" s="102"/>
      <c r="N536" s="102"/>
      <c r="O536" s="102"/>
      <c r="P536" s="102"/>
      <c r="Q536" s="102"/>
      <c r="R536" s="102"/>
      <c r="T536" s="102"/>
      <c r="U536" s="102"/>
      <c r="V536" s="102"/>
      <c r="Z536" s="102"/>
      <c r="AA536" s="102"/>
      <c r="AB536" s="102"/>
      <c r="AC536" s="102"/>
      <c r="AD536" s="102"/>
      <c r="AE536" s="102"/>
      <c r="AF536" s="102"/>
      <c r="AG536" s="151"/>
      <c r="AH536" s="102"/>
      <c r="AI536" s="102"/>
      <c r="AJ536" s="102"/>
      <c r="AK536" s="151"/>
      <c r="AL536" s="102"/>
      <c r="AM536" s="102"/>
      <c r="AN536" s="102"/>
    </row>
    <row r="537" spans="1:40" x14ac:dyDescent="0.3">
      <c r="A537" s="102"/>
      <c r="C537" s="102"/>
      <c r="D537" s="102"/>
      <c r="E537" s="102"/>
      <c r="F537" s="102"/>
      <c r="H537" s="102"/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T537" s="102"/>
      <c r="U537" s="102"/>
      <c r="V537" s="102"/>
      <c r="Y537" s="102"/>
      <c r="Z537" s="102"/>
      <c r="AA537" s="102"/>
      <c r="AB537" s="102"/>
      <c r="AC537" s="102"/>
      <c r="AD537" s="102"/>
      <c r="AE537" s="102"/>
      <c r="AF537" s="102"/>
      <c r="AG537" s="151"/>
      <c r="AH537" s="102"/>
      <c r="AI537" s="102"/>
      <c r="AJ537" s="102"/>
      <c r="AK537" s="151"/>
      <c r="AL537" s="102"/>
      <c r="AM537" s="102"/>
      <c r="AN537" s="102"/>
    </row>
    <row r="538" spans="1:40" x14ac:dyDescent="0.3">
      <c r="C538" s="102"/>
      <c r="D538" s="102"/>
      <c r="E538" s="102"/>
      <c r="F538" s="102"/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T538" s="102"/>
      <c r="U538" s="102"/>
      <c r="V538" s="102"/>
      <c r="Y538" s="102"/>
      <c r="Z538" s="102"/>
      <c r="AA538" s="102"/>
      <c r="AB538" s="102"/>
      <c r="AC538" s="102"/>
      <c r="AD538" s="102"/>
      <c r="AE538" s="102"/>
      <c r="AF538" s="102"/>
      <c r="AG538" s="151"/>
      <c r="AH538" s="102"/>
      <c r="AI538" s="102"/>
      <c r="AJ538" s="102"/>
      <c r="AK538" s="151"/>
      <c r="AL538" s="102"/>
      <c r="AM538" s="102"/>
      <c r="AN538" s="102"/>
    </row>
    <row r="539" spans="1:40" x14ac:dyDescent="0.3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91"/>
      <c r="AH539" s="101"/>
      <c r="AI539" s="101"/>
      <c r="AJ539" s="101"/>
      <c r="AK539" s="191"/>
      <c r="AL539" s="101"/>
      <c r="AM539" s="101"/>
      <c r="AN539" s="101"/>
    </row>
    <row r="540" spans="1:40" x14ac:dyDescent="0.3"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Y540" s="102"/>
      <c r="Z540" s="102"/>
      <c r="AA540" s="102"/>
      <c r="AB540" s="102"/>
      <c r="AC540" s="102"/>
      <c r="AD540" s="102"/>
      <c r="AE540" s="102"/>
      <c r="AF540" s="102"/>
      <c r="AG540" s="151"/>
      <c r="AH540" s="102"/>
      <c r="AI540" s="102"/>
      <c r="AJ540" s="102"/>
      <c r="AK540" s="151"/>
      <c r="AL540" s="102"/>
      <c r="AM540" s="102"/>
      <c r="AN540" s="102"/>
    </row>
    <row r="541" spans="1:40" x14ac:dyDescent="0.3">
      <c r="C541" s="99"/>
      <c r="D541" s="99"/>
      <c r="E541" s="99"/>
      <c r="T541" s="99"/>
      <c r="U541" s="99"/>
    </row>
    <row r="543" spans="1:40" x14ac:dyDescent="0.3">
      <c r="C543" s="99"/>
      <c r="T543" s="99"/>
    </row>
    <row r="544" spans="1:40" x14ac:dyDescent="0.3">
      <c r="C544" s="99"/>
      <c r="T544" s="99"/>
    </row>
    <row r="545" spans="3:40" x14ac:dyDescent="0.3">
      <c r="C545" s="99"/>
      <c r="F545" s="172"/>
      <c r="H545" s="172"/>
      <c r="I545" s="172"/>
      <c r="J545" s="228"/>
      <c r="K545" s="228"/>
      <c r="L545" s="110"/>
      <c r="M545" s="110"/>
      <c r="N545" s="141"/>
      <c r="O545" s="141"/>
      <c r="P545" s="110"/>
      <c r="Q545" s="110"/>
      <c r="R545" s="110"/>
      <c r="T545" s="99"/>
      <c r="V545" s="110"/>
      <c r="W545" s="110"/>
      <c r="X545" s="110"/>
      <c r="Y545" s="110"/>
      <c r="Z545" s="228"/>
      <c r="AA545" s="110"/>
      <c r="AB545" s="110"/>
      <c r="AC545" s="141"/>
      <c r="AD545" s="141"/>
      <c r="AE545" s="110"/>
      <c r="AF545" s="110"/>
      <c r="AH545" s="207"/>
      <c r="AI545" s="110"/>
      <c r="AJ545" s="110"/>
      <c r="AL545" s="110"/>
      <c r="AM545" s="207"/>
      <c r="AN545" s="207"/>
    </row>
    <row r="546" spans="3:40" x14ac:dyDescent="0.3">
      <c r="C546" s="99"/>
      <c r="F546" s="110"/>
      <c r="H546" s="110"/>
      <c r="I546" s="110"/>
      <c r="J546" s="163"/>
      <c r="K546" s="163"/>
      <c r="L546" s="110"/>
      <c r="M546" s="110"/>
      <c r="N546" s="141"/>
      <c r="O546" s="141"/>
      <c r="P546" s="110"/>
      <c r="Q546" s="110"/>
      <c r="R546" s="110"/>
      <c r="T546" s="99"/>
      <c r="V546" s="110"/>
      <c r="W546" s="110"/>
      <c r="X546" s="110"/>
      <c r="Y546" s="110"/>
      <c r="Z546" s="163"/>
      <c r="AA546" s="110"/>
      <c r="AB546" s="110"/>
      <c r="AC546" s="141"/>
      <c r="AD546" s="141"/>
      <c r="AE546" s="110"/>
      <c r="AF546" s="110"/>
      <c r="AH546" s="207"/>
      <c r="AI546" s="110"/>
      <c r="AJ546" s="110"/>
      <c r="AL546" s="110"/>
      <c r="AM546" s="207"/>
      <c r="AN546" s="207"/>
    </row>
    <row r="547" spans="3:40" x14ac:dyDescent="0.3">
      <c r="C547" s="99"/>
      <c r="F547" s="110"/>
      <c r="H547" s="110"/>
      <c r="I547" s="110"/>
      <c r="J547" s="163"/>
      <c r="K547" s="163"/>
      <c r="L547" s="110"/>
      <c r="M547" s="110"/>
      <c r="N547" s="141"/>
      <c r="O547" s="141"/>
      <c r="P547" s="110"/>
      <c r="Q547" s="110"/>
      <c r="R547" s="110"/>
      <c r="T547" s="99"/>
      <c r="V547" s="110"/>
      <c r="W547" s="110"/>
      <c r="X547" s="110"/>
      <c r="Y547" s="110"/>
      <c r="Z547" s="163"/>
      <c r="AA547" s="110"/>
      <c r="AB547" s="110"/>
      <c r="AC547" s="141"/>
      <c r="AD547" s="141"/>
      <c r="AE547" s="110"/>
      <c r="AF547" s="110"/>
      <c r="AH547" s="207"/>
      <c r="AI547" s="110"/>
      <c r="AJ547" s="110"/>
      <c r="AL547" s="110"/>
      <c r="AM547" s="207"/>
      <c r="AN547" s="207"/>
    </row>
    <row r="548" spans="3:40" x14ac:dyDescent="0.3">
      <c r="C548" s="99"/>
      <c r="F548" s="110"/>
      <c r="H548" s="110"/>
      <c r="I548" s="110"/>
      <c r="J548" s="163"/>
      <c r="K548" s="163"/>
      <c r="T548" s="99"/>
      <c r="V548" s="110"/>
      <c r="Z548" s="163"/>
    </row>
    <row r="549" spans="3:40" x14ac:dyDescent="0.3">
      <c r="C549" s="99"/>
      <c r="F549" s="172"/>
      <c r="H549" s="172"/>
      <c r="I549" s="172"/>
      <c r="J549" s="228"/>
      <c r="K549" s="228"/>
      <c r="L549" s="110"/>
      <c r="M549" s="110"/>
      <c r="N549" s="141"/>
      <c r="O549" s="141"/>
      <c r="P549" s="110"/>
      <c r="Q549" s="110"/>
      <c r="R549" s="110"/>
      <c r="T549" s="99"/>
      <c r="V549" s="110"/>
      <c r="W549" s="110"/>
      <c r="X549" s="110"/>
      <c r="Y549" s="110"/>
      <c r="Z549" s="228"/>
      <c r="AA549" s="110"/>
      <c r="AB549" s="110"/>
      <c r="AC549" s="141"/>
      <c r="AD549" s="141"/>
      <c r="AE549" s="110"/>
      <c r="AF549" s="110"/>
      <c r="AH549" s="207"/>
      <c r="AI549" s="110"/>
      <c r="AJ549" s="110"/>
      <c r="AL549" s="110"/>
      <c r="AM549" s="207"/>
      <c r="AN549" s="207"/>
    </row>
    <row r="550" spans="3:40" x14ac:dyDescent="0.3">
      <c r="C550" s="99"/>
      <c r="F550" s="110"/>
      <c r="H550" s="110"/>
      <c r="I550" s="110"/>
      <c r="J550" s="163"/>
      <c r="K550" s="163"/>
      <c r="T550" s="99"/>
      <c r="V550" s="110"/>
      <c r="W550" s="110"/>
      <c r="X550" s="110"/>
      <c r="Y550" s="110"/>
      <c r="Z550" s="163"/>
      <c r="AC550" s="141"/>
      <c r="AD550" s="141"/>
      <c r="AE550" s="110"/>
      <c r="AF550" s="110"/>
      <c r="AH550" s="207"/>
      <c r="AI550" s="110"/>
      <c r="AJ550" s="110"/>
      <c r="AL550" s="110"/>
      <c r="AM550" s="207"/>
      <c r="AN550" s="207"/>
    </row>
    <row r="551" spans="3:40" x14ac:dyDescent="0.3">
      <c r="C551" s="99"/>
      <c r="F551" s="172"/>
      <c r="H551" s="172"/>
      <c r="I551" s="172"/>
      <c r="J551" s="228"/>
      <c r="K551" s="228"/>
      <c r="L551" s="110"/>
      <c r="M551" s="110"/>
      <c r="N551" s="141"/>
      <c r="O551" s="141"/>
      <c r="P551" s="110"/>
      <c r="Q551" s="110"/>
      <c r="R551" s="110"/>
      <c r="T551" s="99"/>
      <c r="V551" s="110"/>
      <c r="W551" s="110"/>
      <c r="X551" s="110"/>
      <c r="Y551" s="110"/>
      <c r="Z551" s="228"/>
      <c r="AA551" s="110"/>
      <c r="AB551" s="110"/>
      <c r="AC551" s="141"/>
      <c r="AD551" s="141"/>
      <c r="AE551" s="110"/>
      <c r="AF551" s="110"/>
      <c r="AH551" s="207"/>
      <c r="AI551" s="110"/>
      <c r="AJ551" s="110"/>
      <c r="AL551" s="110"/>
      <c r="AM551" s="207"/>
      <c r="AN551" s="207"/>
    </row>
    <row r="552" spans="3:40" x14ac:dyDescent="0.3">
      <c r="C552" s="99"/>
      <c r="F552" s="110"/>
      <c r="H552" s="110"/>
      <c r="I552" s="110"/>
      <c r="J552" s="163"/>
      <c r="K552" s="163"/>
      <c r="L552" s="110"/>
      <c r="M552" s="110"/>
      <c r="N552" s="141"/>
      <c r="O552" s="141"/>
      <c r="P552" s="110"/>
      <c r="Q552" s="110"/>
      <c r="R552" s="110"/>
      <c r="T552" s="99"/>
      <c r="V552" s="110"/>
      <c r="W552" s="110"/>
      <c r="X552" s="110"/>
      <c r="Y552" s="110"/>
      <c r="Z552" s="163"/>
      <c r="AA552" s="110"/>
      <c r="AB552" s="110"/>
      <c r="AC552" s="141"/>
      <c r="AD552" s="141"/>
      <c r="AE552" s="110"/>
      <c r="AF552" s="110"/>
      <c r="AH552" s="207"/>
      <c r="AI552" s="110"/>
      <c r="AJ552" s="110"/>
      <c r="AL552" s="110"/>
      <c r="AM552" s="207"/>
      <c r="AN552" s="207"/>
    </row>
    <row r="553" spans="3:40" x14ac:dyDescent="0.3">
      <c r="F553" s="110"/>
      <c r="H553" s="110"/>
      <c r="I553" s="110"/>
      <c r="J553" s="163"/>
      <c r="K553" s="163"/>
      <c r="Z553" s="163"/>
    </row>
    <row r="554" spans="3:40" x14ac:dyDescent="0.3">
      <c r="C554" s="99"/>
      <c r="F554" s="110"/>
      <c r="H554" s="172"/>
      <c r="I554" s="172"/>
      <c r="J554" s="228"/>
      <c r="K554" s="228"/>
      <c r="L554" s="110"/>
      <c r="M554" s="110"/>
      <c r="N554" s="141"/>
      <c r="O554" s="141"/>
      <c r="P554" s="110"/>
      <c r="Q554" s="110"/>
      <c r="R554" s="110"/>
      <c r="T554" s="99"/>
      <c r="V554" s="110"/>
      <c r="W554" s="110"/>
      <c r="X554" s="110"/>
      <c r="Y554" s="110"/>
      <c r="Z554" s="228"/>
      <c r="AA554" s="110"/>
      <c r="AB554" s="110"/>
      <c r="AC554" s="141"/>
      <c r="AD554" s="141"/>
      <c r="AE554" s="110"/>
      <c r="AF554" s="110"/>
      <c r="AH554" s="207"/>
      <c r="AI554" s="110"/>
      <c r="AJ554" s="110"/>
      <c r="AL554" s="110"/>
      <c r="AM554" s="207"/>
      <c r="AN554" s="207"/>
    </row>
    <row r="555" spans="3:40" x14ac:dyDescent="0.3">
      <c r="F555" s="192"/>
      <c r="H555" s="192"/>
      <c r="I555" s="192"/>
      <c r="J555" s="228"/>
      <c r="K555" s="228"/>
      <c r="L555" s="192"/>
      <c r="M555" s="192"/>
      <c r="N555" s="192"/>
      <c r="O555" s="192"/>
      <c r="P555" s="192"/>
      <c r="Q555" s="192"/>
      <c r="R555" s="192"/>
      <c r="V555" s="192"/>
      <c r="Y555" s="192"/>
      <c r="Z555" s="228"/>
      <c r="AA555" s="192"/>
      <c r="AB555" s="192"/>
      <c r="AC555" s="192"/>
      <c r="AD555" s="192"/>
      <c r="AE555" s="192"/>
      <c r="AF555" s="192"/>
      <c r="AI555" s="192"/>
      <c r="AJ555" s="192"/>
      <c r="AK555" s="194"/>
      <c r="AL555" s="192"/>
    </row>
    <row r="556" spans="3:40" x14ac:dyDescent="0.3">
      <c r="C556" s="99"/>
      <c r="F556" s="110"/>
      <c r="H556" s="110"/>
      <c r="I556" s="110"/>
      <c r="J556" s="163"/>
      <c r="K556" s="163"/>
      <c r="L556" s="110"/>
      <c r="M556" s="110"/>
      <c r="P556" s="110"/>
      <c r="Q556" s="110"/>
      <c r="R556" s="110"/>
      <c r="T556" s="99"/>
      <c r="V556" s="110"/>
      <c r="Y556" s="110"/>
      <c r="Z556" s="163"/>
      <c r="AA556" s="110"/>
      <c r="AB556" s="110"/>
      <c r="AC556" s="207"/>
      <c r="AD556" s="207"/>
      <c r="AE556" s="110"/>
      <c r="AF556" s="110"/>
      <c r="AH556" s="207"/>
      <c r="AI556" s="110"/>
      <c r="AJ556" s="110"/>
      <c r="AL556" s="110"/>
      <c r="AM556" s="207"/>
      <c r="AN556" s="207"/>
    </row>
    <row r="557" spans="3:40" x14ac:dyDescent="0.3">
      <c r="F557" s="192"/>
      <c r="H557" s="192"/>
      <c r="I557" s="192"/>
      <c r="J557" s="228"/>
      <c r="K557" s="228"/>
      <c r="L557" s="192"/>
      <c r="M557" s="192"/>
      <c r="N557" s="192"/>
      <c r="O557" s="192"/>
      <c r="P557" s="192"/>
      <c r="Q557" s="192"/>
      <c r="R557" s="192"/>
      <c r="V557" s="192"/>
      <c r="Y557" s="192"/>
      <c r="Z557" s="228"/>
      <c r="AA557" s="192"/>
      <c r="AB557" s="192"/>
      <c r="AC557" s="192"/>
      <c r="AD557" s="192"/>
      <c r="AE557" s="192"/>
      <c r="AF557" s="192"/>
      <c r="AI557" s="192"/>
      <c r="AJ557" s="192"/>
      <c r="AK557" s="194"/>
      <c r="AL557" s="192"/>
    </row>
    <row r="558" spans="3:40" x14ac:dyDescent="0.3">
      <c r="J558" s="163"/>
      <c r="K558" s="163"/>
      <c r="Z558" s="163"/>
    </row>
    <row r="559" spans="3:40" x14ac:dyDescent="0.3">
      <c r="C559" s="99"/>
      <c r="J559" s="163"/>
      <c r="K559" s="163"/>
      <c r="T559" s="99"/>
      <c r="Z559" s="163"/>
    </row>
    <row r="560" spans="3:40" x14ac:dyDescent="0.3">
      <c r="C560" s="99"/>
      <c r="J560" s="163"/>
      <c r="K560" s="163"/>
      <c r="T560" s="99"/>
      <c r="Z560" s="163"/>
    </row>
    <row r="561" spans="1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1:40" x14ac:dyDescent="0.3">
      <c r="C562" s="99"/>
      <c r="J562" s="163"/>
      <c r="K562" s="163"/>
      <c r="T562" s="99"/>
      <c r="Z562" s="163"/>
    </row>
    <row r="563" spans="1:40" x14ac:dyDescent="0.3">
      <c r="C563" s="99"/>
      <c r="F563" s="172"/>
      <c r="H563" s="172"/>
      <c r="I563" s="172"/>
      <c r="J563" s="228"/>
      <c r="K563" s="228"/>
      <c r="L563" s="110"/>
      <c r="M563" s="110"/>
      <c r="N563" s="141"/>
      <c r="O563" s="141"/>
      <c r="P563" s="110"/>
      <c r="Q563" s="110"/>
      <c r="R563" s="110"/>
      <c r="T563" s="99"/>
      <c r="V563" s="110"/>
      <c r="W563" s="110"/>
      <c r="X563" s="110"/>
      <c r="Y563" s="110"/>
      <c r="Z563" s="228"/>
      <c r="AA563" s="110"/>
      <c r="AB563" s="110"/>
      <c r="AC563" s="141"/>
      <c r="AD563" s="141"/>
      <c r="AE563" s="110"/>
      <c r="AF563" s="110"/>
      <c r="AH563" s="207"/>
      <c r="AI563" s="110"/>
      <c r="AJ563" s="110"/>
      <c r="AL563" s="110"/>
      <c r="AM563" s="207"/>
      <c r="AN563" s="207"/>
    </row>
    <row r="564" spans="1:40" x14ac:dyDescent="0.3">
      <c r="F564" s="192"/>
      <c r="H564" s="192"/>
      <c r="I564" s="192"/>
      <c r="J564" s="228"/>
      <c r="K564" s="228"/>
      <c r="L564" s="192"/>
      <c r="M564" s="192"/>
      <c r="N564" s="192"/>
      <c r="O564" s="192"/>
      <c r="P564" s="192"/>
      <c r="Q564" s="192"/>
      <c r="R564" s="192"/>
      <c r="V564" s="192"/>
      <c r="Y564" s="192"/>
      <c r="Z564" s="228"/>
      <c r="AA564" s="192"/>
      <c r="AB564" s="192"/>
      <c r="AC564" s="192"/>
      <c r="AD564" s="192"/>
      <c r="AE564" s="192"/>
      <c r="AF564" s="192"/>
      <c r="AI564" s="192"/>
      <c r="AJ564" s="192"/>
      <c r="AK564" s="194"/>
      <c r="AL564" s="192"/>
    </row>
    <row r="565" spans="1:40" x14ac:dyDescent="0.3">
      <c r="C565" s="99"/>
      <c r="F565" s="110"/>
      <c r="H565" s="110"/>
      <c r="I565" s="110"/>
      <c r="J565" s="163"/>
      <c r="K565" s="163"/>
      <c r="L565" s="110"/>
      <c r="M565" s="110"/>
      <c r="N565" s="207"/>
      <c r="O565" s="207"/>
      <c r="P565" s="110"/>
      <c r="Q565" s="110"/>
      <c r="R565" s="110"/>
      <c r="T565" s="99"/>
      <c r="V565" s="110"/>
      <c r="Y565" s="110"/>
      <c r="Z565" s="163"/>
      <c r="AA565" s="110"/>
      <c r="AB565" s="110"/>
      <c r="AC565" s="207"/>
      <c r="AD565" s="207"/>
      <c r="AE565" s="110"/>
      <c r="AF565" s="110"/>
      <c r="AH565" s="207"/>
      <c r="AI565" s="110"/>
      <c r="AJ565" s="110"/>
      <c r="AL565" s="110"/>
      <c r="AM565" s="207"/>
      <c r="AN565" s="207"/>
    </row>
    <row r="566" spans="1:40" x14ac:dyDescent="0.3">
      <c r="F566" s="192"/>
      <c r="H566" s="192"/>
      <c r="I566" s="192"/>
      <c r="J566" s="228"/>
      <c r="K566" s="228"/>
      <c r="L566" s="192"/>
      <c r="M566" s="192"/>
      <c r="N566" s="192"/>
      <c r="O566" s="192"/>
      <c r="P566" s="192"/>
      <c r="Q566" s="192"/>
      <c r="R566" s="192"/>
      <c r="V566" s="192"/>
      <c r="Y566" s="192"/>
      <c r="Z566" s="217"/>
      <c r="AA566" s="192"/>
      <c r="AB566" s="192"/>
      <c r="AC566" s="192"/>
      <c r="AD566" s="192"/>
      <c r="AE566" s="192"/>
      <c r="AF566" s="192"/>
      <c r="AI566" s="192"/>
      <c r="AJ566" s="192"/>
      <c r="AK566" s="194"/>
      <c r="AL566" s="192"/>
    </row>
    <row r="567" spans="1:40" x14ac:dyDescent="0.3">
      <c r="J567" s="163"/>
      <c r="K567" s="163"/>
    </row>
    <row r="568" spans="1:40" x14ac:dyDescent="0.3">
      <c r="C568" s="99"/>
      <c r="F568" s="110"/>
      <c r="H568" s="110"/>
      <c r="I568" s="110"/>
      <c r="J568" s="163"/>
      <c r="K568" s="163"/>
      <c r="L568" s="110"/>
      <c r="M568" s="110"/>
      <c r="N568" s="141"/>
      <c r="O568" s="141"/>
      <c r="P568" s="172"/>
      <c r="Q568" s="172"/>
      <c r="R568" s="110"/>
      <c r="T568" s="99"/>
      <c r="V568" s="110"/>
      <c r="Y568" s="110"/>
      <c r="AA568" s="110"/>
      <c r="AB568" s="110"/>
      <c r="AC568" s="207"/>
      <c r="AD568" s="207"/>
      <c r="AE568" s="110"/>
      <c r="AF568" s="110"/>
      <c r="AH568" s="207"/>
      <c r="AI568" s="172"/>
      <c r="AJ568" s="172"/>
      <c r="AL568" s="110"/>
      <c r="AM568" s="207"/>
      <c r="AN568" s="207"/>
    </row>
    <row r="569" spans="1:40" x14ac:dyDescent="0.3">
      <c r="F569" s="192"/>
      <c r="H569" s="192"/>
      <c r="I569" s="192"/>
      <c r="J569" s="228"/>
      <c r="K569" s="228"/>
      <c r="L569" s="192"/>
      <c r="M569" s="192"/>
      <c r="N569" s="192"/>
      <c r="O569" s="192"/>
      <c r="P569" s="192"/>
      <c r="Q569" s="192"/>
      <c r="R569" s="192"/>
      <c r="V569" s="192"/>
      <c r="Y569" s="192"/>
      <c r="Z569" s="217"/>
      <c r="AA569" s="192"/>
      <c r="AB569" s="192"/>
      <c r="AC569" s="192"/>
      <c r="AD569" s="192"/>
      <c r="AE569" s="192"/>
      <c r="AF569" s="192"/>
      <c r="AI569" s="192"/>
      <c r="AJ569" s="192"/>
      <c r="AK569" s="194"/>
      <c r="AL569" s="192"/>
    </row>
    <row r="572" spans="1:40" x14ac:dyDescent="0.3">
      <c r="A572" s="99"/>
    </row>
    <row r="574" spans="1:40" x14ac:dyDescent="0.3">
      <c r="H574" s="99"/>
      <c r="I574" s="99"/>
      <c r="Y574" s="99"/>
    </row>
    <row r="576" spans="1:40" x14ac:dyDescent="0.3">
      <c r="L576" s="99"/>
      <c r="M576" s="99"/>
      <c r="AA576" s="99"/>
      <c r="AB576" s="99"/>
    </row>
    <row r="577" spans="1:40" x14ac:dyDescent="0.3">
      <c r="R577" s="99"/>
      <c r="AK577" s="190"/>
      <c r="AL577" s="99"/>
    </row>
    <row r="578" spans="1:40" x14ac:dyDescent="0.3">
      <c r="R578" s="99"/>
      <c r="AK578" s="190"/>
      <c r="AL578" s="99"/>
    </row>
    <row r="579" spans="1:40" x14ac:dyDescent="0.3">
      <c r="A579" s="99"/>
      <c r="R579" s="99"/>
      <c r="AK579" s="190"/>
      <c r="AL579" s="99"/>
    </row>
    <row r="580" spans="1:40" x14ac:dyDescent="0.3">
      <c r="L580" s="99"/>
      <c r="M580" s="99"/>
      <c r="AA580" s="99"/>
      <c r="AB580" s="99"/>
    </row>
    <row r="581" spans="1:40" x14ac:dyDescent="0.3">
      <c r="A581" s="101"/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T581" s="101"/>
      <c r="U581" s="101"/>
      <c r="V581" s="101"/>
      <c r="W581" s="101"/>
      <c r="X581" s="101"/>
      <c r="Y581" s="101"/>
      <c r="Z581" s="101"/>
      <c r="AA581" s="101"/>
      <c r="AB581" s="101"/>
      <c r="AC581" s="101"/>
      <c r="AD581" s="101"/>
      <c r="AE581" s="101"/>
      <c r="AF581" s="101"/>
      <c r="AG581" s="191"/>
      <c r="AH581" s="101"/>
      <c r="AI581" s="101"/>
      <c r="AJ581" s="101"/>
      <c r="AK581" s="191"/>
      <c r="AL581" s="101"/>
      <c r="AM581" s="101"/>
      <c r="AN581" s="101"/>
    </row>
    <row r="582" spans="1:40" x14ac:dyDescent="0.3">
      <c r="L582" s="102"/>
      <c r="M582" s="102"/>
      <c r="N582" s="102"/>
      <c r="O582" s="102"/>
      <c r="R582" s="102"/>
      <c r="AA582" s="102"/>
      <c r="AB582" s="102"/>
      <c r="AC582" s="102"/>
      <c r="AD582" s="102"/>
      <c r="AE582" s="102"/>
      <c r="AF582" s="102"/>
      <c r="AG582" s="151"/>
      <c r="AH582" s="102"/>
      <c r="AK582" s="151"/>
      <c r="AL582" s="102"/>
      <c r="AM582" s="102"/>
      <c r="AN582" s="102"/>
    </row>
    <row r="583" spans="1:40" x14ac:dyDescent="0.3">
      <c r="L583" s="102"/>
      <c r="M583" s="102"/>
      <c r="N583" s="102"/>
      <c r="O583" s="102"/>
      <c r="R583" s="102"/>
      <c r="Z583" s="102"/>
      <c r="AA583" s="102"/>
      <c r="AB583" s="102"/>
      <c r="AC583" s="102"/>
      <c r="AD583" s="102"/>
      <c r="AE583" s="102"/>
      <c r="AF583" s="102"/>
      <c r="AG583" s="151"/>
      <c r="AH583" s="102"/>
      <c r="AK583" s="151"/>
      <c r="AL583" s="102"/>
      <c r="AM583" s="102"/>
      <c r="AN583" s="102"/>
    </row>
    <row r="584" spans="1:40" x14ac:dyDescent="0.3">
      <c r="A584" s="102"/>
      <c r="C584" s="102"/>
      <c r="D584" s="102"/>
      <c r="E584" s="102"/>
      <c r="F584" s="102"/>
      <c r="J584" s="102"/>
      <c r="K584" s="102"/>
      <c r="L584" s="102"/>
      <c r="M584" s="102"/>
      <c r="N584" s="102"/>
      <c r="O584" s="102"/>
      <c r="P584" s="102"/>
      <c r="Q584" s="102"/>
      <c r="R584" s="102"/>
      <c r="T584" s="102"/>
      <c r="U584" s="102"/>
      <c r="V584" s="102"/>
      <c r="Z584" s="102"/>
      <c r="AA584" s="102"/>
      <c r="AB584" s="102"/>
      <c r="AC584" s="102"/>
      <c r="AD584" s="102"/>
      <c r="AE584" s="102"/>
      <c r="AF584" s="102"/>
      <c r="AG584" s="151"/>
      <c r="AH584" s="102"/>
      <c r="AI584" s="102"/>
      <c r="AJ584" s="102"/>
      <c r="AK584" s="151"/>
      <c r="AL584" s="102"/>
      <c r="AM584" s="102"/>
      <c r="AN584" s="102"/>
    </row>
    <row r="585" spans="1:40" x14ac:dyDescent="0.3">
      <c r="A585" s="102"/>
      <c r="C585" s="102"/>
      <c r="D585" s="102"/>
      <c r="E585" s="102"/>
      <c r="F585" s="102"/>
      <c r="H585" s="102"/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T585" s="102"/>
      <c r="U585" s="102"/>
      <c r="V585" s="102"/>
      <c r="Y585" s="102"/>
      <c r="Z585" s="102"/>
      <c r="AA585" s="102"/>
      <c r="AB585" s="102"/>
      <c r="AC585" s="102"/>
      <c r="AD585" s="102"/>
      <c r="AE585" s="102"/>
      <c r="AF585" s="102"/>
      <c r="AG585" s="151"/>
      <c r="AH585" s="102"/>
      <c r="AI585" s="102"/>
      <c r="AJ585" s="102"/>
      <c r="AK585" s="151"/>
      <c r="AL585" s="102"/>
      <c r="AM585" s="102"/>
      <c r="AN585" s="102"/>
    </row>
    <row r="586" spans="1:40" x14ac:dyDescent="0.3">
      <c r="C586" s="102"/>
      <c r="D586" s="102"/>
      <c r="E586" s="102"/>
      <c r="F586" s="102"/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T586" s="102"/>
      <c r="U586" s="102"/>
      <c r="V586" s="102"/>
      <c r="Y586" s="102"/>
      <c r="Z586" s="102"/>
      <c r="AA586" s="102"/>
      <c r="AB586" s="102"/>
      <c r="AC586" s="102"/>
      <c r="AD586" s="102"/>
      <c r="AE586" s="102"/>
      <c r="AF586" s="102"/>
      <c r="AG586" s="151"/>
      <c r="AH586" s="102"/>
      <c r="AI586" s="102"/>
      <c r="AJ586" s="102"/>
      <c r="AK586" s="151"/>
      <c r="AL586" s="102"/>
      <c r="AM586" s="102"/>
      <c r="AN586" s="102"/>
    </row>
    <row r="587" spans="1:40" x14ac:dyDescent="0.3">
      <c r="A587" s="10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T587" s="101"/>
      <c r="U587" s="101"/>
      <c r="V587" s="101"/>
      <c r="W587" s="101"/>
      <c r="X587" s="101"/>
      <c r="Y587" s="101"/>
      <c r="Z587" s="101"/>
      <c r="AA587" s="101"/>
      <c r="AB587" s="101"/>
      <c r="AC587" s="101"/>
      <c r="AD587" s="101"/>
      <c r="AE587" s="101"/>
      <c r="AF587" s="101"/>
      <c r="AG587" s="191"/>
      <c r="AH587" s="101"/>
      <c r="AI587" s="101"/>
      <c r="AJ587" s="101"/>
      <c r="AK587" s="191"/>
      <c r="AL587" s="101"/>
      <c r="AM587" s="101"/>
      <c r="AN587" s="101"/>
    </row>
    <row r="588" spans="1:40" x14ac:dyDescent="0.3">
      <c r="H588" s="102"/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Y588" s="102"/>
      <c r="Z588" s="102"/>
      <c r="AA588" s="102"/>
      <c r="AB588" s="102"/>
      <c r="AC588" s="102"/>
      <c r="AD588" s="102"/>
      <c r="AE588" s="102"/>
      <c r="AF588" s="102"/>
      <c r="AG588" s="151"/>
      <c r="AH588" s="102"/>
      <c r="AI588" s="102"/>
      <c r="AJ588" s="102"/>
      <c r="AK588" s="151"/>
      <c r="AL588" s="102"/>
      <c r="AM588" s="102"/>
      <c r="AN588" s="102"/>
    </row>
    <row r="589" spans="1:40" x14ac:dyDescent="0.3">
      <c r="C589" s="99"/>
      <c r="D589" s="99"/>
      <c r="E589" s="99"/>
      <c r="T589" s="99"/>
      <c r="U589" s="99"/>
    </row>
    <row r="591" spans="1:40" x14ac:dyDescent="0.3">
      <c r="C591" s="99"/>
      <c r="D591" s="99"/>
      <c r="E591" s="99"/>
      <c r="T591" s="99"/>
      <c r="U591" s="99"/>
    </row>
    <row r="592" spans="1:40" x14ac:dyDescent="0.3">
      <c r="C592" s="99"/>
      <c r="T592" s="99"/>
    </row>
    <row r="593" spans="3:40" x14ac:dyDescent="0.3">
      <c r="C593" s="99"/>
      <c r="T593" s="99"/>
    </row>
    <row r="594" spans="3:40" x14ac:dyDescent="0.3">
      <c r="C594" s="99"/>
      <c r="F594" s="172"/>
      <c r="H594" s="172"/>
      <c r="I594" s="172"/>
      <c r="J594" s="228"/>
      <c r="K594" s="228"/>
      <c r="L594" s="110"/>
      <c r="M594" s="110"/>
      <c r="N594" s="141"/>
      <c r="O594" s="141"/>
      <c r="P594" s="110"/>
      <c r="Q594" s="110"/>
      <c r="R594" s="110"/>
      <c r="T594" s="99"/>
      <c r="V594" s="110"/>
      <c r="W594" s="110"/>
      <c r="X594" s="110"/>
      <c r="Y594" s="110"/>
      <c r="Z594" s="228"/>
      <c r="AA594" s="110"/>
      <c r="AB594" s="110"/>
      <c r="AC594" s="141"/>
      <c r="AD594" s="141"/>
      <c r="AE594" s="110"/>
      <c r="AF594" s="110"/>
      <c r="AH594" s="207"/>
      <c r="AI594" s="110"/>
      <c r="AJ594" s="110"/>
      <c r="AL594" s="110"/>
      <c r="AM594" s="141"/>
      <c r="AN594" s="141"/>
    </row>
    <row r="595" spans="3:40" x14ac:dyDescent="0.3">
      <c r="C595" s="99"/>
      <c r="J595" s="163"/>
      <c r="K595" s="163"/>
      <c r="T595" s="99"/>
      <c r="V595" s="110"/>
      <c r="W595" s="110"/>
      <c r="X595" s="110"/>
      <c r="Y595" s="110"/>
      <c r="Z595" s="228"/>
    </row>
    <row r="596" spans="3:40" x14ac:dyDescent="0.3">
      <c r="C596" s="99"/>
      <c r="F596" s="172"/>
      <c r="H596" s="172"/>
      <c r="I596" s="172"/>
      <c r="J596" s="228"/>
      <c r="K596" s="228"/>
      <c r="L596" s="110"/>
      <c r="M596" s="110"/>
      <c r="N596" s="141"/>
      <c r="O596" s="141"/>
      <c r="P596" s="110"/>
      <c r="Q596" s="110"/>
      <c r="R596" s="110"/>
      <c r="T596" s="99"/>
      <c r="V596" s="110"/>
      <c r="W596" s="110"/>
      <c r="X596" s="110"/>
      <c r="Y596" s="110"/>
      <c r="Z596" s="228"/>
      <c r="AA596" s="110"/>
      <c r="AB596" s="110"/>
      <c r="AC596" s="141"/>
      <c r="AD596" s="141"/>
      <c r="AE596" s="110"/>
      <c r="AF596" s="110"/>
      <c r="AH596" s="207"/>
      <c r="AI596" s="110"/>
      <c r="AJ596" s="110"/>
      <c r="AL596" s="110"/>
      <c r="AM596" s="141"/>
      <c r="AN596" s="141"/>
    </row>
    <row r="597" spans="3:40" x14ac:dyDescent="0.3">
      <c r="C597" s="99"/>
      <c r="J597" s="163"/>
      <c r="K597" s="163"/>
      <c r="T597" s="99"/>
      <c r="V597" s="110"/>
      <c r="W597" s="110"/>
      <c r="X597" s="110"/>
      <c r="Y597" s="110"/>
      <c r="Z597" s="228"/>
    </row>
    <row r="598" spans="3:40" x14ac:dyDescent="0.3">
      <c r="C598" s="99"/>
      <c r="F598" s="172"/>
      <c r="H598" s="172"/>
      <c r="I598" s="172"/>
      <c r="J598" s="228"/>
      <c r="K598" s="228"/>
      <c r="L598" s="110"/>
      <c r="M598" s="110"/>
      <c r="N598" s="141"/>
      <c r="O598" s="141"/>
      <c r="P598" s="110"/>
      <c r="Q598" s="110"/>
      <c r="R598" s="110"/>
      <c r="T598" s="99"/>
      <c r="V598" s="110"/>
      <c r="W598" s="110"/>
      <c r="X598" s="110"/>
      <c r="Y598" s="110"/>
      <c r="Z598" s="228"/>
      <c r="AA598" s="110"/>
      <c r="AB598" s="110"/>
      <c r="AC598" s="141"/>
      <c r="AD598" s="141"/>
      <c r="AE598" s="110"/>
      <c r="AF598" s="110"/>
      <c r="AH598" s="207"/>
      <c r="AI598" s="110"/>
      <c r="AJ598" s="110"/>
      <c r="AL598" s="110"/>
      <c r="AM598" s="141"/>
      <c r="AN598" s="141"/>
    </row>
    <row r="599" spans="3:40" x14ac:dyDescent="0.3">
      <c r="C599" s="99"/>
      <c r="J599" s="163"/>
      <c r="K599" s="163"/>
      <c r="T599" s="99"/>
      <c r="V599" s="110"/>
      <c r="W599" s="110"/>
      <c r="X599" s="110"/>
      <c r="Y599" s="110"/>
      <c r="Z599" s="228"/>
    </row>
    <row r="600" spans="3:40" x14ac:dyDescent="0.3">
      <c r="C600" s="99"/>
      <c r="F600" s="172"/>
      <c r="H600" s="172"/>
      <c r="I600" s="172"/>
      <c r="J600" s="228"/>
      <c r="K600" s="228"/>
      <c r="L600" s="110"/>
      <c r="M600" s="110"/>
      <c r="N600" s="141"/>
      <c r="O600" s="141"/>
      <c r="P600" s="110"/>
      <c r="Q600" s="110"/>
      <c r="R600" s="110"/>
      <c r="T600" s="99"/>
      <c r="V600" s="110"/>
      <c r="W600" s="110"/>
      <c r="X600" s="110"/>
      <c r="Y600" s="110"/>
      <c r="Z600" s="228"/>
      <c r="AA600" s="110"/>
      <c r="AB600" s="110"/>
      <c r="AC600" s="141"/>
      <c r="AD600" s="141"/>
      <c r="AE600" s="110"/>
      <c r="AF600" s="110"/>
      <c r="AH600" s="207"/>
      <c r="AI600" s="110"/>
      <c r="AJ600" s="110"/>
      <c r="AL600" s="110"/>
      <c r="AM600" s="141"/>
      <c r="AN600" s="141"/>
    </row>
    <row r="601" spans="3:40" x14ac:dyDescent="0.3">
      <c r="C601" s="99"/>
      <c r="J601" s="163"/>
      <c r="K601" s="163"/>
      <c r="T601" s="99"/>
      <c r="V601" s="110"/>
      <c r="W601" s="110"/>
      <c r="X601" s="110"/>
      <c r="Y601" s="110"/>
      <c r="Z601" s="228"/>
    </row>
    <row r="602" spans="3:40" x14ac:dyDescent="0.3">
      <c r="C602" s="99"/>
      <c r="F602" s="172"/>
      <c r="H602" s="172"/>
      <c r="I602" s="172"/>
      <c r="J602" s="228"/>
      <c r="K602" s="228"/>
      <c r="L602" s="110"/>
      <c r="M602" s="110"/>
      <c r="N602" s="141"/>
      <c r="O602" s="141"/>
      <c r="P602" s="110"/>
      <c r="Q602" s="110"/>
      <c r="R602" s="110"/>
      <c r="T602" s="99"/>
      <c r="V602" s="110"/>
      <c r="W602" s="110"/>
      <c r="X602" s="110"/>
      <c r="Y602" s="110"/>
      <c r="Z602" s="228"/>
      <c r="AA602" s="110"/>
      <c r="AB602" s="110"/>
      <c r="AC602" s="141"/>
      <c r="AD602" s="141"/>
      <c r="AE602" s="110"/>
      <c r="AF602" s="110"/>
      <c r="AH602" s="207"/>
      <c r="AI602" s="110"/>
      <c r="AJ602" s="110"/>
      <c r="AL602" s="110"/>
      <c r="AM602" s="141"/>
      <c r="AN602" s="141"/>
    </row>
    <row r="603" spans="3:40" x14ac:dyDescent="0.3">
      <c r="C603" s="99"/>
      <c r="J603" s="163"/>
      <c r="K603" s="163"/>
      <c r="T603" s="99"/>
      <c r="V603" s="110"/>
      <c r="W603" s="110"/>
      <c r="X603" s="110"/>
      <c r="Y603" s="110"/>
      <c r="Z603" s="228"/>
    </row>
    <row r="604" spans="3:40" x14ac:dyDescent="0.3">
      <c r="C604" s="99"/>
      <c r="F604" s="172"/>
      <c r="H604" s="172"/>
      <c r="I604" s="172"/>
      <c r="J604" s="228"/>
      <c r="K604" s="228"/>
      <c r="L604" s="110"/>
      <c r="M604" s="110"/>
      <c r="N604" s="141"/>
      <c r="O604" s="141"/>
      <c r="P604" s="110"/>
      <c r="Q604" s="110"/>
      <c r="R604" s="110"/>
      <c r="T604" s="99"/>
      <c r="V604" s="110"/>
      <c r="W604" s="110"/>
      <c r="X604" s="110"/>
      <c r="Y604" s="110"/>
      <c r="Z604" s="228"/>
      <c r="AA604" s="110"/>
      <c r="AB604" s="110"/>
      <c r="AC604" s="141"/>
      <c r="AD604" s="141"/>
      <c r="AE604" s="110"/>
      <c r="AF604" s="110"/>
      <c r="AH604" s="207"/>
      <c r="AI604" s="110"/>
      <c r="AJ604" s="110"/>
      <c r="AL604" s="110"/>
      <c r="AM604" s="141"/>
      <c r="AN604" s="141"/>
    </row>
    <row r="605" spans="3:40" x14ac:dyDescent="0.3">
      <c r="F605" s="192"/>
      <c r="H605" s="192"/>
      <c r="I605" s="192"/>
      <c r="J605" s="228"/>
      <c r="K605" s="228"/>
      <c r="L605" s="192"/>
      <c r="M605" s="192"/>
      <c r="N605" s="192"/>
      <c r="O605" s="192"/>
      <c r="P605" s="192"/>
      <c r="Q605" s="192"/>
      <c r="R605" s="192"/>
      <c r="V605" s="192"/>
      <c r="Y605" s="192"/>
      <c r="Z605" s="228"/>
      <c r="AA605" s="192"/>
      <c r="AB605" s="192"/>
      <c r="AC605" s="192"/>
      <c r="AD605" s="192"/>
      <c r="AE605" s="192"/>
      <c r="AF605" s="192"/>
      <c r="AI605" s="192"/>
      <c r="AJ605" s="192"/>
      <c r="AK605" s="194"/>
      <c r="AL605" s="192"/>
      <c r="AM605" s="141"/>
      <c r="AN605" s="141"/>
    </row>
    <row r="606" spans="3:40" x14ac:dyDescent="0.3">
      <c r="C606" s="99"/>
      <c r="F606" s="110"/>
      <c r="H606" s="110"/>
      <c r="I606" s="110"/>
      <c r="J606" s="163"/>
      <c r="K606" s="163"/>
      <c r="L606" s="110"/>
      <c r="M606" s="110"/>
      <c r="N606" s="141"/>
      <c r="O606" s="141"/>
      <c r="P606" s="172"/>
      <c r="Q606" s="172"/>
      <c r="R606" s="110"/>
      <c r="T606" s="99"/>
      <c r="V606" s="110"/>
      <c r="W606" s="110"/>
      <c r="X606" s="110"/>
      <c r="Y606" s="110"/>
      <c r="Z606" s="228"/>
      <c r="AA606" s="110"/>
      <c r="AB606" s="110"/>
      <c r="AC606" s="141"/>
      <c r="AD606" s="141"/>
      <c r="AE606" s="110"/>
      <c r="AF606" s="110"/>
      <c r="AH606" s="207"/>
      <c r="AI606" s="172"/>
      <c r="AJ606" s="172"/>
      <c r="AL606" s="110"/>
      <c r="AM606" s="141"/>
      <c r="AN606" s="141"/>
    </row>
    <row r="607" spans="3:40" x14ac:dyDescent="0.3">
      <c r="F607" s="192"/>
      <c r="H607" s="192"/>
      <c r="I607" s="192"/>
      <c r="J607" s="228"/>
      <c r="K607" s="228"/>
      <c r="L607" s="192"/>
      <c r="M607" s="192"/>
      <c r="N607" s="192"/>
      <c r="O607" s="192"/>
      <c r="P607" s="192"/>
      <c r="Q607" s="192"/>
      <c r="R607" s="192"/>
      <c r="V607" s="192"/>
      <c r="Y607" s="192"/>
      <c r="Z607" s="228"/>
      <c r="AA607" s="192"/>
      <c r="AB607" s="192"/>
      <c r="AC607" s="192"/>
      <c r="AD607" s="192"/>
      <c r="AE607" s="192"/>
      <c r="AF607" s="192"/>
      <c r="AI607" s="192"/>
      <c r="AJ607" s="192"/>
      <c r="AK607" s="194"/>
      <c r="AL607" s="192"/>
    </row>
    <row r="608" spans="3:40" x14ac:dyDescent="0.3">
      <c r="C608" s="99"/>
      <c r="D608" s="99"/>
      <c r="E608" s="99"/>
      <c r="J608" s="163"/>
      <c r="K608" s="163"/>
      <c r="T608" s="99"/>
      <c r="U608" s="99"/>
      <c r="V608" s="110"/>
      <c r="W608" s="110"/>
      <c r="X608" s="110"/>
      <c r="Y608" s="110"/>
      <c r="Z608" s="228"/>
    </row>
    <row r="609" spans="3:40" x14ac:dyDescent="0.3">
      <c r="C609" s="99"/>
      <c r="J609" s="163"/>
      <c r="K609" s="163"/>
      <c r="T609" s="99"/>
      <c r="V609" s="110"/>
      <c r="W609" s="110"/>
      <c r="X609" s="110"/>
      <c r="Y609" s="110"/>
      <c r="Z609" s="228"/>
    </row>
    <row r="610" spans="3:40" x14ac:dyDescent="0.3">
      <c r="C610" s="99"/>
      <c r="J610" s="163"/>
      <c r="K610" s="163"/>
      <c r="T610" s="99"/>
      <c r="V610" s="110"/>
      <c r="W610" s="110"/>
      <c r="X610" s="110"/>
      <c r="Y610" s="110"/>
      <c r="Z610" s="228"/>
    </row>
    <row r="611" spans="3:40" x14ac:dyDescent="0.3">
      <c r="C611" s="99"/>
      <c r="F611" s="172"/>
      <c r="H611" s="172"/>
      <c r="I611" s="172"/>
      <c r="J611" s="228"/>
      <c r="K611" s="228"/>
      <c r="L611" s="110"/>
      <c r="M611" s="110"/>
      <c r="N611" s="141"/>
      <c r="O611" s="141"/>
      <c r="P611" s="110"/>
      <c r="Q611" s="110"/>
      <c r="R611" s="110"/>
      <c r="T611" s="99"/>
      <c r="V611" s="110"/>
      <c r="W611" s="110"/>
      <c r="X611" s="110"/>
      <c r="Y611" s="110"/>
      <c r="Z611" s="228"/>
      <c r="AA611" s="110"/>
      <c r="AB611" s="110"/>
      <c r="AC611" s="141"/>
      <c r="AD611" s="141"/>
      <c r="AE611" s="110"/>
      <c r="AF611" s="110"/>
      <c r="AH611" s="207"/>
      <c r="AI611" s="110"/>
      <c r="AJ611" s="110"/>
      <c r="AL611" s="110"/>
      <c r="AM611" s="141"/>
      <c r="AN611" s="141"/>
    </row>
    <row r="612" spans="3:40" x14ac:dyDescent="0.3">
      <c r="C612" s="99"/>
      <c r="J612" s="163"/>
      <c r="K612" s="163"/>
      <c r="T612" s="99"/>
      <c r="V612" s="110"/>
      <c r="W612" s="110"/>
      <c r="X612" s="110"/>
      <c r="Y612" s="110"/>
      <c r="Z612" s="228"/>
    </row>
    <row r="613" spans="3:40" x14ac:dyDescent="0.3">
      <c r="C613" s="99"/>
      <c r="F613" s="172"/>
      <c r="H613" s="172"/>
      <c r="I613" s="172"/>
      <c r="J613" s="228"/>
      <c r="K613" s="228"/>
      <c r="L613" s="110"/>
      <c r="M613" s="110"/>
      <c r="N613" s="141"/>
      <c r="O613" s="141"/>
      <c r="P613" s="110"/>
      <c r="Q613" s="110"/>
      <c r="R613" s="110"/>
      <c r="T613" s="99"/>
      <c r="V613" s="110"/>
      <c r="W613" s="110"/>
      <c r="X613" s="110"/>
      <c r="Y613" s="110"/>
      <c r="Z613" s="228"/>
      <c r="AA613" s="110"/>
      <c r="AB613" s="110"/>
      <c r="AC613" s="141"/>
      <c r="AD613" s="141"/>
      <c r="AE613" s="110"/>
      <c r="AF613" s="110"/>
      <c r="AH613" s="207"/>
      <c r="AI613" s="110"/>
      <c r="AJ613" s="110"/>
      <c r="AL613" s="110"/>
      <c r="AM613" s="141"/>
      <c r="AN613" s="141"/>
    </row>
    <row r="614" spans="3:40" x14ac:dyDescent="0.3">
      <c r="F614" s="192"/>
      <c r="H614" s="192"/>
      <c r="I614" s="192"/>
      <c r="J614" s="228"/>
      <c r="K614" s="228"/>
      <c r="L614" s="192"/>
      <c r="M614" s="192"/>
      <c r="N614" s="192"/>
      <c r="O614" s="192"/>
      <c r="P614" s="192"/>
      <c r="Q614" s="192"/>
      <c r="R614" s="192"/>
      <c r="V614" s="192"/>
      <c r="Y614" s="192"/>
      <c r="Z614" s="217"/>
      <c r="AA614" s="192"/>
      <c r="AB614" s="192"/>
      <c r="AC614" s="192"/>
      <c r="AD614" s="192"/>
      <c r="AE614" s="192"/>
      <c r="AF614" s="192"/>
      <c r="AI614" s="192"/>
      <c r="AJ614" s="192"/>
      <c r="AK614" s="194"/>
      <c r="AL614" s="192"/>
    </row>
    <row r="615" spans="3:40" x14ac:dyDescent="0.3">
      <c r="C615" s="99"/>
      <c r="F615" s="110"/>
      <c r="H615" s="110"/>
      <c r="I615" s="110"/>
      <c r="L615" s="110"/>
      <c r="M615" s="110"/>
      <c r="N615" s="141"/>
      <c r="O615" s="141"/>
      <c r="P615" s="172"/>
      <c r="Q615" s="172"/>
      <c r="R615" s="110"/>
      <c r="T615" s="99"/>
      <c r="V615" s="110"/>
      <c r="W615" s="110"/>
      <c r="X615" s="110"/>
      <c r="Y615" s="110"/>
      <c r="Z615" s="227"/>
      <c r="AA615" s="110"/>
      <c r="AB615" s="110"/>
      <c r="AC615" s="141"/>
      <c r="AD615" s="141"/>
      <c r="AE615" s="110"/>
      <c r="AF615" s="110"/>
      <c r="AH615" s="207"/>
      <c r="AI615" s="172"/>
      <c r="AJ615" s="172"/>
      <c r="AL615" s="110"/>
      <c r="AM615" s="141"/>
      <c r="AN615" s="141"/>
    </row>
    <row r="616" spans="3:40" x14ac:dyDescent="0.3">
      <c r="F616" s="192"/>
      <c r="H616" s="192"/>
      <c r="I616" s="192"/>
      <c r="J616" s="217"/>
      <c r="K616" s="217"/>
      <c r="L616" s="192"/>
      <c r="M616" s="192"/>
      <c r="N616" s="192"/>
      <c r="O616" s="192"/>
      <c r="P616" s="192"/>
      <c r="Q616" s="192"/>
      <c r="R616" s="192"/>
      <c r="V616" s="192"/>
      <c r="Y616" s="192"/>
      <c r="Z616" s="217"/>
      <c r="AA616" s="192"/>
      <c r="AB616" s="192"/>
      <c r="AC616" s="192"/>
      <c r="AD616" s="192"/>
      <c r="AE616" s="192"/>
      <c r="AF616" s="192"/>
      <c r="AI616" s="192"/>
      <c r="AJ616" s="192"/>
      <c r="AK616" s="194"/>
      <c r="AL616" s="192"/>
    </row>
    <row r="617" spans="3:40" x14ac:dyDescent="0.3">
      <c r="C617" s="99"/>
      <c r="D617" s="99"/>
      <c r="E617" s="99"/>
      <c r="T617" s="99"/>
      <c r="U617" s="99"/>
      <c r="V617" s="110"/>
      <c r="W617" s="110"/>
      <c r="X617" s="110"/>
      <c r="Y617" s="110"/>
      <c r="Z617" s="227"/>
    </row>
    <row r="618" spans="3:40" x14ac:dyDescent="0.3">
      <c r="C618" s="99"/>
      <c r="T618" s="99"/>
      <c r="V618" s="110"/>
      <c r="W618" s="110"/>
      <c r="X618" s="110"/>
      <c r="Y618" s="110"/>
      <c r="Z618" s="227"/>
    </row>
    <row r="619" spans="3:40" x14ac:dyDescent="0.3">
      <c r="C619" s="99"/>
      <c r="F619" s="172"/>
      <c r="H619" s="172"/>
      <c r="I619" s="172"/>
      <c r="J619" s="227"/>
      <c r="K619" s="227"/>
      <c r="L619" s="110"/>
      <c r="M619" s="110"/>
      <c r="N619" s="141"/>
      <c r="O619" s="141"/>
      <c r="P619" s="110"/>
      <c r="Q619" s="110"/>
      <c r="R619" s="110"/>
      <c r="T619" s="99"/>
      <c r="V619" s="110"/>
      <c r="W619" s="110"/>
      <c r="X619" s="110"/>
      <c r="Y619" s="110"/>
      <c r="Z619" s="227"/>
      <c r="AA619" s="110"/>
      <c r="AB619" s="110"/>
      <c r="AC619" s="141"/>
      <c r="AD619" s="141"/>
      <c r="AE619" s="110"/>
      <c r="AF619" s="110"/>
      <c r="AH619" s="207"/>
      <c r="AI619" s="110"/>
      <c r="AJ619" s="110"/>
      <c r="AL619" s="110"/>
      <c r="AM619" s="141"/>
      <c r="AN619" s="141"/>
    </row>
    <row r="620" spans="3:40" x14ac:dyDescent="0.3">
      <c r="C620" s="99"/>
      <c r="T620" s="99"/>
      <c r="V620" s="110"/>
      <c r="W620" s="110"/>
      <c r="X620" s="110"/>
      <c r="Y620" s="110"/>
      <c r="Z620" s="227"/>
    </row>
    <row r="621" spans="3:40" x14ac:dyDescent="0.3">
      <c r="C621" s="99"/>
      <c r="F621" s="172"/>
      <c r="H621" s="172"/>
      <c r="I621" s="172"/>
      <c r="J621" s="227"/>
      <c r="K621" s="227"/>
      <c r="L621" s="110"/>
      <c r="M621" s="110"/>
      <c r="N621" s="141"/>
      <c r="O621" s="141"/>
      <c r="P621" s="110"/>
      <c r="Q621" s="110"/>
      <c r="R621" s="110"/>
      <c r="T621" s="99"/>
      <c r="V621" s="110"/>
      <c r="W621" s="110"/>
      <c r="X621" s="110"/>
      <c r="Y621" s="110"/>
      <c r="Z621" s="227"/>
      <c r="AA621" s="110"/>
      <c r="AB621" s="110"/>
      <c r="AC621" s="141"/>
      <c r="AD621" s="141"/>
      <c r="AE621" s="110"/>
      <c r="AF621" s="110"/>
      <c r="AH621" s="207"/>
      <c r="AI621" s="110"/>
      <c r="AJ621" s="110"/>
      <c r="AL621" s="110"/>
      <c r="AM621" s="141"/>
      <c r="AN621" s="141"/>
    </row>
    <row r="622" spans="3:40" x14ac:dyDescent="0.3">
      <c r="C622" s="99"/>
      <c r="T622" s="99"/>
      <c r="V622" s="110"/>
      <c r="W622" s="110"/>
      <c r="X622" s="110"/>
      <c r="Y622" s="110"/>
      <c r="Z622" s="227"/>
    </row>
    <row r="623" spans="3:40" x14ac:dyDescent="0.3">
      <c r="C623" s="99"/>
      <c r="F623" s="172"/>
      <c r="H623" s="172"/>
      <c r="I623" s="172"/>
      <c r="J623" s="227"/>
      <c r="K623" s="227"/>
      <c r="L623" s="110"/>
      <c r="M623" s="110"/>
      <c r="N623" s="141"/>
      <c r="O623" s="141"/>
      <c r="P623" s="110"/>
      <c r="Q623" s="110"/>
      <c r="R623" s="110"/>
      <c r="T623" s="99"/>
      <c r="V623" s="110"/>
      <c r="W623" s="110"/>
      <c r="X623" s="110"/>
      <c r="Y623" s="110"/>
      <c r="Z623" s="227"/>
      <c r="AA623" s="110"/>
      <c r="AB623" s="110"/>
      <c r="AC623" s="141"/>
      <c r="AD623" s="141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C624" s="99"/>
      <c r="T624" s="99"/>
      <c r="V624" s="110"/>
      <c r="W624" s="110"/>
      <c r="X624" s="110"/>
      <c r="Y624" s="110"/>
      <c r="Z624" s="227"/>
    </row>
    <row r="625" spans="1:40" x14ac:dyDescent="0.3">
      <c r="C625" s="99"/>
      <c r="F625" s="172"/>
      <c r="H625" s="172"/>
      <c r="I625" s="172"/>
      <c r="J625" s="227"/>
      <c r="K625" s="227"/>
      <c r="L625" s="110"/>
      <c r="M625" s="110"/>
      <c r="N625" s="141"/>
      <c r="O625" s="141"/>
      <c r="P625" s="110"/>
      <c r="Q625" s="110"/>
      <c r="R625" s="110"/>
      <c r="T625" s="99"/>
      <c r="V625" s="110"/>
      <c r="W625" s="110"/>
      <c r="X625" s="110"/>
      <c r="Y625" s="110"/>
      <c r="Z625" s="227"/>
      <c r="AA625" s="110"/>
      <c r="AB625" s="110"/>
      <c r="AC625" s="141"/>
      <c r="AD625" s="141"/>
      <c r="AE625" s="110"/>
      <c r="AF625" s="110"/>
      <c r="AH625" s="207"/>
      <c r="AI625" s="110"/>
      <c r="AJ625" s="110"/>
      <c r="AL625" s="110"/>
      <c r="AM625" s="141"/>
      <c r="AN625" s="141"/>
    </row>
    <row r="626" spans="1:40" x14ac:dyDescent="0.3">
      <c r="F626" s="192"/>
      <c r="H626" s="192"/>
      <c r="I626" s="192"/>
      <c r="J626" s="217"/>
      <c r="K626" s="217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</row>
    <row r="627" spans="1:40" x14ac:dyDescent="0.3">
      <c r="C627" s="99"/>
      <c r="F627" s="110"/>
      <c r="H627" s="110"/>
      <c r="I627" s="110"/>
      <c r="L627" s="110"/>
      <c r="M627" s="110"/>
      <c r="N627" s="141"/>
      <c r="O627" s="141"/>
      <c r="P627" s="172"/>
      <c r="Q627" s="172"/>
      <c r="R627" s="110"/>
      <c r="T627" s="99"/>
      <c r="V627" s="110"/>
      <c r="W627" s="110"/>
      <c r="X627" s="110"/>
      <c r="Y627" s="110"/>
      <c r="Z627" s="227"/>
      <c r="AA627" s="110"/>
      <c r="AB627" s="110"/>
      <c r="AC627" s="141"/>
      <c r="AD627" s="141"/>
      <c r="AE627" s="110"/>
      <c r="AF627" s="110"/>
      <c r="AH627" s="207"/>
      <c r="AI627" s="172"/>
      <c r="AJ627" s="172"/>
      <c r="AL627" s="110"/>
      <c r="AM627" s="141"/>
      <c r="AN627" s="141"/>
    </row>
    <row r="628" spans="1:40" x14ac:dyDescent="0.3">
      <c r="F628" s="192"/>
      <c r="H628" s="192"/>
      <c r="I628" s="192"/>
      <c r="J628" s="217"/>
      <c r="K628" s="217"/>
      <c r="L628" s="192"/>
      <c r="M628" s="192"/>
      <c r="N628" s="192"/>
      <c r="O628" s="192"/>
      <c r="P628" s="192"/>
      <c r="Q628" s="192"/>
      <c r="R628" s="192"/>
      <c r="V628" s="192"/>
      <c r="Y628" s="192"/>
      <c r="Z628" s="217"/>
      <c r="AA628" s="192"/>
      <c r="AB628" s="192"/>
      <c r="AC628" s="192"/>
      <c r="AD628" s="192"/>
      <c r="AE628" s="192"/>
      <c r="AF628" s="192"/>
      <c r="AI628" s="192"/>
      <c r="AJ628" s="192"/>
      <c r="AK628" s="194"/>
      <c r="AL628" s="192"/>
    </row>
    <row r="629" spans="1:40" x14ac:dyDescent="0.3">
      <c r="C629" s="99"/>
      <c r="F629" s="110"/>
      <c r="H629" s="110"/>
      <c r="I629" s="110"/>
      <c r="L629" s="110"/>
      <c r="M629" s="110"/>
      <c r="N629" s="141"/>
      <c r="O629" s="141"/>
      <c r="P629" s="110"/>
      <c r="Q629" s="110"/>
      <c r="R629" s="110"/>
      <c r="T629" s="99"/>
      <c r="V629" s="110"/>
      <c r="W629" s="110"/>
      <c r="X629" s="110"/>
      <c r="Y629" s="110"/>
      <c r="AA629" s="110"/>
      <c r="AB629" s="110"/>
      <c r="AC629" s="141"/>
      <c r="AD629" s="141"/>
      <c r="AE629" s="110"/>
      <c r="AF629" s="110"/>
      <c r="AH629" s="207"/>
      <c r="AI629" s="110"/>
      <c r="AJ629" s="110"/>
      <c r="AL629" s="110"/>
      <c r="AM629" s="207"/>
      <c r="AN629" s="207"/>
    </row>
    <row r="630" spans="1:40" x14ac:dyDescent="0.3">
      <c r="F630" s="192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Y630" s="192"/>
      <c r="Z630" s="217"/>
      <c r="AA630" s="192"/>
      <c r="AB630" s="192"/>
      <c r="AC630" s="192"/>
      <c r="AD630" s="192"/>
      <c r="AE630" s="192"/>
      <c r="AF630" s="192"/>
      <c r="AI630" s="192"/>
      <c r="AJ630" s="192"/>
      <c r="AK630" s="194"/>
      <c r="AL630" s="192"/>
    </row>
    <row r="633" spans="1:40" x14ac:dyDescent="0.3">
      <c r="A633" s="99"/>
    </row>
    <row r="635" spans="1:40" x14ac:dyDescent="0.3">
      <c r="H635" s="99"/>
      <c r="I635" s="99"/>
      <c r="Y635" s="99"/>
    </row>
    <row r="637" spans="1:40" x14ac:dyDescent="0.3">
      <c r="L637" s="99"/>
      <c r="M637" s="99"/>
      <c r="AA637" s="99"/>
      <c r="AB637" s="99"/>
    </row>
    <row r="638" spans="1:40" x14ac:dyDescent="0.3">
      <c r="R638" s="99"/>
      <c r="AK638" s="190"/>
      <c r="AL638" s="99"/>
    </row>
    <row r="639" spans="1:40" x14ac:dyDescent="0.3">
      <c r="R639" s="99"/>
      <c r="AK639" s="190"/>
      <c r="AL639" s="99"/>
    </row>
    <row r="640" spans="1:40" x14ac:dyDescent="0.3">
      <c r="A640" s="99"/>
      <c r="R640" s="99"/>
      <c r="AK640" s="190"/>
      <c r="AL640" s="99"/>
    </row>
    <row r="641" spans="1:40" x14ac:dyDescent="0.3">
      <c r="L641" s="99"/>
      <c r="M641" s="99"/>
      <c r="AA641" s="99"/>
      <c r="AB641" s="99"/>
    </row>
    <row r="642" spans="1:40" x14ac:dyDescent="0.3">
      <c r="A642" s="101"/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T642" s="101"/>
      <c r="U642" s="101"/>
      <c r="V642" s="101"/>
      <c r="W642" s="101"/>
      <c r="X642" s="101"/>
      <c r="Y642" s="101"/>
      <c r="Z642" s="101"/>
      <c r="AA642" s="101"/>
      <c r="AB642" s="101"/>
      <c r="AC642" s="101"/>
      <c r="AD642" s="101"/>
      <c r="AE642" s="101"/>
      <c r="AF642" s="101"/>
      <c r="AG642" s="191"/>
      <c r="AH642" s="101"/>
      <c r="AI642" s="101"/>
      <c r="AJ642" s="101"/>
      <c r="AK642" s="191"/>
      <c r="AL642" s="101"/>
      <c r="AM642" s="101"/>
      <c r="AN642" s="101"/>
    </row>
    <row r="643" spans="1:40" x14ac:dyDescent="0.3">
      <c r="L643" s="102"/>
      <c r="M643" s="102"/>
      <c r="N643" s="102"/>
      <c r="O643" s="102"/>
      <c r="R643" s="102"/>
      <c r="AA643" s="102"/>
      <c r="AB643" s="102"/>
      <c r="AC643" s="102"/>
      <c r="AD643" s="102"/>
      <c r="AE643" s="102"/>
      <c r="AF643" s="102"/>
      <c r="AG643" s="151"/>
      <c r="AH643" s="102"/>
      <c r="AK643" s="151"/>
      <c r="AL643" s="102"/>
      <c r="AM643" s="102"/>
      <c r="AN643" s="102"/>
    </row>
    <row r="644" spans="1:40" x14ac:dyDescent="0.3">
      <c r="L644" s="102"/>
      <c r="M644" s="102"/>
      <c r="N644" s="102"/>
      <c r="O644" s="102"/>
      <c r="R644" s="102"/>
      <c r="Z644" s="102"/>
      <c r="AA644" s="102"/>
      <c r="AB644" s="102"/>
      <c r="AC644" s="102"/>
      <c r="AD644" s="102"/>
      <c r="AE644" s="102"/>
      <c r="AF644" s="102"/>
      <c r="AG644" s="151"/>
      <c r="AH644" s="102"/>
      <c r="AK644" s="151"/>
      <c r="AL644" s="102"/>
      <c r="AM644" s="102"/>
      <c r="AN644" s="102"/>
    </row>
    <row r="645" spans="1:40" x14ac:dyDescent="0.3">
      <c r="A645" s="102"/>
      <c r="C645" s="102"/>
      <c r="D645" s="102"/>
      <c r="E645" s="102"/>
      <c r="F645" s="102"/>
      <c r="J645" s="102"/>
      <c r="K645" s="102"/>
      <c r="L645" s="102"/>
      <c r="M645" s="102"/>
      <c r="N645" s="102"/>
      <c r="O645" s="102"/>
      <c r="P645" s="102"/>
      <c r="Q645" s="102"/>
      <c r="R645" s="102"/>
      <c r="T645" s="102"/>
      <c r="U645" s="102"/>
      <c r="V645" s="102"/>
      <c r="Z645" s="102"/>
      <c r="AA645" s="102"/>
      <c r="AB645" s="102"/>
      <c r="AC645" s="102"/>
      <c r="AD645" s="102"/>
      <c r="AE645" s="102"/>
      <c r="AF645" s="102"/>
      <c r="AG645" s="151"/>
      <c r="AH645" s="102"/>
      <c r="AI645" s="102"/>
      <c r="AJ645" s="102"/>
      <c r="AK645" s="151"/>
      <c r="AL645" s="102"/>
      <c r="AM645" s="102"/>
      <c r="AN645" s="102"/>
    </row>
    <row r="646" spans="1:40" x14ac:dyDescent="0.3">
      <c r="A646" s="102"/>
      <c r="C646" s="102"/>
      <c r="D646" s="102"/>
      <c r="E646" s="102"/>
      <c r="F646" s="102"/>
      <c r="H646" s="102"/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T646" s="102"/>
      <c r="U646" s="102"/>
      <c r="V646" s="102"/>
      <c r="Y646" s="102"/>
      <c r="Z646" s="102"/>
      <c r="AA646" s="102"/>
      <c r="AB646" s="102"/>
      <c r="AC646" s="102"/>
      <c r="AD646" s="102"/>
      <c r="AE646" s="102"/>
      <c r="AF646" s="102"/>
      <c r="AG646" s="151"/>
      <c r="AH646" s="102"/>
      <c r="AI646" s="102"/>
      <c r="AJ646" s="102"/>
      <c r="AK646" s="151"/>
      <c r="AL646" s="102"/>
      <c r="AM646" s="102"/>
      <c r="AN646" s="102"/>
    </row>
    <row r="647" spans="1:40" x14ac:dyDescent="0.3">
      <c r="C647" s="102"/>
      <c r="D647" s="102"/>
      <c r="E647" s="102"/>
      <c r="F647" s="102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T647" s="102"/>
      <c r="U647" s="102"/>
      <c r="V647" s="102"/>
      <c r="Y647" s="102"/>
      <c r="Z647" s="102"/>
      <c r="AA647" s="102"/>
      <c r="AB647" s="102"/>
      <c r="AC647" s="102"/>
      <c r="AD647" s="102"/>
      <c r="AE647" s="102"/>
      <c r="AF647" s="102"/>
      <c r="AG647" s="151"/>
      <c r="AH647" s="102"/>
      <c r="AI647" s="102"/>
      <c r="AJ647" s="102"/>
      <c r="AK647" s="151"/>
      <c r="AL647" s="102"/>
      <c r="AM647" s="102"/>
      <c r="AN647" s="102"/>
    </row>
    <row r="648" spans="1:40" x14ac:dyDescent="0.3">
      <c r="A648" s="101"/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T648" s="101"/>
      <c r="U648" s="101"/>
      <c r="V648" s="101"/>
      <c r="W648" s="101"/>
      <c r="X648" s="101"/>
      <c r="Y648" s="101"/>
      <c r="Z648" s="101"/>
      <c r="AA648" s="101"/>
      <c r="AB648" s="101"/>
      <c r="AC648" s="101"/>
      <c r="AD648" s="101"/>
      <c r="AE648" s="101"/>
      <c r="AF648" s="101"/>
      <c r="AG648" s="191"/>
      <c r="AH648" s="101"/>
      <c r="AI648" s="101"/>
      <c r="AJ648" s="101"/>
      <c r="AK648" s="191"/>
      <c r="AL648" s="101"/>
      <c r="AM648" s="101"/>
      <c r="AN648" s="101"/>
    </row>
    <row r="649" spans="1:40" x14ac:dyDescent="0.3">
      <c r="H649" s="102"/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Y649" s="102"/>
      <c r="Z649" s="102"/>
      <c r="AA649" s="102"/>
      <c r="AB649" s="102"/>
      <c r="AC649" s="102"/>
      <c r="AD649" s="102"/>
      <c r="AE649" s="102"/>
      <c r="AF649" s="102"/>
      <c r="AG649" s="151"/>
      <c r="AH649" s="102"/>
      <c r="AI649" s="102"/>
      <c r="AJ649" s="102"/>
      <c r="AK649" s="151"/>
      <c r="AL649" s="102"/>
      <c r="AM649" s="102"/>
      <c r="AN649" s="102"/>
    </row>
    <row r="650" spans="1:40" x14ac:dyDescent="0.3">
      <c r="C650" s="99"/>
      <c r="D650" s="99"/>
      <c r="E650" s="99"/>
      <c r="F650" s="110"/>
      <c r="H650" s="110"/>
      <c r="I650" s="110"/>
      <c r="J650" s="198"/>
      <c r="K650" s="198"/>
      <c r="L650" s="110"/>
      <c r="M650" s="110"/>
      <c r="N650" s="198"/>
      <c r="O650" s="198"/>
      <c r="P650" s="110"/>
      <c r="Q650" s="110"/>
      <c r="R650" s="110"/>
      <c r="T650" s="99"/>
      <c r="U650" s="99"/>
      <c r="V650" s="110"/>
      <c r="Y650" s="110"/>
      <c r="Z650" s="198"/>
      <c r="AA650" s="110"/>
      <c r="AB650" s="110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1:40" x14ac:dyDescent="0.3">
      <c r="F651" s="192"/>
      <c r="H651" s="192"/>
      <c r="I651" s="192"/>
      <c r="J651" s="217"/>
      <c r="K651" s="217"/>
      <c r="L651" s="192"/>
      <c r="M651" s="192"/>
      <c r="N651" s="192"/>
      <c r="O651" s="192"/>
      <c r="P651" s="192"/>
      <c r="Q651" s="192"/>
      <c r="R651" s="192"/>
      <c r="V651" s="192"/>
      <c r="Y651" s="192"/>
      <c r="Z651" s="217"/>
      <c r="AA651" s="192"/>
      <c r="AB651" s="192"/>
      <c r="AC651" s="192"/>
      <c r="AD651" s="192"/>
      <c r="AE651" s="192"/>
      <c r="AF651" s="192"/>
      <c r="AI651" s="192"/>
      <c r="AJ651" s="192"/>
      <c r="AK651" s="194"/>
      <c r="AL651" s="192"/>
      <c r="AM651" s="141"/>
      <c r="AN651" s="141"/>
    </row>
    <row r="652" spans="1:40" x14ac:dyDescent="0.3">
      <c r="C652" s="99"/>
      <c r="F652" s="110"/>
      <c r="H652" s="110"/>
      <c r="I652" s="110"/>
      <c r="J652" s="198"/>
      <c r="K652" s="198"/>
      <c r="L652" s="110"/>
      <c r="M652" s="110"/>
      <c r="N652" s="198"/>
      <c r="O652" s="198"/>
      <c r="P652" s="110"/>
      <c r="Q652" s="110"/>
      <c r="R652" s="110"/>
      <c r="T652" s="99"/>
      <c r="V652" s="110"/>
      <c r="Y652" s="110"/>
      <c r="Z652" s="198"/>
      <c r="AA652" s="110"/>
      <c r="AB652" s="110"/>
      <c r="AC652" s="198"/>
      <c r="AD652" s="198"/>
      <c r="AE652" s="110"/>
      <c r="AF652" s="110"/>
      <c r="AH652" s="207"/>
      <c r="AI652" s="110"/>
      <c r="AJ652" s="110"/>
      <c r="AL652" s="110"/>
      <c r="AM652" s="141"/>
      <c r="AN652" s="141"/>
    </row>
    <row r="653" spans="1:40" x14ac:dyDescent="0.3">
      <c r="F653" s="110"/>
      <c r="H653" s="110"/>
      <c r="I653" s="110"/>
      <c r="J653" s="198"/>
      <c r="K653" s="198"/>
      <c r="L653" s="110"/>
      <c r="M653" s="110"/>
      <c r="N653" s="198"/>
      <c r="O653" s="198"/>
      <c r="P653" s="110"/>
      <c r="Q653" s="110"/>
      <c r="R653" s="110"/>
      <c r="V653" s="110"/>
      <c r="Y653" s="110"/>
      <c r="Z653" s="198"/>
      <c r="AA653" s="110"/>
      <c r="AB653" s="110"/>
      <c r="AC653" s="198"/>
      <c r="AD653" s="198"/>
      <c r="AH653" s="207"/>
      <c r="AI653" s="110"/>
      <c r="AJ653" s="110"/>
      <c r="AL653" s="110"/>
      <c r="AM653" s="141"/>
      <c r="AN653" s="141"/>
    </row>
    <row r="654" spans="1:40" x14ac:dyDescent="0.3">
      <c r="C654" s="99"/>
      <c r="D654" s="99"/>
      <c r="E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U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1:40" x14ac:dyDescent="0.3">
      <c r="C655" s="99"/>
      <c r="D655" s="99"/>
      <c r="E655" s="99"/>
      <c r="F655" s="110"/>
      <c r="H655" s="110"/>
      <c r="I655" s="110"/>
      <c r="J655" s="198"/>
      <c r="K655" s="198"/>
      <c r="L655" s="110"/>
      <c r="M655" s="110"/>
      <c r="N655" s="198"/>
      <c r="O655" s="198"/>
      <c r="P655" s="110"/>
      <c r="Q655" s="110"/>
      <c r="R655" s="110"/>
      <c r="T655" s="99"/>
      <c r="U655" s="99"/>
      <c r="V655" s="110"/>
      <c r="Y655" s="110"/>
      <c r="Z655" s="198"/>
      <c r="AA655" s="110"/>
      <c r="AB655" s="110"/>
      <c r="AC655" s="198"/>
      <c r="AD655" s="198"/>
      <c r="AE655" s="110"/>
      <c r="AF655" s="110"/>
      <c r="AH655" s="207"/>
      <c r="AI655" s="110"/>
      <c r="AJ655" s="110"/>
      <c r="AL655" s="110"/>
      <c r="AM655" s="141"/>
      <c r="AN655" s="141"/>
    </row>
    <row r="656" spans="1:40" x14ac:dyDescent="0.3">
      <c r="C656" s="99"/>
      <c r="D656" s="99"/>
      <c r="E656" s="99"/>
      <c r="F656" s="110"/>
      <c r="H656" s="110"/>
      <c r="I656" s="110"/>
      <c r="J656" s="198"/>
      <c r="K656" s="198"/>
      <c r="L656" s="110"/>
      <c r="M656" s="110"/>
      <c r="N656" s="198"/>
      <c r="O656" s="198"/>
      <c r="P656" s="110"/>
      <c r="Q656" s="110"/>
      <c r="R656" s="110"/>
      <c r="T656" s="99"/>
      <c r="U656" s="99"/>
      <c r="V656" s="110"/>
      <c r="Y656" s="110"/>
      <c r="Z656" s="198"/>
      <c r="AA656" s="110"/>
      <c r="AB656" s="110"/>
      <c r="AC656" s="198"/>
      <c r="AD656" s="198"/>
      <c r="AE656" s="110"/>
      <c r="AF656" s="110"/>
      <c r="AH656" s="207"/>
      <c r="AI656" s="110"/>
      <c r="AJ656" s="110"/>
      <c r="AL656" s="110"/>
      <c r="AM656" s="141"/>
      <c r="AN656" s="141"/>
    </row>
    <row r="657" spans="3:40" x14ac:dyDescent="0.3">
      <c r="C657" s="99"/>
      <c r="D657" s="99"/>
      <c r="E657" s="99"/>
      <c r="F657" s="110"/>
      <c r="H657" s="110"/>
      <c r="I657" s="110"/>
      <c r="J657" s="198"/>
      <c r="K657" s="198"/>
      <c r="L657" s="110"/>
      <c r="M657" s="110"/>
      <c r="N657" s="198"/>
      <c r="O657" s="198"/>
      <c r="P657" s="110"/>
      <c r="Q657" s="110"/>
      <c r="R657" s="110"/>
      <c r="T657" s="99"/>
      <c r="U657" s="99"/>
      <c r="V657" s="110"/>
      <c r="Y657" s="110"/>
      <c r="Z657" s="198"/>
      <c r="AA657" s="110"/>
      <c r="AB657" s="110"/>
      <c r="AC657" s="198"/>
      <c r="AD657" s="198"/>
      <c r="AE657" s="110"/>
      <c r="AF657" s="110"/>
      <c r="AH657" s="207"/>
      <c r="AI657" s="110"/>
      <c r="AJ657" s="110"/>
      <c r="AL657" s="110"/>
      <c r="AM657" s="141"/>
      <c r="AN657" s="141"/>
    </row>
    <row r="658" spans="3:40" x14ac:dyDescent="0.3">
      <c r="C658" s="99"/>
      <c r="D658" s="99"/>
      <c r="E658" s="99"/>
      <c r="F658" s="110"/>
      <c r="H658" s="110"/>
      <c r="I658" s="110"/>
      <c r="J658" s="198"/>
      <c r="K658" s="198"/>
      <c r="L658" s="110"/>
      <c r="M658" s="110"/>
      <c r="N658" s="198"/>
      <c r="O658" s="198"/>
      <c r="P658" s="110"/>
      <c r="Q658" s="110"/>
      <c r="R658" s="110"/>
      <c r="T658" s="99"/>
      <c r="U658" s="99"/>
      <c r="V658" s="110"/>
      <c r="Y658" s="110"/>
      <c r="Z658" s="198"/>
      <c r="AA658" s="110"/>
      <c r="AB658" s="110"/>
      <c r="AC658" s="198"/>
      <c r="AD658" s="198"/>
      <c r="AE658" s="110"/>
      <c r="AF658" s="110"/>
      <c r="AH658" s="207"/>
      <c r="AI658" s="110"/>
      <c r="AJ658" s="110"/>
      <c r="AL658" s="110"/>
      <c r="AM658" s="141"/>
      <c r="AN658" s="141"/>
    </row>
    <row r="659" spans="3:40" x14ac:dyDescent="0.3">
      <c r="C659" s="99"/>
      <c r="D659" s="99"/>
      <c r="E659" s="99"/>
      <c r="F659" s="110"/>
      <c r="H659" s="110"/>
      <c r="I659" s="110"/>
      <c r="J659" s="198"/>
      <c r="K659" s="198"/>
      <c r="L659" s="110"/>
      <c r="M659" s="110"/>
      <c r="N659" s="198"/>
      <c r="O659" s="198"/>
      <c r="P659" s="110"/>
      <c r="Q659" s="110"/>
      <c r="R659" s="110"/>
      <c r="T659" s="99"/>
      <c r="U659" s="99"/>
      <c r="V659" s="110"/>
      <c r="Y659" s="110"/>
      <c r="Z659" s="198"/>
      <c r="AA659" s="110"/>
      <c r="AB659" s="110"/>
      <c r="AC659" s="198"/>
      <c r="AD659" s="198"/>
      <c r="AE659" s="110"/>
      <c r="AF659" s="110"/>
      <c r="AH659" s="207"/>
      <c r="AI659" s="110"/>
      <c r="AJ659" s="110"/>
      <c r="AL659" s="110"/>
      <c r="AM659" s="141"/>
      <c r="AN659" s="141"/>
    </row>
    <row r="660" spans="3:40" x14ac:dyDescent="0.3">
      <c r="F660" s="192"/>
      <c r="H660" s="192"/>
      <c r="I660" s="192"/>
      <c r="J660" s="217"/>
      <c r="K660" s="217"/>
      <c r="L660" s="192"/>
      <c r="M660" s="192"/>
      <c r="N660" s="192"/>
      <c r="O660" s="192"/>
      <c r="P660" s="192"/>
      <c r="Q660" s="192"/>
      <c r="R660" s="192"/>
      <c r="V660" s="192"/>
      <c r="Y660" s="192"/>
      <c r="Z660" s="217"/>
      <c r="AA660" s="192"/>
      <c r="AB660" s="192"/>
      <c r="AC660" s="192"/>
      <c r="AD660" s="192"/>
      <c r="AE660" s="192"/>
      <c r="AF660" s="192"/>
      <c r="AI660" s="192"/>
      <c r="AJ660" s="192"/>
      <c r="AK660" s="194"/>
      <c r="AL660" s="192"/>
      <c r="AM660" s="141"/>
      <c r="AN660" s="141"/>
    </row>
    <row r="661" spans="3:40" x14ac:dyDescent="0.3">
      <c r="C661" s="99"/>
      <c r="F661" s="110"/>
      <c r="H661" s="110"/>
      <c r="I661" s="110"/>
      <c r="J661" s="198"/>
      <c r="K661" s="198"/>
      <c r="L661" s="110"/>
      <c r="M661" s="110"/>
      <c r="N661" s="198"/>
      <c r="O661" s="198"/>
      <c r="P661" s="110"/>
      <c r="Q661" s="110"/>
      <c r="R661" s="110"/>
      <c r="T661" s="99"/>
      <c r="V661" s="110"/>
      <c r="Y661" s="110"/>
      <c r="Z661" s="198"/>
      <c r="AA661" s="110"/>
      <c r="AB661" s="110"/>
      <c r="AC661" s="198"/>
      <c r="AD661" s="198"/>
      <c r="AE661" s="110"/>
      <c r="AF661" s="110"/>
      <c r="AH661" s="207"/>
      <c r="AI661" s="110"/>
      <c r="AJ661" s="110"/>
      <c r="AL661" s="110"/>
      <c r="AM661" s="141"/>
      <c r="AN661" s="141"/>
    </row>
    <row r="662" spans="3:40" x14ac:dyDescent="0.3">
      <c r="F662" s="110"/>
      <c r="H662" s="110"/>
      <c r="I662" s="110"/>
      <c r="J662" s="198"/>
      <c r="K662" s="198"/>
      <c r="L662" s="110"/>
      <c r="M662" s="110"/>
      <c r="N662" s="198"/>
      <c r="O662" s="198"/>
      <c r="P662" s="110"/>
      <c r="Q662" s="110"/>
      <c r="R662" s="110"/>
      <c r="V662" s="110"/>
      <c r="Y662" s="110"/>
      <c r="Z662" s="198"/>
      <c r="AA662" s="110"/>
      <c r="AB662" s="110"/>
      <c r="AC662" s="198"/>
      <c r="AD662" s="198"/>
      <c r="AH662" s="207"/>
      <c r="AI662" s="110"/>
      <c r="AJ662" s="110"/>
      <c r="AL662" s="110"/>
      <c r="AM662" s="141"/>
      <c r="AN662" s="141"/>
    </row>
    <row r="663" spans="3:40" x14ac:dyDescent="0.3">
      <c r="C663" s="99"/>
      <c r="D663" s="99"/>
      <c r="E663" s="99"/>
      <c r="F663" s="110"/>
      <c r="H663" s="110"/>
      <c r="I663" s="110"/>
      <c r="J663" s="198"/>
      <c r="K663" s="198"/>
      <c r="L663" s="110"/>
      <c r="M663" s="110"/>
      <c r="N663" s="198"/>
      <c r="O663" s="198"/>
      <c r="P663" s="110"/>
      <c r="Q663" s="110"/>
      <c r="R663" s="110"/>
      <c r="T663" s="99"/>
      <c r="U663" s="99"/>
      <c r="V663" s="110"/>
      <c r="Y663" s="110"/>
      <c r="Z663" s="198"/>
      <c r="AA663" s="110"/>
      <c r="AB663" s="110"/>
      <c r="AC663" s="198"/>
      <c r="AD663" s="198"/>
      <c r="AE663" s="110"/>
      <c r="AF663" s="110"/>
      <c r="AH663" s="207"/>
      <c r="AI663" s="110"/>
      <c r="AJ663" s="110"/>
      <c r="AL663" s="110"/>
      <c r="AM663" s="141"/>
      <c r="AN663" s="141"/>
    </row>
    <row r="664" spans="3:40" x14ac:dyDescent="0.3">
      <c r="F664" s="192"/>
      <c r="H664" s="192"/>
      <c r="I664" s="192"/>
      <c r="J664" s="217"/>
      <c r="K664" s="217"/>
      <c r="L664" s="192"/>
      <c r="M664" s="192"/>
      <c r="N664" s="192"/>
      <c r="O664" s="192"/>
      <c r="P664" s="192"/>
      <c r="Q664" s="192"/>
      <c r="R664" s="192"/>
      <c r="V664" s="192"/>
      <c r="Y664" s="192"/>
      <c r="Z664" s="217"/>
      <c r="AA664" s="192"/>
      <c r="AB664" s="192"/>
      <c r="AC664" s="192"/>
      <c r="AD664" s="192"/>
      <c r="AE664" s="192"/>
      <c r="AF664" s="192"/>
      <c r="AI664" s="192"/>
      <c r="AJ664" s="192"/>
      <c r="AK664" s="194"/>
      <c r="AL664" s="192"/>
      <c r="AM664" s="141"/>
      <c r="AN664" s="141"/>
    </row>
    <row r="665" spans="3:40" x14ac:dyDescent="0.3">
      <c r="C665" s="99"/>
      <c r="F665" s="110"/>
      <c r="H665" s="110"/>
      <c r="I665" s="110"/>
      <c r="J665" s="198"/>
      <c r="K665" s="198"/>
      <c r="L665" s="110"/>
      <c r="M665" s="110"/>
      <c r="N665" s="198"/>
      <c r="O665" s="198"/>
      <c r="P665" s="110"/>
      <c r="Q665" s="110"/>
      <c r="R665" s="110"/>
      <c r="T665" s="99"/>
      <c r="V665" s="110"/>
      <c r="Y665" s="110"/>
      <c r="Z665" s="198"/>
      <c r="AA665" s="110"/>
      <c r="AB665" s="110"/>
      <c r="AC665" s="198"/>
      <c r="AD665" s="198"/>
      <c r="AE665" s="110"/>
      <c r="AF665" s="110"/>
      <c r="AH665" s="207"/>
      <c r="AI665" s="110"/>
      <c r="AJ665" s="110"/>
      <c r="AL665" s="110"/>
      <c r="AM665" s="141"/>
      <c r="AN665" s="141"/>
    </row>
    <row r="666" spans="3:40" x14ac:dyDescent="0.3">
      <c r="F666" s="110"/>
      <c r="H666" s="110"/>
      <c r="I666" s="110"/>
      <c r="J666" s="198"/>
      <c r="K666" s="198"/>
      <c r="L666" s="110"/>
      <c r="M666" s="110"/>
      <c r="N666" s="198"/>
      <c r="O666" s="198"/>
      <c r="P666" s="110"/>
      <c r="Q666" s="110"/>
      <c r="R666" s="110"/>
      <c r="V666" s="110"/>
      <c r="Y666" s="110"/>
      <c r="Z666" s="198"/>
      <c r="AA666" s="110"/>
      <c r="AB666" s="110"/>
      <c r="AC666" s="198"/>
      <c r="AD666" s="198"/>
      <c r="AH666" s="207"/>
      <c r="AI666" s="110"/>
      <c r="AJ666" s="110"/>
      <c r="AL666" s="110"/>
      <c r="AM666" s="141"/>
      <c r="AN666" s="141"/>
    </row>
    <row r="667" spans="3:40" x14ac:dyDescent="0.3">
      <c r="C667" s="99"/>
      <c r="D667" s="99"/>
      <c r="E667" s="99"/>
      <c r="F667" s="110"/>
      <c r="H667" s="110"/>
      <c r="I667" s="110"/>
      <c r="J667" s="198"/>
      <c r="K667" s="198"/>
      <c r="L667" s="110"/>
      <c r="M667" s="110"/>
      <c r="N667" s="198"/>
      <c r="O667" s="198"/>
      <c r="P667" s="110"/>
      <c r="Q667" s="110"/>
      <c r="R667" s="110"/>
      <c r="T667" s="99"/>
      <c r="U667" s="99"/>
      <c r="V667" s="110"/>
      <c r="Y667" s="110"/>
      <c r="Z667" s="198"/>
      <c r="AA667" s="110"/>
      <c r="AB667" s="110"/>
      <c r="AC667" s="198"/>
      <c r="AD667" s="198"/>
      <c r="AE667" s="110"/>
      <c r="AF667" s="110"/>
      <c r="AH667" s="207"/>
      <c r="AI667" s="110"/>
      <c r="AJ667" s="110"/>
      <c r="AL667" s="110"/>
      <c r="AM667" s="141"/>
      <c r="AN667" s="141"/>
    </row>
    <row r="668" spans="3:40" x14ac:dyDescent="0.3">
      <c r="C668" s="99"/>
      <c r="D668" s="99"/>
      <c r="E668" s="99"/>
      <c r="F668" s="110"/>
      <c r="G668" s="110"/>
      <c r="H668" s="110"/>
      <c r="I668" s="110"/>
      <c r="J668" s="198"/>
      <c r="K668" s="198"/>
      <c r="L668" s="110"/>
      <c r="M668" s="110"/>
      <c r="N668" s="198"/>
      <c r="O668" s="198"/>
      <c r="P668" s="110"/>
      <c r="Q668" s="110"/>
      <c r="R668" s="110"/>
      <c r="T668" s="99"/>
      <c r="U668" s="99"/>
      <c r="V668" s="110"/>
      <c r="W668" s="110"/>
      <c r="X668" s="110"/>
      <c r="Y668" s="110"/>
      <c r="Z668" s="198"/>
      <c r="AA668" s="110"/>
      <c r="AB668" s="110"/>
      <c r="AC668" s="198"/>
      <c r="AD668" s="198"/>
      <c r="AE668" s="110"/>
      <c r="AF668" s="110"/>
      <c r="AH668" s="207"/>
      <c r="AI668" s="110"/>
      <c r="AJ668" s="110"/>
      <c r="AL668" s="110"/>
      <c r="AM668" s="141"/>
      <c r="AN668" s="141"/>
    </row>
    <row r="669" spans="3:40" x14ac:dyDescent="0.3">
      <c r="C669" s="99"/>
      <c r="D669" s="99"/>
      <c r="E669" s="99"/>
      <c r="F669" s="110"/>
      <c r="G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T669" s="99"/>
      <c r="U669" s="99"/>
      <c r="V669" s="110"/>
      <c r="W669" s="110"/>
      <c r="X669" s="110"/>
      <c r="Y669" s="110"/>
      <c r="Z669" s="198"/>
      <c r="AA669" s="110"/>
      <c r="AB669" s="110"/>
      <c r="AC669" s="198"/>
      <c r="AD669" s="198"/>
      <c r="AE669" s="110"/>
      <c r="AF669" s="110"/>
      <c r="AH669" s="207"/>
      <c r="AI669" s="110"/>
      <c r="AJ669" s="110"/>
      <c r="AL669" s="110"/>
      <c r="AM669" s="141"/>
      <c r="AN669" s="141"/>
    </row>
    <row r="670" spans="3:40" x14ac:dyDescent="0.3">
      <c r="C670" s="99"/>
      <c r="D670" s="99"/>
      <c r="E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U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3:40" x14ac:dyDescent="0.3">
      <c r="C671" s="99"/>
      <c r="D671" s="99"/>
      <c r="E671" s="99"/>
      <c r="F671" s="110"/>
      <c r="H671" s="110"/>
      <c r="I671" s="110"/>
      <c r="J671" s="198"/>
      <c r="K671" s="198"/>
      <c r="L671" s="110"/>
      <c r="M671" s="110"/>
      <c r="N671" s="198"/>
      <c r="O671" s="198"/>
      <c r="P671" s="110"/>
      <c r="Q671" s="110"/>
      <c r="R671" s="110"/>
      <c r="T671" s="99"/>
      <c r="U671" s="99"/>
      <c r="V671" s="110"/>
      <c r="Y671" s="110"/>
      <c r="Z671" s="198"/>
      <c r="AA671" s="110"/>
      <c r="AB671" s="110"/>
      <c r="AC671" s="198"/>
      <c r="AD671" s="198"/>
      <c r="AE671" s="110"/>
      <c r="AF671" s="110"/>
      <c r="AH671" s="207"/>
      <c r="AI671" s="110"/>
      <c r="AJ671" s="110"/>
      <c r="AL671" s="110"/>
      <c r="AM671" s="141"/>
      <c r="AN671" s="141"/>
    </row>
    <row r="672" spans="3:40" x14ac:dyDescent="0.3">
      <c r="C672" s="99"/>
      <c r="D672" s="99"/>
      <c r="E672" s="99"/>
      <c r="F672" s="110"/>
      <c r="H672" s="110"/>
      <c r="I672" s="110"/>
      <c r="J672" s="198"/>
      <c r="K672" s="198"/>
      <c r="L672" s="110"/>
      <c r="M672" s="110"/>
      <c r="N672" s="198"/>
      <c r="O672" s="198"/>
      <c r="P672" s="110"/>
      <c r="Q672" s="110"/>
      <c r="R672" s="110"/>
      <c r="T672" s="99"/>
      <c r="U672" s="99"/>
      <c r="V672" s="110"/>
      <c r="Y672" s="110"/>
      <c r="Z672" s="198"/>
      <c r="AA672" s="110"/>
      <c r="AB672" s="110"/>
      <c r="AC672" s="198"/>
      <c r="AD672" s="198"/>
      <c r="AE672" s="110"/>
      <c r="AF672" s="110"/>
      <c r="AH672" s="207"/>
      <c r="AI672" s="110"/>
      <c r="AJ672" s="110"/>
      <c r="AL672" s="110"/>
      <c r="AM672" s="141"/>
      <c r="AN672" s="141"/>
    </row>
    <row r="673" spans="3:40" x14ac:dyDescent="0.3">
      <c r="C673" s="99"/>
      <c r="D673" s="99"/>
      <c r="E673" s="99"/>
      <c r="F673" s="110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T673" s="99"/>
      <c r="U673" s="99"/>
      <c r="V673" s="110"/>
      <c r="Y673" s="110"/>
      <c r="Z673" s="198"/>
      <c r="AA673" s="110"/>
      <c r="AB673" s="110"/>
      <c r="AC673" s="198"/>
      <c r="AD673" s="198"/>
      <c r="AE673" s="110"/>
      <c r="AF673" s="110"/>
      <c r="AH673" s="207"/>
      <c r="AI673" s="110"/>
      <c r="AJ673" s="110"/>
      <c r="AL673" s="110"/>
      <c r="AM673" s="141"/>
      <c r="AN673" s="141"/>
    </row>
    <row r="674" spans="3:40" x14ac:dyDescent="0.3">
      <c r="F674" s="192"/>
      <c r="H674" s="192"/>
      <c r="I674" s="192"/>
      <c r="J674" s="217"/>
      <c r="K674" s="217"/>
      <c r="L674" s="192"/>
      <c r="M674" s="192"/>
      <c r="N674" s="192"/>
      <c r="O674" s="192"/>
      <c r="P674" s="192"/>
      <c r="Q674" s="192"/>
      <c r="R674" s="192"/>
      <c r="V674" s="192"/>
      <c r="Y674" s="192"/>
      <c r="Z674" s="217"/>
      <c r="AA674" s="192"/>
      <c r="AB674" s="192"/>
      <c r="AC674" s="192"/>
      <c r="AD674" s="192"/>
      <c r="AE674" s="192"/>
      <c r="AF674" s="192"/>
      <c r="AI674" s="192"/>
      <c r="AJ674" s="192"/>
      <c r="AK674" s="194"/>
      <c r="AL674" s="192"/>
      <c r="AM674" s="141"/>
      <c r="AN674" s="141"/>
    </row>
    <row r="675" spans="3:40" x14ac:dyDescent="0.3">
      <c r="C675" s="99"/>
      <c r="F675" s="110"/>
      <c r="H675" s="110"/>
      <c r="I675" s="110"/>
      <c r="J675" s="198"/>
      <c r="K675" s="198"/>
      <c r="L675" s="110"/>
      <c r="M675" s="110"/>
      <c r="N675" s="198"/>
      <c r="O675" s="198"/>
      <c r="P675" s="110"/>
      <c r="Q675" s="110"/>
      <c r="R675" s="110"/>
      <c r="T675" s="99"/>
      <c r="V675" s="110"/>
      <c r="Y675" s="110"/>
      <c r="Z675" s="198"/>
      <c r="AA675" s="110"/>
      <c r="AB675" s="110"/>
      <c r="AC675" s="198"/>
      <c r="AD675" s="198"/>
      <c r="AE675" s="110"/>
      <c r="AF675" s="110"/>
      <c r="AH675" s="207"/>
      <c r="AI675" s="110"/>
      <c r="AJ675" s="110"/>
      <c r="AL675" s="110"/>
      <c r="AM675" s="141"/>
      <c r="AN675" s="141"/>
    </row>
    <row r="676" spans="3:40" x14ac:dyDescent="0.3">
      <c r="V676" s="110"/>
      <c r="Y676" s="110"/>
      <c r="Z676" s="217"/>
      <c r="AA676" s="110"/>
      <c r="AB676" s="110"/>
      <c r="AC676" s="110"/>
      <c r="AD676" s="110"/>
      <c r="AE676" s="110"/>
      <c r="AF676" s="110"/>
      <c r="AI676" s="110"/>
      <c r="AJ676" s="110"/>
      <c r="AL676" s="110"/>
      <c r="AM676" s="141"/>
      <c r="AN676" s="141"/>
    </row>
    <row r="677" spans="3:40" x14ac:dyDescent="0.3">
      <c r="C677" s="99"/>
      <c r="D677" s="99"/>
      <c r="E677" s="99"/>
      <c r="L677" s="110"/>
      <c r="M677" s="110"/>
      <c r="N677" s="198"/>
      <c r="O677" s="198"/>
      <c r="R677" s="110"/>
      <c r="T677" s="99"/>
      <c r="U677" s="99"/>
      <c r="AA677" s="110"/>
      <c r="AB677" s="110"/>
      <c r="AC677" s="198"/>
      <c r="AD677" s="198"/>
      <c r="AE677" s="110"/>
      <c r="AF677" s="110"/>
      <c r="AH677" s="207"/>
      <c r="AL677" s="110"/>
      <c r="AM677" s="141"/>
      <c r="AN677" s="141"/>
    </row>
    <row r="678" spans="3:40" x14ac:dyDescent="0.3">
      <c r="D678" s="99"/>
      <c r="E678" s="99"/>
      <c r="F678" s="172"/>
      <c r="H678" s="172"/>
      <c r="I678" s="172"/>
      <c r="J678" s="198"/>
      <c r="K678" s="198"/>
      <c r="L678" s="110"/>
      <c r="M678" s="110"/>
      <c r="N678" s="198"/>
      <c r="O678" s="198"/>
      <c r="P678" s="172"/>
      <c r="Q678" s="172"/>
      <c r="R678" s="110"/>
      <c r="U678" s="99"/>
      <c r="V678" s="110"/>
      <c r="Y678" s="110"/>
      <c r="Z678" s="198"/>
      <c r="AA678" s="110"/>
      <c r="AB678" s="110"/>
      <c r="AC678" s="198"/>
      <c r="AD678" s="198"/>
      <c r="AE678" s="110"/>
      <c r="AF678" s="110"/>
      <c r="AH678" s="207"/>
      <c r="AI678" s="110"/>
      <c r="AJ678" s="110"/>
      <c r="AL678" s="110"/>
      <c r="AM678" s="141"/>
      <c r="AN678" s="141"/>
    </row>
    <row r="679" spans="3:40" x14ac:dyDescent="0.3">
      <c r="F679" s="192"/>
      <c r="H679" s="192"/>
      <c r="I679" s="192"/>
      <c r="J679" s="217"/>
      <c r="K679" s="217"/>
      <c r="L679" s="192"/>
      <c r="M679" s="192"/>
      <c r="N679" s="192"/>
      <c r="O679" s="192"/>
      <c r="P679" s="192"/>
      <c r="Q679" s="192"/>
      <c r="R679" s="192"/>
      <c r="V679" s="192"/>
      <c r="Y679" s="192"/>
      <c r="Z679" s="217"/>
      <c r="AA679" s="192"/>
      <c r="AB679" s="192"/>
      <c r="AC679" s="192"/>
      <c r="AD679" s="192"/>
      <c r="AE679" s="192"/>
      <c r="AF679" s="192"/>
      <c r="AI679" s="192"/>
      <c r="AJ679" s="192"/>
      <c r="AK679" s="194"/>
      <c r="AL679" s="192"/>
      <c r="AM679" s="141"/>
      <c r="AN679" s="141"/>
    </row>
    <row r="680" spans="3:40" x14ac:dyDescent="0.3">
      <c r="C680" s="99"/>
      <c r="F680" s="110"/>
      <c r="H680" s="110"/>
      <c r="I680" s="110"/>
      <c r="J680" s="198"/>
      <c r="K680" s="198"/>
      <c r="L680" s="110"/>
      <c r="M680" s="110"/>
      <c r="N680" s="198"/>
      <c r="O680" s="198"/>
      <c r="P680" s="110"/>
      <c r="Q680" s="110"/>
      <c r="R680" s="110"/>
      <c r="T680" s="99"/>
      <c r="V680" s="110"/>
      <c r="Y680" s="110"/>
      <c r="Z680" s="198"/>
      <c r="AA680" s="110"/>
      <c r="AB680" s="110"/>
      <c r="AC680" s="198"/>
      <c r="AD680" s="198"/>
      <c r="AE680" s="110"/>
      <c r="AF680" s="110"/>
      <c r="AH680" s="207"/>
      <c r="AI680" s="110"/>
      <c r="AJ680" s="110"/>
      <c r="AL680" s="110"/>
      <c r="AM680" s="141"/>
      <c r="AN680" s="141"/>
    </row>
    <row r="681" spans="3:40" x14ac:dyDescent="0.3">
      <c r="F681" s="110"/>
      <c r="H681" s="110"/>
      <c r="I681" s="110"/>
      <c r="J681" s="198"/>
      <c r="K681" s="198"/>
      <c r="L681" s="110"/>
      <c r="M681" s="110"/>
      <c r="N681" s="198"/>
      <c r="O681" s="198"/>
      <c r="P681" s="110"/>
      <c r="Q681" s="110"/>
      <c r="R681" s="110"/>
      <c r="V681" s="110"/>
      <c r="Y681" s="110"/>
      <c r="Z681" s="198"/>
      <c r="AA681" s="110"/>
      <c r="AB681" s="110"/>
      <c r="AC681" s="198"/>
      <c r="AD681" s="198"/>
      <c r="AH681" s="207"/>
      <c r="AI681" s="110"/>
      <c r="AJ681" s="110"/>
      <c r="AL681" s="110"/>
      <c r="AM681" s="141"/>
      <c r="AN681" s="141"/>
    </row>
    <row r="682" spans="3:40" x14ac:dyDescent="0.3">
      <c r="D682" s="99"/>
      <c r="E682" s="99"/>
      <c r="F682" s="110"/>
      <c r="H682" s="110"/>
      <c r="I682" s="110"/>
      <c r="J682" s="198"/>
      <c r="K682" s="198"/>
      <c r="L682" s="172"/>
      <c r="M682" s="172"/>
      <c r="N682" s="198"/>
      <c r="O682" s="198"/>
      <c r="P682" s="110"/>
      <c r="Q682" s="110"/>
      <c r="R682" s="110"/>
      <c r="U682" s="99"/>
      <c r="V682" s="110"/>
      <c r="Y682" s="110"/>
      <c r="Z682" s="198"/>
      <c r="AA682" s="172"/>
      <c r="AB682" s="172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3:40" x14ac:dyDescent="0.3">
      <c r="D683" s="99"/>
      <c r="E683" s="99"/>
      <c r="F683" s="110"/>
      <c r="H683" s="110"/>
      <c r="I683" s="110"/>
      <c r="J683" s="198"/>
      <c r="K683" s="198"/>
      <c r="L683" s="172"/>
      <c r="M683" s="172"/>
      <c r="N683" s="198"/>
      <c r="O683" s="198"/>
      <c r="P683" s="110"/>
      <c r="Q683" s="110"/>
      <c r="R683" s="110"/>
      <c r="U683" s="99"/>
      <c r="V683" s="110"/>
      <c r="Y683" s="110"/>
      <c r="Z683" s="198"/>
      <c r="AA683" s="172"/>
      <c r="AB683" s="172"/>
      <c r="AC683" s="198"/>
      <c r="AD683" s="198"/>
      <c r="AE683" s="110"/>
      <c r="AF683" s="110"/>
      <c r="AH683" s="207"/>
      <c r="AI683" s="110"/>
      <c r="AJ683" s="110"/>
      <c r="AL683" s="110"/>
      <c r="AM683" s="141"/>
      <c r="AN683" s="141"/>
    </row>
    <row r="684" spans="3:40" x14ac:dyDescent="0.3">
      <c r="D684" s="99"/>
      <c r="E684" s="99"/>
      <c r="F684" s="110"/>
      <c r="H684" s="110"/>
      <c r="I684" s="110"/>
      <c r="J684" s="198"/>
      <c r="K684" s="198"/>
      <c r="L684" s="172"/>
      <c r="M684" s="172"/>
      <c r="N684" s="198"/>
      <c r="O684" s="198"/>
      <c r="P684" s="110"/>
      <c r="Q684" s="110"/>
      <c r="R684" s="110"/>
      <c r="U684" s="99"/>
      <c r="V684" s="110"/>
      <c r="Y684" s="110"/>
      <c r="Z684" s="198"/>
      <c r="AA684" s="172"/>
      <c r="AB684" s="172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3:40" x14ac:dyDescent="0.3">
      <c r="F685" s="192"/>
      <c r="H685" s="192"/>
      <c r="I685" s="192"/>
      <c r="J685" s="217"/>
      <c r="K685" s="217"/>
      <c r="L685" s="192"/>
      <c r="M685" s="192"/>
      <c r="N685" s="192"/>
      <c r="O685" s="192"/>
      <c r="P685" s="192"/>
      <c r="Q685" s="192"/>
      <c r="R685" s="192"/>
      <c r="V685" s="192"/>
      <c r="Y685" s="192"/>
      <c r="Z685" s="217"/>
      <c r="AA685" s="192"/>
      <c r="AB685" s="192"/>
      <c r="AC685" s="192"/>
      <c r="AD685" s="192"/>
      <c r="AE685" s="192"/>
      <c r="AF685" s="192"/>
      <c r="AI685" s="192"/>
      <c r="AJ685" s="192"/>
      <c r="AK685" s="194"/>
      <c r="AL685" s="192"/>
      <c r="AM685" s="141"/>
      <c r="AN685" s="141"/>
    </row>
    <row r="686" spans="3:40" x14ac:dyDescent="0.3">
      <c r="C686" s="99"/>
      <c r="F686" s="110"/>
      <c r="H686" s="110"/>
      <c r="I686" s="110"/>
      <c r="J686" s="198"/>
      <c r="K686" s="198"/>
      <c r="L686" s="110"/>
      <c r="M686" s="110"/>
      <c r="N686" s="198"/>
      <c r="O686" s="198"/>
      <c r="P686" s="110"/>
      <c r="Q686" s="110"/>
      <c r="R686" s="110"/>
      <c r="T686" s="99"/>
      <c r="V686" s="110"/>
      <c r="Y686" s="110"/>
      <c r="Z686" s="198"/>
      <c r="AA686" s="110"/>
      <c r="AB686" s="110"/>
      <c r="AC686" s="198"/>
      <c r="AD686" s="198"/>
      <c r="AE686" s="110"/>
      <c r="AF686" s="110"/>
      <c r="AH686" s="207"/>
      <c r="AI686" s="110"/>
      <c r="AJ686" s="110"/>
      <c r="AL686" s="110"/>
      <c r="AM686" s="141"/>
      <c r="AN686" s="141"/>
    </row>
    <row r="687" spans="3:40" x14ac:dyDescent="0.3">
      <c r="F687" s="110"/>
      <c r="H687" s="110"/>
      <c r="I687" s="110"/>
      <c r="J687" s="198"/>
      <c r="K687" s="198"/>
      <c r="L687" s="110"/>
      <c r="M687" s="110"/>
      <c r="N687" s="198"/>
      <c r="O687" s="198"/>
      <c r="P687" s="110"/>
      <c r="Q687" s="110"/>
      <c r="R687" s="110"/>
      <c r="V687" s="110"/>
      <c r="Y687" s="110"/>
      <c r="Z687" s="198"/>
      <c r="AA687" s="110"/>
      <c r="AB687" s="110"/>
      <c r="AC687" s="198"/>
      <c r="AD687" s="198"/>
      <c r="AH687" s="207"/>
      <c r="AI687" s="110"/>
      <c r="AJ687" s="110"/>
      <c r="AL687" s="110"/>
      <c r="AM687" s="141"/>
      <c r="AN687" s="141"/>
    </row>
    <row r="688" spans="3:40" x14ac:dyDescent="0.3">
      <c r="C688" s="99"/>
      <c r="F688" s="110"/>
      <c r="H688" s="110"/>
      <c r="I688" s="110"/>
      <c r="J688" s="198"/>
      <c r="K688" s="198"/>
      <c r="L688" s="110"/>
      <c r="M688" s="110"/>
      <c r="N688" s="198"/>
      <c r="O688" s="198"/>
      <c r="P688" s="110"/>
      <c r="Q688" s="110"/>
      <c r="R688" s="110"/>
      <c r="T688" s="99"/>
      <c r="V688" s="110"/>
      <c r="Y688" s="110"/>
      <c r="Z688" s="198"/>
      <c r="AA688" s="110"/>
      <c r="AB688" s="110"/>
      <c r="AC688" s="198"/>
      <c r="AD688" s="198"/>
      <c r="AE688" s="110"/>
      <c r="AF688" s="110"/>
      <c r="AH688" s="207"/>
      <c r="AI688" s="110"/>
      <c r="AJ688" s="110"/>
      <c r="AL688" s="110"/>
      <c r="AM688" s="141"/>
      <c r="AN688" s="141"/>
    </row>
    <row r="689" spans="1:38" x14ac:dyDescent="0.3">
      <c r="F689" s="192"/>
      <c r="H689" s="192"/>
      <c r="I689" s="192"/>
      <c r="J689" s="217"/>
      <c r="K689" s="217"/>
      <c r="L689" s="192"/>
      <c r="M689" s="192"/>
      <c r="N689" s="192"/>
      <c r="O689" s="192"/>
      <c r="P689" s="192"/>
      <c r="Q689" s="192"/>
      <c r="R689" s="192"/>
      <c r="V689" s="192"/>
      <c r="Y689" s="192"/>
      <c r="Z689" s="217"/>
      <c r="AA689" s="192"/>
      <c r="AB689" s="192"/>
      <c r="AC689" s="192"/>
      <c r="AD689" s="192"/>
      <c r="AE689" s="192"/>
      <c r="AF689" s="192"/>
      <c r="AI689" s="192"/>
      <c r="AJ689" s="192"/>
      <c r="AK689" s="194"/>
      <c r="AL689" s="192"/>
    </row>
    <row r="691" spans="1:38" x14ac:dyDescent="0.3">
      <c r="C691" s="99"/>
      <c r="L691" s="110"/>
      <c r="M691" s="110"/>
      <c r="P691" s="110"/>
      <c r="Q691" s="110"/>
      <c r="R691" s="110"/>
      <c r="T691" s="99"/>
    </row>
    <row r="692" spans="1:38" x14ac:dyDescent="0.3">
      <c r="A692" s="99"/>
      <c r="L692" s="110"/>
      <c r="M692" s="110"/>
      <c r="P692" s="110"/>
      <c r="Q692" s="110"/>
      <c r="R692" s="110"/>
    </row>
    <row r="693" spans="1:38" x14ac:dyDescent="0.3">
      <c r="L693" s="110"/>
      <c r="M693" s="110"/>
      <c r="P693" s="110"/>
      <c r="Q693" s="110"/>
      <c r="R693" s="110"/>
    </row>
    <row r="694" spans="1:38" x14ac:dyDescent="0.3">
      <c r="L694" s="110"/>
      <c r="M694" s="110"/>
      <c r="P694" s="110"/>
      <c r="Q694" s="110"/>
      <c r="R694" s="110"/>
    </row>
    <row r="695" spans="1:38" x14ac:dyDescent="0.3">
      <c r="L695" s="110"/>
      <c r="M695" s="110"/>
      <c r="P695" s="110"/>
      <c r="Q695" s="110"/>
      <c r="R695" s="110"/>
    </row>
    <row r="696" spans="1:38" x14ac:dyDescent="0.3">
      <c r="L696" s="110"/>
      <c r="M696" s="110"/>
      <c r="P696" s="110"/>
      <c r="Q696" s="110"/>
      <c r="R696" s="110"/>
    </row>
    <row r="697" spans="1:38" x14ac:dyDescent="0.3">
      <c r="L697" s="110"/>
      <c r="M697" s="110"/>
      <c r="P697" s="110"/>
      <c r="Q697" s="110"/>
      <c r="R697" s="110"/>
    </row>
    <row r="730" spans="49:49" x14ac:dyDescent="0.3">
      <c r="AW730" s="110"/>
    </row>
    <row r="731" spans="49:49" x14ac:dyDescent="0.3">
      <c r="AW731" s="110"/>
    </row>
    <row r="732" spans="49:49" x14ac:dyDescent="0.3">
      <c r="AW732" s="110"/>
    </row>
    <row r="733" spans="49:49" x14ac:dyDescent="0.3">
      <c r="AW733" s="110"/>
    </row>
    <row r="734" spans="49:49" x14ac:dyDescent="0.3">
      <c r="AW734" s="110"/>
    </row>
    <row r="735" spans="49:49" x14ac:dyDescent="0.3">
      <c r="AW735" s="110"/>
    </row>
    <row r="738" spans="49:49" x14ac:dyDescent="0.3">
      <c r="AW738" s="110"/>
    </row>
    <row r="739" spans="49:49" x14ac:dyDescent="0.3">
      <c r="AW739" s="110"/>
    </row>
    <row r="740" spans="49:49" x14ac:dyDescent="0.3">
      <c r="AW740" s="110"/>
    </row>
    <row r="741" spans="49:49" x14ac:dyDescent="0.3">
      <c r="AW741" s="110"/>
    </row>
    <row r="742" spans="49:49" x14ac:dyDescent="0.3">
      <c r="AW742" s="110"/>
    </row>
    <row r="743" spans="49:49" x14ac:dyDescent="0.3">
      <c r="AW743" s="110"/>
    </row>
    <row r="744" spans="49:49" x14ac:dyDescent="0.3">
      <c r="AW744" s="110"/>
    </row>
    <row r="745" spans="49:49" x14ac:dyDescent="0.3">
      <c r="AW745" s="110"/>
    </row>
    <row r="748" spans="49:49" x14ac:dyDescent="0.3">
      <c r="AW748" s="110"/>
    </row>
    <row r="749" spans="49:49" x14ac:dyDescent="0.3">
      <c r="AW749" s="110"/>
    </row>
    <row r="752" spans="49:49" x14ac:dyDescent="0.3">
      <c r="AW752" s="110"/>
    </row>
    <row r="753" spans="45:56" x14ac:dyDescent="0.3">
      <c r="AW753" s="110"/>
    </row>
    <row r="754" spans="45:56" x14ac:dyDescent="0.3">
      <c r="AW754" s="110"/>
    </row>
    <row r="755" spans="45:56" x14ac:dyDescent="0.3">
      <c r="AW755" s="110"/>
    </row>
    <row r="763" spans="45:56" x14ac:dyDescent="0.3">
      <c r="AY763" s="99"/>
    </row>
    <row r="764" spans="45:56" x14ac:dyDescent="0.3">
      <c r="AY764" s="99"/>
    </row>
    <row r="765" spans="45:56" x14ac:dyDescent="0.3">
      <c r="BD765" s="99"/>
    </row>
    <row r="766" spans="45:56" x14ac:dyDescent="0.3">
      <c r="BD766" s="99"/>
    </row>
    <row r="767" spans="45:56" x14ac:dyDescent="0.3">
      <c r="AS767" s="99"/>
      <c r="BD767" s="99"/>
    </row>
    <row r="769" spans="45:69" x14ac:dyDescent="0.3">
      <c r="AS769" s="101"/>
      <c r="AT769" s="101"/>
      <c r="AU769" s="101"/>
      <c r="AV769" s="101"/>
      <c r="AW769" s="101"/>
      <c r="AX769" s="101"/>
      <c r="AY769" s="101"/>
      <c r="AZ769" s="101"/>
      <c r="BA769" s="101"/>
      <c r="BB769" s="101"/>
      <c r="BC769" s="101"/>
      <c r="BD769" s="101"/>
      <c r="BE769" s="101"/>
    </row>
    <row r="770" spans="45:69" x14ac:dyDescent="0.3">
      <c r="AX770" s="99"/>
    </row>
    <row r="771" spans="45:69" x14ac:dyDescent="0.3">
      <c r="AX771" s="101"/>
      <c r="AY771" s="101"/>
      <c r="AZ771" s="101"/>
      <c r="BA771" s="101"/>
      <c r="BC771" s="102"/>
      <c r="BD771" s="102"/>
    </row>
    <row r="772" spans="45:69" x14ac:dyDescent="0.3">
      <c r="AV772" s="102"/>
      <c r="AW772" s="102"/>
      <c r="AZ772" s="102"/>
      <c r="BA772" s="102"/>
      <c r="BC772" s="102"/>
      <c r="BD772" s="102"/>
      <c r="BE772" s="102"/>
      <c r="BG772" s="101"/>
      <c r="BH772" s="99"/>
      <c r="BK772" s="101"/>
      <c r="BM772" s="101"/>
      <c r="BN772" s="99"/>
      <c r="BQ772" s="101"/>
    </row>
    <row r="773" spans="45:69" x14ac:dyDescent="0.3"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H773" s="102"/>
      <c r="BI773" s="102"/>
      <c r="BJ773" s="102"/>
      <c r="BN773" s="102"/>
      <c r="BO773" s="102"/>
      <c r="BP773" s="102"/>
    </row>
    <row r="774" spans="45:69" x14ac:dyDescent="0.3">
      <c r="AS774" s="102"/>
      <c r="AU774" s="99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G774" s="102"/>
      <c r="BH774" s="102"/>
      <c r="BI774" s="102"/>
      <c r="BJ774" s="102"/>
      <c r="BK774" s="102"/>
      <c r="BM774" s="102"/>
      <c r="BN774" s="102"/>
      <c r="BO774" s="102"/>
      <c r="BP774" s="102"/>
      <c r="BQ774" s="102"/>
    </row>
    <row r="775" spans="45:69" x14ac:dyDescent="0.3">
      <c r="AS775" s="102"/>
      <c r="AU775" s="99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G775" s="102"/>
      <c r="BH775" s="102"/>
      <c r="BI775" s="102"/>
      <c r="BJ775" s="102"/>
      <c r="BK775" s="102"/>
      <c r="BM775" s="102"/>
      <c r="BN775" s="102"/>
      <c r="BO775" s="102"/>
      <c r="BP775" s="102"/>
      <c r="BQ775" s="102"/>
    </row>
    <row r="776" spans="45:69" x14ac:dyDescent="0.3"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G776" s="101"/>
      <c r="BH776" s="101"/>
      <c r="BI776" s="101"/>
      <c r="BJ776" s="101"/>
      <c r="BK776" s="101"/>
      <c r="BM776" s="101"/>
      <c r="BN776" s="101"/>
      <c r="BO776" s="101"/>
      <c r="BP776" s="101"/>
      <c r="BQ776" s="101"/>
    </row>
    <row r="777" spans="45:69" x14ac:dyDescent="0.3"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</row>
    <row r="778" spans="45:69" x14ac:dyDescent="0.3">
      <c r="AU778" s="99"/>
      <c r="AV778" s="102"/>
      <c r="AY778" s="198"/>
    </row>
    <row r="779" spans="45:69" x14ac:dyDescent="0.3">
      <c r="AV779" s="102"/>
      <c r="AW779" s="110"/>
      <c r="AX779" s="163"/>
      <c r="AY779" s="163"/>
      <c r="AZ779" s="163"/>
      <c r="BA779" s="141"/>
      <c r="BB779" s="163"/>
      <c r="BC779" s="198"/>
      <c r="BD779" s="198"/>
      <c r="BE779" s="141"/>
      <c r="BG779" s="163"/>
      <c r="BH779" s="163"/>
      <c r="BI779" s="163"/>
      <c r="BJ779" s="163"/>
      <c r="BK779" s="163"/>
      <c r="BM779" s="163"/>
      <c r="BN779" s="163"/>
      <c r="BO779" s="163"/>
      <c r="BP779" s="163"/>
      <c r="BQ779" s="163"/>
    </row>
    <row r="780" spans="45:69" x14ac:dyDescent="0.3">
      <c r="AV780" s="102"/>
      <c r="AW780" s="110"/>
      <c r="AX780" s="163"/>
      <c r="AY780" s="163"/>
      <c r="AZ780" s="163"/>
      <c r="BA780" s="141"/>
      <c r="BB780" s="163"/>
      <c r="BC780" s="198"/>
      <c r="BD780" s="198"/>
      <c r="BE780" s="141"/>
      <c r="BG780" s="163"/>
      <c r="BH780" s="163"/>
      <c r="BI780" s="163"/>
      <c r="BJ780" s="163"/>
      <c r="BK780" s="163"/>
      <c r="BM780" s="163"/>
      <c r="BN780" s="163"/>
      <c r="BO780" s="163"/>
      <c r="BP780" s="163"/>
      <c r="BQ780" s="163"/>
    </row>
    <row r="781" spans="45:69" x14ac:dyDescent="0.3">
      <c r="AV781" s="102"/>
      <c r="AW781" s="110"/>
      <c r="AX781" s="163"/>
      <c r="AY781" s="163"/>
      <c r="AZ781" s="163"/>
      <c r="BA781" s="141"/>
      <c r="BB781" s="163"/>
      <c r="BC781" s="198"/>
      <c r="BD781" s="198"/>
      <c r="BE781" s="141"/>
      <c r="BG781" s="163"/>
      <c r="BH781" s="163"/>
      <c r="BI781" s="163"/>
      <c r="BJ781" s="163"/>
      <c r="BK781" s="163"/>
      <c r="BM781" s="163"/>
      <c r="BN781" s="163"/>
      <c r="BO781" s="163"/>
      <c r="BP781" s="163"/>
      <c r="BQ781" s="163"/>
    </row>
    <row r="782" spans="45:69" x14ac:dyDescent="0.3">
      <c r="AV782" s="102"/>
      <c r="AW782" s="110"/>
      <c r="AX782" s="163"/>
      <c r="AY782" s="163"/>
      <c r="AZ782" s="163"/>
      <c r="BA782" s="141"/>
      <c r="BB782" s="163"/>
      <c r="BC782" s="198"/>
      <c r="BD782" s="198"/>
      <c r="BE782" s="141"/>
      <c r="BG782" s="163"/>
      <c r="BH782" s="163"/>
      <c r="BI782" s="163"/>
      <c r="BJ782" s="163"/>
      <c r="BK782" s="163"/>
      <c r="BM782" s="163"/>
      <c r="BN782" s="163"/>
      <c r="BO782" s="163"/>
      <c r="BP782" s="163"/>
      <c r="BQ782" s="163"/>
    </row>
    <row r="783" spans="45:69" x14ac:dyDescent="0.3">
      <c r="AV783" s="102"/>
      <c r="AW783" s="110"/>
      <c r="AX783" s="163"/>
      <c r="AY783" s="163"/>
      <c r="AZ783" s="163"/>
      <c r="BA783" s="141"/>
      <c r="BB783" s="163"/>
      <c r="BC783" s="198"/>
      <c r="BD783" s="198"/>
      <c r="BE783" s="141"/>
      <c r="BG783" s="163"/>
      <c r="BH783" s="163"/>
      <c r="BI783" s="163"/>
      <c r="BJ783" s="163"/>
      <c r="BK783" s="163"/>
      <c r="BM783" s="163"/>
      <c r="BN783" s="163"/>
      <c r="BO783" s="163"/>
      <c r="BP783" s="163"/>
      <c r="BQ783" s="163"/>
    </row>
    <row r="784" spans="45:69" x14ac:dyDescent="0.3">
      <c r="AV784" s="102"/>
      <c r="AW784" s="110"/>
      <c r="AX784" s="163"/>
      <c r="AY784" s="163"/>
      <c r="AZ784" s="163"/>
      <c r="BA784" s="141"/>
      <c r="BB784" s="163"/>
      <c r="BC784" s="198"/>
      <c r="BD784" s="198"/>
      <c r="BE784" s="141"/>
      <c r="BG784" s="163"/>
      <c r="BH784" s="163"/>
      <c r="BI784" s="163"/>
      <c r="BJ784" s="163"/>
      <c r="BK784" s="163"/>
      <c r="BM784" s="163"/>
      <c r="BN784" s="163"/>
      <c r="BO784" s="163"/>
      <c r="BP784" s="163"/>
      <c r="BQ784" s="163"/>
    </row>
    <row r="785" spans="45:69" x14ac:dyDescent="0.3">
      <c r="AV785" s="102"/>
      <c r="AW785" s="110"/>
      <c r="AX785" s="163"/>
      <c r="AY785" s="163"/>
      <c r="AZ785" s="163"/>
      <c r="BA785" s="141"/>
      <c r="BB785" s="163"/>
      <c r="BC785" s="198"/>
      <c r="BD785" s="198"/>
      <c r="BE785" s="141"/>
      <c r="BG785" s="163"/>
      <c r="BH785" s="163"/>
      <c r="BI785" s="163"/>
      <c r="BJ785" s="163"/>
      <c r="BK785" s="163"/>
      <c r="BM785" s="163"/>
      <c r="BN785" s="163"/>
      <c r="BO785" s="163"/>
      <c r="BP785" s="163"/>
      <c r="BQ785" s="163"/>
    </row>
    <row r="786" spans="45:69" x14ac:dyDescent="0.3">
      <c r="AY786" s="198"/>
      <c r="AZ786" s="163"/>
      <c r="BA786" s="141"/>
      <c r="BB786" s="163"/>
      <c r="BC786" s="198"/>
      <c r="BD786" s="198"/>
      <c r="BE786" s="141"/>
      <c r="BK786" s="163"/>
      <c r="BQ786" s="163"/>
    </row>
    <row r="787" spans="45:69" x14ac:dyDescent="0.3">
      <c r="AV787" s="102"/>
      <c r="AY787" s="198"/>
      <c r="AZ787" s="163"/>
      <c r="BA787" s="141"/>
      <c r="BB787" s="163"/>
      <c r="BC787" s="198"/>
      <c r="BD787" s="198"/>
      <c r="BE787" s="141"/>
      <c r="BK787" s="163"/>
      <c r="BQ787" s="163"/>
    </row>
    <row r="788" spans="45:69" x14ac:dyDescent="0.3">
      <c r="AV788" s="102"/>
      <c r="AW788" s="110"/>
      <c r="AX788" s="163"/>
      <c r="AY788" s="163"/>
      <c r="AZ788" s="163"/>
      <c r="BA788" s="141"/>
      <c r="BB788" s="163"/>
      <c r="BC788" s="198"/>
      <c r="BD788" s="198"/>
      <c r="BE788" s="141"/>
      <c r="BG788" s="163"/>
      <c r="BH788" s="163"/>
      <c r="BI788" s="163"/>
      <c r="BJ788" s="163"/>
      <c r="BK788" s="163"/>
      <c r="BM788" s="163"/>
      <c r="BN788" s="163"/>
      <c r="BO788" s="163"/>
      <c r="BP788" s="163"/>
      <c r="BQ788" s="163"/>
    </row>
    <row r="789" spans="45:69" x14ac:dyDescent="0.3">
      <c r="AV789" s="102"/>
      <c r="AW789" s="110"/>
      <c r="AX789" s="163"/>
      <c r="AY789" s="163"/>
      <c r="AZ789" s="163"/>
      <c r="BA789" s="141"/>
      <c r="BB789" s="163"/>
      <c r="BC789" s="198"/>
      <c r="BD789" s="198"/>
      <c r="BE789" s="141"/>
      <c r="BG789" s="163"/>
      <c r="BH789" s="163"/>
      <c r="BI789" s="163"/>
      <c r="BJ789" s="163"/>
      <c r="BK789" s="163"/>
      <c r="BM789" s="163"/>
      <c r="BN789" s="163"/>
      <c r="BO789" s="163"/>
      <c r="BP789" s="163"/>
      <c r="BQ789" s="163"/>
    </row>
    <row r="790" spans="45:69" x14ac:dyDescent="0.3">
      <c r="AV790" s="102"/>
      <c r="AW790" s="110"/>
      <c r="AX790" s="163"/>
      <c r="AY790" s="163"/>
      <c r="AZ790" s="163"/>
      <c r="BA790" s="141"/>
      <c r="BB790" s="163"/>
      <c r="BC790" s="198"/>
      <c r="BD790" s="198"/>
      <c r="BE790" s="141"/>
      <c r="BG790" s="163"/>
      <c r="BH790" s="163"/>
      <c r="BI790" s="163"/>
      <c r="BJ790" s="163"/>
      <c r="BK790" s="163"/>
      <c r="BM790" s="163"/>
      <c r="BN790" s="163"/>
      <c r="BO790" s="163"/>
      <c r="BP790" s="163"/>
      <c r="BQ790" s="163"/>
    </row>
    <row r="791" spans="45:69" x14ac:dyDescent="0.3">
      <c r="AV791" s="102"/>
      <c r="AW791" s="110"/>
      <c r="AX791" s="163"/>
      <c r="AY791" s="163"/>
      <c r="AZ791" s="163"/>
      <c r="BA791" s="141"/>
      <c r="BB791" s="163"/>
      <c r="BC791" s="198"/>
      <c r="BD791" s="198"/>
      <c r="BE791" s="141"/>
      <c r="BG791" s="163"/>
      <c r="BH791" s="163"/>
      <c r="BI791" s="163"/>
      <c r="BJ791" s="163"/>
      <c r="BK791" s="163"/>
      <c r="BM791" s="163"/>
      <c r="BN791" s="163"/>
      <c r="BO791" s="163"/>
      <c r="BP791" s="163"/>
      <c r="BQ791" s="163"/>
    </row>
    <row r="792" spans="45:69" x14ac:dyDescent="0.3">
      <c r="AV792" s="102"/>
      <c r="AW792" s="110"/>
      <c r="AX792" s="163"/>
      <c r="AY792" s="163"/>
      <c r="AZ792" s="163"/>
      <c r="BA792" s="141"/>
      <c r="BB792" s="163"/>
      <c r="BC792" s="198"/>
      <c r="BD792" s="198"/>
      <c r="BE792" s="141"/>
      <c r="BG792" s="163"/>
      <c r="BH792" s="163"/>
      <c r="BI792" s="163"/>
      <c r="BJ792" s="163"/>
      <c r="BK792" s="163"/>
      <c r="BM792" s="163"/>
      <c r="BN792" s="163"/>
      <c r="BO792" s="163"/>
      <c r="BP792" s="163"/>
      <c r="BQ792" s="163"/>
    </row>
    <row r="793" spans="45:69" x14ac:dyDescent="0.3">
      <c r="AV793" s="102"/>
      <c r="AW793" s="110"/>
      <c r="AX793" s="163"/>
      <c r="AY793" s="163"/>
      <c r="AZ793" s="163"/>
      <c r="BA793" s="141"/>
      <c r="BB793" s="163"/>
      <c r="BC793" s="198"/>
      <c r="BD793" s="198"/>
      <c r="BE793" s="141"/>
      <c r="BG793" s="163"/>
      <c r="BH793" s="163"/>
      <c r="BI793" s="163"/>
      <c r="BJ793" s="163"/>
      <c r="BK793" s="163"/>
      <c r="BM793" s="163"/>
      <c r="BN793" s="163"/>
      <c r="BO793" s="163"/>
      <c r="BP793" s="163"/>
      <c r="BQ793" s="163"/>
    </row>
    <row r="794" spans="45:69" x14ac:dyDescent="0.3">
      <c r="AV794" s="102"/>
      <c r="AW794" s="110"/>
      <c r="AX794" s="163"/>
      <c r="AY794" s="163"/>
      <c r="AZ794" s="163"/>
      <c r="BA794" s="141"/>
      <c r="BB794" s="163"/>
      <c r="BC794" s="198"/>
      <c r="BD794" s="198"/>
      <c r="BE794" s="141"/>
      <c r="BG794" s="163"/>
      <c r="BH794" s="163"/>
      <c r="BI794" s="163"/>
      <c r="BJ794" s="163"/>
      <c r="BK794" s="163"/>
      <c r="BM794" s="163"/>
      <c r="BN794" s="163"/>
      <c r="BO794" s="163"/>
      <c r="BP794" s="163"/>
      <c r="BQ794" s="163"/>
    </row>
    <row r="795" spans="45:69" x14ac:dyDescent="0.3">
      <c r="AV795" s="102"/>
      <c r="AW795" s="110"/>
      <c r="AX795" s="163"/>
      <c r="AY795" s="163"/>
      <c r="AZ795" s="163"/>
      <c r="BA795" s="141"/>
      <c r="BB795" s="163"/>
      <c r="BC795" s="198"/>
      <c r="BD795" s="198"/>
      <c r="BE795" s="141"/>
      <c r="BG795" s="163"/>
      <c r="BH795" s="163"/>
      <c r="BI795" s="163"/>
      <c r="BJ795" s="163"/>
      <c r="BK795" s="163"/>
      <c r="BM795" s="163"/>
      <c r="BN795" s="163"/>
      <c r="BO795" s="163"/>
      <c r="BP795" s="163"/>
      <c r="BQ795" s="163"/>
    </row>
    <row r="796" spans="45:69" x14ac:dyDescent="0.3">
      <c r="AY796" s="198"/>
      <c r="AZ796" s="163"/>
      <c r="BA796" s="141"/>
      <c r="BB796" s="163"/>
      <c r="BC796" s="198"/>
      <c r="BD796" s="198"/>
      <c r="BE796" s="141"/>
      <c r="BK796" s="163"/>
      <c r="BQ796" s="163"/>
    </row>
    <row r="797" spans="45:69" x14ac:dyDescent="0.3">
      <c r="AU797" s="99"/>
      <c r="AZ797" s="163"/>
      <c r="BB797" s="163"/>
      <c r="BG797" s="163"/>
      <c r="BH797" s="163"/>
      <c r="BJ797" s="163"/>
      <c r="BK797" s="163"/>
    </row>
    <row r="798" spans="45:69" x14ac:dyDescent="0.3">
      <c r="AZ798" s="163"/>
      <c r="BB798" s="163"/>
    </row>
    <row r="799" spans="45:69" x14ac:dyDescent="0.3">
      <c r="AS799" s="99"/>
      <c r="AZ799" s="163"/>
      <c r="BB799" s="163"/>
      <c r="BI799" s="163"/>
    </row>
    <row r="800" spans="45:69" x14ac:dyDescent="0.3">
      <c r="AZ800" s="163"/>
      <c r="BB800" s="163"/>
    </row>
    <row r="801" spans="45:75" x14ac:dyDescent="0.3">
      <c r="AY801" s="163"/>
      <c r="BB801" s="163"/>
    </row>
    <row r="802" spans="45:75" x14ac:dyDescent="0.3">
      <c r="AY802" s="99"/>
      <c r="AZ802" s="163"/>
      <c r="BB802" s="163"/>
    </row>
    <row r="803" spans="45:75" x14ac:dyDescent="0.3">
      <c r="AY803" s="99"/>
      <c r="AZ803" s="163"/>
      <c r="BB803" s="163"/>
    </row>
    <row r="804" spans="45:75" x14ac:dyDescent="0.3">
      <c r="AZ804" s="163"/>
      <c r="BB804" s="163"/>
      <c r="BD804" s="99"/>
    </row>
    <row r="805" spans="45:75" x14ac:dyDescent="0.3">
      <c r="AZ805" s="163"/>
      <c r="BB805" s="163"/>
      <c r="BD805" s="99"/>
    </row>
    <row r="806" spans="45:75" x14ac:dyDescent="0.3">
      <c r="AS806" s="99"/>
      <c r="AZ806" s="163"/>
      <c r="BB806" s="163"/>
      <c r="BD806" s="99"/>
    </row>
    <row r="807" spans="45:75" x14ac:dyDescent="0.3">
      <c r="AZ807" s="163"/>
      <c r="BB807" s="163"/>
    </row>
    <row r="808" spans="45:75" x14ac:dyDescent="0.3">
      <c r="AS808" s="101"/>
      <c r="AT808" s="101"/>
      <c r="AU808" s="101"/>
      <c r="AV808" s="101"/>
      <c r="AW808" s="101"/>
      <c r="AX808" s="101"/>
      <c r="AY808" s="101"/>
      <c r="AZ808" s="212"/>
      <c r="BA808" s="101"/>
      <c r="BB808" s="212"/>
      <c r="BC808" s="101"/>
      <c r="BD808" s="101"/>
      <c r="BE808" s="101"/>
    </row>
    <row r="809" spans="45:75" x14ac:dyDescent="0.3">
      <c r="AX809" s="99"/>
      <c r="AZ809" s="163"/>
      <c r="BB809" s="163"/>
    </row>
    <row r="810" spans="45:75" x14ac:dyDescent="0.3">
      <c r="AX810" s="101"/>
      <c r="AY810" s="101"/>
      <c r="AZ810" s="212"/>
      <c r="BA810" s="101"/>
      <c r="BB810" s="163"/>
      <c r="BC810" s="102"/>
      <c r="BD810" s="102"/>
    </row>
    <row r="811" spans="45:75" x14ac:dyDescent="0.3">
      <c r="AV811" s="102"/>
      <c r="AW811" s="102"/>
      <c r="AZ811" s="213"/>
      <c r="BA811" s="102"/>
      <c r="BB811" s="163"/>
      <c r="BC811" s="102"/>
      <c r="BD811" s="102"/>
      <c r="BE811" s="102"/>
      <c r="BG811" s="101"/>
      <c r="BH811" s="101"/>
      <c r="BI811" s="99"/>
      <c r="BM811" s="101"/>
      <c r="BN811" s="101"/>
      <c r="BP811" s="101"/>
      <c r="BQ811" s="101"/>
      <c r="BR811" s="99"/>
      <c r="BV811" s="101"/>
      <c r="BW811" s="101"/>
    </row>
    <row r="812" spans="45:75" x14ac:dyDescent="0.3">
      <c r="AV812" s="102"/>
      <c r="AW812" s="102"/>
      <c r="AX812" s="102"/>
      <c r="AY812" s="102"/>
      <c r="AZ812" s="213"/>
      <c r="BA812" s="102"/>
      <c r="BB812" s="213"/>
      <c r="BC812" s="102"/>
      <c r="BD812" s="102"/>
      <c r="BE812" s="102"/>
      <c r="BH812" s="102"/>
      <c r="BI812" s="102"/>
      <c r="BJ812" s="102"/>
      <c r="BK812" s="102"/>
      <c r="BL812" s="102"/>
      <c r="BM812" s="102"/>
      <c r="BQ812" s="102"/>
      <c r="BR812" s="102"/>
      <c r="BS812" s="102"/>
      <c r="BT812" s="102"/>
      <c r="BU812" s="102"/>
      <c r="BV812" s="102"/>
    </row>
    <row r="813" spans="45:75" x14ac:dyDescent="0.3">
      <c r="AS813" s="102"/>
      <c r="AU813" s="99"/>
      <c r="AV813" s="102"/>
      <c r="AW813" s="102"/>
      <c r="AX813" s="102"/>
      <c r="AY813" s="102"/>
      <c r="AZ813" s="213"/>
      <c r="BA813" s="102"/>
      <c r="BB813" s="213"/>
      <c r="BC813" s="102"/>
      <c r="BD813" s="102"/>
      <c r="BE813" s="102"/>
      <c r="BG813" s="102"/>
      <c r="BH813" s="102"/>
      <c r="BI813" s="102"/>
      <c r="BJ813" s="102"/>
      <c r="BK813" s="102"/>
      <c r="BL813" s="102"/>
      <c r="BM813" s="102"/>
      <c r="BN813" s="102"/>
      <c r="BP813" s="102"/>
      <c r="BQ813" s="102"/>
      <c r="BR813" s="102"/>
      <c r="BS813" s="102"/>
      <c r="BT813" s="102"/>
      <c r="BU813" s="102"/>
      <c r="BV813" s="102"/>
      <c r="BW813" s="102"/>
    </row>
    <row r="814" spans="45:75" x14ac:dyDescent="0.3">
      <c r="AS814" s="102"/>
      <c r="AU814" s="99"/>
      <c r="AV814" s="102"/>
      <c r="AW814" s="102"/>
      <c r="AX814" s="102"/>
      <c r="AY814" s="102"/>
      <c r="AZ814" s="213"/>
      <c r="BA814" s="102"/>
      <c r="BB814" s="213"/>
      <c r="BC814" s="102"/>
      <c r="BD814" s="102"/>
      <c r="BE814" s="102"/>
      <c r="BG814" s="102"/>
      <c r="BH814" s="102"/>
      <c r="BI814" s="102"/>
      <c r="BJ814" s="102"/>
      <c r="BK814" s="102"/>
      <c r="BL814" s="102"/>
      <c r="BM814" s="102"/>
      <c r="BN814" s="102"/>
      <c r="BP814" s="102"/>
      <c r="BQ814" s="102"/>
      <c r="BR814" s="102"/>
      <c r="BS814" s="102"/>
      <c r="BT814" s="102"/>
      <c r="BU814" s="102"/>
      <c r="BV814" s="102"/>
      <c r="BW814" s="102"/>
    </row>
    <row r="815" spans="45:75" x14ac:dyDescent="0.3">
      <c r="AS815" s="101"/>
      <c r="AT815" s="101"/>
      <c r="AU815" s="101"/>
      <c r="AV815" s="101"/>
      <c r="AW815" s="101"/>
      <c r="AX815" s="101"/>
      <c r="AY815" s="101"/>
      <c r="AZ815" s="212"/>
      <c r="BA815" s="101"/>
      <c r="BB815" s="212"/>
      <c r="BC815" s="101"/>
      <c r="BD815" s="101"/>
      <c r="BE815" s="101"/>
      <c r="BG815" s="101"/>
      <c r="BH815" s="101"/>
      <c r="BI815" s="101"/>
      <c r="BJ815" s="101"/>
      <c r="BK815" s="101"/>
      <c r="BL815" s="101"/>
      <c r="BM815" s="101"/>
      <c r="BN815" s="101"/>
      <c r="BP815" s="101"/>
      <c r="BQ815" s="101"/>
      <c r="BR815" s="101"/>
      <c r="BS815" s="101"/>
      <c r="BT815" s="101"/>
      <c r="BU815" s="101"/>
      <c r="BV815" s="101"/>
      <c r="BW815" s="101"/>
    </row>
    <row r="816" spans="45:75" x14ac:dyDescent="0.3">
      <c r="AV816" s="102"/>
      <c r="AW816" s="102"/>
      <c r="AX816" s="102"/>
      <c r="AY816" s="102"/>
      <c r="AZ816" s="213"/>
      <c r="BA816" s="102"/>
      <c r="BB816" s="213"/>
      <c r="BC816" s="102"/>
      <c r="BD816" s="102"/>
      <c r="BE816" s="102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</row>
    <row r="817" spans="47:75" x14ac:dyDescent="0.3">
      <c r="AU817" s="99"/>
      <c r="AW817" s="110"/>
      <c r="AX817" s="163"/>
      <c r="AY817" s="163"/>
      <c r="AZ817" s="163"/>
      <c r="BA817" s="207"/>
      <c r="BB817" s="163"/>
      <c r="BC817" s="163"/>
      <c r="BD817" s="163"/>
      <c r="BE817" s="207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</row>
    <row r="818" spans="47:75" x14ac:dyDescent="0.3">
      <c r="AW818" s="110"/>
      <c r="AX818" s="163"/>
      <c r="AY818" s="163"/>
      <c r="AZ818" s="163"/>
      <c r="BA818" s="207"/>
      <c r="BB818" s="163"/>
      <c r="BC818" s="163"/>
      <c r="BD818" s="163"/>
      <c r="BE818" s="207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</row>
    <row r="819" spans="47:75" x14ac:dyDescent="0.3"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</row>
    <row r="820" spans="47:75" x14ac:dyDescent="0.3"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</row>
    <row r="821" spans="47:75" x14ac:dyDescent="0.3"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</row>
    <row r="822" spans="47:75" x14ac:dyDescent="0.3"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</row>
    <row r="823" spans="47:75" x14ac:dyDescent="0.3"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</row>
    <row r="824" spans="47:75" x14ac:dyDescent="0.3"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</row>
    <row r="825" spans="47:75" x14ac:dyDescent="0.3"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</row>
    <row r="826" spans="47:75" x14ac:dyDescent="0.3"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</row>
    <row r="827" spans="47:75" x14ac:dyDescent="0.3"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</row>
    <row r="828" spans="47:75" x14ac:dyDescent="0.3"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</row>
    <row r="829" spans="47:75" x14ac:dyDescent="0.3"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</row>
    <row r="830" spans="47:75" x14ac:dyDescent="0.3"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</row>
    <row r="831" spans="47:75" x14ac:dyDescent="0.3"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</row>
    <row r="832" spans="47:75" x14ac:dyDescent="0.3"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</row>
    <row r="833" spans="45:75" x14ac:dyDescent="0.3"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</row>
    <row r="834" spans="45:75" x14ac:dyDescent="0.3"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</row>
    <row r="835" spans="45:75" x14ac:dyDescent="0.3"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</row>
    <row r="836" spans="45:75" x14ac:dyDescent="0.3"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</row>
    <row r="837" spans="45:75" x14ac:dyDescent="0.3"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</row>
    <row r="838" spans="45:75" x14ac:dyDescent="0.3"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01"/>
      <c r="BH838" s="101"/>
      <c r="BI838" s="99"/>
      <c r="BM838" s="101"/>
      <c r="BN838" s="101"/>
      <c r="BO838" s="163"/>
      <c r="BP838" s="101"/>
      <c r="BQ838" s="101"/>
      <c r="BR838" s="99"/>
      <c r="BV838" s="101"/>
      <c r="BW838" s="101"/>
    </row>
    <row r="839" spans="45:75" x14ac:dyDescent="0.3">
      <c r="AU839" s="99"/>
      <c r="AV839" s="102"/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213"/>
      <c r="BH839" s="163"/>
      <c r="BI839" s="163"/>
      <c r="BJ839" s="163"/>
      <c r="BK839" s="213"/>
      <c r="BL839" s="214"/>
      <c r="BM839" s="163"/>
      <c r="BN839" s="213"/>
      <c r="BO839" s="163"/>
      <c r="BP839" s="213"/>
      <c r="BQ839" s="163"/>
      <c r="BR839" s="163"/>
      <c r="BS839" s="163"/>
      <c r="BT839" s="213"/>
      <c r="BU839" s="214"/>
      <c r="BV839" s="163"/>
      <c r="BW839" s="213"/>
    </row>
    <row r="840" spans="45:75" x14ac:dyDescent="0.3">
      <c r="AV840" s="102"/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214"/>
      <c r="BM840" s="163"/>
      <c r="BN840" s="163"/>
      <c r="BO840" s="163"/>
      <c r="BP840" s="163"/>
      <c r="BQ840" s="163"/>
      <c r="BR840" s="163"/>
      <c r="BS840" s="163"/>
      <c r="BT840" s="163"/>
      <c r="BU840" s="214"/>
      <c r="BV840" s="163"/>
      <c r="BW840" s="163"/>
    </row>
    <row r="841" spans="45:75" x14ac:dyDescent="0.3">
      <c r="AV841" s="102"/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214"/>
      <c r="BM841" s="163"/>
      <c r="BN841" s="163"/>
      <c r="BO841" s="163"/>
      <c r="BP841" s="163"/>
      <c r="BQ841" s="163"/>
      <c r="BR841" s="163"/>
      <c r="BS841" s="163"/>
      <c r="BT841" s="163"/>
      <c r="BU841" s="214"/>
      <c r="BV841" s="163"/>
      <c r="BW841" s="163"/>
    </row>
    <row r="842" spans="45:75" x14ac:dyDescent="0.3">
      <c r="AV842" s="102"/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214"/>
      <c r="BM842" s="163"/>
      <c r="BN842" s="163"/>
      <c r="BO842" s="163"/>
      <c r="BP842" s="163"/>
      <c r="BQ842" s="163"/>
      <c r="BR842" s="163"/>
      <c r="BS842" s="163"/>
      <c r="BT842" s="163"/>
      <c r="BU842" s="214"/>
      <c r="BV842" s="163"/>
      <c r="BW842" s="163"/>
    </row>
    <row r="843" spans="45:75" x14ac:dyDescent="0.3"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</row>
    <row r="844" spans="45:75" x14ac:dyDescent="0.3">
      <c r="AU844" s="99"/>
    </row>
    <row r="845" spans="45:75" x14ac:dyDescent="0.3">
      <c r="AU845" s="99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</row>
    <row r="846" spans="45:75" x14ac:dyDescent="0.3">
      <c r="AS846" s="99"/>
      <c r="AZ846" s="163"/>
      <c r="BB846" s="163"/>
    </row>
    <row r="847" spans="45:75" x14ac:dyDescent="0.3">
      <c r="AZ847" s="163"/>
      <c r="BB847" s="163"/>
      <c r="BO847" s="163"/>
      <c r="BP847" s="163"/>
      <c r="BQ847" s="163"/>
      <c r="BR847" s="163"/>
      <c r="BS847" s="163"/>
      <c r="BT847" s="163"/>
      <c r="BU847" s="163"/>
      <c r="BV847" s="163"/>
    </row>
    <row r="848" spans="45:75" x14ac:dyDescent="0.3">
      <c r="AY848" s="163"/>
      <c r="AZ848" s="163"/>
      <c r="BB848" s="163"/>
      <c r="BO848" s="163"/>
      <c r="BP848" s="163"/>
      <c r="BQ848" s="163"/>
      <c r="BR848" s="163"/>
      <c r="BS848" s="163"/>
      <c r="BT848" s="163"/>
      <c r="BU848" s="163"/>
      <c r="BV848" s="163"/>
    </row>
    <row r="849" spans="45:74" x14ac:dyDescent="0.3">
      <c r="AY849" s="99"/>
      <c r="AZ849" s="163"/>
      <c r="BB849" s="163"/>
      <c r="BO849" s="163"/>
      <c r="BP849" s="163"/>
      <c r="BQ849" s="163"/>
      <c r="BR849" s="163"/>
      <c r="BS849" s="163"/>
      <c r="BT849" s="163"/>
      <c r="BU849" s="163"/>
      <c r="BV849" s="163"/>
    </row>
    <row r="850" spans="45:74" x14ac:dyDescent="0.3">
      <c r="AY850" s="99"/>
      <c r="AZ850" s="163"/>
      <c r="BB850" s="163"/>
      <c r="BO850" s="163"/>
      <c r="BP850" s="163"/>
      <c r="BQ850" s="163"/>
      <c r="BR850" s="163"/>
      <c r="BS850" s="163"/>
      <c r="BT850" s="163"/>
      <c r="BU850" s="163"/>
      <c r="BV850" s="163"/>
    </row>
    <row r="851" spans="45:74" x14ac:dyDescent="0.3">
      <c r="AZ851" s="163"/>
      <c r="BB851" s="163"/>
      <c r="BD851" s="99"/>
      <c r="BO851" s="163"/>
      <c r="BP851" s="163"/>
      <c r="BQ851" s="163"/>
      <c r="BR851" s="163"/>
      <c r="BS851" s="163"/>
      <c r="BT851" s="163"/>
      <c r="BU851" s="163"/>
      <c r="BV851" s="163"/>
    </row>
    <row r="852" spans="45:74" x14ac:dyDescent="0.3">
      <c r="AZ852" s="163"/>
      <c r="BB852" s="163"/>
      <c r="BD852" s="99"/>
      <c r="BO852" s="163"/>
      <c r="BP852" s="163"/>
      <c r="BQ852" s="163"/>
      <c r="BR852" s="163"/>
      <c r="BS852" s="163"/>
      <c r="BT852" s="163"/>
      <c r="BU852" s="163"/>
      <c r="BV852" s="163"/>
    </row>
    <row r="853" spans="45:74" x14ac:dyDescent="0.3">
      <c r="AS853" s="99"/>
      <c r="AZ853" s="163"/>
      <c r="BB853" s="163"/>
      <c r="BD853" s="99"/>
      <c r="BO853" s="163"/>
      <c r="BP853" s="163"/>
      <c r="BQ853" s="163"/>
      <c r="BR853" s="163"/>
      <c r="BS853" s="163"/>
      <c r="BT853" s="163"/>
      <c r="BU853" s="163"/>
      <c r="BV853" s="163"/>
    </row>
    <row r="854" spans="45:74" x14ac:dyDescent="0.3">
      <c r="AZ854" s="163"/>
      <c r="BB854" s="163"/>
      <c r="BO854" s="163"/>
      <c r="BP854" s="163"/>
      <c r="BQ854" s="163"/>
      <c r="BR854" s="163"/>
      <c r="BS854" s="163"/>
      <c r="BT854" s="163"/>
      <c r="BU854" s="163"/>
      <c r="BV854" s="163"/>
    </row>
    <row r="855" spans="45:74" x14ac:dyDescent="0.3">
      <c r="AS855" s="101"/>
      <c r="AT855" s="101"/>
      <c r="AU855" s="101"/>
      <c r="AV855" s="101"/>
      <c r="AW855" s="101"/>
      <c r="AX855" s="101"/>
      <c r="AY855" s="101"/>
      <c r="AZ855" s="212"/>
      <c r="BA855" s="101"/>
      <c r="BB855" s="212"/>
      <c r="BC855" s="101"/>
      <c r="BD855" s="101"/>
      <c r="BE855" s="101"/>
      <c r="BO855" s="163"/>
      <c r="BP855" s="163"/>
      <c r="BQ855" s="163"/>
      <c r="BR855" s="163"/>
      <c r="BS855" s="163"/>
      <c r="BT855" s="163"/>
      <c r="BU855" s="163"/>
      <c r="BV855" s="163"/>
    </row>
    <row r="856" spans="45:74" x14ac:dyDescent="0.3">
      <c r="AX856" s="99"/>
      <c r="AZ856" s="163"/>
      <c r="BB856" s="163"/>
      <c r="BO856" s="163"/>
      <c r="BP856" s="163"/>
      <c r="BQ856" s="163"/>
      <c r="BR856" s="163"/>
      <c r="BS856" s="163"/>
      <c r="BT856" s="163"/>
      <c r="BU856" s="163"/>
      <c r="BV856" s="163"/>
    </row>
    <row r="857" spans="45:74" x14ac:dyDescent="0.3">
      <c r="AX857" s="101"/>
      <c r="AY857" s="101"/>
      <c r="AZ857" s="212"/>
      <c r="BA857" s="101"/>
      <c r="BB857" s="163"/>
      <c r="BC857" s="102"/>
      <c r="BD857" s="102"/>
      <c r="BO857" s="163"/>
      <c r="BP857" s="163"/>
      <c r="BQ857" s="163"/>
      <c r="BR857" s="163"/>
      <c r="BS857" s="163"/>
      <c r="BT857" s="163"/>
      <c r="BU857" s="163"/>
      <c r="BV857" s="163"/>
    </row>
    <row r="858" spans="45:74" x14ac:dyDescent="0.3">
      <c r="AV858" s="102"/>
      <c r="AW858" s="102"/>
      <c r="AZ858" s="213"/>
      <c r="BA858" s="102"/>
      <c r="BB858" s="163"/>
      <c r="BC858" s="102"/>
      <c r="BD858" s="102"/>
      <c r="BE858" s="102"/>
      <c r="BG858" s="101"/>
      <c r="BH858" s="99"/>
      <c r="BK858" s="101"/>
      <c r="BM858" s="101"/>
      <c r="BN858" s="99"/>
      <c r="BQ858" s="101"/>
    </row>
    <row r="859" spans="45:74" x14ac:dyDescent="0.3">
      <c r="AV859" s="102"/>
      <c r="AW859" s="102"/>
      <c r="AX859" s="102"/>
      <c r="AY859" s="102"/>
      <c r="AZ859" s="213"/>
      <c r="BA859" s="102"/>
      <c r="BB859" s="213"/>
      <c r="BC859" s="102"/>
      <c r="BD859" s="102"/>
      <c r="BE859" s="102"/>
      <c r="BH859" s="102"/>
      <c r="BI859" s="102"/>
      <c r="BN859" s="102"/>
      <c r="BO859" s="102"/>
    </row>
    <row r="860" spans="45:74" x14ac:dyDescent="0.3">
      <c r="AS860" s="102"/>
      <c r="AU860" s="99"/>
      <c r="AV860" s="102"/>
      <c r="AW860" s="102"/>
      <c r="AX860" s="102"/>
      <c r="AY860" s="102"/>
      <c r="AZ860" s="213"/>
      <c r="BA860" s="102"/>
      <c r="BB860" s="213"/>
      <c r="BC860" s="102"/>
      <c r="BD860" s="102"/>
      <c r="BE860" s="102"/>
      <c r="BG860" s="102"/>
      <c r="BH860" s="102"/>
      <c r="BI860" s="102"/>
      <c r="BJ860" s="102"/>
      <c r="BK860" s="102"/>
      <c r="BM860" s="102"/>
      <c r="BN860" s="102"/>
      <c r="BO860" s="102"/>
      <c r="BP860" s="102"/>
      <c r="BQ860" s="102"/>
    </row>
    <row r="861" spans="45:74" x14ac:dyDescent="0.3">
      <c r="AS861" s="102"/>
      <c r="AU861" s="99"/>
      <c r="AV861" s="102"/>
      <c r="AW861" s="102"/>
      <c r="AX861" s="102"/>
      <c r="AY861" s="102"/>
      <c r="AZ861" s="213"/>
      <c r="BA861" s="102"/>
      <c r="BB861" s="213"/>
      <c r="BC861" s="102"/>
      <c r="BD861" s="102"/>
      <c r="BE861" s="102"/>
      <c r="BG861" s="102"/>
      <c r="BH861" s="102"/>
      <c r="BI861" s="102"/>
      <c r="BJ861" s="102"/>
      <c r="BK861" s="102"/>
      <c r="BM861" s="102"/>
      <c r="BN861" s="102"/>
      <c r="BO861" s="102"/>
      <c r="BP861" s="102"/>
      <c r="BQ861" s="102"/>
    </row>
    <row r="862" spans="45:74" x14ac:dyDescent="0.3">
      <c r="AS862" s="101"/>
      <c r="AT862" s="101"/>
      <c r="AU862" s="101"/>
      <c r="AV862" s="101"/>
      <c r="AW862" s="101"/>
      <c r="AX862" s="101"/>
      <c r="AY862" s="101"/>
      <c r="AZ862" s="212"/>
      <c r="BA862" s="101"/>
      <c r="BB862" s="212"/>
      <c r="BC862" s="101"/>
      <c r="BD862" s="101"/>
      <c r="BE862" s="101"/>
      <c r="BG862" s="101"/>
      <c r="BH862" s="101"/>
      <c r="BI862" s="101"/>
      <c r="BJ862" s="101"/>
      <c r="BK862" s="101"/>
      <c r="BM862" s="101"/>
      <c r="BN862" s="101"/>
      <c r="BO862" s="101"/>
      <c r="BP862" s="101"/>
      <c r="BQ862" s="101"/>
    </row>
    <row r="863" spans="45:74" x14ac:dyDescent="0.3">
      <c r="AV863" s="102"/>
      <c r="AW863" s="102"/>
      <c r="AX863" s="102"/>
      <c r="AY863" s="102"/>
      <c r="AZ863" s="213"/>
      <c r="BA863" s="102"/>
      <c r="BB863" s="213"/>
      <c r="BC863" s="102"/>
      <c r="BD863" s="102"/>
      <c r="BE863" s="102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</row>
    <row r="864" spans="45:74" x14ac:dyDescent="0.3">
      <c r="AT864" s="99"/>
      <c r="AV864" s="110"/>
      <c r="AW864" s="110"/>
      <c r="AX864" s="163"/>
      <c r="AY864" s="163"/>
      <c r="AZ864" s="163"/>
      <c r="BA864" s="207"/>
      <c r="BB864" s="163"/>
      <c r="BC864" s="163"/>
      <c r="BD864" s="163"/>
      <c r="BE864" s="207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</row>
    <row r="865" spans="48:71" x14ac:dyDescent="0.3">
      <c r="AV865" s="110"/>
      <c r="AW865" s="110"/>
      <c r="AX865" s="163"/>
      <c r="AY865" s="163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</row>
    <row r="866" spans="48:71" x14ac:dyDescent="0.3">
      <c r="AV866" s="110"/>
      <c r="AW866" s="110"/>
      <c r="AX866" s="163"/>
      <c r="AY866" s="163"/>
      <c r="AZ866" s="163"/>
      <c r="BA866" s="207"/>
      <c r="BB866" s="163"/>
      <c r="BC866" s="163"/>
      <c r="BD866" s="163"/>
      <c r="BE866" s="207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</row>
    <row r="867" spans="48:71" x14ac:dyDescent="0.3">
      <c r="AV867" s="110"/>
      <c r="AW867" s="110"/>
      <c r="AX867" s="163"/>
      <c r="AY867" s="163"/>
      <c r="AZ867" s="163"/>
      <c r="BA867" s="207"/>
      <c r="BB867" s="163"/>
      <c r="BC867" s="163"/>
      <c r="BD867" s="163"/>
      <c r="BE867" s="207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</row>
    <row r="868" spans="48:71" x14ac:dyDescent="0.3">
      <c r="AV868" s="110"/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</row>
    <row r="869" spans="48:71" x14ac:dyDescent="0.3">
      <c r="AV869" s="110"/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</row>
    <row r="870" spans="48:71" x14ac:dyDescent="0.3">
      <c r="AV870" s="110"/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</row>
    <row r="871" spans="48:71" x14ac:dyDescent="0.3"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</row>
    <row r="872" spans="48:71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</row>
    <row r="873" spans="48:71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</row>
    <row r="874" spans="48:71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</row>
    <row r="875" spans="48:71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</row>
    <row r="876" spans="48:71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</row>
    <row r="877" spans="48:71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</row>
    <row r="878" spans="48:71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</row>
    <row r="879" spans="48:71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</row>
    <row r="880" spans="48:71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</row>
    <row r="881" spans="46:71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</row>
    <row r="882" spans="46:71" x14ac:dyDescent="0.3">
      <c r="AZ882" s="163"/>
      <c r="BB882" s="163"/>
      <c r="BC882" s="163"/>
      <c r="BD882" s="163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</row>
    <row r="883" spans="46:71" x14ac:dyDescent="0.3">
      <c r="AT883" s="99"/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</row>
    <row r="884" spans="46:71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</row>
    <row r="885" spans="46:71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6:71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6:71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6:71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</row>
    <row r="889" spans="46:71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6:71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6:71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6:71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6:71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6:71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6:71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6:71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5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5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5:57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</row>
    <row r="900" spans="45:57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5:57" x14ac:dyDescent="0.3">
      <c r="BB901" s="163"/>
    </row>
    <row r="902" spans="45:57" x14ac:dyDescent="0.3">
      <c r="AU902" s="99"/>
      <c r="BB902" s="163"/>
    </row>
    <row r="903" spans="45:57" x14ac:dyDescent="0.3">
      <c r="AU903" s="99"/>
    </row>
    <row r="904" spans="45:57" x14ac:dyDescent="0.3">
      <c r="AU904" s="99"/>
      <c r="BB904" s="163"/>
    </row>
    <row r="905" spans="45:57" x14ac:dyDescent="0.3">
      <c r="AS905" s="99"/>
      <c r="AZ905" s="163"/>
      <c r="BB905" s="163"/>
    </row>
    <row r="906" spans="45:57" x14ac:dyDescent="0.3">
      <c r="AZ906" s="163"/>
      <c r="BB906" s="163"/>
    </row>
    <row r="907" spans="45:57" x14ac:dyDescent="0.3">
      <c r="AY907" s="163"/>
      <c r="AZ907" s="163"/>
      <c r="BB907" s="163"/>
    </row>
    <row r="908" spans="45:57" x14ac:dyDescent="0.3">
      <c r="AY908" s="99"/>
      <c r="AZ908" s="163"/>
      <c r="BB908" s="163"/>
    </row>
    <row r="909" spans="45:57" x14ac:dyDescent="0.3">
      <c r="AY909" s="99"/>
      <c r="AZ909" s="163"/>
      <c r="BB909" s="163"/>
    </row>
    <row r="910" spans="45:57" x14ac:dyDescent="0.3">
      <c r="AZ910" s="163"/>
      <c r="BB910" s="163"/>
      <c r="BD910" s="99"/>
    </row>
    <row r="911" spans="45:57" x14ac:dyDescent="0.3">
      <c r="AZ911" s="163"/>
      <c r="BB911" s="163"/>
      <c r="BD911" s="99"/>
    </row>
    <row r="912" spans="45:57" x14ac:dyDescent="0.3">
      <c r="AS912" s="99"/>
      <c r="AZ912" s="163"/>
      <c r="BB912" s="163"/>
      <c r="BD912" s="99"/>
    </row>
    <row r="913" spans="45:57" x14ac:dyDescent="0.3">
      <c r="AZ913" s="163"/>
      <c r="BB913" s="163"/>
    </row>
    <row r="914" spans="45:57" x14ac:dyDescent="0.3">
      <c r="AS914" s="101"/>
      <c r="AT914" s="101"/>
      <c r="AU914" s="101"/>
      <c r="AV914" s="101"/>
      <c r="AW914" s="101"/>
      <c r="AX914" s="101"/>
      <c r="AY914" s="101"/>
      <c r="AZ914" s="212"/>
      <c r="BA914" s="101"/>
      <c r="BB914" s="212"/>
      <c r="BC914" s="101"/>
      <c r="BD914" s="101"/>
      <c r="BE914" s="101"/>
    </row>
    <row r="915" spans="45:57" x14ac:dyDescent="0.3">
      <c r="AX915" s="99"/>
      <c r="AZ915" s="163"/>
      <c r="BB915" s="163"/>
    </row>
    <row r="916" spans="45:57" x14ac:dyDescent="0.3">
      <c r="AX916" s="101"/>
      <c r="AY916" s="101"/>
      <c r="AZ916" s="212"/>
      <c r="BA916" s="101"/>
      <c r="BB916" s="163"/>
      <c r="BC916" s="102"/>
      <c r="BD916" s="102"/>
    </row>
    <row r="917" spans="45:57" x14ac:dyDescent="0.3">
      <c r="AV917" s="102"/>
      <c r="AW917" s="102"/>
      <c r="AZ917" s="213"/>
      <c r="BA917" s="102"/>
      <c r="BB917" s="163"/>
      <c r="BC917" s="102"/>
      <c r="BD917" s="102"/>
      <c r="BE917" s="102"/>
    </row>
    <row r="918" spans="45:57" x14ac:dyDescent="0.3">
      <c r="AV918" s="102"/>
      <c r="AW918" s="102"/>
      <c r="AX918" s="102"/>
      <c r="AY918" s="102"/>
      <c r="AZ918" s="213"/>
      <c r="BA918" s="102"/>
      <c r="BB918" s="213"/>
      <c r="BC918" s="102"/>
      <c r="BD918" s="102"/>
      <c r="BE918" s="102"/>
    </row>
    <row r="919" spans="45:57" x14ac:dyDescent="0.3">
      <c r="AS919" s="102"/>
      <c r="AU919" s="99"/>
      <c r="AV919" s="102"/>
      <c r="AW919" s="102"/>
      <c r="AX919" s="102"/>
      <c r="AY919" s="102"/>
      <c r="AZ919" s="213"/>
      <c r="BA919" s="102"/>
      <c r="BB919" s="213"/>
      <c r="BC919" s="102"/>
      <c r="BD919" s="102"/>
      <c r="BE919" s="102"/>
    </row>
    <row r="920" spans="45:57" x14ac:dyDescent="0.3">
      <c r="AS920" s="102"/>
      <c r="AU920" s="99"/>
      <c r="AV920" s="102"/>
      <c r="AW920" s="102"/>
      <c r="AX920" s="102"/>
      <c r="AY920" s="102"/>
      <c r="AZ920" s="213"/>
      <c r="BA920" s="102"/>
      <c r="BB920" s="213"/>
      <c r="BC920" s="102"/>
      <c r="BD920" s="102"/>
      <c r="BE920" s="102"/>
    </row>
    <row r="921" spans="45:57" x14ac:dyDescent="0.3">
      <c r="AS921" s="101"/>
      <c r="AT921" s="101"/>
      <c r="AU921" s="101"/>
      <c r="AV921" s="101"/>
      <c r="AW921" s="101"/>
      <c r="AX921" s="101"/>
      <c r="AY921" s="101"/>
      <c r="AZ921" s="212"/>
      <c r="BA921" s="101"/>
      <c r="BB921" s="212"/>
      <c r="BC921" s="101"/>
      <c r="BD921" s="101"/>
      <c r="BE921" s="101"/>
    </row>
    <row r="922" spans="45:57" x14ac:dyDescent="0.3">
      <c r="AV922" s="102"/>
      <c r="AW922" s="102"/>
      <c r="AX922" s="102"/>
      <c r="AY922" s="102"/>
      <c r="AZ922" s="213"/>
      <c r="BA922" s="102"/>
      <c r="BB922" s="213"/>
      <c r="BC922" s="102"/>
      <c r="BD922" s="102"/>
      <c r="BE922" s="102"/>
    </row>
    <row r="923" spans="45:57" x14ac:dyDescent="0.3">
      <c r="AT923" s="99"/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</row>
    <row r="924" spans="45:57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</row>
    <row r="925" spans="45:57" x14ac:dyDescent="0.3">
      <c r="AV925" s="110"/>
      <c r="AW925" s="110"/>
      <c r="AX925" s="163"/>
      <c r="AY925" s="163"/>
      <c r="AZ925" s="163"/>
      <c r="BA925" s="207"/>
      <c r="BB925" s="163"/>
      <c r="BC925" s="163"/>
      <c r="BD925" s="163"/>
      <c r="BE925" s="207"/>
    </row>
    <row r="926" spans="45:57" x14ac:dyDescent="0.3">
      <c r="AV926" s="110"/>
      <c r="AW926" s="110"/>
      <c r="AX926" s="163"/>
      <c r="AY926" s="163"/>
      <c r="AZ926" s="163"/>
      <c r="BA926" s="207"/>
      <c r="BB926" s="163"/>
      <c r="BC926" s="163"/>
      <c r="BD926" s="163"/>
      <c r="BE926" s="207"/>
    </row>
    <row r="927" spans="45:57" x14ac:dyDescent="0.3"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5:57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6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6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6:57" x14ac:dyDescent="0.3">
      <c r="AV931" s="110"/>
      <c r="AW931" s="110"/>
      <c r="AX931" s="163"/>
      <c r="AY931" s="163"/>
      <c r="AZ931" s="163"/>
      <c r="BA931" s="207"/>
      <c r="BB931" s="163"/>
      <c r="BC931" s="163"/>
      <c r="BD931" s="163"/>
      <c r="BE931" s="207"/>
    </row>
    <row r="932" spans="46:57" x14ac:dyDescent="0.3">
      <c r="AV932" s="110"/>
      <c r="AW932" s="110"/>
      <c r="AX932" s="163"/>
      <c r="AY932" s="163"/>
      <c r="AZ932" s="163"/>
      <c r="BA932" s="207"/>
      <c r="BB932" s="163"/>
      <c r="BC932" s="163"/>
      <c r="BD932" s="163"/>
      <c r="BE932" s="207"/>
    </row>
    <row r="933" spans="46:57" x14ac:dyDescent="0.3">
      <c r="AV933" s="110"/>
      <c r="AW933" s="110"/>
      <c r="BB933" s="163"/>
    </row>
    <row r="934" spans="46:57" x14ac:dyDescent="0.3">
      <c r="AT934" s="99"/>
      <c r="AV934" s="110"/>
      <c r="AW934" s="110"/>
      <c r="AX934" s="163"/>
      <c r="AY934" s="163"/>
      <c r="AZ934" s="163"/>
      <c r="BA934" s="207"/>
      <c r="BB934" s="163"/>
      <c r="BC934" s="163"/>
      <c r="BD934" s="163"/>
      <c r="BE934" s="207"/>
    </row>
    <row r="935" spans="46:57" x14ac:dyDescent="0.3"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6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6:57" x14ac:dyDescent="0.3"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6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6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6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6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6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6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5" spans="45:47" x14ac:dyDescent="0.3">
      <c r="AU945" s="99"/>
    </row>
    <row r="946" spans="45:47" x14ac:dyDescent="0.3">
      <c r="AU946" s="99"/>
    </row>
    <row r="947" spans="45:47" x14ac:dyDescent="0.3">
      <c r="AU947" s="99"/>
    </row>
    <row r="948" spans="45:47" x14ac:dyDescent="0.3">
      <c r="AS948" s="99"/>
    </row>
    <row r="969" spans="52:71" x14ac:dyDescent="0.3">
      <c r="AZ969" s="163"/>
      <c r="BB969" s="163"/>
      <c r="BC969" s="163"/>
      <c r="BD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</row>
    <row r="970" spans="52:71" x14ac:dyDescent="0.3">
      <c r="AZ970" s="163"/>
      <c r="BB970" s="163"/>
      <c r="BC970" s="163"/>
      <c r="BD970" s="163"/>
      <c r="BG970" s="163"/>
      <c r="BH970" s="163"/>
      <c r="BI970" s="163"/>
      <c r="BJ970" s="163"/>
      <c r="BK970" s="163"/>
      <c r="BL970" s="163"/>
      <c r="BM970" s="163"/>
      <c r="BN970" s="163"/>
      <c r="BO970" s="163"/>
      <c r="BP970" s="163"/>
      <c r="BQ970" s="163"/>
      <c r="BR970" s="163"/>
      <c r="BS970" s="163"/>
    </row>
    <row r="971" spans="52:71" x14ac:dyDescent="0.3">
      <c r="AZ971" s="163"/>
      <c r="BB971" s="163"/>
      <c r="BC971" s="163"/>
      <c r="BD971" s="163"/>
      <c r="BG971" s="163"/>
      <c r="BH971" s="163"/>
      <c r="BI971" s="163"/>
      <c r="BJ971" s="163"/>
      <c r="BK971" s="163"/>
      <c r="BL971" s="163"/>
      <c r="BM971" s="163"/>
      <c r="BN971" s="163"/>
      <c r="BO971" s="163"/>
      <c r="BP971" s="163"/>
      <c r="BQ971" s="163"/>
      <c r="BR971" s="163"/>
      <c r="BS971" s="163"/>
    </row>
    <row r="972" spans="52:71" x14ac:dyDescent="0.3">
      <c r="AZ972" s="163"/>
      <c r="BB972" s="163"/>
      <c r="BC972" s="163"/>
      <c r="BD972" s="163"/>
      <c r="BG972" s="163"/>
      <c r="BH972" s="163"/>
      <c r="BI972" s="163"/>
      <c r="BJ972" s="163"/>
      <c r="BK972" s="163"/>
      <c r="BL972" s="163"/>
      <c r="BM972" s="163"/>
      <c r="BN972" s="163"/>
      <c r="BO972" s="163"/>
      <c r="BP972" s="163"/>
      <c r="BQ972" s="163"/>
      <c r="BR972" s="163"/>
      <c r="BS972" s="163"/>
    </row>
    <row r="973" spans="52:71" x14ac:dyDescent="0.3">
      <c r="AZ973" s="163"/>
      <c r="BB973" s="163"/>
      <c r="BC973" s="163"/>
      <c r="BD973" s="163"/>
      <c r="BG973" s="163"/>
      <c r="BH973" s="163"/>
      <c r="BI973" s="163"/>
      <c r="BJ973" s="163"/>
      <c r="BK973" s="163"/>
      <c r="BL973" s="163"/>
      <c r="BM973" s="163"/>
      <c r="BN973" s="163"/>
      <c r="BO973" s="163"/>
      <c r="BP973" s="163"/>
      <c r="BQ973" s="163"/>
      <c r="BR973" s="163"/>
      <c r="BS973" s="163"/>
    </row>
    <row r="974" spans="52:71" x14ac:dyDescent="0.3">
      <c r="AZ974" s="163"/>
      <c r="BB974" s="163"/>
      <c r="BC974" s="163"/>
      <c r="BD974" s="163"/>
      <c r="BG974" s="163"/>
      <c r="BH974" s="163"/>
      <c r="BI974" s="163"/>
      <c r="BJ974" s="163"/>
      <c r="BK974" s="163"/>
      <c r="BL974" s="163"/>
      <c r="BM974" s="163"/>
      <c r="BN974" s="163"/>
      <c r="BO974" s="163"/>
      <c r="BP974" s="163"/>
      <c r="BQ974" s="163"/>
      <c r="BR974" s="163"/>
      <c r="BS974" s="163"/>
    </row>
    <row r="975" spans="52:71" x14ac:dyDescent="0.3">
      <c r="AZ975" s="163"/>
      <c r="BB975" s="163"/>
      <c r="BC975" s="163"/>
      <c r="BD975" s="163"/>
      <c r="BG975" s="163"/>
      <c r="BH975" s="163"/>
      <c r="BI975" s="163"/>
      <c r="BJ975" s="163"/>
      <c r="BK975" s="163"/>
      <c r="BL975" s="163"/>
      <c r="BM975" s="163"/>
      <c r="BN975" s="163"/>
      <c r="BO975" s="163"/>
      <c r="BP975" s="163"/>
      <c r="BQ975" s="163"/>
      <c r="BR975" s="163"/>
      <c r="BS975" s="163"/>
    </row>
    <row r="976" spans="52:71" x14ac:dyDescent="0.3">
      <c r="AZ976" s="163"/>
      <c r="BB976" s="163"/>
      <c r="BC976" s="163"/>
      <c r="BD976" s="163"/>
      <c r="BG976" s="163"/>
      <c r="BH976" s="163"/>
      <c r="BI976" s="163"/>
      <c r="BJ976" s="163"/>
      <c r="BK976" s="163"/>
      <c r="BL976" s="163"/>
      <c r="BM976" s="163"/>
      <c r="BN976" s="163"/>
      <c r="BO976" s="163"/>
      <c r="BP976" s="163"/>
      <c r="BQ976" s="163"/>
      <c r="BR976" s="163"/>
      <c r="BS976" s="163"/>
    </row>
    <row r="977" spans="52:71" x14ac:dyDescent="0.3">
      <c r="AZ977" s="163"/>
      <c r="BB977" s="163"/>
      <c r="BC977" s="163"/>
      <c r="BD977" s="163"/>
      <c r="BG977" s="163"/>
      <c r="BH977" s="163"/>
      <c r="BI977" s="163"/>
      <c r="BJ977" s="163"/>
      <c r="BK977" s="163"/>
      <c r="BL977" s="163"/>
      <c r="BM977" s="163"/>
      <c r="BN977" s="163"/>
      <c r="BO977" s="163"/>
      <c r="BP977" s="163"/>
      <c r="BQ977" s="163"/>
      <c r="BR977" s="163"/>
      <c r="BS977" s="163"/>
    </row>
    <row r="978" spans="52:71" x14ac:dyDescent="0.3">
      <c r="AZ978" s="163"/>
      <c r="BB978" s="163"/>
      <c r="BC978" s="163"/>
      <c r="BD978" s="163"/>
      <c r="BG978" s="163"/>
      <c r="BH978" s="163"/>
      <c r="BI978" s="163"/>
      <c r="BJ978" s="163"/>
      <c r="BK978" s="163"/>
      <c r="BL978" s="163"/>
      <c r="BM978" s="163"/>
      <c r="BN978" s="163"/>
      <c r="BO978" s="163"/>
      <c r="BP978" s="163"/>
      <c r="BQ978" s="163"/>
      <c r="BR978" s="163"/>
      <c r="BS978" s="163"/>
    </row>
    <row r="979" spans="52:71" x14ac:dyDescent="0.3">
      <c r="AZ979" s="163"/>
      <c r="BB979" s="163"/>
      <c r="BC979" s="163"/>
      <c r="BD979" s="163"/>
      <c r="BG979" s="163"/>
      <c r="BH979" s="163"/>
      <c r="BI979" s="163"/>
      <c r="BJ979" s="163"/>
      <c r="BK979" s="163"/>
      <c r="BL979" s="163"/>
      <c r="BM979" s="163"/>
      <c r="BN979" s="163"/>
      <c r="BO979" s="163"/>
      <c r="BP979" s="163"/>
      <c r="BQ979" s="163"/>
      <c r="BR979" s="163"/>
      <c r="BS979" s="163"/>
    </row>
    <row r="980" spans="52:71" x14ac:dyDescent="0.3">
      <c r="AZ980" s="163"/>
      <c r="BB980" s="163"/>
      <c r="BC980" s="163"/>
      <c r="BD980" s="163"/>
      <c r="BG980" s="163"/>
      <c r="BH980" s="163"/>
      <c r="BI980" s="163"/>
      <c r="BJ980" s="163"/>
      <c r="BK980" s="163"/>
      <c r="BL980" s="163"/>
      <c r="BM980" s="163"/>
      <c r="BN980" s="163"/>
      <c r="BO980" s="163"/>
      <c r="BP980" s="163"/>
      <c r="BQ980" s="163"/>
      <c r="BR980" s="163"/>
      <c r="BS980" s="163"/>
    </row>
    <row r="981" spans="52:71" x14ac:dyDescent="0.3">
      <c r="AZ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</row>
    <row r="982" spans="52:71" x14ac:dyDescent="0.3">
      <c r="AZ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</row>
    <row r="983" spans="52:71" x14ac:dyDescent="0.3">
      <c r="AZ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</row>
    <row r="984" spans="52:71" x14ac:dyDescent="0.3">
      <c r="AZ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</row>
    <row r="985" spans="52:71" x14ac:dyDescent="0.3">
      <c r="AZ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</row>
    <row r="986" spans="52:71" x14ac:dyDescent="0.3">
      <c r="AZ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</row>
    <row r="987" spans="52:71" x14ac:dyDescent="0.3">
      <c r="AZ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</row>
    <row r="988" spans="52:71" x14ac:dyDescent="0.3">
      <c r="AZ988" s="163"/>
    </row>
    <row r="989" spans="52:71" x14ac:dyDescent="0.3">
      <c r="AZ989" s="163"/>
    </row>
    <row r="1003" spans="1:28" x14ac:dyDescent="0.3">
      <c r="A1003" s="99"/>
    </row>
    <row r="1006" spans="1:28" x14ac:dyDescent="0.3">
      <c r="Y1006" s="99"/>
    </row>
    <row r="1007" spans="1:28" x14ac:dyDescent="0.3">
      <c r="A1007" s="99"/>
      <c r="H1007" s="99"/>
      <c r="I1007" s="99"/>
    </row>
    <row r="1008" spans="1:28" x14ac:dyDescent="0.3">
      <c r="A1008" s="99"/>
      <c r="V1008" s="102"/>
      <c r="AA1008" s="102"/>
      <c r="AB1008" s="102"/>
    </row>
    <row r="1009" spans="1:28" x14ac:dyDescent="0.3">
      <c r="A1009" s="99"/>
      <c r="V1009" s="101"/>
      <c r="AA1009" s="101"/>
      <c r="AB1009" s="101"/>
    </row>
    <row r="1010" spans="1:28" x14ac:dyDescent="0.3">
      <c r="A1010" s="99"/>
      <c r="U1010" s="99"/>
      <c r="AA1010" s="102"/>
      <c r="AB1010" s="102"/>
    </row>
    <row r="1011" spans="1:28" x14ac:dyDescent="0.3">
      <c r="A1011" s="99"/>
    </row>
    <row r="1012" spans="1:28" x14ac:dyDescent="0.3">
      <c r="A1012" s="99"/>
      <c r="U1012" s="99"/>
      <c r="AA1012" s="102"/>
      <c r="AB1012" s="102"/>
    </row>
    <row r="1013" spans="1:28" x14ac:dyDescent="0.3">
      <c r="A1013" s="99"/>
    </row>
    <row r="1014" spans="1:28" x14ac:dyDescent="0.3">
      <c r="A1014" s="99"/>
      <c r="U1014" s="99"/>
      <c r="V1014" s="231"/>
      <c r="AA1014" s="102"/>
      <c r="AB1014" s="102"/>
    </row>
    <row r="1015" spans="1:28" x14ac:dyDescent="0.3">
      <c r="A1015" s="99"/>
    </row>
    <row r="1016" spans="1:28" x14ac:dyDescent="0.3">
      <c r="A1016" s="99"/>
      <c r="U1016" s="99"/>
      <c r="AA1016" s="102"/>
      <c r="AB1016" s="102"/>
    </row>
    <row r="1017" spans="1:28" x14ac:dyDescent="0.3">
      <c r="A1017" s="99"/>
    </row>
    <row r="1018" spans="1:28" x14ac:dyDescent="0.3">
      <c r="A1018" s="99"/>
      <c r="U1018" s="99"/>
      <c r="AA1018" s="102"/>
      <c r="AB1018" s="102"/>
    </row>
    <row r="1019" spans="1:28" x14ac:dyDescent="0.3">
      <c r="A1019" s="99"/>
    </row>
    <row r="1020" spans="1:28" x14ac:dyDescent="0.3">
      <c r="A1020" s="99"/>
    </row>
    <row r="1021" spans="1:28" x14ac:dyDescent="0.3">
      <c r="A1021" s="99"/>
    </row>
    <row r="1022" spans="1:28" x14ac:dyDescent="0.3">
      <c r="A1022" s="99"/>
    </row>
    <row r="1023" spans="1:28" x14ac:dyDescent="0.3">
      <c r="A1023" s="99"/>
    </row>
    <row r="1024" spans="1:28" x14ac:dyDescent="0.3">
      <c r="A1024" s="99"/>
    </row>
    <row r="1025" spans="1:9" x14ac:dyDescent="0.3">
      <c r="A1025" s="99"/>
    </row>
    <row r="1026" spans="1:9" x14ac:dyDescent="0.3">
      <c r="A1026" s="99"/>
    </row>
    <row r="1027" spans="1:9" x14ac:dyDescent="0.3">
      <c r="A1027" s="99"/>
    </row>
    <row r="1028" spans="1:9" x14ac:dyDescent="0.3">
      <c r="A1028" s="99"/>
    </row>
    <row r="1029" spans="1:9" x14ac:dyDescent="0.3">
      <c r="A1029" s="99"/>
      <c r="H1029" s="99"/>
      <c r="I1029" s="99"/>
    </row>
    <row r="1032" spans="1:9" x14ac:dyDescent="0.3">
      <c r="A1032" s="99"/>
    </row>
    <row r="1035" spans="1:9" x14ac:dyDescent="0.3">
      <c r="A1035" s="99"/>
    </row>
    <row r="1038" spans="1:9" x14ac:dyDescent="0.3">
      <c r="A1038" s="99"/>
    </row>
    <row r="1039" spans="1:9" x14ac:dyDescent="0.3">
      <c r="A1039" s="99"/>
    </row>
    <row r="1040" spans="1:9" x14ac:dyDescent="0.3">
      <c r="A1040" s="99"/>
    </row>
    <row r="1041" spans="1:1" x14ac:dyDescent="0.3">
      <c r="A1041" s="99"/>
    </row>
    <row r="1042" spans="1:1" x14ac:dyDescent="0.3">
      <c r="A1042" s="99"/>
    </row>
    <row r="1043" spans="1:1" x14ac:dyDescent="0.3">
      <c r="A1043" s="99"/>
    </row>
    <row r="1044" spans="1:1" x14ac:dyDescent="0.3">
      <c r="A1044" s="99"/>
    </row>
    <row r="1045" spans="1:1" x14ac:dyDescent="0.3">
      <c r="A1045" s="99"/>
    </row>
    <row r="1046" spans="1:1" x14ac:dyDescent="0.3">
      <c r="A1046" s="99"/>
    </row>
    <row r="1047" spans="1:1" x14ac:dyDescent="0.3">
      <c r="A1047" s="99"/>
    </row>
    <row r="1048" spans="1:1" x14ac:dyDescent="0.3">
      <c r="A1048" s="99"/>
    </row>
    <row r="1049" spans="1:1" x14ac:dyDescent="0.3">
      <c r="A1049" s="99"/>
    </row>
    <row r="1050" spans="1:1" x14ac:dyDescent="0.3">
      <c r="A1050" s="99"/>
    </row>
    <row r="1051" spans="1:1" x14ac:dyDescent="0.3">
      <c r="A1051" s="99"/>
    </row>
    <row r="1052" spans="1:1" x14ac:dyDescent="0.3">
      <c r="A1052" s="99"/>
    </row>
    <row r="1053" spans="1:1" x14ac:dyDescent="0.3">
      <c r="A1053" s="99"/>
    </row>
    <row r="1054" spans="1:1" x14ac:dyDescent="0.3">
      <c r="A1054" s="99"/>
    </row>
    <row r="1055" spans="1:1" x14ac:dyDescent="0.3">
      <c r="A1055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1" spans="1:1" x14ac:dyDescent="0.3">
      <c r="A1071" s="99"/>
    </row>
    <row r="1072" spans="1:1" x14ac:dyDescent="0.3">
      <c r="A1072" s="99"/>
    </row>
    <row r="1077" spans="1:1" x14ac:dyDescent="0.3">
      <c r="A1077" s="99"/>
    </row>
    <row r="1078" spans="1:1" x14ac:dyDescent="0.3">
      <c r="A1078" s="99"/>
    </row>
    <row r="1081" spans="1:1" x14ac:dyDescent="0.3">
      <c r="A1081" s="99"/>
    </row>
    <row r="1083" spans="1:1" x14ac:dyDescent="0.3">
      <c r="A1083" s="99"/>
    </row>
    <row r="1085" spans="1:1" x14ac:dyDescent="0.3">
      <c r="A1085" s="99"/>
    </row>
    <row r="1087" spans="1:1" x14ac:dyDescent="0.3">
      <c r="A1087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3" spans="1:1" x14ac:dyDescent="0.3">
      <c r="A1093" s="99"/>
    </row>
    <row r="1094" spans="1:1" x14ac:dyDescent="0.3">
      <c r="A1094" s="99"/>
    </row>
    <row r="1095" spans="1:1" x14ac:dyDescent="0.3">
      <c r="A1095" s="99"/>
    </row>
    <row r="1096" spans="1:1" x14ac:dyDescent="0.3">
      <c r="A1096" s="99"/>
    </row>
    <row r="1097" spans="1:1" x14ac:dyDescent="0.3">
      <c r="A1097" s="99"/>
    </row>
  </sheetData>
  <customSheetViews>
    <customSheetView guid="{F562D92E-120C-4AE9-9663-89E64D41DC53}" scale="75" fitToPage="1" topLeftCell="W89">
      <selection activeCell="P58" sqref="P58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1"/>
      <headerFooter alignWithMargins="0"/>
    </customSheetView>
    <customSheetView guid="{35F19056-2E6F-4935-B863-78836FE990BF}" scale="75" fitToPage="1" showRuler="0">
      <selection activeCell="H21" sqref="H21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2"/>
      <headerFooter alignWithMargins="0"/>
    </customSheetView>
    <customSheetView guid="{18BDED73-BFA0-442E-87EC-CED86EE4CF94}" scale="75" fitToPage="1" showRuler="0" topLeftCell="A83">
      <selection activeCell="AA97" sqref="AA97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5" orientation="landscape" r:id="rId3"/>
      <headerFooter alignWithMargins="0"/>
    </customSheetView>
    <customSheetView guid="{0BC1F393-8A13-47D5-BC6C-0C99615B5AB9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4"/>
      <headerFooter alignWithMargins="0"/>
    </customSheetView>
    <customSheetView guid="{6B3D5C27-2FDE-4561-9575-1E98BFB869D0}" scale="75" fitToPage="1" showRuler="0" topLeftCell="A30">
      <selection activeCell="L60" sqref="L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6"/>
      <headerFooter alignWithMargins="0"/>
    </customSheetView>
    <customSheetView guid="{8FC77C99-DBF7-40B8-99B8-01B75826CDCB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7"/>
      <headerFooter alignWithMargins="0"/>
    </customSheetView>
    <customSheetView guid="{2EA35095-1ADC-4CC7-8C3C-B487D65FA247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9"/>
      <headerFooter alignWithMargins="0"/>
    </customSheetView>
    <customSheetView guid="{4BC93440-BA85-4935-A8C9-66DC6AE5DE5E}" scale="75" fitToPage="1" showRuler="0" topLeftCell="Y82">
      <selection activeCell="Y119" sqref="Y119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59" orientation="landscape" r:id="rId10"/>
      <headerFooter alignWithMargins="0"/>
    </customSheetView>
    <customSheetView guid="{0C49E549-011E-46F4-A82E-2CC8951A9C1E}" scale="75" fitToPage="1" showRuler="0">
      <selection sqref="A1:R60"/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4" max="65535" man="1"/>
        <brk id="167" max="65535" man="1"/>
        <brk id="209" max="65535" man="1"/>
        <brk id="248" max="65535" man="1"/>
        <brk id="304" max="65535" man="1"/>
        <brk id="350" max="65535" man="1"/>
        <brk id="432" max="65535" man="1"/>
        <brk id="470" max="65535" man="1"/>
        <brk id="507" max="65535" man="1"/>
        <brk id="555" max="65535" man="1"/>
        <brk id="616" max="65535" man="1"/>
        <brk id="675" max="65535" man="1"/>
        <brk id="782" max="65535" man="1"/>
        <brk id="829" max="65535" man="1"/>
        <brk id="888" max="65535" man="1"/>
        <brk id="931" max="65535" man="1"/>
      </rowBreaks>
      <colBreaks count="1" manualBreakCount="1">
        <brk id="44" max="1048575" man="1"/>
      </colBreaks>
      <pageMargins left="0.5" right="0.5" top="0.5" bottom="0" header="0" footer="0"/>
      <printOptions horizontalCentered="1"/>
      <pageSetup scale="67" orientation="landscape" r:id="rId12"/>
      <headerFooter alignWithMargins="0"/>
    </customSheetView>
  </customSheetViews>
  <phoneticPr fontId="11" type="noConversion"/>
  <printOptions horizontalCentered="1"/>
  <pageMargins left="0.5" right="0.5" top="0.5" bottom="0" header="0" footer="0"/>
  <pageSetup scale="49" orientation="landscape" r:id="rId13"/>
  <headerFooter alignWithMargins="0"/>
  <rowBreaks count="15" manualBreakCount="15"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syncVertical="1" syncRef="A1" transitionEvaluation="1" transitionEntry="1" codeName="Sheet11">
    <pageSetUpPr fitToPage="1"/>
  </sheetPr>
  <dimension ref="A1:BX1109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1" style="98" customWidth="1"/>
    <col min="5" max="5" width="0.41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332031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7.91406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41.9140625" style="98" customWidth="1"/>
    <col min="24" max="24" width="0.41406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6 OF "&amp;TEXT(Page_Num_2.3,"00")</f>
        <v>PAGE 6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196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94</v>
      </c>
      <c r="D20" s="124" t="s">
        <v>154</v>
      </c>
      <c r="E20" s="99"/>
      <c r="F20" s="1"/>
      <c r="G20" s="1"/>
      <c r="H20" s="215"/>
      <c r="I20" s="215"/>
      <c r="J20" s="167" t="s">
        <v>328</v>
      </c>
      <c r="K20" s="215"/>
      <c r="L20" s="215"/>
      <c r="M20" s="215"/>
      <c r="N20" s="215"/>
      <c r="O20" s="215"/>
      <c r="P20" s="215"/>
      <c r="Q20" s="215"/>
      <c r="R20" s="215"/>
      <c r="T20" s="99"/>
      <c r="U20" s="99"/>
    </row>
    <row r="21" spans="1:40" x14ac:dyDescent="0.3">
      <c r="A21" s="98">
        <v>2</v>
      </c>
      <c r="C21" s="134"/>
      <c r="D21" s="124" t="s">
        <v>155</v>
      </c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98">
        <v>3</v>
      </c>
      <c r="C23" s="124" t="s">
        <v>133</v>
      </c>
      <c r="F23" s="106"/>
      <c r="G23" s="1"/>
      <c r="H23" s="1"/>
      <c r="I23" s="1"/>
      <c r="J23" s="245"/>
      <c r="K23" s="245"/>
      <c r="L23" s="106"/>
      <c r="M23" s="106"/>
      <c r="N23" s="1"/>
      <c r="O23" s="1"/>
      <c r="P23" s="1"/>
      <c r="Q23" s="1"/>
      <c r="R23" s="106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99" t="s">
        <v>134</v>
      </c>
      <c r="F24" s="172">
        <f>'[6]Forecast BILLS'!$B$69</f>
        <v>194</v>
      </c>
      <c r="G24" s="1"/>
      <c r="H24" s="147"/>
      <c r="I24" s="147"/>
      <c r="J24" s="181">
        <f>INPUT!D86</f>
        <v>15</v>
      </c>
      <c r="K24" s="180"/>
      <c r="L24" s="106">
        <f>ROUND(F24*J24,0)</f>
        <v>2910</v>
      </c>
      <c r="M24" s="106"/>
      <c r="N24" s="175">
        <f>ROUND((L24/L$43)*100,1)</f>
        <v>0.1</v>
      </c>
      <c r="O24" s="175"/>
      <c r="P24" s="106"/>
      <c r="Q24" s="106"/>
      <c r="R24" s="106">
        <f>L24+P24</f>
        <v>2910</v>
      </c>
      <c r="S24" s="110"/>
      <c r="V24" s="192"/>
      <c r="Y24" s="192"/>
      <c r="Z24" s="217"/>
      <c r="AA24" s="192"/>
      <c r="AB24" s="192"/>
      <c r="AC24" s="192"/>
      <c r="AD24" s="192"/>
      <c r="AE24" s="192"/>
      <c r="AF24" s="192"/>
      <c r="AI24" s="192"/>
      <c r="AJ24" s="192"/>
      <c r="AK24" s="194"/>
      <c r="AL24" s="192"/>
      <c r="AM24" s="141"/>
      <c r="AN24" s="141"/>
    </row>
    <row r="25" spans="1:40" x14ac:dyDescent="0.3">
      <c r="A25" s="98">
        <v>5</v>
      </c>
      <c r="C25" s="99" t="s">
        <v>135</v>
      </c>
      <c r="F25" s="172">
        <f>'[6]Forecast BILLS'!$I$69</f>
        <v>770</v>
      </c>
      <c r="G25" s="1"/>
      <c r="H25" s="182"/>
      <c r="I25" s="182"/>
      <c r="J25" s="181">
        <f>INPUT!D87</f>
        <v>30</v>
      </c>
      <c r="K25" s="180"/>
      <c r="L25" s="106">
        <f>ROUND(F25*J25,0)</f>
        <v>23100</v>
      </c>
      <c r="M25" s="106"/>
      <c r="N25" s="175">
        <f>ROUND((L25/L$43)*100,1)</f>
        <v>1.1000000000000001</v>
      </c>
      <c r="O25" s="175"/>
      <c r="P25" s="106"/>
      <c r="Q25" s="106"/>
      <c r="R25" s="106">
        <f>L25+P25</f>
        <v>23100</v>
      </c>
      <c r="S25" s="110"/>
      <c r="V25" s="172"/>
      <c r="Y25" s="172"/>
      <c r="Z25" s="217"/>
      <c r="AA25" s="110"/>
      <c r="AB25" s="110"/>
      <c r="AC25" s="141"/>
      <c r="AD25" s="141"/>
      <c r="AE25" s="110"/>
      <c r="AF25" s="110"/>
      <c r="AI25" s="110"/>
      <c r="AJ25" s="110"/>
      <c r="AL25" s="110"/>
      <c r="AM25" s="141"/>
      <c r="AN25" s="141"/>
    </row>
    <row r="26" spans="1:40" x14ac:dyDescent="0.3">
      <c r="A26" s="98">
        <v>6</v>
      </c>
      <c r="C26" s="116" t="s">
        <v>144</v>
      </c>
      <c r="F26" s="172">
        <v>0</v>
      </c>
      <c r="G26" s="1"/>
      <c r="H26" s="182"/>
      <c r="I26" s="182"/>
      <c r="J26" s="181">
        <f>INPUT!D88</f>
        <v>120</v>
      </c>
      <c r="K26" s="180"/>
      <c r="L26" s="106">
        <f>ROUND(F26*J26,0)</f>
        <v>0</v>
      </c>
      <c r="M26" s="106"/>
      <c r="N26" s="236">
        <f>ROUND((L26/L$43)*100,1)</f>
        <v>0</v>
      </c>
      <c r="O26" s="175"/>
      <c r="P26" s="106"/>
      <c r="Q26" s="106"/>
      <c r="R26" s="117">
        <f>L26+P26</f>
        <v>0</v>
      </c>
      <c r="S26" s="110"/>
      <c r="V26" s="172"/>
      <c r="Y26" s="172"/>
      <c r="Z26" s="217"/>
      <c r="AA26" s="110"/>
      <c r="AB26" s="110"/>
      <c r="AC26" s="141"/>
      <c r="AD26" s="141"/>
      <c r="AE26" s="110"/>
      <c r="AF26" s="110"/>
      <c r="AI26" s="110"/>
      <c r="AJ26" s="110"/>
      <c r="AL26" s="110"/>
      <c r="AM26" s="141"/>
      <c r="AN26" s="141"/>
    </row>
    <row r="27" spans="1:40" ht="20.100000000000001" customHeight="1" x14ac:dyDescent="0.3">
      <c r="A27" s="98">
        <v>7</v>
      </c>
      <c r="C27" s="124" t="s">
        <v>136</v>
      </c>
      <c r="F27" s="112">
        <f>SUM(F24:F26)</f>
        <v>964</v>
      </c>
      <c r="G27" s="1"/>
      <c r="H27" s="106"/>
      <c r="I27" s="106"/>
      <c r="J27" s="136"/>
      <c r="K27" s="136"/>
      <c r="L27" s="112">
        <f>SUM(L24:L26)</f>
        <v>26010</v>
      </c>
      <c r="M27" s="106"/>
      <c r="N27" s="193">
        <f>ROUND((L27/L$43)*100,1)</f>
        <v>1.2</v>
      </c>
      <c r="O27" s="175"/>
      <c r="P27" s="112"/>
      <c r="Q27" s="106"/>
      <c r="R27" s="112">
        <f>SUM(R24:R26)</f>
        <v>26010</v>
      </c>
      <c r="S27" s="110"/>
      <c r="V27" s="192"/>
      <c r="Y27" s="192"/>
      <c r="Z27" s="217"/>
      <c r="AA27" s="192"/>
      <c r="AB27" s="192"/>
      <c r="AC27" s="192"/>
      <c r="AD27" s="192"/>
      <c r="AE27" s="192"/>
      <c r="AF27" s="192"/>
      <c r="AI27" s="192"/>
      <c r="AJ27" s="192"/>
      <c r="AK27" s="194"/>
      <c r="AL27" s="192"/>
      <c r="AM27" s="141"/>
      <c r="AN27" s="141"/>
    </row>
    <row r="28" spans="1:40" x14ac:dyDescent="0.3">
      <c r="C28" s="99"/>
      <c r="F28" s="106"/>
      <c r="G28" s="1"/>
      <c r="H28" s="106"/>
      <c r="I28" s="106"/>
      <c r="J28" s="136"/>
      <c r="K28" s="136"/>
      <c r="L28" s="106"/>
      <c r="M28" s="106"/>
      <c r="N28" s="175"/>
      <c r="O28" s="175"/>
      <c r="P28" s="106"/>
      <c r="Q28" s="106"/>
      <c r="R28" s="106"/>
      <c r="S28" s="110"/>
      <c r="V28" s="192"/>
      <c r="Y28" s="192"/>
      <c r="Z28" s="217"/>
      <c r="AA28" s="192"/>
      <c r="AB28" s="192"/>
      <c r="AC28" s="192"/>
      <c r="AD28" s="192"/>
      <c r="AE28" s="192"/>
      <c r="AF28" s="192"/>
      <c r="AI28" s="192"/>
      <c r="AJ28" s="192"/>
      <c r="AK28" s="194"/>
      <c r="AL28" s="192"/>
      <c r="AM28" s="141"/>
      <c r="AN28" s="141"/>
    </row>
    <row r="29" spans="1:40" x14ac:dyDescent="0.3">
      <c r="A29" s="98">
        <v>8</v>
      </c>
      <c r="C29" s="124" t="s">
        <v>63</v>
      </c>
      <c r="F29" s="106"/>
      <c r="G29" s="1"/>
      <c r="H29" s="106"/>
      <c r="I29" s="106"/>
      <c r="J29" s="136"/>
      <c r="K29" s="136"/>
      <c r="L29" s="106"/>
      <c r="M29" s="106"/>
      <c r="N29" s="175"/>
      <c r="O29" s="175"/>
      <c r="P29" s="106"/>
      <c r="Q29" s="106"/>
      <c r="R29" s="106"/>
      <c r="S29" s="110"/>
      <c r="V29" s="192"/>
      <c r="Y29" s="192"/>
      <c r="Z29" s="217"/>
      <c r="AA29" s="192"/>
      <c r="AB29" s="192"/>
      <c r="AC29" s="192"/>
      <c r="AD29" s="192"/>
      <c r="AE29" s="192"/>
      <c r="AF29" s="192"/>
      <c r="AI29" s="192"/>
      <c r="AJ29" s="192"/>
      <c r="AK29" s="194"/>
      <c r="AL29" s="192"/>
      <c r="AM29" s="141"/>
      <c r="AN29" s="141"/>
    </row>
    <row r="30" spans="1:40" x14ac:dyDescent="0.3">
      <c r="A30" s="98">
        <v>9</v>
      </c>
      <c r="C30" s="99"/>
      <c r="F30" s="106"/>
      <c r="G30" s="1"/>
      <c r="H30" s="243"/>
      <c r="I30" s="106"/>
      <c r="J30" s="209"/>
      <c r="K30" s="136"/>
      <c r="L30" s="117"/>
      <c r="M30" s="106"/>
      <c r="N30" s="236"/>
      <c r="O30" s="175"/>
      <c r="P30" s="117"/>
      <c r="Q30" s="106"/>
      <c r="R30" s="117"/>
      <c r="S30" s="110"/>
      <c r="V30" s="192"/>
      <c r="Y30" s="192"/>
      <c r="Z30" s="217"/>
      <c r="AA30" s="192"/>
      <c r="AB30" s="192"/>
      <c r="AC30" s="192"/>
      <c r="AD30" s="192"/>
      <c r="AE30" s="192"/>
      <c r="AF30" s="192"/>
      <c r="AI30" s="192"/>
      <c r="AJ30" s="192"/>
      <c r="AK30" s="194"/>
      <c r="AL30" s="192"/>
      <c r="AM30" s="141"/>
      <c r="AN30" s="141"/>
    </row>
    <row r="31" spans="1:40" x14ac:dyDescent="0.3">
      <c r="C31" s="99"/>
      <c r="F31" s="106"/>
      <c r="G31" s="1"/>
      <c r="H31" s="110"/>
      <c r="I31" s="106"/>
      <c r="J31" s="209"/>
      <c r="K31" s="136"/>
      <c r="L31" s="106"/>
      <c r="M31" s="106"/>
      <c r="N31" s="175"/>
      <c r="O31" s="175"/>
      <c r="P31" s="106"/>
      <c r="Q31" s="106"/>
      <c r="R31" s="106"/>
      <c r="S31" s="110"/>
      <c r="V31" s="192"/>
      <c r="Y31" s="192"/>
      <c r="Z31" s="217"/>
      <c r="AA31" s="192"/>
      <c r="AB31" s="192"/>
      <c r="AC31" s="192"/>
      <c r="AD31" s="192"/>
      <c r="AE31" s="192"/>
      <c r="AF31" s="192"/>
      <c r="AI31" s="192"/>
      <c r="AJ31" s="192"/>
      <c r="AK31" s="194"/>
      <c r="AL31" s="192"/>
      <c r="AM31" s="141"/>
      <c r="AN31" s="141"/>
    </row>
    <row r="32" spans="1:40" x14ac:dyDescent="0.3">
      <c r="A32" s="98">
        <v>10</v>
      </c>
      <c r="C32" s="124" t="s">
        <v>371</v>
      </c>
      <c r="F32" s="106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06"/>
      <c r="S32" s="110"/>
      <c r="T32" s="99"/>
      <c r="Z32" s="217"/>
      <c r="AA32" s="110"/>
      <c r="AB32" s="110"/>
      <c r="AC32" s="141"/>
      <c r="AD32" s="141"/>
      <c r="AE32" s="110"/>
      <c r="AF32" s="110"/>
      <c r="AH32" s="141"/>
      <c r="AI32" s="110"/>
      <c r="AJ32" s="110"/>
      <c r="AL32" s="110"/>
      <c r="AM32" s="141"/>
      <c r="AN32" s="141"/>
    </row>
    <row r="33" spans="1:18" x14ac:dyDescent="0.3">
      <c r="A33" s="98">
        <v>11</v>
      </c>
      <c r="C33" s="99" t="s">
        <v>68</v>
      </c>
      <c r="F33" s="117"/>
      <c r="G33" s="1"/>
      <c r="H33" s="183">
        <f>'[6]Forecast KWH'!$I$68</f>
        <v>19400962.346000001</v>
      </c>
      <c r="I33" s="147"/>
      <c r="J33" s="189">
        <f>INPUT!D90</f>
        <v>0.104834</v>
      </c>
      <c r="K33" s="185"/>
      <c r="L33" s="117">
        <f>ROUND((H33*J33),0)</f>
        <v>2033880</v>
      </c>
      <c r="M33" s="106"/>
      <c r="N33" s="236">
        <f>ROUND((L33/L$43)*100,1)</f>
        <v>93.1</v>
      </c>
      <c r="O33" s="175"/>
      <c r="P33" s="177"/>
      <c r="Q33" s="147"/>
      <c r="R33" s="117">
        <f>L33+P33</f>
        <v>2033880</v>
      </c>
    </row>
    <row r="34" spans="1:18" ht="18" customHeight="1" x14ac:dyDescent="0.3">
      <c r="A34" s="98">
        <v>12</v>
      </c>
      <c r="C34" s="169" t="s">
        <v>441</v>
      </c>
      <c r="F34" s="117">
        <f>F27</f>
        <v>964</v>
      </c>
      <c r="G34" s="1"/>
      <c r="H34" s="246">
        <f>H33</f>
        <v>19400962.346000001</v>
      </c>
      <c r="I34" s="147"/>
      <c r="J34" s="189"/>
      <c r="K34" s="185"/>
      <c r="L34" s="112">
        <f>L27+L30+L33</f>
        <v>2059890</v>
      </c>
      <c r="M34" s="106"/>
      <c r="N34" s="193">
        <f>ROUND((L34/L$43)*100,1)</f>
        <v>94.3</v>
      </c>
      <c r="O34" s="175"/>
      <c r="P34" s="246"/>
      <c r="Q34" s="147"/>
      <c r="R34" s="112">
        <f>R33+R30+R27</f>
        <v>2059890</v>
      </c>
    </row>
    <row r="35" spans="1:18" x14ac:dyDescent="0.3">
      <c r="C35" s="99"/>
      <c r="F35" s="106"/>
      <c r="G35" s="1"/>
      <c r="H35" s="172"/>
      <c r="I35" s="147"/>
      <c r="J35" s="189"/>
      <c r="K35" s="185"/>
      <c r="L35" s="106"/>
      <c r="M35" s="106"/>
      <c r="N35" s="175"/>
      <c r="O35" s="175"/>
      <c r="P35" s="147"/>
      <c r="Q35" s="147"/>
      <c r="R35" s="106"/>
    </row>
    <row r="36" spans="1:18" x14ac:dyDescent="0.3">
      <c r="A36" s="98">
        <v>13</v>
      </c>
      <c r="C36" s="124" t="s">
        <v>428</v>
      </c>
      <c r="F36" s="106"/>
      <c r="G36" s="1"/>
      <c r="H36" s="106"/>
      <c r="I36" s="106"/>
      <c r="J36" s="239"/>
      <c r="K36" s="185"/>
      <c r="L36" s="106"/>
      <c r="M36" s="106"/>
      <c r="N36" s="175"/>
      <c r="O36" s="175"/>
      <c r="P36" s="147"/>
      <c r="Q36" s="147"/>
      <c r="R36" s="106"/>
    </row>
    <row r="37" spans="1:18" x14ac:dyDescent="0.3">
      <c r="A37" s="98">
        <v>14</v>
      </c>
      <c r="C37" s="176" t="str">
        <f>DSMR_Name</f>
        <v>DEMAND SIDE MANAGEMENT RIDER (DSMR)</v>
      </c>
      <c r="F37" s="106"/>
      <c r="G37" s="1"/>
      <c r="H37" s="106"/>
      <c r="I37" s="106"/>
      <c r="J37" s="218">
        <f>PRO_DSM_DIST</f>
        <v>3.503E-3</v>
      </c>
      <c r="K37" s="185"/>
      <c r="L37" s="106">
        <f>ROUND($H$34*J37,0)</f>
        <v>67962</v>
      </c>
      <c r="M37" s="106"/>
      <c r="N37" s="154">
        <f>ROUND((L37/L$43)*100,1)</f>
        <v>3.1</v>
      </c>
      <c r="O37" s="175"/>
      <c r="P37" s="147"/>
      <c r="Q37" s="147"/>
      <c r="R37" s="106">
        <f>L37+P37</f>
        <v>67962</v>
      </c>
    </row>
    <row r="38" spans="1:18" x14ac:dyDescent="0.3">
      <c r="A38" s="98">
        <v>15</v>
      </c>
      <c r="C38" s="176" t="str">
        <f>ESM_Name</f>
        <v>ENVIRONMENTAL SURCHARGE MECHANISM RIDER (ESM)</v>
      </c>
      <c r="F38" s="106"/>
      <c r="G38" s="1"/>
      <c r="H38" s="106"/>
      <c r="I38" s="106"/>
      <c r="J38" s="187">
        <f>PRO_ESM_NONRES</f>
        <v>5.3681872802409589E-3</v>
      </c>
      <c r="K38" s="185"/>
      <c r="L38" s="106">
        <f>ROUND((R34-(PRO_BASE_FUEL*H34)+R37+R40)*J38,0)</f>
        <v>8162</v>
      </c>
      <c r="M38" s="106"/>
      <c r="N38" s="154">
        <f>ROUND((L38/L$43)*100,1)</f>
        <v>0.4</v>
      </c>
      <c r="O38" s="175"/>
      <c r="P38" s="147"/>
      <c r="Q38" s="147"/>
      <c r="R38" s="106">
        <f>L38+P38</f>
        <v>8162</v>
      </c>
    </row>
    <row r="39" spans="1:18" x14ac:dyDescent="0.3">
      <c r="A39" s="98">
        <v>16</v>
      </c>
      <c r="C39" s="176" t="str">
        <f>FAC_Name</f>
        <v>FUEL ADJUSTMENT CLAUSE (FAC)</v>
      </c>
      <c r="F39" s="106"/>
      <c r="G39" s="1"/>
      <c r="H39" s="106"/>
      <c r="I39" s="106"/>
      <c r="J39" s="218">
        <f>PRO_FAC</f>
        <v>3.4872127999999998E-3</v>
      </c>
      <c r="K39" s="185"/>
      <c r="L39" s="106"/>
      <c r="M39" s="106"/>
      <c r="N39" s="154">
        <f>ROUND((L39/L$43)*100,1)</f>
        <v>0</v>
      </c>
      <c r="O39" s="175"/>
      <c r="P39" s="147">
        <f>ROUND(H34*PRO_FAC,0)</f>
        <v>67655</v>
      </c>
      <c r="Q39" s="147"/>
      <c r="R39" s="106">
        <f>L39+P39</f>
        <v>67655</v>
      </c>
    </row>
    <row r="40" spans="1:18" x14ac:dyDescent="0.3">
      <c r="A40" s="98">
        <v>17</v>
      </c>
      <c r="C40" s="176" t="str">
        <f>PSM_Name</f>
        <v>PROFIT SHARING MECHANISM (PSM)</v>
      </c>
      <c r="F40" s="106"/>
      <c r="G40" s="1"/>
      <c r="H40" s="106"/>
      <c r="I40" s="106"/>
      <c r="J40" s="218">
        <f>PRO_PSM</f>
        <v>2.4750000000000002E-3</v>
      </c>
      <c r="K40" s="185"/>
      <c r="L40" s="117">
        <f>ROUND(H34*PRO_PSM,0)</f>
        <v>48017</v>
      </c>
      <c r="M40" s="106"/>
      <c r="N40" s="154">
        <f>ROUND((L40/L$43)*100,1)</f>
        <v>2.2000000000000002</v>
      </c>
      <c r="O40" s="175"/>
      <c r="P40" s="177"/>
      <c r="Q40" s="147"/>
      <c r="R40" s="106">
        <f>L40+P40</f>
        <v>48017</v>
      </c>
    </row>
    <row r="41" spans="1:18" ht="18" customHeight="1" x14ac:dyDescent="0.3">
      <c r="A41" s="98">
        <v>18</v>
      </c>
      <c r="C41" s="124" t="s">
        <v>433</v>
      </c>
      <c r="F41" s="117"/>
      <c r="G41" s="1"/>
      <c r="H41" s="117"/>
      <c r="I41" s="106"/>
      <c r="J41" s="171"/>
      <c r="K41" s="185"/>
      <c r="L41" s="112">
        <f>SUM(L37:L40)</f>
        <v>124141</v>
      </c>
      <c r="M41" s="106"/>
      <c r="N41" s="158">
        <f>ROUND((L41/L$43)*100,1)</f>
        <v>5.7</v>
      </c>
      <c r="O41" s="175"/>
      <c r="P41" s="246">
        <f>SUM(P37:P40)</f>
        <v>67655</v>
      </c>
      <c r="Q41" s="147"/>
      <c r="R41" s="112">
        <f>SUM(R37:R40)</f>
        <v>191796</v>
      </c>
    </row>
    <row r="42" spans="1:18" x14ac:dyDescent="0.3">
      <c r="C42" s="99"/>
      <c r="F42" s="106"/>
      <c r="G42" s="1"/>
      <c r="H42" s="172"/>
      <c r="I42" s="147"/>
      <c r="J42" s="186"/>
      <c r="K42" s="185"/>
      <c r="L42" s="106"/>
      <c r="M42" s="106"/>
      <c r="N42" s="175"/>
      <c r="O42" s="175"/>
      <c r="P42" s="147"/>
      <c r="Q42" s="147"/>
      <c r="R42" s="106"/>
    </row>
    <row r="43" spans="1:18" ht="20.100000000000001" customHeight="1" thickBot="1" x14ac:dyDescent="0.35">
      <c r="A43" s="98">
        <v>19</v>
      </c>
      <c r="C43" s="124" t="s">
        <v>442</v>
      </c>
      <c r="F43" s="120">
        <f>F34</f>
        <v>964</v>
      </c>
      <c r="G43" s="1"/>
      <c r="H43" s="120">
        <f>H34</f>
        <v>19400962.346000001</v>
      </c>
      <c r="I43" s="106"/>
      <c r="J43" s="245"/>
      <c r="K43" s="245"/>
      <c r="L43" s="120">
        <f>L34+L41</f>
        <v>2184031</v>
      </c>
      <c r="M43" s="106"/>
      <c r="N43" s="197">
        <v>100</v>
      </c>
      <c r="O43" s="175"/>
      <c r="P43" s="120">
        <f>P41+P34</f>
        <v>67655</v>
      </c>
      <c r="Q43" s="106"/>
      <c r="R43" s="120">
        <f>R41+R34</f>
        <v>2251686</v>
      </c>
    </row>
    <row r="44" spans="1:18" ht="16.2" thickTop="1" x14ac:dyDescent="0.3"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06"/>
    </row>
    <row r="45" spans="1:18" x14ac:dyDescent="0.3">
      <c r="C45" s="178" t="s">
        <v>59</v>
      </c>
      <c r="F45" s="110"/>
      <c r="H45" s="110"/>
      <c r="I45" s="110"/>
      <c r="J45" s="198"/>
      <c r="K45" s="198"/>
      <c r="L45" s="110"/>
      <c r="M45" s="110"/>
      <c r="N45" s="110"/>
      <c r="O45" s="110"/>
      <c r="P45" s="110"/>
      <c r="Q45" s="110"/>
      <c r="R45" s="110"/>
    </row>
    <row r="46" spans="1:18" x14ac:dyDescent="0.3">
      <c r="C46" s="178" t="str">
        <f>"(2) REFLECTS FUEL COMPONENT OF "&amp;TEXT(PRO_FAC,"$0.000000;($0.000000)")&amp;"  PER KWH."</f>
        <v>(2) REFLECTS FUEL COMPONENT OF $0.003487  PER KWH.</v>
      </c>
      <c r="F46" s="110"/>
      <c r="H46" s="110"/>
      <c r="I46" s="110"/>
      <c r="J46" s="198"/>
      <c r="K46" s="198"/>
      <c r="L46" s="110"/>
      <c r="M46" s="110"/>
      <c r="N46" s="110"/>
      <c r="O46" s="110"/>
      <c r="P46" s="110"/>
      <c r="Q46" s="110"/>
      <c r="R46" s="110"/>
    </row>
    <row r="47" spans="1:18" x14ac:dyDescent="0.3">
      <c r="A47" s="102"/>
      <c r="C47" s="178" t="str">
        <f>"(3) REFLECTS FUEL COST RECOVERY INCLUDED IN BASE RATES OF "&amp;TEXT(PRO_BASE_FUEL,"$0.000000;($0.000000)")&amp;"  PER KWH."</f>
        <v>(3) REFLECTS FUEL COST RECOVERY INCLUDED IN BASE RATES OF $0.033780  PER KWH.</v>
      </c>
      <c r="D47" s="102"/>
      <c r="E47" s="102"/>
      <c r="F47" s="102"/>
      <c r="J47" s="102"/>
      <c r="K47" s="102"/>
      <c r="L47" s="102"/>
      <c r="M47" s="102"/>
      <c r="N47" s="102"/>
      <c r="O47" s="102"/>
      <c r="P47" s="102"/>
      <c r="Q47" s="102"/>
      <c r="R47" s="102"/>
    </row>
    <row r="48" spans="1:18" x14ac:dyDescent="0.3">
      <c r="A48" s="102"/>
      <c r="C48" s="102"/>
      <c r="D48" s="102"/>
      <c r="E48" s="102"/>
      <c r="F48" s="102"/>
      <c r="J48" s="102"/>
      <c r="K48" s="102"/>
      <c r="L48" s="102"/>
      <c r="M48" s="102"/>
      <c r="N48" s="102"/>
      <c r="O48" s="102"/>
      <c r="P48" s="102"/>
      <c r="Q48" s="102"/>
      <c r="R48" s="102"/>
    </row>
    <row r="49" spans="1:76" x14ac:dyDescent="0.3">
      <c r="A49" s="102"/>
      <c r="C49" s="102"/>
      <c r="D49" s="102"/>
      <c r="E49" s="102"/>
      <c r="F49"/>
      <c r="G49"/>
      <c r="H49"/>
      <c r="I49"/>
      <c r="J49"/>
      <c r="K49" s="102"/>
      <c r="L49" s="102"/>
      <c r="M49" s="102"/>
      <c r="N49" s="102"/>
      <c r="O49" s="102"/>
      <c r="P49" s="102"/>
      <c r="Q49" s="102"/>
      <c r="R49" s="102"/>
      <c r="T49" s="97" t="str">
        <f>NAME</f>
        <v>DUKE ENERGY KENTUCKY, INC.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L49" s="97"/>
      <c r="AM49" s="97"/>
      <c r="AN49" s="97"/>
      <c r="AO49" s="97"/>
      <c r="AP49" s="97"/>
      <c r="AQ49" s="149"/>
    </row>
    <row r="50" spans="1:76" x14ac:dyDescent="0.3">
      <c r="A50" s="102"/>
      <c r="C50" s="102"/>
      <c r="D50" s="102"/>
      <c r="E50" s="102"/>
      <c r="F50"/>
      <c r="G50"/>
      <c r="H50"/>
      <c r="I50"/>
      <c r="J50"/>
      <c r="K50" s="102"/>
      <c r="L50" s="102"/>
      <c r="M50" s="102"/>
      <c r="N50" s="102"/>
      <c r="O50" s="102"/>
      <c r="P50" s="102"/>
      <c r="Q50" s="102"/>
      <c r="R50" s="102"/>
      <c r="T50" s="97" t="str">
        <f>CASE_NO</f>
        <v>CASE NO.   2024-00354</v>
      </c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149"/>
      <c r="AH50" s="97"/>
      <c r="AI50" s="97"/>
      <c r="AJ50" s="97"/>
      <c r="AK50" s="149"/>
      <c r="AL50" s="97"/>
      <c r="AM50" s="97"/>
      <c r="AN50" s="97"/>
      <c r="AO50" s="97"/>
      <c r="AP50" s="97"/>
      <c r="AQ50" s="149"/>
    </row>
    <row r="51" spans="1:76" x14ac:dyDescent="0.3">
      <c r="C51" s="102"/>
      <c r="D51" s="102"/>
      <c r="E51" s="102"/>
      <c r="F51"/>
      <c r="G51"/>
      <c r="H51"/>
      <c r="I51"/>
      <c r="J51"/>
      <c r="K51" s="102"/>
      <c r="L51" s="102"/>
      <c r="M51" s="102"/>
      <c r="N51" s="102"/>
      <c r="O51" s="102"/>
      <c r="P51" s="102"/>
      <c r="Q51" s="102"/>
      <c r="R51" s="102"/>
      <c r="T51" s="97" t="str">
        <f>TITLE</f>
        <v>ANNUALIZED BASE YEAR REVENUES AT PROPOSED VS. MOST CURRENT RATES</v>
      </c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149"/>
      <c r="AH51" s="97"/>
      <c r="AI51" s="97"/>
      <c r="AJ51" s="97"/>
      <c r="AK51" s="149"/>
      <c r="AL51" s="97"/>
      <c r="AM51" s="97"/>
      <c r="AN51" s="97"/>
      <c r="AO51" s="97"/>
      <c r="AP51" s="97"/>
      <c r="AQ51" s="149"/>
    </row>
    <row r="52" spans="1:76" x14ac:dyDescent="0.3">
      <c r="A52" s="101"/>
      <c r="B52" s="101"/>
      <c r="C52" s="101"/>
      <c r="D52" s="101"/>
      <c r="E52" s="101"/>
      <c r="F52"/>
      <c r="G52"/>
      <c r="H52"/>
      <c r="I52"/>
      <c r="J52"/>
      <c r="K52" s="101"/>
      <c r="L52" s="101"/>
      <c r="M52" s="101"/>
      <c r="N52" s="101"/>
      <c r="O52" s="101"/>
      <c r="P52" s="101"/>
      <c r="Q52" s="101"/>
      <c r="R52" s="101"/>
      <c r="T52" s="97" t="str">
        <f>DATE</f>
        <v>FOR THE TWELVE MONTHS ENDED February 28, 2025</v>
      </c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149"/>
      <c r="AH52" s="97"/>
      <c r="AI52" s="97"/>
      <c r="AJ52" s="97"/>
      <c r="AK52" s="149"/>
      <c r="AL52" s="97"/>
      <c r="AM52" s="97"/>
      <c r="AN52" s="97"/>
      <c r="AO52" s="97"/>
      <c r="AP52" s="97"/>
      <c r="AQ52" s="149"/>
    </row>
    <row r="53" spans="1:76" x14ac:dyDescent="0.3">
      <c r="F53"/>
      <c r="G53"/>
      <c r="H53"/>
      <c r="I53"/>
      <c r="J53"/>
      <c r="K53" s="102"/>
      <c r="L53" s="102"/>
      <c r="M53" s="102"/>
      <c r="N53" s="102"/>
      <c r="O53" s="102"/>
      <c r="P53" s="102"/>
      <c r="Q53" s="102"/>
      <c r="R53" s="102"/>
      <c r="T53" s="97" t="str">
        <f>SERVICE</f>
        <v>(ELECTRIC SERVICE)</v>
      </c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149"/>
      <c r="AH53" s="97"/>
      <c r="AI53" s="97"/>
      <c r="AJ53" s="97"/>
      <c r="AK53" s="149"/>
      <c r="AL53" s="97"/>
      <c r="AM53" s="97"/>
      <c r="AN53" s="97"/>
      <c r="AO53" s="97"/>
      <c r="AP53" s="97"/>
      <c r="AQ53" s="149"/>
    </row>
    <row r="54" spans="1:76" x14ac:dyDescent="0.3">
      <c r="C54" s="99"/>
      <c r="D54" s="99"/>
      <c r="E54" s="99"/>
      <c r="F54"/>
      <c r="G54"/>
      <c r="H54"/>
      <c r="I54"/>
      <c r="J54"/>
      <c r="T54" s="98" t="str">
        <f>DATA_PERIOD</f>
        <v>DATA: __X__ BASE PERIOD   ____FORECASTED PERIOD</v>
      </c>
      <c r="AO54" s="99" t="s">
        <v>157</v>
      </c>
      <c r="AP54" s="99"/>
    </row>
    <row r="55" spans="1:76" x14ac:dyDescent="0.3">
      <c r="D55" s="99"/>
      <c r="E55" s="99"/>
      <c r="T55" s="98" t="str">
        <f>TYPE</f>
        <v>TYPE OF FILING: _X_ ORIGINAL   ___UPDATED  ___ REVISED</v>
      </c>
      <c r="AO55" s="116" t="str">
        <f>"PAGE 6 OF "&amp;TEXT(Page_Num_2.2,"00")</f>
        <v>PAGE 6 OF 24</v>
      </c>
      <c r="AP55" s="99"/>
    </row>
    <row r="56" spans="1:76" x14ac:dyDescent="0.3">
      <c r="T56" s="99" t="s">
        <v>170</v>
      </c>
      <c r="AO56" s="99" t="s">
        <v>3</v>
      </c>
      <c r="AP56" s="99"/>
    </row>
    <row r="57" spans="1:76" x14ac:dyDescent="0.3">
      <c r="C57" s="99"/>
      <c r="T57" s="124" t="str">
        <f>TIME</f>
        <v>6 Months Actual and 6 Months Projected with Riders</v>
      </c>
      <c r="AO57" s="98" t="str">
        <f>WIT</f>
        <v>B. L. Sailers</v>
      </c>
    </row>
    <row r="58" spans="1:76" x14ac:dyDescent="0.3">
      <c r="C58" s="99"/>
      <c r="T58" s="124" t="str">
        <f>INPUT!B5</f>
        <v>6 Months Actual Ending August 31, 2024</v>
      </c>
    </row>
    <row r="59" spans="1:76" x14ac:dyDescent="0.3">
      <c r="C59" s="99"/>
      <c r="F59" s="172"/>
      <c r="H59" s="172"/>
      <c r="I59" s="172"/>
      <c r="J59" s="181"/>
      <c r="K59" s="181"/>
      <c r="L59" s="110"/>
      <c r="M59" s="110"/>
      <c r="N59" s="141"/>
      <c r="O59" s="141"/>
      <c r="R59" s="110"/>
      <c r="T59" s="97" t="s">
        <v>130</v>
      </c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149"/>
      <c r="AH59" s="97"/>
      <c r="AI59" s="97"/>
      <c r="AJ59" s="97"/>
      <c r="AK59" s="149"/>
      <c r="AL59" s="97"/>
      <c r="AM59" s="97"/>
      <c r="AN59" s="97"/>
      <c r="AO59" s="97"/>
      <c r="AP59" s="97"/>
      <c r="AQ59" s="149"/>
    </row>
    <row r="60" spans="1:76" x14ac:dyDescent="0.3">
      <c r="C60" s="99"/>
      <c r="F60" s="172"/>
      <c r="H60" s="172"/>
      <c r="I60" s="172"/>
      <c r="J60" s="181"/>
      <c r="K60" s="181"/>
      <c r="L60" s="110"/>
      <c r="M60" s="110"/>
      <c r="N60" s="141"/>
      <c r="O60" s="141"/>
      <c r="R60" s="110"/>
      <c r="T60" s="100"/>
      <c r="U60" s="100"/>
      <c r="V60" s="100"/>
      <c r="W60" s="100"/>
      <c r="X60" s="100"/>
      <c r="Y60" s="100"/>
      <c r="Z60" s="100"/>
      <c r="AA60" s="100"/>
      <c r="AB60" s="100"/>
      <c r="AC60" s="100"/>
      <c r="AD60" s="100"/>
      <c r="AE60" s="100"/>
      <c r="AF60" s="100"/>
      <c r="AG60" s="150"/>
      <c r="AH60" s="100"/>
      <c r="AI60" s="100"/>
      <c r="AJ60" s="100"/>
      <c r="AK60" s="150"/>
      <c r="AL60" s="100"/>
      <c r="AM60" s="100"/>
      <c r="AN60" s="100"/>
      <c r="AO60" s="100"/>
      <c r="AP60" s="100"/>
      <c r="AQ60" s="150"/>
    </row>
    <row r="61" spans="1:76" ht="18" customHeight="1" x14ac:dyDescent="0.3">
      <c r="F61" s="192"/>
      <c r="H61" s="110"/>
      <c r="I61" s="110"/>
      <c r="J61" s="217"/>
      <c r="K61" s="217"/>
      <c r="L61" s="192"/>
      <c r="M61" s="192"/>
      <c r="N61" s="192"/>
      <c r="O61" s="192"/>
      <c r="P61" s="192"/>
      <c r="Q61" s="192"/>
      <c r="R61" s="192"/>
      <c r="AE61" s="102" t="s">
        <v>8</v>
      </c>
      <c r="AF61" s="102"/>
      <c r="AG61" s="151" t="s">
        <v>7</v>
      </c>
      <c r="AH61" s="102"/>
      <c r="AI61" s="102" t="s">
        <v>9</v>
      </c>
      <c r="AJ61" s="102"/>
      <c r="AK61" s="151" t="s">
        <v>10</v>
      </c>
      <c r="AL61" s="102"/>
      <c r="AO61" s="102" t="s">
        <v>8</v>
      </c>
      <c r="AP61" s="102"/>
      <c r="AQ61" s="151" t="s">
        <v>11</v>
      </c>
    </row>
    <row r="62" spans="1:76" x14ac:dyDescent="0.3">
      <c r="C62" s="99"/>
      <c r="F62" s="110"/>
      <c r="H62" s="110"/>
      <c r="I62" s="110"/>
      <c r="J62" s="217"/>
      <c r="K62" s="217"/>
      <c r="L62" s="110"/>
      <c r="M62" s="110"/>
      <c r="N62" s="141"/>
      <c r="O62" s="141"/>
      <c r="P62" s="110"/>
      <c r="Q62" s="110"/>
      <c r="R62" s="110"/>
      <c r="AC62" s="102" t="s">
        <v>14</v>
      </c>
      <c r="AD62" s="102"/>
      <c r="AE62" s="102" t="s">
        <v>12</v>
      </c>
      <c r="AF62" s="102"/>
      <c r="AG62" s="151" t="s">
        <v>13</v>
      </c>
      <c r="AH62" s="102"/>
      <c r="AI62" s="102" t="s">
        <v>15</v>
      </c>
      <c r="AJ62" s="102"/>
      <c r="AK62" s="151" t="s">
        <v>16</v>
      </c>
      <c r="AL62" s="102"/>
      <c r="AO62" s="102" t="s">
        <v>11</v>
      </c>
      <c r="AP62" s="102"/>
      <c r="AQ62" s="151" t="s">
        <v>9</v>
      </c>
    </row>
    <row r="63" spans="1:76" x14ac:dyDescent="0.3">
      <c r="F63" s="192"/>
      <c r="H63" s="110"/>
      <c r="I63" s="110"/>
      <c r="J63" s="217"/>
      <c r="K63" s="217"/>
      <c r="L63" s="192"/>
      <c r="M63" s="192"/>
      <c r="N63" s="192"/>
      <c r="O63" s="192"/>
      <c r="P63" s="192"/>
      <c r="Q63" s="192"/>
      <c r="R63" s="192"/>
      <c r="T63" s="102" t="s">
        <v>17</v>
      </c>
      <c r="V63" s="102" t="s">
        <v>18</v>
      </c>
      <c r="W63" s="102" t="s">
        <v>19</v>
      </c>
      <c r="X63" s="102"/>
      <c r="Y63" s="102" t="s">
        <v>20</v>
      </c>
      <c r="AC63" s="102" t="s">
        <v>8</v>
      </c>
      <c r="AD63" s="102"/>
      <c r="AE63" s="102" t="s">
        <v>593</v>
      </c>
      <c r="AF63" s="102"/>
      <c r="AG63" s="151" t="s">
        <v>593</v>
      </c>
      <c r="AH63" s="102"/>
      <c r="AI63" s="103" t="s">
        <v>708</v>
      </c>
      <c r="AJ63" s="102"/>
      <c r="AK63" s="152" t="s">
        <v>708</v>
      </c>
      <c r="AL63" s="102"/>
      <c r="AM63" s="102" t="s">
        <v>593</v>
      </c>
      <c r="AN63" s="102"/>
      <c r="AO63" s="102" t="s">
        <v>9</v>
      </c>
      <c r="AP63" s="102"/>
      <c r="AQ63" s="151" t="s">
        <v>21</v>
      </c>
      <c r="AS63" s="110"/>
      <c r="AT63" s="110"/>
      <c r="AU63" s="226"/>
    </row>
    <row r="64" spans="1:76" x14ac:dyDescent="0.3">
      <c r="F64" s="110"/>
      <c r="H64" s="110"/>
      <c r="I64" s="110"/>
      <c r="J64" s="217"/>
      <c r="K64" s="217"/>
      <c r="L64" s="110"/>
      <c r="M64" s="110"/>
      <c r="N64" s="141"/>
      <c r="O64" s="141"/>
      <c r="P64" s="110"/>
      <c r="Q64" s="110"/>
      <c r="R64" s="110"/>
      <c r="T64" s="102" t="s">
        <v>22</v>
      </c>
      <c r="V64" s="102" t="s">
        <v>23</v>
      </c>
      <c r="W64" s="102" t="s">
        <v>24</v>
      </c>
      <c r="X64" s="102"/>
      <c r="Y64" s="102" t="s">
        <v>25</v>
      </c>
      <c r="AA64" s="102" t="s">
        <v>26</v>
      </c>
      <c r="AB64" s="102"/>
      <c r="AC64" s="102" t="s">
        <v>27</v>
      </c>
      <c r="AD64" s="102"/>
      <c r="AE64" s="102" t="s">
        <v>9</v>
      </c>
      <c r="AF64" s="102"/>
      <c r="AG64" s="151" t="s">
        <v>9</v>
      </c>
      <c r="AH64" s="102"/>
      <c r="AI64" s="131" t="s">
        <v>29</v>
      </c>
      <c r="AJ64" s="131"/>
      <c r="AK64" s="165" t="s">
        <v>30</v>
      </c>
      <c r="AL64" s="102"/>
      <c r="AM64" s="102" t="s">
        <v>323</v>
      </c>
      <c r="AN64" s="102"/>
      <c r="AO64" s="131" t="s">
        <v>31</v>
      </c>
      <c r="AP64" s="131"/>
      <c r="AQ64" s="165" t="s">
        <v>32</v>
      </c>
      <c r="AS64" s="110"/>
      <c r="AT64" s="110"/>
      <c r="AU64" s="141"/>
      <c r="BX64" s="220"/>
    </row>
    <row r="65" spans="1:47" x14ac:dyDescent="0.3">
      <c r="C65" s="99"/>
      <c r="F65" s="172"/>
      <c r="H65" s="172"/>
      <c r="I65" s="172"/>
      <c r="J65" s="181"/>
      <c r="K65" s="181"/>
      <c r="L65" s="110"/>
      <c r="M65" s="110"/>
      <c r="N65" s="141"/>
      <c r="O65" s="141"/>
      <c r="P65" s="110"/>
      <c r="Q65" s="110"/>
      <c r="R65" s="110"/>
      <c r="V65" s="131" t="s">
        <v>33</v>
      </c>
      <c r="W65" s="131" t="s">
        <v>34</v>
      </c>
      <c r="X65" s="131"/>
      <c r="Y65" s="131" t="s">
        <v>35</v>
      </c>
      <c r="Z65" s="134"/>
      <c r="AA65" s="131" t="s">
        <v>36</v>
      </c>
      <c r="AB65" s="131"/>
      <c r="AC65" s="131" t="s">
        <v>42</v>
      </c>
      <c r="AD65" s="131"/>
      <c r="AE65" s="131" t="s">
        <v>43</v>
      </c>
      <c r="AF65" s="131"/>
      <c r="AG65" s="165" t="s">
        <v>44</v>
      </c>
      <c r="AH65" s="131"/>
      <c r="AI65" s="131" t="s">
        <v>45</v>
      </c>
      <c r="AJ65" s="131"/>
      <c r="AK65" s="165" t="s">
        <v>46</v>
      </c>
      <c r="AL65" s="131"/>
      <c r="AM65" s="131" t="s">
        <v>40</v>
      </c>
      <c r="AN65" s="131"/>
      <c r="AO65" s="131" t="s">
        <v>47</v>
      </c>
      <c r="AP65" s="131"/>
      <c r="AQ65" s="165" t="s">
        <v>48</v>
      </c>
      <c r="AS65" s="110"/>
      <c r="AT65" s="110"/>
      <c r="AU65" s="141"/>
    </row>
    <row r="66" spans="1:47" x14ac:dyDescent="0.3">
      <c r="F66" s="110"/>
      <c r="H66" s="192"/>
      <c r="I66" s="192"/>
      <c r="J66" s="217"/>
      <c r="K66" s="217"/>
      <c r="L66" s="192"/>
      <c r="M66" s="192"/>
      <c r="N66" s="192"/>
      <c r="O66" s="192"/>
      <c r="P66" s="192"/>
      <c r="Q66" s="192"/>
      <c r="R66" s="192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50"/>
      <c r="AH66" s="100"/>
      <c r="AI66" s="100"/>
      <c r="AJ66" s="100"/>
      <c r="AK66" s="150"/>
      <c r="AL66" s="100"/>
      <c r="AM66" s="100"/>
      <c r="AN66" s="100"/>
      <c r="AO66" s="100"/>
      <c r="AP66" s="100"/>
      <c r="AQ66" s="150"/>
      <c r="AS66" s="110"/>
      <c r="AT66" s="110"/>
      <c r="AU66" s="141"/>
    </row>
    <row r="67" spans="1:47" ht="17.100000000000001" customHeight="1" x14ac:dyDescent="0.3">
      <c r="C67" s="99"/>
      <c r="F67" s="110"/>
      <c r="H67" s="110"/>
      <c r="I67" s="110"/>
      <c r="J67" s="198"/>
      <c r="K67" s="198"/>
      <c r="L67" s="110"/>
      <c r="M67" s="110"/>
      <c r="N67" s="141"/>
      <c r="O67" s="141"/>
      <c r="P67" s="110"/>
      <c r="Q67" s="110"/>
      <c r="R67" s="110"/>
      <c r="AA67" s="167" t="s">
        <v>196</v>
      </c>
      <c r="AB67" s="166"/>
      <c r="AC67" s="167" t="s">
        <v>331</v>
      </c>
      <c r="AD67" s="166"/>
      <c r="AE67" s="166" t="s">
        <v>50</v>
      </c>
      <c r="AF67" s="166"/>
      <c r="AG67" s="168" t="s">
        <v>51</v>
      </c>
      <c r="AH67" s="166"/>
      <c r="AI67" s="166" t="s">
        <v>50</v>
      </c>
      <c r="AJ67" s="166"/>
      <c r="AK67" s="168" t="s">
        <v>51</v>
      </c>
      <c r="AL67" s="166"/>
      <c r="AM67" s="166" t="s">
        <v>50</v>
      </c>
      <c r="AN67" s="166"/>
      <c r="AO67" s="166" t="s">
        <v>50</v>
      </c>
      <c r="AP67" s="166"/>
      <c r="AQ67" s="168" t="s">
        <v>51</v>
      </c>
      <c r="AS67" s="110"/>
      <c r="AT67" s="110"/>
      <c r="AU67" s="226"/>
    </row>
    <row r="68" spans="1:47" x14ac:dyDescent="0.3">
      <c r="C68" s="99"/>
      <c r="F68" s="172"/>
      <c r="H68" s="172"/>
      <c r="I68" s="172"/>
      <c r="J68" s="222"/>
      <c r="K68" s="222"/>
      <c r="L68" s="110"/>
      <c r="M68" s="110"/>
      <c r="N68" s="141"/>
      <c r="O68" s="141"/>
      <c r="P68" s="172"/>
      <c r="Q68" s="172"/>
      <c r="R68" s="110"/>
      <c r="T68" s="98">
        <v>1</v>
      </c>
      <c r="V68" s="124" t="s">
        <v>94</v>
      </c>
      <c r="W68" s="124" t="s">
        <v>154</v>
      </c>
      <c r="X68" s="99"/>
      <c r="Y68" s="1"/>
      <c r="Z68" s="1"/>
      <c r="AA68" s="215"/>
      <c r="AB68" s="215"/>
      <c r="AC68" s="167" t="s">
        <v>328</v>
      </c>
      <c r="AD68" s="215"/>
      <c r="AE68" s="215"/>
      <c r="AF68" s="215"/>
      <c r="AG68" s="219"/>
      <c r="AH68" s="215"/>
      <c r="AI68" s="215"/>
      <c r="AJ68" s="215"/>
      <c r="AK68" s="219"/>
      <c r="AL68" s="215"/>
      <c r="AM68" s="215"/>
      <c r="AN68" s="215"/>
      <c r="AO68" s="215"/>
      <c r="AP68" s="215"/>
      <c r="AQ68" s="219"/>
      <c r="AS68" s="110"/>
      <c r="AT68" s="110"/>
      <c r="AU68" s="141"/>
    </row>
    <row r="69" spans="1:47" x14ac:dyDescent="0.3">
      <c r="C69" s="99"/>
      <c r="H69" s="172"/>
      <c r="I69" s="172"/>
      <c r="J69" s="222"/>
      <c r="K69" s="222"/>
      <c r="L69" s="110"/>
      <c r="M69" s="110"/>
      <c r="N69" s="141"/>
      <c r="O69" s="141"/>
      <c r="P69" s="172"/>
      <c r="Q69" s="172"/>
      <c r="R69" s="110"/>
      <c r="T69" s="98">
        <v>2</v>
      </c>
      <c r="V69" s="134"/>
      <c r="W69" s="124" t="s">
        <v>155</v>
      </c>
      <c r="X69" s="99"/>
      <c r="Y69" s="1"/>
      <c r="Z69" s="1"/>
      <c r="AA69" s="1"/>
      <c r="AB69" s="1"/>
      <c r="AC69" s="1"/>
      <c r="AD69" s="1"/>
      <c r="AE69" s="1"/>
      <c r="AF69" s="1"/>
      <c r="AG69" s="154"/>
      <c r="AH69" s="1"/>
      <c r="AI69" s="1"/>
      <c r="AJ69" s="1"/>
      <c r="AK69" s="154"/>
      <c r="AL69" s="1"/>
      <c r="AM69" s="1"/>
      <c r="AN69" s="1"/>
      <c r="AO69" s="1"/>
      <c r="AP69" s="1"/>
      <c r="AQ69" s="154"/>
      <c r="AS69" s="110"/>
      <c r="AT69" s="110"/>
      <c r="AU69" s="141"/>
    </row>
    <row r="70" spans="1:47" x14ac:dyDescent="0.3">
      <c r="C70" s="99"/>
      <c r="F70" s="110"/>
      <c r="H70" s="110"/>
      <c r="I70" s="110"/>
      <c r="J70" s="198"/>
      <c r="K70" s="198"/>
      <c r="L70" s="110"/>
      <c r="M70" s="110"/>
      <c r="N70" s="141"/>
      <c r="O70" s="141"/>
      <c r="P70" s="110"/>
      <c r="Q70" s="110"/>
      <c r="R70" s="110"/>
      <c r="Y70" s="1"/>
      <c r="Z70" s="1"/>
      <c r="AA70" s="1"/>
      <c r="AB70" s="1"/>
      <c r="AC70" s="1"/>
      <c r="AD70" s="1"/>
      <c r="AE70" s="1"/>
      <c r="AF70" s="1"/>
      <c r="AG70" s="154"/>
      <c r="AH70" s="1"/>
      <c r="AI70" s="1"/>
      <c r="AJ70" s="1"/>
      <c r="AK70" s="154"/>
      <c r="AL70" s="1"/>
      <c r="AM70" s="1"/>
      <c r="AN70" s="1"/>
      <c r="AO70" s="1"/>
      <c r="AP70" s="1"/>
      <c r="AQ70" s="154"/>
      <c r="AS70" s="110"/>
      <c r="AT70" s="110"/>
      <c r="AU70" s="141"/>
    </row>
    <row r="71" spans="1:47" x14ac:dyDescent="0.3">
      <c r="F71" s="192"/>
      <c r="H71" s="192"/>
      <c r="I71" s="192"/>
      <c r="J71" s="217"/>
      <c r="K71" s="217"/>
      <c r="L71" s="192"/>
      <c r="M71" s="192"/>
      <c r="N71" s="192"/>
      <c r="O71" s="192"/>
      <c r="P71" s="192"/>
      <c r="Q71" s="192"/>
      <c r="R71" s="192"/>
      <c r="T71" s="98">
        <v>3</v>
      </c>
      <c r="V71" s="124" t="s">
        <v>133</v>
      </c>
      <c r="Y71" s="106"/>
      <c r="Z71" s="1"/>
      <c r="AA71" s="1"/>
      <c r="AB71" s="1"/>
      <c r="AC71" s="245"/>
      <c r="AD71" s="245"/>
      <c r="AE71" s="106"/>
      <c r="AF71" s="106"/>
      <c r="AG71" s="154"/>
      <c r="AH71" s="1"/>
      <c r="AI71" s="1"/>
      <c r="AJ71" s="1"/>
      <c r="AK71" s="154"/>
      <c r="AL71" s="1"/>
      <c r="AM71" s="1"/>
      <c r="AN71" s="1"/>
      <c r="AO71" s="106"/>
      <c r="AP71" s="106"/>
      <c r="AQ71" s="154"/>
      <c r="AS71" s="110"/>
      <c r="AT71" s="110"/>
      <c r="AU71" s="141"/>
    </row>
    <row r="72" spans="1:47" x14ac:dyDescent="0.3">
      <c r="A72" s="99"/>
      <c r="F72" s="110"/>
      <c r="H72" s="110"/>
      <c r="I72" s="110"/>
      <c r="J72" s="198"/>
      <c r="K72" s="198"/>
      <c r="L72" s="110"/>
      <c r="M72" s="110"/>
      <c r="N72" s="110"/>
      <c r="O72" s="110"/>
      <c r="P72" s="110"/>
      <c r="Q72" s="110"/>
      <c r="R72" s="110"/>
      <c r="T72" s="98">
        <v>4</v>
      </c>
      <c r="V72" s="99" t="s">
        <v>134</v>
      </c>
      <c r="Y72" s="106">
        <f>F24</f>
        <v>194</v>
      </c>
      <c r="Z72" s="1"/>
      <c r="AA72" s="106"/>
      <c r="AB72" s="106"/>
      <c r="AC72" s="181">
        <f>INPUT!C86</f>
        <v>15</v>
      </c>
      <c r="AD72" s="180"/>
      <c r="AE72" s="106">
        <f>ROUND(Y72*AC72,0)</f>
        <v>2910</v>
      </c>
      <c r="AF72" s="106"/>
      <c r="AG72" s="154">
        <f>ROUND((AE72/AE$91)*100,1)</f>
        <v>0.2</v>
      </c>
      <c r="AH72" s="175"/>
      <c r="AI72" s="106">
        <f>L24-AE72</f>
        <v>0</v>
      </c>
      <c r="AJ72" s="106"/>
      <c r="AK72" s="159">
        <f>IF(AE72=0,"0.0 ",ROUND((AI72/AE72)*100,1))</f>
        <v>0</v>
      </c>
      <c r="AL72" s="138"/>
      <c r="AM72" s="106"/>
      <c r="AN72" s="106"/>
      <c r="AO72" s="106">
        <f>AE72+AM72</f>
        <v>2910</v>
      </c>
      <c r="AP72" s="106"/>
      <c r="AQ72" s="159">
        <f>IF(AO72=0,"0.0 ",ROUND((AI72/AO72)*100,1))</f>
        <v>0</v>
      </c>
      <c r="AR72" s="110"/>
      <c r="AS72" s="110"/>
      <c r="AT72" s="110"/>
      <c r="AU72" s="141"/>
    </row>
    <row r="73" spans="1:47" x14ac:dyDescent="0.3">
      <c r="L73" s="110"/>
      <c r="M73" s="110"/>
      <c r="N73" s="110"/>
      <c r="O73" s="110"/>
      <c r="P73" s="110"/>
      <c r="Q73" s="110"/>
      <c r="R73" s="110"/>
      <c r="T73" s="98">
        <v>5</v>
      </c>
      <c r="V73" s="99" t="s">
        <v>135</v>
      </c>
      <c r="Y73" s="106">
        <f>F25</f>
        <v>770</v>
      </c>
      <c r="Z73" s="1"/>
      <c r="AA73" s="106"/>
      <c r="AB73" s="106"/>
      <c r="AC73" s="181">
        <f>INPUT!C87</f>
        <v>30</v>
      </c>
      <c r="AD73" s="180"/>
      <c r="AE73" s="106">
        <f>ROUND(Y73*AC73,0)</f>
        <v>23100</v>
      </c>
      <c r="AF73" s="106"/>
      <c r="AG73" s="154">
        <f>ROUND((AE73/AE$91)*100,1)+0.1</f>
        <v>1.3</v>
      </c>
      <c r="AH73" s="175"/>
      <c r="AI73" s="106">
        <f>L25-AE73</f>
        <v>0</v>
      </c>
      <c r="AJ73" s="106"/>
      <c r="AK73" s="154">
        <f>IF(AE73=0,"0.0 ",ROUND((AI73/AE73)*100,1))</f>
        <v>0</v>
      </c>
      <c r="AL73" s="138"/>
      <c r="AM73" s="106"/>
      <c r="AN73" s="106"/>
      <c r="AO73" s="106">
        <f>AE73+AM73</f>
        <v>23100</v>
      </c>
      <c r="AP73" s="106"/>
      <c r="AQ73" s="159">
        <f>IF(AO73=0,"0.0 ",ROUND((AI73/AO73)*100,1))</f>
        <v>0</v>
      </c>
      <c r="AR73" s="110"/>
      <c r="AS73" s="110"/>
      <c r="AT73" s="110"/>
      <c r="AU73" s="141"/>
    </row>
    <row r="74" spans="1:47" x14ac:dyDescent="0.3">
      <c r="L74" s="110"/>
      <c r="M74" s="110"/>
      <c r="N74" s="110"/>
      <c r="O74" s="110"/>
      <c r="P74" s="110"/>
      <c r="Q74" s="110"/>
      <c r="R74" s="110"/>
      <c r="T74" s="98">
        <v>6</v>
      </c>
      <c r="V74" s="99" t="s">
        <v>144</v>
      </c>
      <c r="Y74" s="106">
        <f>F26</f>
        <v>0</v>
      </c>
      <c r="Z74" s="1"/>
      <c r="AA74" s="106"/>
      <c r="AB74" s="106"/>
      <c r="AC74" s="181">
        <f>INPUT!C88</f>
        <v>117</v>
      </c>
      <c r="AD74" s="180"/>
      <c r="AE74" s="117">
        <f>ROUND(Y74*AC74,0)</f>
        <v>0</v>
      </c>
      <c r="AF74" s="106"/>
      <c r="AG74" s="156">
        <f>ROUND((AE74/AE$91)*100,1)</f>
        <v>0</v>
      </c>
      <c r="AH74" s="175"/>
      <c r="AI74" s="106">
        <f>L26-AE74</f>
        <v>0</v>
      </c>
      <c r="AJ74" s="106"/>
      <c r="AK74" s="200" t="str">
        <f>IF(AE74=0,"0.0 ",ROUND((AI74/AE74)*100,1))</f>
        <v xml:space="preserve">0.0 </v>
      </c>
      <c r="AL74" s="138"/>
      <c r="AM74" s="106"/>
      <c r="AN74" s="106"/>
      <c r="AO74" s="106">
        <f>AE74+AM74</f>
        <v>0</v>
      </c>
      <c r="AP74" s="106"/>
      <c r="AQ74" s="159" t="str">
        <f>IF(AO74=0,"0.0 ",ROUND((AI74/AO74)*100,1))</f>
        <v xml:space="preserve">0.0 </v>
      </c>
      <c r="AR74" s="110"/>
      <c r="AS74" s="110"/>
      <c r="AT74" s="110"/>
      <c r="AU74" s="141"/>
    </row>
    <row r="75" spans="1:47" ht="20.100000000000001" customHeight="1" x14ac:dyDescent="0.3">
      <c r="H75" s="99"/>
      <c r="I75" s="99"/>
      <c r="T75" s="98">
        <v>7</v>
      </c>
      <c r="V75" s="124" t="s">
        <v>136</v>
      </c>
      <c r="Y75" s="112">
        <f>F27</f>
        <v>964</v>
      </c>
      <c r="Z75" s="1"/>
      <c r="AA75" s="106"/>
      <c r="AB75" s="106"/>
      <c r="AC75" s="136"/>
      <c r="AD75" s="136"/>
      <c r="AE75" s="112">
        <f>SUM(AE72:AE74)</f>
        <v>26010</v>
      </c>
      <c r="AF75" s="106"/>
      <c r="AG75" s="156">
        <f>ROUND((AE75/AE$91)*100,1)</f>
        <v>1.4</v>
      </c>
      <c r="AH75" s="175"/>
      <c r="AI75" s="112">
        <f>SUM(AI72:AI74)</f>
        <v>0</v>
      </c>
      <c r="AJ75" s="106"/>
      <c r="AK75" s="201">
        <f>IF(AE75=0,"0.0 ",ROUND((AI75/AE75)*100,1))</f>
        <v>0</v>
      </c>
      <c r="AL75" s="138"/>
      <c r="AM75" s="112"/>
      <c r="AN75" s="106"/>
      <c r="AO75" s="112">
        <f>SUM(AO72:AO74)</f>
        <v>26010</v>
      </c>
      <c r="AP75" s="106"/>
      <c r="AQ75" s="159">
        <f>IF(AO75=0,"0.0 ",ROUND((AI75/AO75)*100,1))</f>
        <v>0</v>
      </c>
      <c r="AR75" s="110"/>
    </row>
    <row r="76" spans="1:47" x14ac:dyDescent="0.3">
      <c r="L76" s="99"/>
      <c r="M76" s="99"/>
      <c r="Y76" s="106"/>
      <c r="Z76" s="1"/>
      <c r="AA76" s="1"/>
      <c r="AB76" s="1"/>
      <c r="AC76" s="1"/>
      <c r="AD76" s="1"/>
      <c r="AE76" s="1"/>
      <c r="AF76" s="1"/>
      <c r="AG76" s="154"/>
      <c r="AH76" s="1"/>
      <c r="AI76" s="1"/>
      <c r="AJ76" s="1"/>
      <c r="AK76" s="154"/>
      <c r="AL76" s="1"/>
      <c r="AM76" s="1"/>
      <c r="AN76" s="1"/>
      <c r="AO76" s="106"/>
      <c r="AP76" s="106"/>
      <c r="AQ76" s="154"/>
      <c r="AR76" s="172"/>
    </row>
    <row r="77" spans="1:47" x14ac:dyDescent="0.3">
      <c r="L77" s="99"/>
      <c r="M77" s="99"/>
      <c r="T77" s="98">
        <v>8</v>
      </c>
      <c r="V77" s="134" t="s">
        <v>63</v>
      </c>
      <c r="Y77" s="106"/>
      <c r="Z77" s="1"/>
      <c r="AA77" s="1"/>
      <c r="AB77" s="1"/>
      <c r="AC77" s="1"/>
      <c r="AD77" s="1"/>
      <c r="AE77" s="1"/>
      <c r="AF77" s="1"/>
      <c r="AG77" s="154"/>
      <c r="AH77" s="1"/>
      <c r="AI77" s="1"/>
      <c r="AJ77" s="1"/>
      <c r="AK77" s="154"/>
      <c r="AL77" s="1"/>
      <c r="AM77" s="1"/>
      <c r="AN77" s="1"/>
      <c r="AO77" s="106"/>
      <c r="AP77" s="106"/>
      <c r="AQ77" s="154"/>
      <c r="AR77" s="172"/>
    </row>
    <row r="78" spans="1:47" x14ac:dyDescent="0.3">
      <c r="L78" s="99"/>
      <c r="M78" s="99"/>
      <c r="T78" s="98">
        <v>9</v>
      </c>
      <c r="V78" s="98" t="s">
        <v>150</v>
      </c>
      <c r="Y78" s="106"/>
      <c r="Z78" s="1"/>
      <c r="AA78" s="117">
        <f>H30</f>
        <v>0</v>
      </c>
      <c r="AB78" s="1"/>
      <c r="AC78" s="181">
        <f>INPUT!C92</f>
        <v>0</v>
      </c>
      <c r="AD78" s="1"/>
      <c r="AE78" s="117">
        <f>ROUND(Y78*AC78,0)</f>
        <v>0</v>
      </c>
      <c r="AF78" s="1"/>
      <c r="AG78" s="156">
        <f>ROUND((AE78/AE$91)*100,1)</f>
        <v>0</v>
      </c>
      <c r="AH78" s="1"/>
      <c r="AI78" s="117">
        <f>L30-AE78</f>
        <v>0</v>
      </c>
      <c r="AJ78" s="1"/>
      <c r="AK78" s="200" t="str">
        <f>IF(AE78=0,"0.0 ",ROUND((AI78/AE78)*100,1))</f>
        <v xml:space="preserve">0.0 </v>
      </c>
      <c r="AL78" s="1"/>
      <c r="AM78" s="4"/>
      <c r="AN78" s="1"/>
      <c r="AO78" s="117">
        <f>AE78+AM78</f>
        <v>0</v>
      </c>
      <c r="AP78" s="106"/>
      <c r="AQ78" s="159" t="str">
        <f>IF(AO78=0,"0.0 ",ROUND((AI78/AO78)*100,1))</f>
        <v xml:space="preserve">0.0 </v>
      </c>
      <c r="AR78" s="172"/>
    </row>
    <row r="79" spans="1:47" x14ac:dyDescent="0.3">
      <c r="L79" s="99"/>
      <c r="M79" s="99"/>
      <c r="Y79" s="106"/>
      <c r="Z79" s="1"/>
      <c r="AA79" s="1"/>
      <c r="AB79" s="1"/>
      <c r="AC79" s="1"/>
      <c r="AD79" s="1"/>
      <c r="AE79" s="1"/>
      <c r="AF79" s="1"/>
      <c r="AG79" s="154"/>
      <c r="AH79" s="1"/>
      <c r="AI79" s="1"/>
      <c r="AJ79" s="1"/>
      <c r="AK79" s="154"/>
      <c r="AL79" s="1"/>
      <c r="AM79" s="1"/>
      <c r="AN79" s="1"/>
      <c r="AO79" s="106"/>
      <c r="AP79" s="106"/>
      <c r="AQ79" s="154"/>
      <c r="AR79" s="172"/>
    </row>
    <row r="80" spans="1:47" x14ac:dyDescent="0.3">
      <c r="R80" s="99"/>
      <c r="T80" s="98">
        <v>10</v>
      </c>
      <c r="V80" s="124" t="s">
        <v>371</v>
      </c>
      <c r="Y80" s="106"/>
      <c r="Z80" s="1"/>
      <c r="AA80" s="1"/>
      <c r="AB80" s="1"/>
      <c r="AC80" s="1"/>
      <c r="AD80" s="1"/>
      <c r="AE80" s="1"/>
      <c r="AF80" s="1"/>
      <c r="AG80" s="154"/>
      <c r="AH80" s="1"/>
      <c r="AI80" s="1"/>
      <c r="AJ80" s="1"/>
      <c r="AK80" s="154"/>
      <c r="AL80" s="1"/>
      <c r="AM80" s="1"/>
      <c r="AN80" s="1"/>
      <c r="AO80" s="106"/>
      <c r="AP80" s="106"/>
      <c r="AQ80" s="154"/>
      <c r="AR80" s="172"/>
    </row>
    <row r="81" spans="1:44" x14ac:dyDescent="0.3">
      <c r="A81" s="99"/>
      <c r="R81" s="99"/>
      <c r="T81" s="98">
        <v>11</v>
      </c>
      <c r="V81" s="99" t="s">
        <v>85</v>
      </c>
      <c r="Y81" s="106"/>
      <c r="Z81" s="1"/>
      <c r="AA81" s="117">
        <f>H33</f>
        <v>19400962.346000001</v>
      </c>
      <c r="AB81" s="106"/>
      <c r="AC81" s="184">
        <f>INPUT!C90</f>
        <v>9.0635999999999994E-2</v>
      </c>
      <c r="AD81" s="188"/>
      <c r="AE81" s="117">
        <f>ROUND((AA81*AC81),0)</f>
        <v>1758426</v>
      </c>
      <c r="AF81" s="106"/>
      <c r="AG81" s="156">
        <f>ROUND((AE81/AE$91)*100,1)</f>
        <v>92.1</v>
      </c>
      <c r="AH81" s="175"/>
      <c r="AI81" s="117">
        <f>L33-AE81</f>
        <v>275454</v>
      </c>
      <c r="AJ81" s="106"/>
      <c r="AK81" s="200">
        <f>IF(AE81=0,"0.0 ",ROUND((AI81/AE81)*100,1))</f>
        <v>15.7</v>
      </c>
      <c r="AL81" s="138"/>
      <c r="AM81" s="177"/>
      <c r="AN81" s="147"/>
      <c r="AO81" s="117">
        <f>AE81+AM81</f>
        <v>1758426</v>
      </c>
      <c r="AP81" s="106"/>
      <c r="AQ81" s="159">
        <f>IF(AO81=0,"0.0 ",ROUND((AI81/AO81)*100,1))</f>
        <v>15.7</v>
      </c>
      <c r="AR81" s="110"/>
    </row>
    <row r="82" spans="1:44" ht="20.100000000000001" customHeight="1" x14ac:dyDescent="0.3">
      <c r="A82" s="99"/>
      <c r="R82" s="99"/>
      <c r="T82" s="98">
        <v>12</v>
      </c>
      <c r="V82" s="169" t="s">
        <v>441</v>
      </c>
      <c r="Y82" s="117">
        <f>Y75</f>
        <v>964</v>
      </c>
      <c r="Z82" s="1"/>
      <c r="AA82" s="112">
        <f>AA81</f>
        <v>19400962.346000001</v>
      </c>
      <c r="AB82" s="106"/>
      <c r="AC82" s="186"/>
      <c r="AD82" s="188"/>
      <c r="AE82" s="112">
        <f>AE75+AE78+AE81</f>
        <v>1784436</v>
      </c>
      <c r="AF82" s="106"/>
      <c r="AG82" s="158">
        <f>ROUND((AE82/AE$91)*100,1)</f>
        <v>93.5</v>
      </c>
      <c r="AH82" s="175"/>
      <c r="AI82" s="112">
        <f>AI75+AI78+AI81</f>
        <v>275454</v>
      </c>
      <c r="AJ82" s="106"/>
      <c r="AK82" s="201">
        <f>IF(AE82=0,"0.0 ",ROUND((AI82/AE82)*100,1))</f>
        <v>15.4</v>
      </c>
      <c r="AL82" s="138"/>
      <c r="AM82" s="246"/>
      <c r="AN82" s="147"/>
      <c r="AO82" s="112">
        <f>AO75+AO78+AO81</f>
        <v>1784436</v>
      </c>
      <c r="AP82" s="106"/>
      <c r="AQ82" s="159">
        <f>IF(AO82=0,"0.0 ",ROUND((AI82/AO82)*100,1))</f>
        <v>15.4</v>
      </c>
      <c r="AR82" s="110"/>
    </row>
    <row r="83" spans="1:44" x14ac:dyDescent="0.3">
      <c r="A83" s="99"/>
      <c r="R83" s="99"/>
      <c r="V83" s="99"/>
      <c r="Y83" s="106"/>
      <c r="Z83" s="1"/>
      <c r="AA83" s="106"/>
      <c r="AB83" s="106"/>
      <c r="AC83" s="186"/>
      <c r="AD83" s="188"/>
      <c r="AE83" s="106"/>
      <c r="AF83" s="106"/>
      <c r="AG83" s="154"/>
      <c r="AH83" s="175"/>
      <c r="AI83" s="106"/>
      <c r="AJ83" s="106"/>
      <c r="AK83" s="159"/>
      <c r="AL83" s="138"/>
      <c r="AM83" s="147"/>
      <c r="AN83" s="147"/>
      <c r="AO83" s="106"/>
      <c r="AP83" s="106"/>
      <c r="AQ83" s="159"/>
      <c r="AR83" s="110"/>
    </row>
    <row r="84" spans="1:44" x14ac:dyDescent="0.3">
      <c r="A84" s="99"/>
      <c r="R84" s="99"/>
      <c r="T84" s="98">
        <f t="shared" ref="T84:T89" si="0">A36</f>
        <v>13</v>
      </c>
      <c r="V84" s="124" t="s">
        <v>428</v>
      </c>
      <c r="Y84" s="106"/>
      <c r="Z84" s="1"/>
      <c r="AA84" s="106"/>
      <c r="AB84" s="106"/>
      <c r="AC84" s="186"/>
      <c r="AD84" s="188"/>
      <c r="AE84" s="106"/>
      <c r="AF84" s="106"/>
      <c r="AG84" s="154"/>
      <c r="AH84" s="175"/>
      <c r="AI84" s="106"/>
      <c r="AJ84" s="106"/>
      <c r="AK84" s="159"/>
      <c r="AL84" s="138"/>
      <c r="AM84" s="147"/>
      <c r="AN84" s="147"/>
      <c r="AO84" s="106"/>
      <c r="AP84" s="106"/>
      <c r="AQ84" s="159"/>
      <c r="AR84" s="110"/>
    </row>
    <row r="85" spans="1:44" x14ac:dyDescent="0.3">
      <c r="A85" s="99"/>
      <c r="R85" s="99"/>
      <c r="T85" s="98">
        <f t="shared" si="0"/>
        <v>14</v>
      </c>
      <c r="V85" s="176" t="str">
        <f>C37</f>
        <v>DEMAND SIDE MANAGEMENT RIDER (DSMR)</v>
      </c>
      <c r="Y85" s="106"/>
      <c r="Z85" s="1"/>
      <c r="AA85" s="106"/>
      <c r="AB85" s="106"/>
      <c r="AC85" s="218">
        <f>DSM_DIST</f>
        <v>3.503E-3</v>
      </c>
      <c r="AD85" s="188"/>
      <c r="AE85" s="106">
        <f>ROUND($AA$82*AC85,0)</f>
        <v>67962</v>
      </c>
      <c r="AF85" s="106"/>
      <c r="AG85" s="154">
        <f>ROUND((AE85/AE$91)*100,1)</f>
        <v>3.6</v>
      </c>
      <c r="AH85" s="175"/>
      <c r="AI85" s="106">
        <f>L37-AE85</f>
        <v>0</v>
      </c>
      <c r="AJ85" s="106"/>
      <c r="AK85" s="159">
        <f>IF(AE85=0,"0.0 ",ROUND((AI85/AE85)*100,1))</f>
        <v>0</v>
      </c>
      <c r="AL85" s="138"/>
      <c r="AM85" s="147"/>
      <c r="AN85" s="147"/>
      <c r="AO85" s="106">
        <f>AE85+AM85</f>
        <v>67962</v>
      </c>
      <c r="AP85" s="106"/>
      <c r="AQ85" s="159">
        <f>IF(AO85=0,"0.0 ",ROUND((AI85/AO85)*100,1))</f>
        <v>0</v>
      </c>
      <c r="AR85" s="110"/>
    </row>
    <row r="86" spans="1:44" x14ac:dyDescent="0.3">
      <c r="A86" s="99"/>
      <c r="R86" s="99"/>
      <c r="T86" s="98">
        <f t="shared" si="0"/>
        <v>15</v>
      </c>
      <c r="V86" s="176" t="str">
        <f>C38</f>
        <v>ENVIRONMENTAL SURCHARGE MECHANISM RIDER (ESM)</v>
      </c>
      <c r="Y86" s="106"/>
      <c r="Z86" s="1"/>
      <c r="AA86" s="106"/>
      <c r="AB86" s="106"/>
      <c r="AC86" s="223">
        <f>CUR_ESM_NonRes</f>
        <v>6.3863133253205971E-3</v>
      </c>
      <c r="AD86" s="188"/>
      <c r="AE86" s="106">
        <f>ROUND((AO82-(CUR_BASE_FUEL*AA82)+AO85+AO88)*AC86,0)</f>
        <v>7951</v>
      </c>
      <c r="AF86" s="106"/>
      <c r="AG86" s="154">
        <f>ROUND((AE86/AE$91)*100,1)</f>
        <v>0.4</v>
      </c>
      <c r="AH86" s="175"/>
      <c r="AI86" s="106">
        <f>L38-AE86</f>
        <v>211</v>
      </c>
      <c r="AJ86" s="106"/>
      <c r="AK86" s="159">
        <f>IF(AE86=0,"0.0 ",ROUND((AI86/AE86)*100,1))</f>
        <v>2.7</v>
      </c>
      <c r="AL86" s="138"/>
      <c r="AM86" s="147"/>
      <c r="AN86" s="147"/>
      <c r="AO86" s="106">
        <f>AE86+AM86</f>
        <v>7951</v>
      </c>
      <c r="AP86" s="106"/>
      <c r="AQ86" s="159">
        <f>IF(AO86=0,"0.0 ",ROUND((AI86/AO86)*100,1))</f>
        <v>2.7</v>
      </c>
      <c r="AR86" s="110"/>
    </row>
    <row r="87" spans="1:44" x14ac:dyDescent="0.3">
      <c r="A87" s="99"/>
      <c r="R87" s="99"/>
      <c r="T87" s="98">
        <f t="shared" si="0"/>
        <v>16</v>
      </c>
      <c r="V87" s="176" t="str">
        <f>C39</f>
        <v>FUEL ADJUSTMENT CLAUSE (FAC)</v>
      </c>
      <c r="Y87" s="106"/>
      <c r="Z87" s="1"/>
      <c r="AA87" s="106"/>
      <c r="AB87" s="106"/>
      <c r="AC87" s="218">
        <f>CUR_FAC</f>
        <v>3.4872127999999998E-3</v>
      </c>
      <c r="AD87" s="188"/>
      <c r="AE87" s="106"/>
      <c r="AF87" s="106"/>
      <c r="AG87" s="154"/>
      <c r="AH87" s="175"/>
      <c r="AI87" s="106"/>
      <c r="AJ87" s="106"/>
      <c r="AK87" s="159"/>
      <c r="AL87" s="138"/>
      <c r="AM87" s="147">
        <f>ROUND(AA82*CUR_FAC,0)</f>
        <v>67655</v>
      </c>
      <c r="AN87" s="147"/>
      <c r="AO87" s="106">
        <f>AE87+AM87</f>
        <v>67655</v>
      </c>
      <c r="AP87" s="106"/>
      <c r="AQ87" s="159">
        <f>IF(AO87=0,"0.0 ",ROUND(((R39-AO87)/AO87)*100,1))</f>
        <v>0</v>
      </c>
      <c r="AR87" s="110"/>
    </row>
    <row r="88" spans="1:44" x14ac:dyDescent="0.3">
      <c r="A88" s="99"/>
      <c r="R88" s="99"/>
      <c r="T88" s="98">
        <f t="shared" si="0"/>
        <v>17</v>
      </c>
      <c r="V88" s="176" t="str">
        <f>C40</f>
        <v>PROFIT SHARING MECHANISM (PSM)</v>
      </c>
      <c r="Y88" s="106"/>
      <c r="Z88" s="1"/>
      <c r="AA88" s="106"/>
      <c r="AB88" s="106"/>
      <c r="AC88" s="218">
        <f>RS_PSM</f>
        <v>2.4750000000000002E-3</v>
      </c>
      <c r="AD88" s="188"/>
      <c r="AE88" s="117">
        <f>ROUND(AA82*RS_PSM,0)</f>
        <v>48017</v>
      </c>
      <c r="AF88" s="106"/>
      <c r="AG88" s="156">
        <f>ROUND((AE88/AE$91)*100,1)</f>
        <v>2.5</v>
      </c>
      <c r="AH88" s="175"/>
      <c r="AI88" s="106">
        <f>L40-AE88</f>
        <v>0</v>
      </c>
      <c r="AJ88" s="106"/>
      <c r="AK88" s="200">
        <f>IF(AE88=0,"0.0 ",ROUND((AI88/AE88)*100,1))</f>
        <v>0</v>
      </c>
      <c r="AL88" s="138"/>
      <c r="AM88" s="177"/>
      <c r="AN88" s="147"/>
      <c r="AO88" s="117">
        <f>AE88+AM88</f>
        <v>48017</v>
      </c>
      <c r="AP88" s="106"/>
      <c r="AQ88" s="159">
        <f>IF(AO88=0,"0.0 ",ROUND((AI88/AO88)*100,1))</f>
        <v>0</v>
      </c>
      <c r="AR88" s="110"/>
    </row>
    <row r="89" spans="1:44" ht="20.100000000000001" customHeight="1" x14ac:dyDescent="0.3">
      <c r="A89" s="99"/>
      <c r="R89" s="99"/>
      <c r="T89" s="98">
        <f t="shared" si="0"/>
        <v>18</v>
      </c>
      <c r="V89" s="124" t="s">
        <v>433</v>
      </c>
      <c r="Y89" s="117"/>
      <c r="Z89" s="1"/>
      <c r="AA89" s="117"/>
      <c r="AB89" s="106"/>
      <c r="AC89" s="186"/>
      <c r="AD89" s="188"/>
      <c r="AE89" s="112">
        <f>SUM(AE85:AE88)</f>
        <v>123930</v>
      </c>
      <c r="AF89" s="106"/>
      <c r="AG89" s="158">
        <f>ROUND((AE89/AE$91)*100,1)</f>
        <v>6.5</v>
      </c>
      <c r="AH89" s="175"/>
      <c r="AI89" s="112">
        <f>SUM(AI85:AI88)</f>
        <v>211</v>
      </c>
      <c r="AJ89" s="106"/>
      <c r="AK89" s="201">
        <f>IF(AE89=0,"0.0 ",ROUND((AI89/AE89)*100,1))</f>
        <v>0.2</v>
      </c>
      <c r="AL89" s="138"/>
      <c r="AM89" s="246">
        <f>SUM(AM85:AM88)</f>
        <v>67655</v>
      </c>
      <c r="AN89" s="147"/>
      <c r="AO89" s="112">
        <f>SUM(AO85:AO88)</f>
        <v>191585</v>
      </c>
      <c r="AP89" s="106"/>
      <c r="AQ89" s="159">
        <f>IF(AO89=0,"0.0 ",ROUND((AI89/AO89)*100,1))</f>
        <v>0.1</v>
      </c>
      <c r="AR89" s="110"/>
    </row>
    <row r="90" spans="1:44" x14ac:dyDescent="0.3">
      <c r="A90" s="99"/>
      <c r="R90" s="99"/>
      <c r="V90" s="99"/>
      <c r="Y90" s="106"/>
      <c r="Z90" s="1"/>
      <c r="AA90" s="106"/>
      <c r="AB90" s="106"/>
      <c r="AC90" s="186"/>
      <c r="AD90" s="188"/>
      <c r="AE90" s="106"/>
      <c r="AF90" s="106"/>
      <c r="AG90" s="154"/>
      <c r="AH90" s="175"/>
      <c r="AI90" s="106"/>
      <c r="AJ90" s="106"/>
      <c r="AK90" s="159"/>
      <c r="AL90" s="138"/>
      <c r="AM90" s="147"/>
      <c r="AN90" s="147"/>
      <c r="AO90" s="106"/>
      <c r="AP90" s="106"/>
      <c r="AQ90" s="159"/>
      <c r="AR90" s="110"/>
    </row>
    <row r="91" spans="1:44" ht="20.100000000000001" customHeight="1" thickBot="1" x14ac:dyDescent="0.35">
      <c r="L91" s="102"/>
      <c r="M91" s="102"/>
      <c r="N91" s="102"/>
      <c r="O91" s="102"/>
      <c r="R91" s="102"/>
      <c r="T91" s="98">
        <f>A43</f>
        <v>19</v>
      </c>
      <c r="V91" s="124" t="s">
        <v>442</v>
      </c>
      <c r="Y91" s="120">
        <f>Y82</f>
        <v>964</v>
      </c>
      <c r="Z91" s="1"/>
      <c r="AA91" s="120">
        <f>AA82</f>
        <v>19400962.346000001</v>
      </c>
      <c r="AB91" s="106"/>
      <c r="AC91" s="245"/>
      <c r="AD91" s="245"/>
      <c r="AE91" s="120">
        <f>AE89+AE82</f>
        <v>1908366</v>
      </c>
      <c r="AF91" s="106"/>
      <c r="AG91" s="162">
        <v>100</v>
      </c>
      <c r="AH91" s="175"/>
      <c r="AI91" s="120">
        <f>AI89+AI82</f>
        <v>275665</v>
      </c>
      <c r="AJ91" s="106"/>
      <c r="AK91" s="206">
        <f>IF(AE91=0,"0.0 ",ROUND((AI91/AE91)*100,1))</f>
        <v>14.4</v>
      </c>
      <c r="AL91" s="138"/>
      <c r="AM91" s="120">
        <f>AM89+AM82</f>
        <v>67655</v>
      </c>
      <c r="AN91" s="106"/>
      <c r="AO91" s="120">
        <f>AO89+AO82</f>
        <v>1976021</v>
      </c>
      <c r="AP91" s="106"/>
      <c r="AQ91" s="159">
        <f>IF(AO91=0,"0.0 ",ROUND((AI91/AO91)*100,1))</f>
        <v>14</v>
      </c>
    </row>
    <row r="92" spans="1:44" ht="16.2" thickTop="1" x14ac:dyDescent="0.3">
      <c r="C92" s="102"/>
      <c r="D92" s="102"/>
      <c r="E92" s="102"/>
      <c r="F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Y92" s="1"/>
      <c r="Z92" s="1"/>
      <c r="AA92" s="1"/>
      <c r="AB92" s="1"/>
      <c r="AC92" s="1"/>
      <c r="AD92" s="1"/>
      <c r="AE92" s="1"/>
      <c r="AF92" s="1"/>
      <c r="AG92" s="154"/>
      <c r="AH92" s="1"/>
      <c r="AI92" s="1"/>
      <c r="AJ92" s="1"/>
      <c r="AK92" s="154"/>
      <c r="AL92" s="106"/>
      <c r="AM92" s="1"/>
      <c r="AN92" s="1"/>
      <c r="AO92" s="1"/>
      <c r="AP92" s="1"/>
      <c r="AQ92" s="154"/>
    </row>
    <row r="93" spans="1:44" x14ac:dyDescent="0.3"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V93" s="178" t="s">
        <v>59</v>
      </c>
      <c r="Y93" s="110"/>
      <c r="AA93" s="110"/>
      <c r="AB93" s="110"/>
      <c r="AC93" s="198"/>
      <c r="AD93" s="198"/>
      <c r="AE93" s="110"/>
      <c r="AF93" s="110"/>
      <c r="AH93" s="110"/>
      <c r="AI93" s="110"/>
      <c r="AJ93" s="110"/>
      <c r="AL93" s="110"/>
    </row>
    <row r="94" spans="1:44" x14ac:dyDescent="0.3"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V94" s="178" t="str">
        <f>"(2) REFLECTS FUEL COMPONENT OF "&amp;TEXT(CUR_FAC,"$0.000000;($0.000000)")&amp;"  PER KWH."</f>
        <v>(2) REFLECTS FUEL COMPONENT OF $0.003487  PER KWH.</v>
      </c>
      <c r="Y94" s="110"/>
      <c r="AA94" s="110"/>
      <c r="AB94" s="110"/>
      <c r="AC94" s="198"/>
      <c r="AD94" s="198"/>
      <c r="AE94" s="110"/>
      <c r="AF94" s="110"/>
      <c r="AH94" s="110"/>
      <c r="AI94" s="110"/>
      <c r="AJ94" s="110"/>
      <c r="AL94" s="110"/>
    </row>
    <row r="95" spans="1:44" x14ac:dyDescent="0.3">
      <c r="C95" s="99"/>
      <c r="D95" s="99"/>
      <c r="E95" s="99"/>
      <c r="T95" s="101"/>
      <c r="U95" s="101"/>
      <c r="V95" s="178" t="str">
        <f>"(3) REFLECTS FUEL COST RECOVERY INCLUDED IN BASE RATES OF "&amp;TEXT(CUR_BASE_FUEL,"$0.000000;($0.000000)")&amp;"  PER KWH."</f>
        <v>(3) REFLECTS FUEL COST RECOVERY INCLUDED IN BASE RATES OF $0.033780  PER KWH.</v>
      </c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91"/>
      <c r="AH95" s="101"/>
      <c r="AI95" s="101"/>
      <c r="AJ95" s="101"/>
      <c r="AK95" s="191"/>
      <c r="AL95" s="101"/>
      <c r="AM95" s="101"/>
      <c r="AN95" s="101"/>
    </row>
    <row r="96" spans="1:44" x14ac:dyDescent="0.3">
      <c r="C96" s="99"/>
      <c r="AA96" s="102"/>
      <c r="AB96" s="102"/>
      <c r="AC96" s="102"/>
      <c r="AD96" s="102"/>
      <c r="AE96" s="102"/>
      <c r="AF96" s="102"/>
      <c r="AG96" s="151"/>
      <c r="AH96" s="102"/>
      <c r="AK96" s="151"/>
      <c r="AL96" s="102"/>
      <c r="AM96" s="102"/>
      <c r="AN96" s="102"/>
    </row>
    <row r="97" spans="3:40" x14ac:dyDescent="0.3">
      <c r="Z97" s="102"/>
      <c r="AA97" s="102"/>
      <c r="AB97" s="102"/>
      <c r="AC97" s="102"/>
      <c r="AD97" s="102"/>
      <c r="AE97" s="102"/>
      <c r="AF97" s="102"/>
      <c r="AG97" s="151"/>
      <c r="AH97" s="102"/>
      <c r="AK97" s="151"/>
      <c r="AL97" s="102"/>
      <c r="AM97" s="102"/>
      <c r="AN97" s="102"/>
    </row>
    <row r="98" spans="3:40" x14ac:dyDescent="0.3">
      <c r="C98" s="99"/>
      <c r="T98" s="102"/>
      <c r="U98" s="102"/>
      <c r="V98" s="102"/>
      <c r="Z98" s="102"/>
      <c r="AA98" s="102"/>
      <c r="AB98" s="102"/>
      <c r="AC98" s="102"/>
      <c r="AD98" s="102"/>
      <c r="AE98" s="102"/>
      <c r="AF98" s="102"/>
      <c r="AG98" s="151"/>
      <c r="AH98" s="102"/>
      <c r="AI98" s="102"/>
      <c r="AJ98" s="102"/>
      <c r="AK98" s="151"/>
      <c r="AL98" s="102"/>
      <c r="AM98" s="102"/>
      <c r="AN98" s="102"/>
    </row>
    <row r="99" spans="3:40" x14ac:dyDescent="0.3">
      <c r="C99" s="99"/>
      <c r="F99" s="172"/>
      <c r="H99" s="172"/>
      <c r="I99" s="172"/>
      <c r="J99" s="181"/>
      <c r="K99" s="181"/>
      <c r="L99" s="110"/>
      <c r="M99" s="110"/>
      <c r="N99" s="141"/>
      <c r="O99" s="141"/>
      <c r="R99" s="110"/>
      <c r="T99" s="102"/>
      <c r="U99" s="102"/>
      <c r="V99" s="102"/>
      <c r="Y99" s="102"/>
      <c r="Z99" s="102"/>
      <c r="AA99" s="102"/>
      <c r="AB99" s="102"/>
      <c r="AC99" s="102"/>
      <c r="AD99" s="102"/>
      <c r="AE99" s="102"/>
      <c r="AF99" s="102"/>
      <c r="AG99" s="151"/>
      <c r="AH99" s="102"/>
      <c r="AI99" s="102"/>
      <c r="AJ99" s="102"/>
      <c r="AK99" s="151"/>
      <c r="AL99" s="102"/>
      <c r="AM99" s="102"/>
      <c r="AN99" s="102"/>
    </row>
    <row r="100" spans="3:40" x14ac:dyDescent="0.3">
      <c r="C100" s="99"/>
      <c r="F100" s="172"/>
      <c r="H100" s="172"/>
      <c r="I100" s="172"/>
      <c r="J100" s="181"/>
      <c r="K100" s="181"/>
      <c r="L100" s="110"/>
      <c r="M100" s="110"/>
      <c r="N100" s="141"/>
      <c r="O100" s="141"/>
      <c r="R100" s="110"/>
      <c r="T100" s="102"/>
      <c r="U100" s="102"/>
      <c r="V100" s="102"/>
      <c r="Y100" s="102"/>
      <c r="Z100" s="102"/>
      <c r="AA100" s="102"/>
      <c r="AB100" s="102"/>
      <c r="AC100" s="102"/>
      <c r="AD100" s="102"/>
      <c r="AE100" s="102"/>
      <c r="AF100" s="102"/>
      <c r="AG100" s="151"/>
      <c r="AH100" s="102"/>
      <c r="AI100" s="102"/>
      <c r="AJ100" s="102"/>
      <c r="AK100" s="151"/>
      <c r="AL100" s="102"/>
      <c r="AM100" s="102"/>
      <c r="AN100" s="102"/>
    </row>
    <row r="101" spans="3:40" x14ac:dyDescent="0.3">
      <c r="C101" s="99"/>
      <c r="F101" s="172"/>
      <c r="H101" s="172"/>
      <c r="I101" s="172"/>
      <c r="J101" s="181"/>
      <c r="K101" s="181"/>
      <c r="L101" s="110"/>
      <c r="M101" s="110"/>
      <c r="N101" s="141"/>
      <c r="O101" s="141"/>
      <c r="R101" s="110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91"/>
      <c r="AH101" s="101"/>
      <c r="AI101" s="101"/>
      <c r="AJ101" s="101"/>
      <c r="AK101" s="191"/>
      <c r="AL101" s="101"/>
      <c r="AM101" s="101"/>
      <c r="AN101" s="101"/>
    </row>
    <row r="102" spans="3:40" x14ac:dyDescent="0.3">
      <c r="F102" s="192"/>
      <c r="H102" s="110"/>
      <c r="I102" s="110"/>
      <c r="J102" s="217"/>
      <c r="K102" s="217"/>
      <c r="L102" s="192"/>
      <c r="M102" s="192"/>
      <c r="N102" s="192"/>
      <c r="O102" s="192"/>
      <c r="P102" s="192"/>
      <c r="Q102" s="192"/>
      <c r="R102" s="192"/>
      <c r="Y102" s="102"/>
      <c r="Z102" s="102"/>
      <c r="AA102" s="102"/>
      <c r="AB102" s="102"/>
      <c r="AC102" s="102"/>
      <c r="AD102" s="102"/>
      <c r="AE102" s="102"/>
      <c r="AF102" s="102"/>
      <c r="AG102" s="151"/>
      <c r="AH102" s="102"/>
      <c r="AI102" s="102"/>
      <c r="AJ102" s="102"/>
      <c r="AK102" s="151"/>
      <c r="AL102" s="102"/>
      <c r="AM102" s="102"/>
      <c r="AN102" s="102"/>
    </row>
    <row r="103" spans="3:40" x14ac:dyDescent="0.3">
      <c r="C103" s="99"/>
      <c r="F103" s="110"/>
      <c r="H103" s="110"/>
      <c r="I103" s="110"/>
      <c r="J103" s="217"/>
      <c r="K103" s="217"/>
      <c r="L103" s="110"/>
      <c r="M103" s="110"/>
      <c r="N103" s="141"/>
      <c r="O103" s="141"/>
      <c r="P103" s="110"/>
      <c r="Q103" s="110"/>
      <c r="R103" s="110"/>
      <c r="T103" s="99"/>
      <c r="U103" s="99"/>
    </row>
    <row r="104" spans="3:40" x14ac:dyDescent="0.3">
      <c r="F104" s="192"/>
      <c r="H104" s="110"/>
      <c r="I104" s="110"/>
      <c r="J104" s="217"/>
      <c r="K104" s="217"/>
      <c r="L104" s="192"/>
      <c r="M104" s="192"/>
      <c r="N104" s="192"/>
      <c r="O104" s="192"/>
      <c r="P104" s="192"/>
      <c r="Q104" s="192"/>
      <c r="R104" s="192"/>
      <c r="T104" s="99"/>
    </row>
    <row r="105" spans="3:40" x14ac:dyDescent="0.3">
      <c r="C105" s="99"/>
      <c r="F105" s="172"/>
      <c r="H105" s="172"/>
      <c r="I105" s="172"/>
      <c r="J105" s="227"/>
      <c r="K105" s="227"/>
      <c r="L105" s="110"/>
      <c r="M105" s="110"/>
      <c r="N105" s="141"/>
      <c r="O105" s="141"/>
      <c r="P105" s="110"/>
      <c r="Q105" s="110"/>
      <c r="R105" s="110"/>
      <c r="S105" s="110"/>
    </row>
    <row r="106" spans="3:40" x14ac:dyDescent="0.3">
      <c r="C106" s="99"/>
      <c r="F106" s="172"/>
      <c r="H106" s="172"/>
      <c r="I106" s="172"/>
      <c r="J106" s="181"/>
      <c r="K106" s="181"/>
      <c r="L106" s="110"/>
      <c r="M106" s="110"/>
      <c r="N106" s="141"/>
      <c r="O106" s="141"/>
      <c r="P106" s="110"/>
      <c r="Q106" s="110"/>
      <c r="R106" s="110"/>
      <c r="T106" s="99"/>
    </row>
    <row r="107" spans="3:40" x14ac:dyDescent="0.3">
      <c r="C107" s="99"/>
      <c r="F107" s="172"/>
      <c r="H107" s="172"/>
      <c r="I107" s="172"/>
      <c r="J107" s="181"/>
      <c r="K107" s="181"/>
      <c r="L107" s="110"/>
      <c r="M107" s="110"/>
      <c r="N107" s="141"/>
      <c r="O107" s="141"/>
      <c r="P107" s="110"/>
      <c r="Q107" s="110"/>
      <c r="R107" s="110"/>
      <c r="T107" s="99"/>
      <c r="V107" s="110"/>
      <c r="Y107" s="172"/>
      <c r="Z107" s="181"/>
      <c r="AA107" s="110"/>
      <c r="AB107" s="110"/>
      <c r="AC107" s="141"/>
      <c r="AD107" s="141"/>
      <c r="AE107" s="110"/>
      <c r="AF107" s="110"/>
      <c r="AG107" s="224"/>
      <c r="AH107" s="225"/>
      <c r="AL107" s="110"/>
      <c r="AM107" s="226"/>
      <c r="AN107" s="226"/>
    </row>
    <row r="108" spans="3:40" x14ac:dyDescent="0.3">
      <c r="F108" s="110"/>
      <c r="H108" s="192"/>
      <c r="I108" s="192"/>
      <c r="J108" s="217"/>
      <c r="K108" s="217"/>
      <c r="L108" s="192"/>
      <c r="M108" s="192"/>
      <c r="N108" s="192"/>
      <c r="O108" s="192"/>
      <c r="P108" s="192"/>
      <c r="Q108" s="192"/>
      <c r="R108" s="192"/>
      <c r="T108" s="99"/>
      <c r="V108" s="110"/>
      <c r="Y108" s="172"/>
      <c r="Z108" s="181"/>
      <c r="AA108" s="110"/>
      <c r="AB108" s="110"/>
      <c r="AC108" s="141"/>
      <c r="AD108" s="141"/>
      <c r="AE108" s="110"/>
      <c r="AF108" s="110"/>
      <c r="AH108" s="207"/>
      <c r="AL108" s="110"/>
      <c r="AM108" s="141"/>
      <c r="AN108" s="141"/>
    </row>
    <row r="109" spans="3:40" x14ac:dyDescent="0.3">
      <c r="C109" s="99"/>
      <c r="F109" s="110"/>
      <c r="H109" s="110"/>
      <c r="I109" s="110"/>
      <c r="J109" s="217"/>
      <c r="K109" s="217"/>
      <c r="L109" s="110"/>
      <c r="M109" s="110"/>
      <c r="N109" s="141"/>
      <c r="O109" s="141"/>
      <c r="P109" s="110"/>
      <c r="Q109" s="110"/>
      <c r="R109" s="110"/>
      <c r="T109" s="99"/>
      <c r="V109" s="110"/>
      <c r="Y109" s="172"/>
      <c r="Z109" s="181"/>
      <c r="AA109" s="110"/>
      <c r="AB109" s="110"/>
      <c r="AC109" s="141"/>
      <c r="AD109" s="141"/>
      <c r="AE109" s="110"/>
      <c r="AF109" s="110"/>
      <c r="AH109" s="207"/>
      <c r="AL109" s="110"/>
      <c r="AM109" s="141"/>
      <c r="AN109" s="141"/>
    </row>
    <row r="110" spans="3:40" x14ac:dyDescent="0.3">
      <c r="F110" s="110"/>
      <c r="H110" s="192"/>
      <c r="I110" s="192"/>
      <c r="J110" s="217"/>
      <c r="K110" s="217"/>
      <c r="L110" s="192"/>
      <c r="M110" s="192"/>
      <c r="N110" s="192"/>
      <c r="O110" s="192"/>
      <c r="P110" s="192"/>
      <c r="Q110" s="192"/>
      <c r="R110" s="192"/>
      <c r="V110" s="192"/>
      <c r="Y110" s="110"/>
      <c r="Z110" s="217"/>
      <c r="AA110" s="192"/>
      <c r="AB110" s="192"/>
      <c r="AC110" s="192"/>
      <c r="AD110" s="192"/>
      <c r="AE110" s="192"/>
      <c r="AF110" s="192"/>
      <c r="AI110" s="192"/>
      <c r="AJ110" s="192"/>
      <c r="AK110" s="194"/>
      <c r="AL110" s="192"/>
      <c r="AM110" s="141"/>
      <c r="AN110" s="141"/>
    </row>
    <row r="111" spans="3:40" x14ac:dyDescent="0.3">
      <c r="C111" s="99"/>
      <c r="F111" s="110"/>
      <c r="H111" s="110"/>
      <c r="I111" s="110"/>
      <c r="J111" s="217"/>
      <c r="K111" s="217"/>
      <c r="L111" s="110"/>
      <c r="M111" s="110"/>
      <c r="N111" s="110"/>
      <c r="O111" s="110"/>
      <c r="P111" s="110"/>
      <c r="Q111" s="110"/>
      <c r="R111" s="110"/>
      <c r="T111" s="99"/>
      <c r="V111" s="110"/>
      <c r="Y111" s="110"/>
      <c r="Z111" s="198"/>
      <c r="AA111" s="110"/>
      <c r="AB111" s="110"/>
      <c r="AC111" s="141"/>
      <c r="AD111" s="141"/>
      <c r="AE111" s="110"/>
      <c r="AF111" s="110"/>
      <c r="AH111" s="207"/>
      <c r="AI111" s="110"/>
      <c r="AJ111" s="110"/>
      <c r="AL111" s="110"/>
      <c r="AM111" s="141"/>
      <c r="AN111" s="141"/>
    </row>
    <row r="112" spans="3:40" x14ac:dyDescent="0.3">
      <c r="C112" s="99"/>
      <c r="F112" s="110"/>
      <c r="H112" s="172"/>
      <c r="I112" s="172"/>
      <c r="J112" s="228"/>
      <c r="K112" s="228"/>
      <c r="L112" s="110"/>
      <c r="M112" s="110"/>
      <c r="N112" s="141"/>
      <c r="O112" s="141"/>
      <c r="P112" s="110"/>
      <c r="Q112" s="110"/>
      <c r="R112" s="110"/>
      <c r="V112" s="192"/>
      <c r="Y112" s="110"/>
      <c r="Z112" s="217"/>
      <c r="AA112" s="192"/>
      <c r="AB112" s="192"/>
      <c r="AC112" s="192"/>
      <c r="AD112" s="192"/>
      <c r="AE112" s="192"/>
      <c r="AF112" s="192"/>
      <c r="AI112" s="192"/>
      <c r="AJ112" s="192"/>
      <c r="AK112" s="194"/>
      <c r="AL112" s="192"/>
      <c r="AM112" s="141"/>
      <c r="AN112" s="141"/>
    </row>
    <row r="113" spans="3:40" x14ac:dyDescent="0.3">
      <c r="C113" s="99"/>
      <c r="H113" s="172"/>
      <c r="I113" s="172"/>
      <c r="J113" s="228"/>
      <c r="K113" s="228"/>
      <c r="L113" s="110"/>
      <c r="M113" s="110"/>
      <c r="N113" s="141"/>
      <c r="O113" s="141"/>
      <c r="P113" s="110"/>
      <c r="Q113" s="110"/>
      <c r="R113" s="110"/>
      <c r="T113" s="99"/>
      <c r="V113" s="172"/>
      <c r="Y113" s="172"/>
      <c r="Z113" s="227"/>
      <c r="AA113" s="110"/>
      <c r="AB113" s="110"/>
      <c r="AC113" s="141"/>
      <c r="AD113" s="141"/>
      <c r="AE113" s="110"/>
      <c r="AF113" s="110"/>
      <c r="AH113" s="141"/>
      <c r="AI113" s="110"/>
      <c r="AJ113" s="110"/>
      <c r="AL113" s="110"/>
      <c r="AM113" s="141"/>
      <c r="AN113" s="141"/>
    </row>
    <row r="114" spans="3:40" x14ac:dyDescent="0.3">
      <c r="F114" s="110"/>
      <c r="H114" s="110"/>
      <c r="I114" s="110"/>
      <c r="J114" s="217"/>
      <c r="K114" s="217"/>
      <c r="L114" s="192"/>
      <c r="M114" s="192"/>
      <c r="N114" s="192"/>
      <c r="O114" s="192"/>
      <c r="P114" s="192"/>
      <c r="Q114" s="192"/>
      <c r="R114" s="192"/>
      <c r="T114" s="99"/>
      <c r="V114" s="172"/>
      <c r="Y114" s="110"/>
      <c r="Z114" s="181"/>
      <c r="AA114" s="110"/>
      <c r="AB114" s="110"/>
      <c r="AC114" s="141"/>
      <c r="AD114" s="141"/>
      <c r="AE114" s="110"/>
      <c r="AF114" s="110"/>
      <c r="AH114" s="207"/>
      <c r="AI114" s="110"/>
      <c r="AJ114" s="110"/>
      <c r="AL114" s="110"/>
      <c r="AM114" s="141"/>
      <c r="AN114" s="141"/>
    </row>
    <row r="115" spans="3:40" x14ac:dyDescent="0.3">
      <c r="C115" s="99"/>
      <c r="F115" s="110"/>
      <c r="H115" s="110"/>
      <c r="I115" s="110"/>
      <c r="J115" s="198"/>
      <c r="K115" s="198"/>
      <c r="L115" s="110"/>
      <c r="M115" s="110"/>
      <c r="N115" s="141"/>
      <c r="O115" s="141"/>
      <c r="P115" s="110"/>
      <c r="Q115" s="110"/>
      <c r="R115" s="110"/>
      <c r="T115" s="99"/>
      <c r="V115" s="172"/>
      <c r="Y115" s="110"/>
      <c r="Z115" s="181"/>
      <c r="AA115" s="110"/>
      <c r="AB115" s="110"/>
      <c r="AC115" s="141"/>
      <c r="AD115" s="141"/>
      <c r="AE115" s="110"/>
      <c r="AF115" s="110"/>
      <c r="AH115" s="207"/>
      <c r="AI115" s="110"/>
      <c r="AJ115" s="110"/>
      <c r="AL115" s="110"/>
      <c r="AM115" s="141"/>
      <c r="AN115" s="141"/>
    </row>
    <row r="116" spans="3:40" x14ac:dyDescent="0.3">
      <c r="F116" s="110"/>
      <c r="H116" s="110"/>
      <c r="I116" s="110"/>
      <c r="J116" s="217"/>
      <c r="K116" s="217"/>
      <c r="L116" s="192"/>
      <c r="M116" s="192"/>
      <c r="N116" s="192"/>
      <c r="O116" s="192"/>
      <c r="P116" s="192"/>
      <c r="Q116" s="192"/>
      <c r="R116" s="192"/>
      <c r="V116" s="110"/>
      <c r="Y116" s="192"/>
      <c r="Z116" s="217"/>
      <c r="AA116" s="192"/>
      <c r="AB116" s="192"/>
      <c r="AC116" s="192"/>
      <c r="AD116" s="192"/>
      <c r="AE116" s="192"/>
      <c r="AF116" s="192"/>
      <c r="AI116" s="192"/>
      <c r="AJ116" s="192"/>
      <c r="AK116" s="194"/>
      <c r="AL116" s="192"/>
      <c r="AM116" s="141"/>
      <c r="AN116" s="141"/>
    </row>
    <row r="117" spans="3:40" x14ac:dyDescent="0.3">
      <c r="C117" s="99"/>
      <c r="F117" s="110"/>
      <c r="H117" s="110"/>
      <c r="I117" s="110"/>
      <c r="J117" s="198"/>
      <c r="K117" s="198"/>
      <c r="L117" s="110"/>
      <c r="M117" s="110"/>
      <c r="N117" s="141"/>
      <c r="O117" s="141"/>
      <c r="P117" s="110"/>
      <c r="Q117" s="110"/>
      <c r="R117" s="110"/>
      <c r="T117" s="99"/>
      <c r="V117" s="110"/>
      <c r="Y117" s="110"/>
      <c r="Z117" s="217"/>
      <c r="AA117" s="110"/>
      <c r="AB117" s="110"/>
      <c r="AC117" s="141"/>
      <c r="AD117" s="141"/>
      <c r="AE117" s="110"/>
      <c r="AF117" s="110"/>
      <c r="AH117" s="207"/>
      <c r="AI117" s="110"/>
      <c r="AJ117" s="110"/>
      <c r="AL117" s="110"/>
      <c r="AM117" s="141"/>
      <c r="AN117" s="141"/>
    </row>
    <row r="118" spans="3:40" x14ac:dyDescent="0.3">
      <c r="C118" s="99"/>
      <c r="F118" s="110"/>
      <c r="H118" s="172"/>
      <c r="I118" s="172"/>
      <c r="J118" s="222"/>
      <c r="K118" s="222"/>
      <c r="L118" s="110"/>
      <c r="M118" s="110"/>
      <c r="N118" s="141"/>
      <c r="O118" s="141"/>
      <c r="P118" s="110"/>
      <c r="Q118" s="110"/>
      <c r="R118" s="110"/>
      <c r="V118" s="110"/>
      <c r="Y118" s="192"/>
      <c r="Z118" s="217"/>
      <c r="AA118" s="192"/>
      <c r="AB118" s="192"/>
      <c r="AC118" s="192"/>
      <c r="AD118" s="192"/>
      <c r="AE118" s="192"/>
      <c r="AF118" s="192"/>
      <c r="AI118" s="192"/>
      <c r="AJ118" s="192"/>
      <c r="AK118" s="194"/>
      <c r="AL118" s="192"/>
      <c r="AM118" s="141"/>
      <c r="AN118" s="141"/>
    </row>
    <row r="119" spans="3:40" x14ac:dyDescent="0.3">
      <c r="F119" s="192"/>
      <c r="H119" s="192"/>
      <c r="I119" s="192"/>
      <c r="J119" s="217"/>
      <c r="K119" s="217"/>
      <c r="L119" s="192"/>
      <c r="M119" s="192"/>
      <c r="N119" s="192"/>
      <c r="O119" s="192"/>
      <c r="P119" s="192"/>
      <c r="Q119" s="192"/>
      <c r="R119" s="192"/>
      <c r="T119" s="99"/>
      <c r="V119" s="110"/>
      <c r="Y119" s="110"/>
      <c r="Z119" s="217"/>
      <c r="AA119" s="110"/>
      <c r="AB119" s="110"/>
      <c r="AC119" s="110"/>
      <c r="AD119" s="110"/>
      <c r="AE119" s="110"/>
      <c r="AF119" s="110"/>
      <c r="AH119" s="207"/>
      <c r="AI119" s="110"/>
      <c r="AJ119" s="110"/>
      <c r="AL119" s="110"/>
      <c r="AM119" s="141"/>
      <c r="AN119" s="141"/>
    </row>
    <row r="120" spans="3:40" x14ac:dyDescent="0.3">
      <c r="C120" s="99"/>
      <c r="F120" s="110"/>
      <c r="H120" s="110"/>
      <c r="I120" s="110"/>
      <c r="J120" s="217"/>
      <c r="K120" s="217"/>
      <c r="L120" s="110"/>
      <c r="M120" s="110"/>
      <c r="N120" s="141"/>
      <c r="O120" s="141"/>
      <c r="P120" s="110"/>
      <c r="Q120" s="110"/>
      <c r="R120" s="110"/>
      <c r="S120" s="110"/>
      <c r="T120" s="99"/>
      <c r="V120" s="110"/>
      <c r="Y120" s="110"/>
      <c r="Z120" s="228"/>
      <c r="AA120" s="110"/>
      <c r="AB120" s="110"/>
      <c r="AC120" s="141"/>
      <c r="AD120" s="141"/>
      <c r="AE120" s="110"/>
      <c r="AF120" s="110"/>
      <c r="AH120" s="207"/>
      <c r="AI120" s="110"/>
      <c r="AJ120" s="110"/>
      <c r="AL120" s="110"/>
      <c r="AM120" s="141"/>
      <c r="AN120" s="141"/>
    </row>
    <row r="121" spans="3:40" x14ac:dyDescent="0.3">
      <c r="F121" s="192"/>
      <c r="H121" s="192"/>
      <c r="I121" s="192"/>
      <c r="J121" s="217"/>
      <c r="K121" s="217"/>
      <c r="L121" s="192"/>
      <c r="M121" s="192"/>
      <c r="N121" s="192"/>
      <c r="O121" s="192"/>
      <c r="P121" s="192"/>
      <c r="Q121" s="192"/>
      <c r="R121" s="192"/>
      <c r="S121" s="110"/>
      <c r="T121" s="99"/>
      <c r="Y121" s="110"/>
      <c r="Z121" s="228"/>
      <c r="AA121" s="110"/>
      <c r="AB121" s="110"/>
      <c r="AC121" s="141"/>
      <c r="AD121" s="141"/>
      <c r="AE121" s="110"/>
      <c r="AF121" s="110"/>
      <c r="AH121" s="207"/>
      <c r="AI121" s="110"/>
      <c r="AJ121" s="110"/>
      <c r="AL121" s="110"/>
      <c r="AM121" s="141"/>
      <c r="AN121" s="141"/>
    </row>
    <row r="122" spans="3:40" x14ac:dyDescent="0.3">
      <c r="C122" s="99"/>
      <c r="F122" s="172"/>
      <c r="H122" s="229"/>
      <c r="I122" s="229"/>
      <c r="J122" s="217"/>
      <c r="K122" s="217"/>
      <c r="L122" s="110"/>
      <c r="M122" s="110"/>
      <c r="N122" s="141"/>
      <c r="O122" s="141"/>
      <c r="P122" s="110"/>
      <c r="Q122" s="110"/>
      <c r="R122" s="110"/>
      <c r="S122" s="110"/>
      <c r="V122" s="110"/>
      <c r="Y122" s="110"/>
      <c r="Z122" s="217"/>
      <c r="AA122" s="192"/>
      <c r="AB122" s="192"/>
      <c r="AC122" s="192"/>
      <c r="AD122" s="192"/>
      <c r="AE122" s="192"/>
      <c r="AF122" s="192"/>
      <c r="AI122" s="192"/>
      <c r="AJ122" s="192"/>
      <c r="AK122" s="194"/>
      <c r="AL122" s="192"/>
      <c r="AM122" s="141"/>
      <c r="AN122" s="141"/>
    </row>
    <row r="123" spans="3:40" x14ac:dyDescent="0.3">
      <c r="T123" s="99"/>
      <c r="V123" s="110"/>
      <c r="Y123" s="110"/>
      <c r="Z123" s="198"/>
      <c r="AA123" s="110"/>
      <c r="AB123" s="110"/>
      <c r="AC123" s="141"/>
      <c r="AD123" s="141"/>
      <c r="AE123" s="110"/>
      <c r="AF123" s="110"/>
      <c r="AH123" s="207"/>
      <c r="AI123" s="110"/>
      <c r="AJ123" s="110"/>
      <c r="AL123" s="110"/>
      <c r="AM123" s="141"/>
      <c r="AN123" s="141"/>
    </row>
    <row r="124" spans="3:40" x14ac:dyDescent="0.3">
      <c r="C124" s="99"/>
      <c r="V124" s="110"/>
      <c r="Y124" s="110"/>
      <c r="Z124" s="217"/>
      <c r="AA124" s="192"/>
      <c r="AB124" s="192"/>
      <c r="AC124" s="192"/>
      <c r="AD124" s="192"/>
      <c r="AE124" s="192"/>
      <c r="AF124" s="192"/>
      <c r="AI124" s="192"/>
      <c r="AJ124" s="192"/>
      <c r="AK124" s="194"/>
      <c r="AL124" s="192"/>
      <c r="AM124" s="141"/>
      <c r="AN124" s="141"/>
    </row>
    <row r="125" spans="3:40" x14ac:dyDescent="0.3">
      <c r="C125" s="99"/>
      <c r="F125" s="172"/>
      <c r="H125" s="172"/>
      <c r="I125" s="172"/>
      <c r="J125" s="181"/>
      <c r="K125" s="181"/>
      <c r="L125" s="110"/>
      <c r="M125" s="110"/>
      <c r="N125" s="141"/>
      <c r="O125" s="141"/>
      <c r="R125" s="110"/>
      <c r="T125" s="99"/>
      <c r="V125" s="110"/>
      <c r="Y125" s="110"/>
      <c r="Z125" s="198"/>
      <c r="AA125" s="110"/>
      <c r="AB125" s="110"/>
      <c r="AC125" s="141"/>
      <c r="AD125" s="141"/>
      <c r="AE125" s="110"/>
      <c r="AF125" s="110"/>
      <c r="AH125" s="207"/>
      <c r="AI125" s="110"/>
      <c r="AJ125" s="110"/>
      <c r="AL125" s="110"/>
      <c r="AM125" s="141"/>
      <c r="AN125" s="141"/>
    </row>
    <row r="126" spans="3:40" x14ac:dyDescent="0.3">
      <c r="C126" s="99"/>
      <c r="F126" s="172"/>
      <c r="H126" s="172"/>
      <c r="I126" s="172"/>
      <c r="J126" s="181"/>
      <c r="K126" s="181"/>
      <c r="L126" s="110"/>
      <c r="M126" s="110"/>
      <c r="N126" s="141"/>
      <c r="O126" s="141"/>
      <c r="R126" s="110"/>
      <c r="T126" s="99"/>
      <c r="V126" s="172"/>
      <c r="Y126" s="110"/>
      <c r="Z126" s="222"/>
      <c r="AA126" s="110"/>
      <c r="AB126" s="110"/>
      <c r="AC126" s="141"/>
      <c r="AD126" s="141"/>
      <c r="AE126" s="110"/>
      <c r="AF126" s="110"/>
      <c r="AH126" s="207"/>
      <c r="AI126" s="110"/>
      <c r="AJ126" s="110"/>
      <c r="AL126" s="110"/>
      <c r="AM126" s="141"/>
      <c r="AN126" s="141"/>
    </row>
    <row r="127" spans="3:40" x14ac:dyDescent="0.3">
      <c r="C127" s="99"/>
      <c r="F127" s="172"/>
      <c r="H127" s="172"/>
      <c r="I127" s="172"/>
      <c r="J127" s="181"/>
      <c r="K127" s="181"/>
      <c r="L127" s="110"/>
      <c r="M127" s="110"/>
      <c r="N127" s="141"/>
      <c r="O127" s="141"/>
      <c r="R127" s="110"/>
      <c r="V127" s="192"/>
      <c r="Y127" s="192"/>
      <c r="Z127" s="217"/>
      <c r="AA127" s="192"/>
      <c r="AB127" s="192"/>
      <c r="AC127" s="192"/>
      <c r="AD127" s="192"/>
      <c r="AE127" s="192"/>
      <c r="AF127" s="192"/>
      <c r="AI127" s="192"/>
      <c r="AJ127" s="192"/>
      <c r="AK127" s="194"/>
      <c r="AL127" s="192"/>
      <c r="AM127" s="141"/>
      <c r="AN127" s="141"/>
    </row>
    <row r="128" spans="3:40" x14ac:dyDescent="0.3">
      <c r="F128" s="192"/>
      <c r="H128" s="110"/>
      <c r="I128" s="110"/>
      <c r="J128" s="217"/>
      <c r="K128" s="217"/>
      <c r="L128" s="192"/>
      <c r="M128" s="192"/>
      <c r="N128" s="192"/>
      <c r="O128" s="192"/>
      <c r="P128" s="192"/>
      <c r="Q128" s="192"/>
      <c r="R128" s="192"/>
      <c r="T128" s="99"/>
      <c r="V128" s="110"/>
      <c r="Y128" s="110"/>
      <c r="Z128" s="217"/>
      <c r="AA128" s="110"/>
      <c r="AB128" s="110"/>
      <c r="AC128" s="141"/>
      <c r="AD128" s="141"/>
      <c r="AE128" s="110"/>
      <c r="AF128" s="110"/>
      <c r="AH128" s="141"/>
      <c r="AI128" s="110"/>
      <c r="AJ128" s="110"/>
      <c r="AL128" s="110"/>
      <c r="AM128" s="141"/>
      <c r="AN128" s="141"/>
    </row>
    <row r="129" spans="3:40" x14ac:dyDescent="0.3">
      <c r="C129" s="99"/>
      <c r="F129" s="110"/>
      <c r="H129" s="110"/>
      <c r="I129" s="110"/>
      <c r="J129" s="217"/>
      <c r="K129" s="217"/>
      <c r="L129" s="110"/>
      <c r="M129" s="110"/>
      <c r="N129" s="141"/>
      <c r="O129" s="141"/>
      <c r="P129" s="110"/>
      <c r="Q129" s="110"/>
      <c r="R129" s="110"/>
      <c r="V129" s="192"/>
      <c r="Y129" s="192"/>
      <c r="Z129" s="217"/>
      <c r="AA129" s="192"/>
      <c r="AB129" s="192"/>
      <c r="AC129" s="192"/>
      <c r="AD129" s="192"/>
      <c r="AE129" s="192"/>
      <c r="AF129" s="192"/>
      <c r="AI129" s="192"/>
      <c r="AJ129" s="192"/>
      <c r="AK129" s="194"/>
      <c r="AL129" s="192"/>
      <c r="AM129" s="141"/>
      <c r="AN129" s="141"/>
    </row>
    <row r="130" spans="3:40" x14ac:dyDescent="0.3">
      <c r="F130" s="192"/>
      <c r="H130" s="110"/>
      <c r="I130" s="110"/>
      <c r="J130" s="217"/>
      <c r="K130" s="217"/>
      <c r="L130" s="192"/>
      <c r="M130" s="192"/>
      <c r="N130" s="192"/>
      <c r="O130" s="192"/>
      <c r="P130" s="192"/>
      <c r="Q130" s="192"/>
      <c r="R130" s="192"/>
      <c r="T130" s="99"/>
      <c r="V130" s="172"/>
      <c r="Y130" s="172"/>
      <c r="Z130" s="217"/>
      <c r="AA130" s="110"/>
      <c r="AB130" s="110"/>
      <c r="AC130" s="141"/>
      <c r="AD130" s="141"/>
      <c r="AE130" s="110"/>
      <c r="AF130" s="110"/>
      <c r="AI130" s="110"/>
      <c r="AJ130" s="110"/>
      <c r="AL130" s="110"/>
      <c r="AM130" s="141"/>
      <c r="AN130" s="141"/>
    </row>
    <row r="131" spans="3:40" x14ac:dyDescent="0.3">
      <c r="C131" s="99"/>
      <c r="F131" s="172"/>
      <c r="H131" s="172"/>
      <c r="I131" s="172"/>
      <c r="J131" s="227"/>
      <c r="K131" s="227"/>
      <c r="L131" s="110"/>
      <c r="M131" s="110"/>
      <c r="N131" s="141"/>
      <c r="O131" s="141"/>
      <c r="P131" s="110"/>
      <c r="Q131" s="110"/>
      <c r="R131" s="110"/>
      <c r="S131" s="110"/>
    </row>
    <row r="132" spans="3:40" x14ac:dyDescent="0.3">
      <c r="C132" s="99"/>
      <c r="F132" s="172"/>
      <c r="H132" s="172"/>
      <c r="I132" s="172"/>
      <c r="J132" s="181"/>
      <c r="K132" s="181"/>
      <c r="L132" s="110"/>
      <c r="M132" s="110"/>
      <c r="N132" s="141"/>
      <c r="O132" s="141"/>
      <c r="P132" s="110"/>
      <c r="Q132" s="110"/>
      <c r="R132" s="110"/>
      <c r="T132" s="99"/>
    </row>
    <row r="133" spans="3:40" x14ac:dyDescent="0.3">
      <c r="C133" s="99"/>
      <c r="F133" s="172"/>
      <c r="H133" s="172"/>
      <c r="I133" s="172"/>
      <c r="J133" s="181"/>
      <c r="K133" s="181"/>
      <c r="L133" s="110"/>
      <c r="M133" s="110"/>
      <c r="N133" s="141"/>
      <c r="O133" s="141"/>
      <c r="P133" s="110"/>
      <c r="Q133" s="110"/>
      <c r="R133" s="110"/>
      <c r="T133" s="99"/>
      <c r="V133" s="110"/>
      <c r="Y133" s="172"/>
      <c r="Z133" s="181"/>
      <c r="AA133" s="110"/>
      <c r="AB133" s="110"/>
      <c r="AC133" s="141"/>
      <c r="AD133" s="141"/>
      <c r="AE133" s="110"/>
      <c r="AF133" s="110"/>
      <c r="AG133" s="224"/>
      <c r="AH133" s="225"/>
      <c r="AL133" s="110"/>
      <c r="AM133" s="226"/>
      <c r="AN133" s="226"/>
    </row>
    <row r="134" spans="3:40" x14ac:dyDescent="0.3">
      <c r="F134" s="110"/>
      <c r="H134" s="192"/>
      <c r="I134" s="192"/>
      <c r="J134" s="217"/>
      <c r="K134" s="217"/>
      <c r="L134" s="192"/>
      <c r="M134" s="192"/>
      <c r="N134" s="192"/>
      <c r="O134" s="192"/>
      <c r="P134" s="192"/>
      <c r="Q134" s="192"/>
      <c r="R134" s="192"/>
      <c r="T134" s="99"/>
      <c r="V134" s="110"/>
      <c r="Y134" s="172"/>
      <c r="Z134" s="181"/>
      <c r="AA134" s="110"/>
      <c r="AB134" s="110"/>
      <c r="AC134" s="141"/>
      <c r="AD134" s="141"/>
      <c r="AE134" s="110"/>
      <c r="AF134" s="110"/>
      <c r="AH134" s="207"/>
      <c r="AL134" s="110"/>
      <c r="AM134" s="141"/>
      <c r="AN134" s="141"/>
    </row>
    <row r="135" spans="3:40" x14ac:dyDescent="0.3">
      <c r="C135" s="99"/>
      <c r="F135" s="110"/>
      <c r="H135" s="110"/>
      <c r="I135" s="110"/>
      <c r="J135" s="217"/>
      <c r="K135" s="217"/>
      <c r="L135" s="110"/>
      <c r="M135" s="110"/>
      <c r="N135" s="141"/>
      <c r="O135" s="141"/>
      <c r="P135" s="110"/>
      <c r="Q135" s="110"/>
      <c r="R135" s="110"/>
      <c r="T135" s="99"/>
      <c r="V135" s="110"/>
      <c r="Y135" s="172"/>
      <c r="Z135" s="181"/>
      <c r="AA135" s="110"/>
      <c r="AB135" s="110"/>
      <c r="AC135" s="141"/>
      <c r="AD135" s="141"/>
      <c r="AE135" s="110"/>
      <c r="AF135" s="110"/>
      <c r="AH135" s="207"/>
      <c r="AL135" s="110"/>
      <c r="AM135" s="141"/>
      <c r="AN135" s="141"/>
    </row>
    <row r="136" spans="3:40" x14ac:dyDescent="0.3">
      <c r="F136" s="110"/>
      <c r="H136" s="192"/>
      <c r="I136" s="192"/>
      <c r="J136" s="217"/>
      <c r="K136" s="217"/>
      <c r="L136" s="192"/>
      <c r="M136" s="192"/>
      <c r="N136" s="192"/>
      <c r="O136" s="192"/>
      <c r="P136" s="192"/>
      <c r="Q136" s="192"/>
      <c r="R136" s="192"/>
      <c r="V136" s="192"/>
      <c r="Y136" s="110"/>
      <c r="Z136" s="217"/>
      <c r="AA136" s="192"/>
      <c r="AB136" s="192"/>
      <c r="AC136" s="192"/>
      <c r="AD136" s="192"/>
      <c r="AE136" s="192"/>
      <c r="AF136" s="192"/>
      <c r="AI136" s="192"/>
      <c r="AJ136" s="192"/>
      <c r="AK136" s="194"/>
      <c r="AL136" s="192"/>
      <c r="AM136" s="141"/>
      <c r="AN136" s="141"/>
    </row>
    <row r="137" spans="3:40" x14ac:dyDescent="0.3">
      <c r="C137" s="99"/>
      <c r="F137" s="110"/>
      <c r="H137" s="110"/>
      <c r="I137" s="110"/>
      <c r="J137" s="217"/>
      <c r="K137" s="217"/>
      <c r="L137" s="110"/>
      <c r="M137" s="110"/>
      <c r="N137" s="110"/>
      <c r="O137" s="110"/>
      <c r="P137" s="110"/>
      <c r="Q137" s="110"/>
      <c r="R137" s="110"/>
      <c r="T137" s="99"/>
      <c r="V137" s="110"/>
      <c r="Y137" s="110"/>
      <c r="Z137" s="217"/>
      <c r="AA137" s="110"/>
      <c r="AB137" s="110"/>
      <c r="AC137" s="141"/>
      <c r="AD137" s="141"/>
      <c r="AE137" s="110"/>
      <c r="AF137" s="110"/>
      <c r="AH137" s="207"/>
      <c r="AI137" s="110"/>
      <c r="AJ137" s="110"/>
      <c r="AL137" s="110"/>
      <c r="AM137" s="141"/>
      <c r="AN137" s="141"/>
    </row>
    <row r="138" spans="3:40" x14ac:dyDescent="0.3">
      <c r="C138" s="99"/>
      <c r="F138" s="110"/>
      <c r="H138" s="172"/>
      <c r="I138" s="172"/>
      <c r="J138" s="228"/>
      <c r="K138" s="228"/>
      <c r="L138" s="110"/>
      <c r="M138" s="110"/>
      <c r="N138" s="141"/>
      <c r="O138" s="141"/>
      <c r="P138" s="110"/>
      <c r="Q138" s="110"/>
      <c r="R138" s="110"/>
      <c r="V138" s="192"/>
      <c r="Y138" s="110"/>
      <c r="Z138" s="217"/>
      <c r="AA138" s="192"/>
      <c r="AB138" s="192"/>
      <c r="AC138" s="192"/>
      <c r="AD138" s="192"/>
      <c r="AE138" s="192"/>
      <c r="AF138" s="192"/>
      <c r="AI138" s="192"/>
      <c r="AJ138" s="192"/>
      <c r="AK138" s="194"/>
      <c r="AL138" s="192"/>
      <c r="AM138" s="141"/>
      <c r="AN138" s="141"/>
    </row>
    <row r="139" spans="3:40" x14ac:dyDescent="0.3">
      <c r="C139" s="99"/>
      <c r="H139" s="172"/>
      <c r="I139" s="172"/>
      <c r="J139" s="228"/>
      <c r="K139" s="228"/>
      <c r="L139" s="110"/>
      <c r="M139" s="110"/>
      <c r="N139" s="141"/>
      <c r="O139" s="141"/>
      <c r="P139" s="110"/>
      <c r="Q139" s="110"/>
      <c r="R139" s="110"/>
      <c r="T139" s="99"/>
      <c r="V139" s="172"/>
      <c r="Y139" s="172"/>
      <c r="Z139" s="227"/>
      <c r="AA139" s="110"/>
      <c r="AB139" s="110"/>
      <c r="AC139" s="141"/>
      <c r="AD139" s="141"/>
      <c r="AE139" s="110"/>
      <c r="AF139" s="110"/>
      <c r="AH139" s="141"/>
      <c r="AI139" s="110"/>
      <c r="AJ139" s="110"/>
      <c r="AL139" s="110"/>
      <c r="AM139" s="141"/>
      <c r="AN139" s="141"/>
    </row>
    <row r="140" spans="3:40" x14ac:dyDescent="0.3">
      <c r="F140" s="110"/>
      <c r="H140" s="110"/>
      <c r="I140" s="110"/>
      <c r="J140" s="217"/>
      <c r="K140" s="217"/>
      <c r="L140" s="192"/>
      <c r="M140" s="192"/>
      <c r="N140" s="192"/>
      <c r="O140" s="192"/>
      <c r="P140" s="192"/>
      <c r="Q140" s="192"/>
      <c r="R140" s="192"/>
      <c r="T140" s="99"/>
      <c r="V140" s="172"/>
      <c r="Y140" s="110"/>
      <c r="Z140" s="181"/>
      <c r="AA140" s="110"/>
      <c r="AB140" s="110"/>
      <c r="AC140" s="141"/>
      <c r="AD140" s="141"/>
      <c r="AE140" s="110"/>
      <c r="AF140" s="110"/>
      <c r="AH140" s="207"/>
      <c r="AI140" s="110"/>
      <c r="AJ140" s="110"/>
      <c r="AL140" s="110"/>
      <c r="AM140" s="141"/>
      <c r="AN140" s="141"/>
    </row>
    <row r="141" spans="3:40" x14ac:dyDescent="0.3">
      <c r="C141" s="99"/>
      <c r="F141" s="110"/>
      <c r="H141" s="110"/>
      <c r="I141" s="110"/>
      <c r="J141" s="198"/>
      <c r="K141" s="198"/>
      <c r="L141" s="110"/>
      <c r="M141" s="110"/>
      <c r="N141" s="141"/>
      <c r="O141" s="141"/>
      <c r="P141" s="110"/>
      <c r="Q141" s="110"/>
      <c r="R141" s="110"/>
      <c r="T141" s="99"/>
      <c r="V141" s="172"/>
      <c r="Y141" s="110"/>
      <c r="Z141" s="181"/>
      <c r="AA141" s="110"/>
      <c r="AB141" s="110"/>
      <c r="AC141" s="141"/>
      <c r="AD141" s="141"/>
      <c r="AE141" s="110"/>
      <c r="AF141" s="110"/>
      <c r="AH141" s="207"/>
      <c r="AI141" s="110"/>
      <c r="AJ141" s="110"/>
      <c r="AL141" s="110"/>
      <c r="AM141" s="141"/>
      <c r="AN141" s="141"/>
    </row>
    <row r="142" spans="3:40" x14ac:dyDescent="0.3">
      <c r="F142" s="110"/>
      <c r="H142" s="110"/>
      <c r="I142" s="110"/>
      <c r="J142" s="217"/>
      <c r="K142" s="217"/>
      <c r="L142" s="192"/>
      <c r="M142" s="192"/>
      <c r="N142" s="192"/>
      <c r="O142" s="192"/>
      <c r="P142" s="192"/>
      <c r="Q142" s="192"/>
      <c r="R142" s="192"/>
      <c r="V142" s="110"/>
      <c r="Y142" s="192"/>
      <c r="Z142" s="217"/>
      <c r="AA142" s="192"/>
      <c r="AB142" s="192"/>
      <c r="AC142" s="192"/>
      <c r="AD142" s="192"/>
      <c r="AE142" s="192"/>
      <c r="AF142" s="192"/>
      <c r="AI142" s="192"/>
      <c r="AJ142" s="192"/>
      <c r="AK142" s="194"/>
      <c r="AL142" s="192"/>
      <c r="AM142" s="141"/>
      <c r="AN142" s="141"/>
    </row>
    <row r="143" spans="3:40" x14ac:dyDescent="0.3">
      <c r="C143" s="99"/>
      <c r="F143" s="110"/>
      <c r="H143" s="110"/>
      <c r="I143" s="110"/>
      <c r="J143" s="198"/>
      <c r="K143" s="198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217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C144" s="99"/>
      <c r="F144" s="172"/>
      <c r="H144" s="172"/>
      <c r="I144" s="172"/>
      <c r="J144" s="222"/>
      <c r="K144" s="222"/>
      <c r="L144" s="110"/>
      <c r="M144" s="110"/>
      <c r="N144" s="141"/>
      <c r="O144" s="141"/>
      <c r="P144" s="110"/>
      <c r="Q144" s="110"/>
      <c r="R144" s="110"/>
      <c r="V144" s="110"/>
      <c r="Y144" s="192"/>
      <c r="Z144" s="217"/>
      <c r="AA144" s="192"/>
      <c r="AB144" s="192"/>
      <c r="AC144" s="192"/>
      <c r="AD144" s="192"/>
      <c r="AE144" s="192"/>
      <c r="AF144" s="192"/>
      <c r="AI144" s="192"/>
      <c r="AJ144" s="192"/>
      <c r="AK144" s="194"/>
      <c r="AL144" s="192"/>
      <c r="AM144" s="141"/>
      <c r="AN144" s="141"/>
    </row>
    <row r="145" spans="1:40" x14ac:dyDescent="0.3">
      <c r="F145" s="192"/>
      <c r="H145" s="192"/>
      <c r="I145" s="192"/>
      <c r="J145" s="217"/>
      <c r="K145" s="217"/>
      <c r="L145" s="192"/>
      <c r="M145" s="192"/>
      <c r="N145" s="192"/>
      <c r="O145" s="192"/>
      <c r="P145" s="192"/>
      <c r="Q145" s="192"/>
      <c r="R145" s="192"/>
      <c r="T145" s="99"/>
      <c r="V145" s="110"/>
      <c r="Y145" s="110"/>
      <c r="Z145" s="217"/>
      <c r="AA145" s="110"/>
      <c r="AB145" s="110"/>
      <c r="AC145" s="110"/>
      <c r="AD145" s="110"/>
      <c r="AE145" s="110"/>
      <c r="AF145" s="110"/>
      <c r="AH145" s="207"/>
      <c r="AI145" s="110"/>
      <c r="AJ145" s="110"/>
      <c r="AL145" s="110"/>
      <c r="AM145" s="141"/>
      <c r="AN145" s="141"/>
    </row>
    <row r="146" spans="1:40" x14ac:dyDescent="0.3">
      <c r="C146" s="99"/>
      <c r="F146" s="110"/>
      <c r="H146" s="110"/>
      <c r="I146" s="110"/>
      <c r="J146" s="217"/>
      <c r="K146" s="217"/>
      <c r="L146" s="110"/>
      <c r="M146" s="110"/>
      <c r="N146" s="141"/>
      <c r="O146" s="141"/>
      <c r="P146" s="110"/>
      <c r="Q146" s="110"/>
      <c r="R146" s="110"/>
      <c r="S146" s="110"/>
      <c r="T146" s="99"/>
      <c r="V146" s="110"/>
      <c r="Y146" s="110"/>
      <c r="Z146" s="22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1:40" x14ac:dyDescent="0.3">
      <c r="F147" s="192"/>
      <c r="H147" s="192"/>
      <c r="I147" s="192"/>
      <c r="J147" s="217"/>
      <c r="K147" s="217"/>
      <c r="L147" s="192"/>
      <c r="M147" s="192"/>
      <c r="N147" s="192"/>
      <c r="O147" s="192"/>
      <c r="P147" s="192"/>
      <c r="Q147" s="192"/>
      <c r="R147" s="192"/>
      <c r="S147" s="110"/>
      <c r="T147" s="99"/>
      <c r="Y147" s="110"/>
      <c r="Z147" s="228"/>
      <c r="AA147" s="110"/>
      <c r="AB147" s="110"/>
      <c r="AC147" s="141"/>
      <c r="AD147" s="141"/>
      <c r="AE147" s="110"/>
      <c r="AF147" s="110"/>
      <c r="AH147" s="207"/>
      <c r="AI147" s="110"/>
      <c r="AJ147" s="110"/>
      <c r="AL147" s="110"/>
      <c r="AM147" s="141"/>
      <c r="AN147" s="141"/>
    </row>
    <row r="148" spans="1:40" x14ac:dyDescent="0.3">
      <c r="C148" s="99"/>
      <c r="V148" s="110"/>
      <c r="Y148" s="110"/>
      <c r="Z148" s="217"/>
      <c r="AA148" s="192"/>
      <c r="AB148" s="192"/>
      <c r="AC148" s="192"/>
      <c r="AD148" s="192"/>
      <c r="AE148" s="192"/>
      <c r="AF148" s="192"/>
      <c r="AI148" s="192"/>
      <c r="AJ148" s="192"/>
      <c r="AK148" s="194"/>
      <c r="AL148" s="192"/>
      <c r="AM148" s="141"/>
      <c r="AN148" s="141"/>
    </row>
    <row r="149" spans="1:40" x14ac:dyDescent="0.3">
      <c r="C149" s="99"/>
      <c r="F149" s="110"/>
      <c r="H149" s="110"/>
      <c r="I149" s="110"/>
      <c r="L149" s="110"/>
      <c r="M149" s="110"/>
      <c r="N149" s="141"/>
      <c r="O149" s="141"/>
      <c r="P149" s="172"/>
      <c r="Q149" s="172"/>
      <c r="R149" s="110"/>
      <c r="T149" s="99"/>
      <c r="V149" s="110"/>
      <c r="Y149" s="110"/>
      <c r="Z149" s="198"/>
      <c r="AA149" s="110"/>
      <c r="AB149" s="110"/>
      <c r="AC149" s="141"/>
      <c r="AD149" s="141"/>
      <c r="AE149" s="110"/>
      <c r="AF149" s="110"/>
      <c r="AH149" s="207"/>
      <c r="AI149" s="110"/>
      <c r="AJ149" s="110"/>
      <c r="AL149" s="110"/>
      <c r="AM149" s="141"/>
      <c r="AN149" s="141"/>
    </row>
    <row r="150" spans="1:40" x14ac:dyDescent="0.3">
      <c r="F150" s="192"/>
      <c r="H150" s="192"/>
      <c r="I150" s="192"/>
      <c r="J150" s="217"/>
      <c r="K150" s="217"/>
      <c r="L150" s="192"/>
      <c r="M150" s="192"/>
      <c r="N150" s="192"/>
      <c r="O150" s="192"/>
      <c r="P150" s="192"/>
      <c r="Q150" s="192"/>
      <c r="R150" s="192"/>
      <c r="V150" s="110"/>
      <c r="Y150" s="110"/>
      <c r="Z150" s="217"/>
      <c r="AA150" s="192"/>
      <c r="AB150" s="192"/>
      <c r="AC150" s="192"/>
      <c r="AD150" s="192"/>
      <c r="AE150" s="192"/>
      <c r="AF150" s="192"/>
      <c r="AI150" s="192"/>
      <c r="AJ150" s="192"/>
      <c r="AK150" s="194"/>
      <c r="AL150" s="192"/>
      <c r="AM150" s="141"/>
      <c r="AN150" s="141"/>
    </row>
    <row r="151" spans="1:40" x14ac:dyDescent="0.3">
      <c r="T151" s="99"/>
      <c r="V151" s="110"/>
      <c r="Y151" s="110"/>
      <c r="Z151" s="198"/>
      <c r="AA151" s="110"/>
      <c r="AB151" s="110"/>
      <c r="AC151" s="141"/>
      <c r="AD151" s="141"/>
      <c r="AE151" s="110"/>
      <c r="AF151" s="110"/>
      <c r="AH151" s="207"/>
      <c r="AI151" s="110"/>
      <c r="AJ151" s="110"/>
      <c r="AL151" s="110"/>
      <c r="AM151" s="141"/>
      <c r="AN151" s="141"/>
    </row>
    <row r="152" spans="1:40" x14ac:dyDescent="0.3">
      <c r="C152" s="99"/>
      <c r="L152" s="110"/>
      <c r="M152" s="110"/>
      <c r="N152" s="110"/>
      <c r="O152" s="110"/>
      <c r="P152" s="110"/>
      <c r="Q152" s="110"/>
      <c r="R152" s="110"/>
      <c r="S152" s="110"/>
      <c r="T152" s="99"/>
      <c r="V152" s="172"/>
      <c r="Y152" s="110"/>
      <c r="Z152" s="222"/>
      <c r="AA152" s="110"/>
      <c r="AB152" s="110"/>
      <c r="AC152" s="141"/>
      <c r="AD152" s="141"/>
      <c r="AE152" s="110"/>
      <c r="AF152" s="110"/>
      <c r="AH152" s="207"/>
      <c r="AI152" s="110"/>
      <c r="AJ152" s="110"/>
      <c r="AL152" s="110"/>
      <c r="AM152" s="141"/>
      <c r="AN152" s="141"/>
    </row>
    <row r="153" spans="1:40" x14ac:dyDescent="0.3">
      <c r="A153" s="99"/>
      <c r="V153" s="192"/>
      <c r="Y153" s="192"/>
      <c r="Z153" s="217"/>
      <c r="AA153" s="192"/>
      <c r="AB153" s="192"/>
      <c r="AC153" s="192"/>
      <c r="AD153" s="192"/>
      <c r="AE153" s="192"/>
      <c r="AF153" s="192"/>
      <c r="AI153" s="192"/>
      <c r="AJ153" s="192"/>
      <c r="AK153" s="194"/>
      <c r="AL153" s="192"/>
      <c r="AM153" s="141"/>
      <c r="AN153" s="141"/>
    </row>
    <row r="154" spans="1:40" x14ac:dyDescent="0.3">
      <c r="T154" s="99"/>
      <c r="V154" s="110"/>
      <c r="Y154" s="110"/>
      <c r="Z154" s="217"/>
      <c r="AA154" s="110"/>
      <c r="AB154" s="110"/>
      <c r="AC154" s="141"/>
      <c r="AD154" s="141"/>
      <c r="AE154" s="110"/>
      <c r="AF154" s="110"/>
      <c r="AH154" s="141"/>
      <c r="AI154" s="110"/>
      <c r="AJ154" s="110"/>
      <c r="AL154" s="110"/>
      <c r="AM154" s="141"/>
      <c r="AN154" s="141"/>
    </row>
    <row r="155" spans="1:40" x14ac:dyDescent="0.3">
      <c r="H155" s="99"/>
      <c r="I155" s="99"/>
      <c r="V155" s="192"/>
      <c r="Y155" s="192"/>
      <c r="Z155" s="217"/>
      <c r="AA155" s="192"/>
      <c r="AB155" s="192"/>
      <c r="AC155" s="192"/>
      <c r="AD155" s="192"/>
      <c r="AE155" s="192"/>
      <c r="AF155" s="192"/>
      <c r="AI155" s="192"/>
      <c r="AJ155" s="192"/>
      <c r="AK155" s="194"/>
      <c r="AL155" s="192"/>
      <c r="AM155" s="141"/>
      <c r="AN155" s="141"/>
    </row>
    <row r="156" spans="1:40" x14ac:dyDescent="0.3">
      <c r="T156" s="99"/>
    </row>
    <row r="157" spans="1:40" x14ac:dyDescent="0.3">
      <c r="L157" s="99"/>
      <c r="M157" s="99"/>
      <c r="AA157" s="99"/>
      <c r="AB157" s="99"/>
    </row>
    <row r="158" spans="1:40" x14ac:dyDescent="0.3">
      <c r="R158" s="99"/>
      <c r="AK158" s="190"/>
      <c r="AL158" s="99"/>
    </row>
    <row r="159" spans="1:40" x14ac:dyDescent="0.3">
      <c r="R159" s="99"/>
      <c r="AK159" s="190"/>
      <c r="AL159" s="99"/>
    </row>
    <row r="160" spans="1:40" x14ac:dyDescent="0.3">
      <c r="A160" s="99"/>
      <c r="R160" s="99"/>
      <c r="AK160" s="190"/>
      <c r="AL160" s="99"/>
    </row>
    <row r="161" spans="1:40" x14ac:dyDescent="0.3">
      <c r="L161" s="99"/>
      <c r="M161" s="99"/>
      <c r="AA161" s="99"/>
      <c r="AB161" s="99"/>
    </row>
    <row r="162" spans="1:40" x14ac:dyDescent="0.3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91"/>
      <c r="AH162" s="101"/>
      <c r="AI162" s="101"/>
      <c r="AJ162" s="101"/>
      <c r="AK162" s="191"/>
      <c r="AL162" s="101"/>
      <c r="AM162" s="101"/>
      <c r="AN162" s="101"/>
    </row>
    <row r="163" spans="1:40" x14ac:dyDescent="0.3">
      <c r="L163" s="102"/>
      <c r="M163" s="102"/>
      <c r="N163" s="102"/>
      <c r="O163" s="102"/>
      <c r="R163" s="102"/>
      <c r="AA163" s="102"/>
      <c r="AB163" s="102"/>
      <c r="AC163" s="102"/>
      <c r="AD163" s="102"/>
      <c r="AE163" s="102"/>
      <c r="AF163" s="102"/>
      <c r="AG163" s="151"/>
      <c r="AH163" s="102"/>
      <c r="AK163" s="151"/>
      <c r="AL163" s="102"/>
      <c r="AM163" s="102"/>
      <c r="AN163" s="102"/>
    </row>
    <row r="164" spans="1:40" x14ac:dyDescent="0.3">
      <c r="L164" s="102"/>
      <c r="M164" s="102"/>
      <c r="N164" s="102"/>
      <c r="O164" s="102"/>
      <c r="R164" s="102"/>
      <c r="Z164" s="102"/>
      <c r="AA164" s="102"/>
      <c r="AB164" s="102"/>
      <c r="AC164" s="102"/>
      <c r="AD164" s="102"/>
      <c r="AE164" s="102"/>
      <c r="AF164" s="102"/>
      <c r="AG164" s="151"/>
      <c r="AH164" s="102"/>
      <c r="AK164" s="151"/>
      <c r="AL164" s="102"/>
      <c r="AM164" s="102"/>
      <c r="AN164" s="102"/>
    </row>
    <row r="165" spans="1:40" x14ac:dyDescent="0.3">
      <c r="A165" s="102"/>
      <c r="C165" s="102"/>
      <c r="D165" s="102"/>
      <c r="E165" s="102"/>
      <c r="F165" s="102"/>
      <c r="J165" s="102"/>
      <c r="K165" s="102"/>
      <c r="L165" s="102"/>
      <c r="M165" s="102"/>
      <c r="N165" s="102"/>
      <c r="O165" s="102"/>
      <c r="P165" s="102"/>
      <c r="Q165" s="102"/>
      <c r="R165" s="102"/>
      <c r="T165" s="102"/>
      <c r="U165" s="102"/>
      <c r="V165" s="102"/>
      <c r="Z165" s="102"/>
      <c r="AA165" s="102"/>
      <c r="AB165" s="102"/>
      <c r="AC165" s="102"/>
      <c r="AD165" s="102"/>
      <c r="AE165" s="102"/>
      <c r="AF165" s="102"/>
      <c r="AG165" s="151"/>
      <c r="AH165" s="102"/>
      <c r="AI165" s="102"/>
      <c r="AJ165" s="102"/>
      <c r="AK165" s="151"/>
      <c r="AL165" s="102"/>
      <c r="AM165" s="102"/>
      <c r="AN165" s="102"/>
    </row>
    <row r="166" spans="1:40" x14ac:dyDescent="0.3">
      <c r="A166" s="102"/>
      <c r="C166" s="102"/>
      <c r="D166" s="102"/>
      <c r="E166" s="102"/>
      <c r="F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T166" s="102"/>
      <c r="U166" s="102"/>
      <c r="V166" s="102"/>
      <c r="Y166" s="102"/>
      <c r="Z166" s="102"/>
      <c r="AA166" s="102"/>
      <c r="AB166" s="102"/>
      <c r="AC166" s="102"/>
      <c r="AD166" s="102"/>
      <c r="AE166" s="102"/>
      <c r="AF166" s="102"/>
      <c r="AG166" s="151"/>
      <c r="AH166" s="102"/>
      <c r="AI166" s="102"/>
      <c r="AJ166" s="102"/>
      <c r="AK166" s="151"/>
      <c r="AL166" s="102"/>
      <c r="AM166" s="102"/>
      <c r="AN166" s="102"/>
    </row>
    <row r="167" spans="1:40" x14ac:dyDescent="0.3">
      <c r="C167" s="102"/>
      <c r="D167" s="102"/>
      <c r="E167" s="102"/>
      <c r="F167" s="102"/>
      <c r="H167" s="102"/>
      <c r="I167" s="102"/>
      <c r="J167" s="102"/>
      <c r="K167" s="102"/>
      <c r="L167" s="102"/>
      <c r="M167" s="102"/>
      <c r="N167" s="102"/>
      <c r="O167" s="102"/>
      <c r="P167" s="102"/>
      <c r="Q167" s="102"/>
      <c r="R167" s="102"/>
      <c r="T167" s="102"/>
      <c r="U167" s="102"/>
      <c r="V167" s="102"/>
      <c r="Y167" s="102"/>
      <c r="Z167" s="102"/>
      <c r="AA167" s="102"/>
      <c r="AB167" s="102"/>
      <c r="AC167" s="102"/>
      <c r="AD167" s="102"/>
      <c r="AE167" s="102"/>
      <c r="AF167" s="102"/>
      <c r="AG167" s="151"/>
      <c r="AH167" s="102"/>
      <c r="AI167" s="102"/>
      <c r="AJ167" s="102"/>
      <c r="AK167" s="151"/>
      <c r="AL167" s="102"/>
      <c r="AM167" s="102"/>
      <c r="AN167" s="102"/>
    </row>
    <row r="168" spans="1:40" x14ac:dyDescent="0.3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91"/>
      <c r="AH168" s="101"/>
      <c r="AI168" s="101"/>
      <c r="AJ168" s="101"/>
      <c r="AK168" s="191"/>
      <c r="AL168" s="101"/>
      <c r="AM168" s="101"/>
      <c r="AN168" s="101"/>
    </row>
    <row r="169" spans="1:40" x14ac:dyDescent="0.3"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Y169" s="102"/>
      <c r="Z169" s="102"/>
      <c r="AA169" s="102"/>
      <c r="AB169" s="102"/>
      <c r="AC169" s="102"/>
      <c r="AD169" s="102"/>
      <c r="AE169" s="102"/>
      <c r="AF169" s="102"/>
      <c r="AG169" s="151"/>
      <c r="AH169" s="102"/>
      <c r="AI169" s="102"/>
      <c r="AJ169" s="102"/>
      <c r="AK169" s="151"/>
      <c r="AL169" s="102"/>
      <c r="AM169" s="102"/>
      <c r="AN169" s="102"/>
    </row>
    <row r="170" spans="1:40" x14ac:dyDescent="0.3">
      <c r="C170" s="99"/>
      <c r="D170" s="99"/>
      <c r="E170" s="99"/>
      <c r="T170" s="99"/>
      <c r="U170" s="99"/>
    </row>
    <row r="171" spans="1:40" x14ac:dyDescent="0.3">
      <c r="D171" s="99"/>
      <c r="E171" s="99"/>
      <c r="U171" s="99"/>
    </row>
    <row r="173" spans="1:40" x14ac:dyDescent="0.3">
      <c r="C173" s="99"/>
      <c r="F173" s="172"/>
      <c r="H173" s="172"/>
      <c r="I173" s="172"/>
      <c r="J173" s="181"/>
      <c r="K173" s="181"/>
      <c r="L173" s="110"/>
      <c r="M173" s="110"/>
      <c r="N173" s="141"/>
      <c r="O173" s="141"/>
      <c r="R173" s="110"/>
      <c r="T173" s="99"/>
      <c r="V173" s="110"/>
      <c r="Y173" s="172"/>
      <c r="Z173" s="181"/>
      <c r="AA173" s="110"/>
      <c r="AB173" s="110"/>
      <c r="AC173" s="141"/>
      <c r="AD173" s="141"/>
      <c r="AE173" s="110"/>
      <c r="AF173" s="110"/>
      <c r="AG173" s="224"/>
      <c r="AH173" s="225"/>
      <c r="AL173" s="110"/>
      <c r="AM173" s="226"/>
      <c r="AN173" s="226"/>
    </row>
    <row r="174" spans="1:40" x14ac:dyDescent="0.3">
      <c r="C174" s="99"/>
      <c r="F174" s="172"/>
      <c r="H174" s="172"/>
      <c r="I174" s="172"/>
      <c r="J174" s="181"/>
      <c r="K174" s="181"/>
      <c r="L174" s="110"/>
      <c r="M174" s="110"/>
      <c r="N174" s="141"/>
      <c r="O174" s="141"/>
      <c r="R174" s="110"/>
      <c r="T174" s="99"/>
      <c r="V174" s="110"/>
      <c r="Y174" s="172"/>
      <c r="Z174" s="181"/>
      <c r="AA174" s="110"/>
      <c r="AB174" s="110"/>
      <c r="AC174" s="141"/>
      <c r="AD174" s="141"/>
      <c r="AE174" s="110"/>
      <c r="AF174" s="110"/>
      <c r="AH174" s="207"/>
      <c r="AL174" s="110"/>
      <c r="AM174" s="141"/>
      <c r="AN174" s="141"/>
    </row>
    <row r="175" spans="1:40" x14ac:dyDescent="0.3">
      <c r="F175" s="192"/>
      <c r="H175" s="110"/>
      <c r="I175" s="110"/>
      <c r="J175" s="217"/>
      <c r="K175" s="217"/>
      <c r="L175" s="192"/>
      <c r="M175" s="192"/>
      <c r="N175" s="192"/>
      <c r="O175" s="192"/>
      <c r="P175" s="192"/>
      <c r="Q175" s="192"/>
      <c r="R175" s="192"/>
      <c r="V175" s="192"/>
      <c r="Y175" s="110"/>
      <c r="Z175" s="217"/>
      <c r="AA175" s="192"/>
      <c r="AB175" s="192"/>
      <c r="AC175" s="192"/>
      <c r="AD175" s="192"/>
      <c r="AE175" s="192"/>
      <c r="AF175" s="192"/>
      <c r="AI175" s="192"/>
      <c r="AJ175" s="192"/>
      <c r="AK175" s="194"/>
      <c r="AL175" s="192"/>
      <c r="AM175" s="141"/>
      <c r="AN175" s="141"/>
    </row>
    <row r="176" spans="1:40" x14ac:dyDescent="0.3">
      <c r="C176" s="99"/>
      <c r="F176" s="110"/>
      <c r="H176" s="110"/>
      <c r="I176" s="110"/>
      <c r="J176" s="217"/>
      <c r="K176" s="217"/>
      <c r="L176" s="110"/>
      <c r="M176" s="110"/>
      <c r="N176" s="141"/>
      <c r="O176" s="141"/>
      <c r="P176" s="110"/>
      <c r="Q176" s="110"/>
      <c r="R176" s="110"/>
      <c r="T176" s="99"/>
      <c r="V176" s="110"/>
      <c r="Y176" s="110"/>
      <c r="Z176" s="198"/>
      <c r="AA176" s="110"/>
      <c r="AB176" s="110"/>
      <c r="AC176" s="141"/>
      <c r="AD176" s="141"/>
      <c r="AE176" s="110"/>
      <c r="AF176" s="110"/>
      <c r="AH176" s="207"/>
      <c r="AI176" s="110"/>
      <c r="AJ176" s="110"/>
      <c r="AL176" s="110"/>
      <c r="AM176" s="141"/>
      <c r="AN176" s="141"/>
    </row>
    <row r="177" spans="3:40" x14ac:dyDescent="0.3">
      <c r="F177" s="192"/>
      <c r="H177" s="110"/>
      <c r="I177" s="110"/>
      <c r="J177" s="217"/>
      <c r="K177" s="217"/>
      <c r="L177" s="192"/>
      <c r="M177" s="192"/>
      <c r="N177" s="192"/>
      <c r="O177" s="192"/>
      <c r="P177" s="192"/>
      <c r="Q177" s="192"/>
      <c r="R177" s="192"/>
      <c r="V177" s="192"/>
      <c r="Y177" s="110"/>
      <c r="Z177" s="217"/>
      <c r="AA177" s="192"/>
      <c r="AB177" s="192"/>
      <c r="AC177" s="192"/>
      <c r="AD177" s="192"/>
      <c r="AE177" s="192"/>
      <c r="AF177" s="192"/>
      <c r="AI177" s="192"/>
      <c r="AJ177" s="192"/>
      <c r="AK177" s="194"/>
      <c r="AL177" s="192"/>
      <c r="AM177" s="141"/>
      <c r="AN177" s="141"/>
    </row>
    <row r="178" spans="3:40" x14ac:dyDescent="0.3">
      <c r="F178" s="110"/>
      <c r="H178" s="110"/>
      <c r="I178" s="110"/>
      <c r="J178" s="217"/>
      <c r="K178" s="217"/>
      <c r="L178" s="110"/>
      <c r="M178" s="110"/>
      <c r="N178" s="141"/>
      <c r="O178" s="141"/>
      <c r="P178" s="110"/>
      <c r="Q178" s="110"/>
      <c r="R178" s="110"/>
      <c r="V178" s="110"/>
      <c r="Y178" s="110"/>
      <c r="Z178" s="198"/>
      <c r="AA178" s="110"/>
      <c r="AB178" s="110"/>
      <c r="AC178" s="141"/>
      <c r="AD178" s="141"/>
      <c r="AE178" s="110"/>
      <c r="AF178" s="110"/>
      <c r="AH178" s="207"/>
      <c r="AI178" s="110"/>
      <c r="AJ178" s="110"/>
      <c r="AL178" s="110"/>
      <c r="AM178" s="141"/>
      <c r="AN178" s="141"/>
    </row>
    <row r="179" spans="3:40" x14ac:dyDescent="0.3">
      <c r="C179" s="99"/>
      <c r="F179" s="172"/>
      <c r="H179" s="172"/>
      <c r="I179" s="172"/>
      <c r="J179" s="181"/>
      <c r="K179" s="181"/>
      <c r="L179" s="110"/>
      <c r="M179" s="110"/>
      <c r="N179" s="141"/>
      <c r="O179" s="141"/>
      <c r="P179" s="110"/>
      <c r="Q179" s="110"/>
      <c r="R179" s="110"/>
      <c r="T179" s="99"/>
      <c r="V179" s="172"/>
      <c r="Y179" s="110"/>
      <c r="Z179" s="181"/>
      <c r="AA179" s="110"/>
      <c r="AB179" s="110"/>
      <c r="AC179" s="141"/>
      <c r="AD179" s="141"/>
      <c r="AE179" s="110"/>
      <c r="AF179" s="110"/>
      <c r="AG179" s="224"/>
      <c r="AH179" s="225"/>
      <c r="AI179" s="110"/>
      <c r="AJ179" s="110"/>
      <c r="AL179" s="110"/>
      <c r="AM179" s="226"/>
      <c r="AN179" s="226"/>
    </row>
    <row r="180" spans="3:40" x14ac:dyDescent="0.3">
      <c r="C180" s="99"/>
      <c r="F180" s="172"/>
      <c r="H180" s="172"/>
      <c r="I180" s="172"/>
      <c r="J180" s="181"/>
      <c r="K180" s="181"/>
      <c r="L180" s="110"/>
      <c r="M180" s="110"/>
      <c r="N180" s="141"/>
      <c r="O180" s="141"/>
      <c r="P180" s="110"/>
      <c r="Q180" s="110"/>
      <c r="R180" s="110"/>
      <c r="T180" s="99"/>
      <c r="V180" s="172"/>
      <c r="Y180" s="110"/>
      <c r="Z180" s="181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3:40" x14ac:dyDescent="0.3">
      <c r="F181" s="110"/>
      <c r="H181" s="192"/>
      <c r="I181" s="192"/>
      <c r="J181" s="217"/>
      <c r="K181" s="217"/>
      <c r="L181" s="192"/>
      <c r="M181" s="192"/>
      <c r="N181" s="192"/>
      <c r="O181" s="192"/>
      <c r="P181" s="192"/>
      <c r="Q181" s="192"/>
      <c r="R181" s="192"/>
      <c r="V181" s="110"/>
      <c r="Y181" s="192"/>
      <c r="Z181" s="217"/>
      <c r="AA181" s="192"/>
      <c r="AB181" s="192"/>
      <c r="AC181" s="192"/>
      <c r="AD181" s="192"/>
      <c r="AE181" s="192"/>
      <c r="AF181" s="192"/>
      <c r="AI181" s="192"/>
      <c r="AJ181" s="192"/>
      <c r="AK181" s="194"/>
      <c r="AL181" s="192"/>
      <c r="AM181" s="141"/>
      <c r="AN181" s="141"/>
    </row>
    <row r="182" spans="3:40" x14ac:dyDescent="0.3">
      <c r="C182" s="99"/>
      <c r="F182" s="110"/>
      <c r="H182" s="110"/>
      <c r="I182" s="110"/>
      <c r="J182" s="217"/>
      <c r="K182" s="217"/>
      <c r="L182" s="110"/>
      <c r="M182" s="110"/>
      <c r="N182" s="141"/>
      <c r="O182" s="141"/>
      <c r="P182" s="110"/>
      <c r="Q182" s="110"/>
      <c r="R182" s="110"/>
      <c r="T182" s="99"/>
      <c r="V182" s="110"/>
      <c r="Y182" s="110"/>
      <c r="Z182" s="217"/>
      <c r="AA182" s="110"/>
      <c r="AB182" s="110"/>
      <c r="AC182" s="141"/>
      <c r="AD182" s="141"/>
      <c r="AE182" s="110"/>
      <c r="AF182" s="110"/>
      <c r="AH182" s="207"/>
      <c r="AI182" s="110"/>
      <c r="AJ182" s="110"/>
      <c r="AL182" s="110"/>
      <c r="AM182" s="141"/>
      <c r="AN182" s="141"/>
    </row>
    <row r="183" spans="3:40" x14ac:dyDescent="0.3">
      <c r="F183" s="110"/>
      <c r="H183" s="192"/>
      <c r="I183" s="192"/>
      <c r="J183" s="217"/>
      <c r="K183" s="217"/>
      <c r="L183" s="192"/>
      <c r="M183" s="192"/>
      <c r="N183" s="192"/>
      <c r="O183" s="192"/>
      <c r="P183" s="192"/>
      <c r="Q183" s="192"/>
      <c r="R183" s="192"/>
      <c r="V183" s="110"/>
      <c r="Y183" s="192"/>
      <c r="Z183" s="217"/>
      <c r="AA183" s="192"/>
      <c r="AB183" s="192"/>
      <c r="AC183" s="192"/>
      <c r="AD183" s="192"/>
      <c r="AE183" s="192"/>
      <c r="AF183" s="192"/>
      <c r="AI183" s="192"/>
      <c r="AJ183" s="192"/>
      <c r="AK183" s="194"/>
      <c r="AL183" s="192"/>
      <c r="AM183" s="141"/>
      <c r="AN183" s="141"/>
    </row>
    <row r="184" spans="3:40" x14ac:dyDescent="0.3">
      <c r="F184" s="110"/>
      <c r="H184" s="110"/>
      <c r="I184" s="110"/>
      <c r="J184" s="217"/>
      <c r="K184" s="217"/>
      <c r="L184" s="110"/>
      <c r="M184" s="110"/>
      <c r="N184" s="110"/>
      <c r="O184" s="110"/>
      <c r="P184" s="110"/>
      <c r="Q184" s="110"/>
      <c r="R184" s="110"/>
      <c r="V184" s="110"/>
      <c r="Y184" s="110"/>
      <c r="Z184" s="217"/>
      <c r="AA184" s="110"/>
      <c r="AB184" s="110"/>
      <c r="AC184" s="110"/>
      <c r="AD184" s="110"/>
      <c r="AE184" s="110"/>
      <c r="AF184" s="110"/>
      <c r="AH184" s="207"/>
      <c r="AI184" s="110"/>
      <c r="AJ184" s="110"/>
      <c r="AL184" s="110"/>
      <c r="AM184" s="141"/>
      <c r="AN184" s="141"/>
    </row>
    <row r="185" spans="3:40" x14ac:dyDescent="0.3">
      <c r="C185" s="99"/>
      <c r="F185" s="172"/>
      <c r="H185" s="172"/>
      <c r="I185" s="172"/>
      <c r="J185" s="222"/>
      <c r="K185" s="222"/>
      <c r="L185" s="110"/>
      <c r="M185" s="110"/>
      <c r="N185" s="141"/>
      <c r="O185" s="141"/>
      <c r="P185" s="172"/>
      <c r="Q185" s="172"/>
      <c r="R185" s="110"/>
      <c r="T185" s="99"/>
      <c r="V185" s="172"/>
      <c r="Y185" s="172"/>
      <c r="Z185" s="227"/>
      <c r="AA185" s="110"/>
      <c r="AB185" s="110"/>
      <c r="AC185" s="141"/>
      <c r="AD185" s="141"/>
      <c r="AE185" s="110"/>
      <c r="AF185" s="110"/>
      <c r="AH185" s="207"/>
      <c r="AI185" s="172"/>
      <c r="AJ185" s="172"/>
      <c r="AL185" s="110"/>
      <c r="AM185" s="141"/>
      <c r="AN185" s="141"/>
    </row>
    <row r="186" spans="3:40" x14ac:dyDescent="0.3">
      <c r="C186" s="99"/>
      <c r="F186" s="172"/>
      <c r="H186" s="172"/>
      <c r="I186" s="172"/>
      <c r="J186" s="222"/>
      <c r="K186" s="222"/>
      <c r="L186" s="110"/>
      <c r="M186" s="110"/>
      <c r="N186" s="141"/>
      <c r="O186" s="141"/>
      <c r="P186" s="172"/>
      <c r="Q186" s="172"/>
      <c r="R186" s="110"/>
      <c r="T186" s="99"/>
      <c r="V186" s="172"/>
      <c r="Y186" s="110"/>
      <c r="Z186" s="216"/>
      <c r="AA186" s="110"/>
      <c r="AB186" s="110"/>
      <c r="AC186" s="141"/>
      <c r="AD186" s="141"/>
      <c r="AE186" s="110"/>
      <c r="AF186" s="110"/>
      <c r="AH186" s="207"/>
      <c r="AI186" s="172"/>
      <c r="AJ186" s="172"/>
      <c r="AL186" s="110"/>
      <c r="AM186" s="141"/>
      <c r="AN186" s="141"/>
    </row>
    <row r="187" spans="3:40" x14ac:dyDescent="0.3">
      <c r="C187" s="99"/>
      <c r="F187" s="172"/>
      <c r="H187" s="172"/>
      <c r="I187" s="172"/>
      <c r="J187" s="222"/>
      <c r="K187" s="222"/>
      <c r="L187" s="110"/>
      <c r="M187" s="110"/>
      <c r="N187" s="141"/>
      <c r="O187" s="141"/>
      <c r="P187" s="172"/>
      <c r="Q187" s="172"/>
      <c r="R187" s="110"/>
      <c r="T187" s="99"/>
      <c r="V187" s="172"/>
      <c r="Y187" s="110"/>
      <c r="Z187" s="216"/>
      <c r="AA187" s="110"/>
      <c r="AB187" s="110"/>
      <c r="AC187" s="141"/>
      <c r="AD187" s="141"/>
      <c r="AE187" s="110"/>
      <c r="AF187" s="110"/>
      <c r="AH187" s="207"/>
      <c r="AI187" s="172"/>
      <c r="AJ187" s="172"/>
      <c r="AL187" s="110"/>
      <c r="AM187" s="141"/>
      <c r="AN187" s="141"/>
    </row>
    <row r="188" spans="3:40" x14ac:dyDescent="0.3">
      <c r="F188" s="192"/>
      <c r="H188" s="192"/>
      <c r="I188" s="192"/>
      <c r="J188" s="217"/>
      <c r="K188" s="217"/>
      <c r="L188" s="192"/>
      <c r="M188" s="192"/>
      <c r="N188" s="192"/>
      <c r="O188" s="192"/>
      <c r="P188" s="192"/>
      <c r="Q188" s="192"/>
      <c r="R188" s="192"/>
      <c r="V188" s="192"/>
      <c r="Y188" s="192"/>
      <c r="Z188" s="217"/>
      <c r="AA188" s="192"/>
      <c r="AB188" s="192"/>
      <c r="AC188" s="192"/>
      <c r="AD188" s="192"/>
      <c r="AE188" s="192"/>
      <c r="AF188" s="192"/>
      <c r="AI188" s="192"/>
      <c r="AJ188" s="192"/>
      <c r="AK188" s="194"/>
      <c r="AL188" s="192"/>
      <c r="AM188" s="141"/>
      <c r="AN188" s="141"/>
    </row>
    <row r="189" spans="3:40" x14ac:dyDescent="0.3">
      <c r="C189" s="99"/>
      <c r="F189" s="110"/>
      <c r="H189" s="110"/>
      <c r="I189" s="110"/>
      <c r="J189" s="198"/>
      <c r="K189" s="198"/>
      <c r="L189" s="110"/>
      <c r="M189" s="110"/>
      <c r="N189" s="141"/>
      <c r="O189" s="141"/>
      <c r="P189" s="110"/>
      <c r="Q189" s="110"/>
      <c r="R189" s="110"/>
      <c r="T189" s="99"/>
      <c r="V189" s="110"/>
      <c r="Y189" s="110"/>
      <c r="Z189" s="198"/>
      <c r="AA189" s="110"/>
      <c r="AB189" s="110"/>
      <c r="AC189" s="141"/>
      <c r="AD189" s="141"/>
      <c r="AE189" s="110"/>
      <c r="AF189" s="110"/>
      <c r="AH189" s="207"/>
      <c r="AI189" s="110"/>
      <c r="AJ189" s="110"/>
      <c r="AL189" s="110"/>
      <c r="AM189" s="141"/>
      <c r="AN189" s="141"/>
    </row>
    <row r="190" spans="3:40" x14ac:dyDescent="0.3">
      <c r="F190" s="192"/>
      <c r="H190" s="192"/>
      <c r="I190" s="192"/>
      <c r="J190" s="217"/>
      <c r="K190" s="217"/>
      <c r="L190" s="192"/>
      <c r="M190" s="192"/>
      <c r="N190" s="192"/>
      <c r="O190" s="192"/>
      <c r="P190" s="192"/>
      <c r="Q190" s="192"/>
      <c r="R190" s="192"/>
      <c r="V190" s="192"/>
      <c r="Y190" s="192"/>
      <c r="Z190" s="217"/>
      <c r="AA190" s="192"/>
      <c r="AB190" s="192"/>
      <c r="AC190" s="192"/>
      <c r="AD190" s="192"/>
      <c r="AE190" s="192"/>
      <c r="AF190" s="192"/>
      <c r="AI190" s="192"/>
      <c r="AJ190" s="192"/>
      <c r="AK190" s="194"/>
      <c r="AL190" s="192"/>
      <c r="AM190" s="141"/>
      <c r="AN190" s="141"/>
    </row>
    <row r="191" spans="3:40" x14ac:dyDescent="0.3">
      <c r="C191" s="99"/>
      <c r="F191" s="110"/>
      <c r="H191" s="110"/>
      <c r="I191" s="110"/>
      <c r="J191" s="198"/>
      <c r="K191" s="198"/>
      <c r="L191" s="110"/>
      <c r="M191" s="110"/>
      <c r="N191" s="141"/>
      <c r="O191" s="141"/>
      <c r="P191" s="110"/>
      <c r="Q191" s="110"/>
      <c r="R191" s="110"/>
      <c r="T191" s="99"/>
      <c r="V191" s="110"/>
      <c r="Y191" s="110"/>
      <c r="Z191" s="198"/>
      <c r="AA191" s="110"/>
      <c r="AB191" s="110"/>
      <c r="AC191" s="141"/>
      <c r="AD191" s="141"/>
      <c r="AE191" s="110"/>
      <c r="AF191" s="110"/>
      <c r="AH191" s="207"/>
      <c r="AI191" s="110"/>
      <c r="AJ191" s="110"/>
      <c r="AL191" s="110"/>
      <c r="AM191" s="141"/>
      <c r="AN191" s="141"/>
    </row>
    <row r="192" spans="3:40" x14ac:dyDescent="0.3">
      <c r="C192" s="99"/>
      <c r="F192" s="110"/>
      <c r="H192" s="110"/>
      <c r="I192" s="110"/>
      <c r="J192" s="198"/>
      <c r="K192" s="198"/>
      <c r="L192" s="110"/>
      <c r="M192" s="110"/>
      <c r="N192" s="141"/>
      <c r="O192" s="141"/>
      <c r="P192" s="110"/>
      <c r="Q192" s="110"/>
      <c r="R192" s="110"/>
      <c r="T192" s="99"/>
      <c r="V192" s="110"/>
      <c r="Y192" s="110"/>
      <c r="Z192" s="198"/>
      <c r="AA192" s="110"/>
      <c r="AB192" s="110"/>
      <c r="AC192" s="141"/>
      <c r="AD192" s="141"/>
      <c r="AE192" s="110"/>
      <c r="AF192" s="110"/>
      <c r="AH192" s="207"/>
      <c r="AI192" s="110"/>
      <c r="AJ192" s="110"/>
      <c r="AL192" s="110"/>
      <c r="AM192" s="141"/>
      <c r="AN192" s="141"/>
    </row>
    <row r="193" spans="1:40" x14ac:dyDescent="0.3">
      <c r="F193" s="192"/>
      <c r="H193" s="192"/>
      <c r="I193" s="192"/>
      <c r="J193" s="217"/>
      <c r="K193" s="217"/>
      <c r="L193" s="192"/>
      <c r="M193" s="192"/>
      <c r="N193" s="192"/>
      <c r="O193" s="192"/>
      <c r="P193" s="192"/>
      <c r="Q193" s="192"/>
      <c r="R193" s="192"/>
      <c r="V193" s="192"/>
      <c r="Y193" s="192"/>
      <c r="Z193" s="217"/>
      <c r="AA193" s="192"/>
      <c r="AB193" s="192"/>
      <c r="AC193" s="192"/>
      <c r="AD193" s="192"/>
      <c r="AE193" s="192"/>
      <c r="AF193" s="192"/>
      <c r="AI193" s="192"/>
      <c r="AJ193" s="192"/>
      <c r="AK193" s="194"/>
      <c r="AL193" s="192"/>
      <c r="AM193" s="110"/>
      <c r="AN193" s="110"/>
    </row>
    <row r="194" spans="1:40" x14ac:dyDescent="0.3">
      <c r="F194" s="110"/>
      <c r="H194" s="110"/>
      <c r="I194" s="110"/>
      <c r="J194" s="198"/>
      <c r="K194" s="198"/>
      <c r="L194" s="110"/>
      <c r="M194" s="110"/>
      <c r="N194" s="110"/>
      <c r="O194" s="110"/>
      <c r="P194" s="110"/>
      <c r="Q194" s="110"/>
      <c r="R194" s="110"/>
      <c r="V194" s="110"/>
      <c r="Y194" s="110"/>
      <c r="Z194" s="198"/>
      <c r="AA194" s="110"/>
      <c r="AB194" s="110"/>
      <c r="AC194" s="110"/>
      <c r="AD194" s="110"/>
    </row>
    <row r="195" spans="1:40" x14ac:dyDescent="0.3">
      <c r="C195" s="99"/>
      <c r="F195" s="110"/>
      <c r="H195" s="110"/>
      <c r="I195" s="110"/>
      <c r="J195" s="198"/>
      <c r="K195" s="198"/>
      <c r="L195" s="110"/>
      <c r="M195" s="110"/>
      <c r="N195" s="110"/>
      <c r="O195" s="110"/>
      <c r="P195" s="110"/>
      <c r="Q195" s="110"/>
      <c r="R195" s="110"/>
      <c r="T195" s="99"/>
      <c r="V195" s="110"/>
      <c r="Y195" s="110"/>
      <c r="Z195" s="198"/>
      <c r="AA195" s="110"/>
      <c r="AB195" s="110"/>
      <c r="AC195" s="110"/>
      <c r="AD195" s="110"/>
    </row>
    <row r="196" spans="1:40" x14ac:dyDescent="0.3">
      <c r="A196" s="99"/>
    </row>
    <row r="198" spans="1:40" x14ac:dyDescent="0.3">
      <c r="H198" s="99"/>
      <c r="I198" s="99"/>
      <c r="Y198" s="99"/>
    </row>
    <row r="200" spans="1:40" x14ac:dyDescent="0.3">
      <c r="L200" s="99"/>
      <c r="M200" s="99"/>
      <c r="AA200" s="99"/>
      <c r="AB200" s="99"/>
    </row>
    <row r="201" spans="1:40" x14ac:dyDescent="0.3">
      <c r="R201" s="99"/>
      <c r="AK201" s="190"/>
      <c r="AL201" s="99"/>
    </row>
    <row r="202" spans="1:40" x14ac:dyDescent="0.3">
      <c r="R202" s="99"/>
      <c r="AK202" s="190"/>
      <c r="AL202" s="99"/>
    </row>
    <row r="203" spans="1:40" x14ac:dyDescent="0.3">
      <c r="A203" s="99"/>
      <c r="R203" s="99"/>
      <c r="AK203" s="190"/>
      <c r="AL203" s="99"/>
    </row>
    <row r="204" spans="1:40" x14ac:dyDescent="0.3">
      <c r="L204" s="99"/>
      <c r="M204" s="99"/>
      <c r="AA204" s="99"/>
      <c r="AB204" s="99"/>
    </row>
    <row r="205" spans="1:40" x14ac:dyDescent="0.3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91"/>
      <c r="AH205" s="101"/>
      <c r="AI205" s="101"/>
      <c r="AJ205" s="101"/>
      <c r="AK205" s="191"/>
      <c r="AL205" s="101"/>
      <c r="AM205" s="101"/>
      <c r="AN205" s="101"/>
    </row>
    <row r="206" spans="1:40" x14ac:dyDescent="0.3">
      <c r="L206" s="102"/>
      <c r="M206" s="102"/>
      <c r="N206" s="102"/>
      <c r="O206" s="102"/>
      <c r="R206" s="102"/>
      <c r="AA206" s="102"/>
      <c r="AB206" s="102"/>
      <c r="AC206" s="102"/>
      <c r="AD206" s="102"/>
      <c r="AE206" s="102"/>
      <c r="AF206" s="102"/>
      <c r="AG206" s="151"/>
      <c r="AH206" s="102"/>
      <c r="AK206" s="151"/>
      <c r="AL206" s="102"/>
      <c r="AM206" s="102"/>
      <c r="AN206" s="102"/>
    </row>
    <row r="207" spans="1:40" x14ac:dyDescent="0.3">
      <c r="L207" s="102"/>
      <c r="M207" s="102"/>
      <c r="N207" s="102"/>
      <c r="O207" s="102"/>
      <c r="R207" s="102"/>
      <c r="Z207" s="102"/>
      <c r="AA207" s="102"/>
      <c r="AB207" s="102"/>
      <c r="AC207" s="102"/>
      <c r="AD207" s="102"/>
      <c r="AE207" s="102"/>
      <c r="AF207" s="102"/>
      <c r="AG207" s="151"/>
      <c r="AH207" s="102"/>
      <c r="AK207" s="151"/>
      <c r="AL207" s="102"/>
      <c r="AM207" s="102"/>
      <c r="AN207" s="102"/>
    </row>
    <row r="208" spans="1:40" x14ac:dyDescent="0.3">
      <c r="A208" s="102"/>
      <c r="C208" s="102"/>
      <c r="D208" s="102"/>
      <c r="E208" s="102"/>
      <c r="F208" s="102"/>
      <c r="J208" s="102"/>
      <c r="K208" s="102"/>
      <c r="L208" s="102"/>
      <c r="M208" s="102"/>
      <c r="N208" s="102"/>
      <c r="O208" s="102"/>
      <c r="P208" s="102"/>
      <c r="Q208" s="102"/>
      <c r="R208" s="102"/>
      <c r="T208" s="102"/>
      <c r="U208" s="102"/>
      <c r="V208" s="102"/>
      <c r="Z208" s="102"/>
      <c r="AA208" s="102"/>
      <c r="AB208" s="102"/>
      <c r="AC208" s="102"/>
      <c r="AD208" s="102"/>
      <c r="AE208" s="102"/>
      <c r="AF208" s="102"/>
      <c r="AG208" s="151"/>
      <c r="AH208" s="102"/>
      <c r="AI208" s="102"/>
      <c r="AJ208" s="102"/>
      <c r="AK208" s="151"/>
      <c r="AL208" s="102"/>
      <c r="AM208" s="102"/>
      <c r="AN208" s="102"/>
    </row>
    <row r="209" spans="1:40" x14ac:dyDescent="0.3">
      <c r="A209" s="102"/>
      <c r="C209" s="102"/>
      <c r="D209" s="102"/>
      <c r="E209" s="102"/>
      <c r="F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T209" s="102"/>
      <c r="U209" s="102"/>
      <c r="V209" s="102"/>
      <c r="Y209" s="102"/>
      <c r="Z209" s="102"/>
      <c r="AA209" s="102"/>
      <c r="AB209" s="102"/>
      <c r="AC209" s="102"/>
      <c r="AD209" s="102"/>
      <c r="AE209" s="102"/>
      <c r="AF209" s="102"/>
      <c r="AG209" s="151"/>
      <c r="AH209" s="102"/>
      <c r="AI209" s="102"/>
      <c r="AJ209" s="102"/>
      <c r="AK209" s="151"/>
      <c r="AL209" s="102"/>
      <c r="AM209" s="102"/>
      <c r="AN209" s="102"/>
    </row>
    <row r="210" spans="1:40" x14ac:dyDescent="0.3">
      <c r="C210" s="102"/>
      <c r="D210" s="102"/>
      <c r="E210" s="102"/>
      <c r="F210" s="102"/>
      <c r="H210" s="102"/>
      <c r="I210" s="102"/>
      <c r="J210" s="102"/>
      <c r="K210" s="102"/>
      <c r="L210" s="102"/>
      <c r="M210" s="102"/>
      <c r="N210" s="102"/>
      <c r="O210" s="102"/>
      <c r="P210" s="102"/>
      <c r="Q210" s="102"/>
      <c r="R210" s="102"/>
      <c r="T210" s="102"/>
      <c r="U210" s="102"/>
      <c r="V210" s="102"/>
      <c r="Y210" s="102"/>
      <c r="Z210" s="102"/>
      <c r="AA210" s="102"/>
      <c r="AB210" s="102"/>
      <c r="AC210" s="102"/>
      <c r="AD210" s="102"/>
      <c r="AE210" s="102"/>
      <c r="AF210" s="102"/>
      <c r="AG210" s="151"/>
      <c r="AH210" s="102"/>
      <c r="AI210" s="102"/>
      <c r="AJ210" s="102"/>
      <c r="AK210" s="151"/>
      <c r="AL210" s="102"/>
      <c r="AM210" s="102"/>
      <c r="AN210" s="102"/>
    </row>
    <row r="211" spans="1:40" x14ac:dyDescent="0.3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91"/>
      <c r="AH211" s="101"/>
      <c r="AI211" s="101"/>
      <c r="AJ211" s="101"/>
      <c r="AK211" s="191"/>
      <c r="AL211" s="101"/>
      <c r="AM211" s="101"/>
      <c r="AN211" s="101"/>
    </row>
    <row r="212" spans="1:40" x14ac:dyDescent="0.3"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Y212" s="102"/>
      <c r="Z212" s="102"/>
      <c r="AA212" s="102"/>
      <c r="AB212" s="102"/>
      <c r="AC212" s="102"/>
      <c r="AD212" s="102"/>
      <c r="AE212" s="102"/>
      <c r="AF212" s="102"/>
      <c r="AG212" s="151"/>
      <c r="AH212" s="102"/>
      <c r="AI212" s="102"/>
      <c r="AJ212" s="102"/>
      <c r="AK212" s="151"/>
      <c r="AL212" s="102"/>
      <c r="AM212" s="102"/>
      <c r="AN212" s="102"/>
    </row>
    <row r="213" spans="1:40" x14ac:dyDescent="0.3">
      <c r="C213" s="99"/>
      <c r="D213" s="99"/>
      <c r="E213" s="99"/>
      <c r="T213" s="99"/>
      <c r="U213" s="99"/>
    </row>
    <row r="215" spans="1:40" x14ac:dyDescent="0.3">
      <c r="C215" s="99"/>
      <c r="F215" s="172"/>
      <c r="H215" s="220"/>
      <c r="I215" s="220"/>
      <c r="J215" s="181"/>
      <c r="K215" s="181"/>
      <c r="L215" s="110"/>
      <c r="M215" s="110"/>
      <c r="R215" s="110"/>
      <c r="T215" s="99"/>
      <c r="V215" s="110"/>
      <c r="Z215" s="181"/>
      <c r="AA215" s="110"/>
      <c r="AB215" s="110"/>
      <c r="AE215" s="110"/>
      <c r="AF215" s="110"/>
      <c r="AG215" s="224"/>
      <c r="AH215" s="225"/>
      <c r="AI215" s="110"/>
      <c r="AJ215" s="110"/>
      <c r="AL215" s="110"/>
      <c r="AM215" s="226"/>
      <c r="AN215" s="226"/>
    </row>
    <row r="216" spans="1:40" x14ac:dyDescent="0.3">
      <c r="F216" s="172"/>
      <c r="H216" s="220"/>
      <c r="I216" s="220"/>
      <c r="J216" s="220"/>
      <c r="K216" s="220"/>
      <c r="R216" s="110"/>
      <c r="V216" s="110"/>
      <c r="Z216" s="220"/>
    </row>
    <row r="217" spans="1:40" x14ac:dyDescent="0.3">
      <c r="C217" s="99"/>
      <c r="F217" s="172"/>
      <c r="H217" s="172"/>
      <c r="I217" s="172"/>
      <c r="J217" s="222"/>
      <c r="K217" s="222"/>
      <c r="L217" s="110"/>
      <c r="M217" s="110"/>
      <c r="N217" s="141"/>
      <c r="O217" s="141"/>
      <c r="P217" s="172"/>
      <c r="Q217" s="172"/>
      <c r="R217" s="110"/>
      <c r="T217" s="99"/>
      <c r="V217" s="110"/>
      <c r="Y217" s="110"/>
      <c r="Z217" s="216"/>
      <c r="AA217" s="110"/>
      <c r="AB217" s="110"/>
      <c r="AC217" s="141"/>
      <c r="AD217" s="141"/>
      <c r="AE217" s="110"/>
      <c r="AF217" s="110"/>
      <c r="AH217" s="207"/>
      <c r="AI217" s="172"/>
      <c r="AJ217" s="172"/>
      <c r="AL217" s="110"/>
      <c r="AM217" s="141"/>
      <c r="AN217" s="141"/>
    </row>
    <row r="218" spans="1:40" x14ac:dyDescent="0.3">
      <c r="F218" s="192"/>
      <c r="H218" s="192"/>
      <c r="I218" s="192"/>
      <c r="J218" s="217"/>
      <c r="K218" s="217"/>
      <c r="L218" s="192"/>
      <c r="M218" s="192"/>
      <c r="N218" s="192"/>
      <c r="O218" s="192"/>
      <c r="P218" s="192"/>
      <c r="Q218" s="192"/>
      <c r="R218" s="192"/>
      <c r="V218" s="192"/>
      <c r="Y218" s="192"/>
      <c r="Z218" s="217"/>
      <c r="AA218" s="192"/>
      <c r="AB218" s="192"/>
      <c r="AC218" s="192"/>
      <c r="AD218" s="192"/>
      <c r="AE218" s="192"/>
      <c r="AF218" s="192"/>
      <c r="AI218" s="192"/>
      <c r="AJ218" s="192"/>
      <c r="AK218" s="194"/>
      <c r="AL218" s="192"/>
    </row>
    <row r="219" spans="1:40" x14ac:dyDescent="0.3">
      <c r="D219" s="99"/>
      <c r="E219" s="99"/>
      <c r="F219" s="110"/>
      <c r="H219" s="110"/>
      <c r="I219" s="110"/>
      <c r="J219" s="198"/>
      <c r="K219" s="198"/>
      <c r="L219" s="110"/>
      <c r="M219" s="110"/>
      <c r="N219" s="141"/>
      <c r="O219" s="141"/>
      <c r="P219" s="110"/>
      <c r="Q219" s="110"/>
      <c r="R219" s="110"/>
      <c r="U219" s="99"/>
      <c r="V219" s="110"/>
      <c r="Y219" s="110"/>
      <c r="Z219" s="198"/>
      <c r="AA219" s="110"/>
      <c r="AB219" s="110"/>
      <c r="AC219" s="141"/>
      <c r="AD219" s="141"/>
      <c r="AE219" s="110"/>
      <c r="AF219" s="110"/>
      <c r="AH219" s="207"/>
      <c r="AI219" s="110"/>
      <c r="AJ219" s="110"/>
      <c r="AL219" s="110"/>
      <c r="AM219" s="141"/>
      <c r="AN219" s="141"/>
    </row>
    <row r="220" spans="1:40" x14ac:dyDescent="0.3">
      <c r="F220" s="192"/>
      <c r="H220" s="192"/>
      <c r="I220" s="192"/>
      <c r="J220" s="217"/>
      <c r="K220" s="217"/>
      <c r="L220" s="192"/>
      <c r="M220" s="192"/>
      <c r="N220" s="192"/>
      <c r="O220" s="192"/>
      <c r="P220" s="192"/>
      <c r="Q220" s="192"/>
      <c r="R220" s="192"/>
      <c r="V220" s="192"/>
      <c r="Y220" s="192"/>
      <c r="Z220" s="217"/>
      <c r="AA220" s="192"/>
      <c r="AB220" s="192"/>
      <c r="AC220" s="192"/>
      <c r="AD220" s="192"/>
      <c r="AE220" s="192"/>
      <c r="AF220" s="192"/>
      <c r="AI220" s="192"/>
      <c r="AJ220" s="192"/>
      <c r="AK220" s="194"/>
      <c r="AL220" s="192"/>
    </row>
    <row r="221" spans="1:40" x14ac:dyDescent="0.3">
      <c r="R221" s="110"/>
    </row>
    <row r="222" spans="1:40" x14ac:dyDescent="0.3">
      <c r="R222" s="110"/>
    </row>
    <row r="223" spans="1:40" x14ac:dyDescent="0.3">
      <c r="R223" s="110"/>
    </row>
    <row r="224" spans="1:40" x14ac:dyDescent="0.3">
      <c r="C224" s="99"/>
      <c r="D224" s="99"/>
      <c r="E224" s="99"/>
      <c r="H224" s="110"/>
      <c r="I224" s="110"/>
      <c r="J224" s="198"/>
      <c r="K224" s="198"/>
      <c r="L224" s="110"/>
      <c r="M224" s="110"/>
      <c r="N224" s="141"/>
      <c r="O224" s="141"/>
      <c r="P224" s="110"/>
      <c r="Q224" s="110"/>
      <c r="R224" s="110"/>
      <c r="T224" s="99"/>
      <c r="U224" s="99"/>
      <c r="Y224" s="110"/>
      <c r="Z224" s="198"/>
      <c r="AA224" s="110"/>
      <c r="AB224" s="110"/>
      <c r="AC224" s="141"/>
      <c r="AD224" s="141"/>
    </row>
    <row r="225" spans="1:40" x14ac:dyDescent="0.3">
      <c r="H225" s="110"/>
      <c r="I225" s="110"/>
      <c r="J225" s="198"/>
      <c r="K225" s="198"/>
      <c r="L225" s="110"/>
      <c r="M225" s="110"/>
      <c r="N225" s="141"/>
      <c r="O225" s="141"/>
      <c r="P225" s="110"/>
      <c r="Q225" s="110"/>
      <c r="R225" s="110"/>
      <c r="Y225" s="110"/>
      <c r="Z225" s="198"/>
      <c r="AA225" s="110"/>
      <c r="AB225" s="110"/>
      <c r="AC225" s="141"/>
      <c r="AD225" s="141"/>
    </row>
    <row r="226" spans="1:40" x14ac:dyDescent="0.3">
      <c r="C226" s="99"/>
      <c r="F226" s="172"/>
      <c r="H226" s="172"/>
      <c r="I226" s="172"/>
      <c r="J226" s="208"/>
      <c r="K226" s="208"/>
      <c r="L226" s="172"/>
      <c r="M226" s="172"/>
      <c r="N226" s="141"/>
      <c r="O226" s="141"/>
      <c r="P226" s="110"/>
      <c r="Q226" s="110"/>
      <c r="R226" s="110"/>
      <c r="T226" s="99"/>
      <c r="V226" s="110"/>
      <c r="Y226" s="110"/>
      <c r="Z226" s="208"/>
      <c r="AA226" s="110"/>
      <c r="AB226" s="110"/>
      <c r="AC226" s="141"/>
      <c r="AD226" s="141"/>
      <c r="AE226" s="110"/>
      <c r="AF226" s="110"/>
      <c r="AH226" s="207"/>
      <c r="AI226" s="110"/>
      <c r="AJ226" s="110"/>
      <c r="AL226" s="110"/>
      <c r="AM226" s="141"/>
      <c r="AN226" s="141"/>
    </row>
    <row r="227" spans="1:40" x14ac:dyDescent="0.3">
      <c r="F227" s="172"/>
      <c r="H227" s="220"/>
      <c r="I227" s="220"/>
      <c r="J227" s="220"/>
      <c r="K227" s="220"/>
      <c r="R227" s="110"/>
      <c r="V227" s="110"/>
      <c r="Z227" s="220"/>
    </row>
    <row r="228" spans="1:40" x14ac:dyDescent="0.3">
      <c r="C228" s="99"/>
      <c r="F228" s="172"/>
      <c r="H228" s="172"/>
      <c r="I228" s="172"/>
      <c r="J228" s="181"/>
      <c r="K228" s="181"/>
      <c r="L228" s="110"/>
      <c r="M228" s="110"/>
      <c r="N228" s="141"/>
      <c r="O228" s="141"/>
      <c r="P228" s="110"/>
      <c r="Q228" s="110"/>
      <c r="R228" s="110"/>
      <c r="T228" s="99"/>
      <c r="V228" s="110"/>
      <c r="Y228" s="110"/>
      <c r="Z228" s="181"/>
      <c r="AA228" s="110"/>
      <c r="AB228" s="110"/>
      <c r="AC228" s="141"/>
      <c r="AD228" s="141"/>
      <c r="AE228" s="110"/>
      <c r="AF228" s="110"/>
      <c r="AH228" s="207"/>
      <c r="AI228" s="110"/>
      <c r="AJ228" s="110"/>
      <c r="AL228" s="110"/>
      <c r="AM228" s="141"/>
      <c r="AN228" s="141"/>
    </row>
    <row r="229" spans="1:40" x14ac:dyDescent="0.3">
      <c r="F229" s="172"/>
      <c r="H229" s="220"/>
      <c r="I229" s="220"/>
      <c r="J229" s="220"/>
      <c r="K229" s="220"/>
      <c r="R229" s="110"/>
      <c r="V229" s="110"/>
      <c r="Z229" s="220"/>
    </row>
    <row r="230" spans="1:40" x14ac:dyDescent="0.3">
      <c r="C230" s="99"/>
      <c r="F230" s="172"/>
      <c r="H230" s="172"/>
      <c r="I230" s="172"/>
      <c r="J230" s="222"/>
      <c r="K230" s="222"/>
      <c r="L230" s="110"/>
      <c r="M230" s="110"/>
      <c r="N230" s="141"/>
      <c r="O230" s="141"/>
      <c r="P230" s="110"/>
      <c r="Q230" s="110"/>
      <c r="R230" s="110"/>
      <c r="T230" s="99"/>
      <c r="V230" s="110"/>
      <c r="Y230" s="110"/>
      <c r="Z230" s="216"/>
      <c r="AA230" s="110"/>
      <c r="AB230" s="110"/>
      <c r="AC230" s="141"/>
      <c r="AD230" s="141"/>
      <c r="AE230" s="110"/>
      <c r="AF230" s="110"/>
      <c r="AH230" s="207"/>
      <c r="AI230" s="110"/>
      <c r="AJ230" s="110"/>
      <c r="AL230" s="110"/>
      <c r="AM230" s="141"/>
      <c r="AN230" s="141"/>
    </row>
    <row r="231" spans="1:40" x14ac:dyDescent="0.3">
      <c r="F231" s="192"/>
      <c r="H231" s="192"/>
      <c r="I231" s="192"/>
      <c r="J231" s="217"/>
      <c r="K231" s="217"/>
      <c r="L231" s="192"/>
      <c r="M231" s="192"/>
      <c r="N231" s="192"/>
      <c r="O231" s="192"/>
      <c r="P231" s="192"/>
      <c r="Q231" s="192"/>
      <c r="R231" s="192"/>
      <c r="S231" s="110"/>
      <c r="V231" s="192"/>
      <c r="Y231" s="192"/>
      <c r="Z231" s="217"/>
      <c r="AA231" s="192"/>
      <c r="AB231" s="192"/>
      <c r="AC231" s="192"/>
      <c r="AD231" s="192"/>
      <c r="AE231" s="192"/>
      <c r="AF231" s="192"/>
      <c r="AI231" s="192"/>
      <c r="AJ231" s="192"/>
      <c r="AK231" s="194"/>
      <c r="AL231" s="192"/>
    </row>
    <row r="232" spans="1:40" x14ac:dyDescent="0.3">
      <c r="D232" s="99"/>
      <c r="E232" s="99"/>
      <c r="F232" s="110"/>
      <c r="H232" s="110"/>
      <c r="I232" s="110"/>
      <c r="J232" s="198"/>
      <c r="K232" s="198"/>
      <c r="L232" s="110"/>
      <c r="M232" s="110"/>
      <c r="N232" s="141"/>
      <c r="O232" s="141"/>
      <c r="P232" s="172"/>
      <c r="Q232" s="172"/>
      <c r="R232" s="110"/>
      <c r="S232" s="110"/>
      <c r="U232" s="99"/>
      <c r="V232" s="110"/>
      <c r="Y232" s="110"/>
      <c r="Z232" s="198"/>
      <c r="AA232" s="110"/>
      <c r="AB232" s="110"/>
      <c r="AC232" s="141"/>
      <c r="AD232" s="141"/>
      <c r="AE232" s="110"/>
      <c r="AF232" s="110"/>
      <c r="AH232" s="207"/>
      <c r="AI232" s="172"/>
      <c r="AJ232" s="172"/>
      <c r="AL232" s="110"/>
      <c r="AM232" s="141"/>
      <c r="AN232" s="141"/>
    </row>
    <row r="233" spans="1:40" x14ac:dyDescent="0.3">
      <c r="F233" s="192"/>
      <c r="H233" s="192"/>
      <c r="I233" s="192"/>
      <c r="J233" s="217"/>
      <c r="K233" s="217"/>
      <c r="L233" s="192"/>
      <c r="M233" s="192"/>
      <c r="N233" s="192"/>
      <c r="O233" s="192"/>
      <c r="P233" s="192"/>
      <c r="Q233" s="192"/>
      <c r="R233" s="192"/>
      <c r="S233" s="110"/>
      <c r="V233" s="192"/>
      <c r="Y233" s="192"/>
      <c r="Z233" s="217"/>
      <c r="AA233" s="192"/>
      <c r="AB233" s="192"/>
      <c r="AC233" s="192"/>
      <c r="AD233" s="192"/>
      <c r="AE233" s="192"/>
      <c r="AF233" s="192"/>
      <c r="AI233" s="192"/>
      <c r="AJ233" s="192"/>
      <c r="AK233" s="194"/>
      <c r="AL233" s="192"/>
    </row>
    <row r="234" spans="1:40" x14ac:dyDescent="0.3">
      <c r="R234" s="110"/>
    </row>
    <row r="235" spans="1:40" x14ac:dyDescent="0.3">
      <c r="F235" s="110"/>
      <c r="H235" s="110"/>
      <c r="I235" s="110"/>
      <c r="J235" s="198"/>
      <c r="K235" s="198"/>
      <c r="L235" s="110"/>
      <c r="M235" s="110"/>
      <c r="N235" s="110"/>
      <c r="O235" s="110"/>
      <c r="P235" s="110"/>
      <c r="Q235" s="110"/>
      <c r="R235" s="110"/>
      <c r="V235" s="110"/>
      <c r="Y235" s="110"/>
      <c r="Z235" s="198"/>
      <c r="AA235" s="110"/>
      <c r="AB235" s="110"/>
      <c r="AC235" s="110"/>
      <c r="AD235" s="110"/>
    </row>
    <row r="236" spans="1:40" x14ac:dyDescent="0.3">
      <c r="C236" s="99"/>
      <c r="F236" s="110"/>
      <c r="H236" s="110"/>
      <c r="I236" s="110"/>
      <c r="J236" s="198"/>
      <c r="K236" s="198"/>
      <c r="L236" s="110"/>
      <c r="M236" s="110"/>
      <c r="N236" s="110"/>
      <c r="O236" s="110"/>
      <c r="P236" s="110"/>
      <c r="Q236" s="110"/>
      <c r="R236" s="110"/>
      <c r="T236" s="99"/>
      <c r="V236" s="110"/>
      <c r="Y236" s="110"/>
      <c r="Z236" s="198"/>
      <c r="AA236" s="110"/>
      <c r="AB236" s="110"/>
      <c r="AC236" s="110"/>
      <c r="AD236" s="110"/>
    </row>
    <row r="237" spans="1:40" x14ac:dyDescent="0.3">
      <c r="C237" s="99"/>
      <c r="T237" s="99"/>
    </row>
    <row r="238" spans="1:40" x14ac:dyDescent="0.3">
      <c r="A238" s="99"/>
    </row>
    <row r="241" spans="1:40" x14ac:dyDescent="0.3">
      <c r="H241" s="99"/>
      <c r="I241" s="99"/>
      <c r="Y241" s="99"/>
    </row>
    <row r="243" spans="1:40" x14ac:dyDescent="0.3">
      <c r="L243" s="99"/>
      <c r="M243" s="99"/>
      <c r="AA243" s="99"/>
      <c r="AB243" s="99"/>
    </row>
    <row r="244" spans="1:40" x14ac:dyDescent="0.3">
      <c r="R244" s="99"/>
      <c r="AK244" s="190"/>
      <c r="AL244" s="99"/>
    </row>
    <row r="245" spans="1:40" x14ac:dyDescent="0.3">
      <c r="R245" s="99"/>
      <c r="AK245" s="190"/>
      <c r="AL245" s="99"/>
    </row>
    <row r="246" spans="1:40" x14ac:dyDescent="0.3">
      <c r="A246" s="99"/>
      <c r="R246" s="99"/>
      <c r="AK246" s="190"/>
      <c r="AL246" s="99"/>
    </row>
    <row r="247" spans="1:40" x14ac:dyDescent="0.3">
      <c r="L247" s="99"/>
      <c r="M247" s="99"/>
      <c r="AA247" s="99"/>
      <c r="AB247" s="99"/>
    </row>
    <row r="248" spans="1:40" x14ac:dyDescent="0.3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91"/>
      <c r="AH248" s="101"/>
      <c r="AI248" s="101"/>
      <c r="AJ248" s="101"/>
      <c r="AK248" s="191"/>
      <c r="AL248" s="101"/>
      <c r="AM248" s="101"/>
      <c r="AN248" s="101"/>
    </row>
    <row r="249" spans="1:40" x14ac:dyDescent="0.3">
      <c r="L249" s="102"/>
      <c r="M249" s="102"/>
      <c r="N249" s="102"/>
      <c r="O249" s="102"/>
      <c r="R249" s="102"/>
      <c r="AA249" s="102"/>
      <c r="AB249" s="102"/>
      <c r="AC249" s="102"/>
      <c r="AD249" s="102"/>
      <c r="AE249" s="102"/>
      <c r="AF249" s="102"/>
      <c r="AG249" s="151"/>
      <c r="AH249" s="102"/>
      <c r="AK249" s="151"/>
      <c r="AL249" s="102"/>
      <c r="AM249" s="102"/>
      <c r="AN249" s="102"/>
    </row>
    <row r="250" spans="1:40" x14ac:dyDescent="0.3">
      <c r="L250" s="102"/>
      <c r="M250" s="102"/>
      <c r="N250" s="102"/>
      <c r="O250" s="102"/>
      <c r="R250" s="102"/>
      <c r="Z250" s="102"/>
      <c r="AA250" s="102"/>
      <c r="AB250" s="102"/>
      <c r="AC250" s="102"/>
      <c r="AD250" s="102"/>
      <c r="AE250" s="102"/>
      <c r="AF250" s="102"/>
      <c r="AG250" s="151"/>
      <c r="AH250" s="102"/>
      <c r="AK250" s="151"/>
      <c r="AL250" s="102"/>
      <c r="AM250" s="102"/>
      <c r="AN250" s="102"/>
    </row>
    <row r="251" spans="1:40" x14ac:dyDescent="0.3">
      <c r="A251" s="102"/>
      <c r="C251" s="102"/>
      <c r="D251" s="102"/>
      <c r="E251" s="102"/>
      <c r="F251" s="102"/>
      <c r="J251" s="102"/>
      <c r="K251" s="102"/>
      <c r="L251" s="102"/>
      <c r="M251" s="102"/>
      <c r="N251" s="102"/>
      <c r="O251" s="102"/>
      <c r="P251" s="102"/>
      <c r="Q251" s="102"/>
      <c r="R251" s="102"/>
      <c r="T251" s="102"/>
      <c r="U251" s="102"/>
      <c r="V251" s="102"/>
      <c r="Z251" s="102"/>
      <c r="AA251" s="102"/>
      <c r="AB251" s="102"/>
      <c r="AC251" s="102"/>
      <c r="AD251" s="102"/>
      <c r="AE251" s="102"/>
      <c r="AF251" s="102"/>
      <c r="AG251" s="151"/>
      <c r="AH251" s="102"/>
      <c r="AI251" s="102"/>
      <c r="AJ251" s="102"/>
      <c r="AK251" s="151"/>
      <c r="AL251" s="102"/>
      <c r="AM251" s="102"/>
      <c r="AN251" s="102"/>
    </row>
    <row r="252" spans="1:40" x14ac:dyDescent="0.3">
      <c r="A252" s="102"/>
      <c r="C252" s="102"/>
      <c r="D252" s="102"/>
      <c r="E252" s="102"/>
      <c r="F252" s="102"/>
      <c r="H252" s="102"/>
      <c r="I252" s="102"/>
      <c r="J252" s="102"/>
      <c r="K252" s="102"/>
      <c r="L252" s="102"/>
      <c r="M252" s="102"/>
      <c r="N252" s="102"/>
      <c r="O252" s="102"/>
      <c r="P252" s="102"/>
      <c r="Q252" s="102"/>
      <c r="R252" s="102"/>
      <c r="T252" s="102"/>
      <c r="U252" s="102"/>
      <c r="V252" s="102"/>
      <c r="Y252" s="102"/>
      <c r="Z252" s="102"/>
      <c r="AA252" s="102"/>
      <c r="AB252" s="102"/>
      <c r="AC252" s="102"/>
      <c r="AD252" s="102"/>
      <c r="AE252" s="102"/>
      <c r="AF252" s="102"/>
      <c r="AG252" s="151"/>
      <c r="AH252" s="102"/>
      <c r="AI252" s="102"/>
      <c r="AJ252" s="102"/>
      <c r="AK252" s="151"/>
      <c r="AL252" s="102"/>
      <c r="AM252" s="102"/>
      <c r="AN252" s="102"/>
    </row>
    <row r="253" spans="1:40" x14ac:dyDescent="0.3">
      <c r="C253" s="102"/>
      <c r="D253" s="102"/>
      <c r="E253" s="102"/>
      <c r="F253" s="102"/>
      <c r="H253" s="102"/>
      <c r="I253" s="102"/>
      <c r="J253" s="102"/>
      <c r="K253" s="102"/>
      <c r="L253" s="102"/>
      <c r="M253" s="102"/>
      <c r="N253" s="102"/>
      <c r="O253" s="102"/>
      <c r="P253" s="102"/>
      <c r="Q253" s="102"/>
      <c r="R253" s="102"/>
      <c r="T253" s="102"/>
      <c r="U253" s="102"/>
      <c r="V253" s="102"/>
      <c r="Y253" s="102"/>
      <c r="Z253" s="102"/>
      <c r="AA253" s="102"/>
      <c r="AB253" s="102"/>
      <c r="AC253" s="102"/>
      <c r="AD253" s="102"/>
      <c r="AE253" s="102"/>
      <c r="AF253" s="102"/>
      <c r="AG253" s="151"/>
      <c r="AH253" s="102"/>
      <c r="AI253" s="102"/>
      <c r="AJ253" s="102"/>
      <c r="AK253" s="151"/>
      <c r="AL253" s="102"/>
      <c r="AM253" s="102"/>
      <c r="AN253" s="102"/>
    </row>
    <row r="254" spans="1:40" x14ac:dyDescent="0.3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91"/>
      <c r="AH254" s="101"/>
      <c r="AI254" s="101"/>
      <c r="AJ254" s="101"/>
      <c r="AK254" s="191"/>
      <c r="AL254" s="101"/>
      <c r="AM254" s="101"/>
      <c r="AN254" s="101"/>
    </row>
    <row r="255" spans="1:40" x14ac:dyDescent="0.3"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Y255" s="102"/>
      <c r="Z255" s="102"/>
      <c r="AA255" s="102"/>
      <c r="AB255" s="102"/>
      <c r="AC255" s="102"/>
      <c r="AD255" s="102"/>
      <c r="AE255" s="102"/>
      <c r="AF255" s="102"/>
      <c r="AG255" s="151"/>
      <c r="AH255" s="102"/>
      <c r="AI255" s="102"/>
      <c r="AJ255" s="102"/>
      <c r="AK255" s="151"/>
      <c r="AL255" s="102"/>
      <c r="AM255" s="102"/>
      <c r="AN255" s="102"/>
    </row>
    <row r="256" spans="1:40" x14ac:dyDescent="0.3">
      <c r="C256" s="99"/>
      <c r="D256" s="99"/>
      <c r="E256" s="99"/>
      <c r="T256" s="99"/>
      <c r="U256" s="99"/>
    </row>
    <row r="257" spans="3:40" x14ac:dyDescent="0.3">
      <c r="D257" s="99"/>
      <c r="E257" s="99"/>
      <c r="U257" s="99"/>
    </row>
    <row r="259" spans="3:40" x14ac:dyDescent="0.3">
      <c r="C259" s="99"/>
      <c r="F259" s="110"/>
      <c r="J259" s="209"/>
      <c r="K259" s="209"/>
      <c r="L259" s="110"/>
      <c r="M259" s="110"/>
      <c r="R259" s="110"/>
      <c r="T259" s="99"/>
      <c r="V259" s="110"/>
      <c r="Z259" s="209"/>
      <c r="AA259" s="110"/>
      <c r="AB259" s="110"/>
      <c r="AL259" s="110"/>
    </row>
    <row r="260" spans="3:40" x14ac:dyDescent="0.3">
      <c r="F260" s="110"/>
      <c r="R260" s="110"/>
      <c r="V260" s="110"/>
      <c r="AL260" s="110"/>
    </row>
    <row r="261" spans="3:40" x14ac:dyDescent="0.3">
      <c r="C261" s="99"/>
      <c r="F261" s="172"/>
      <c r="H261" s="172"/>
      <c r="I261" s="172"/>
      <c r="J261" s="181"/>
      <c r="K261" s="181"/>
      <c r="L261" s="110"/>
      <c r="M261" s="110"/>
      <c r="N261" s="141"/>
      <c r="O261" s="141"/>
      <c r="P261" s="110"/>
      <c r="Q261" s="110"/>
      <c r="R261" s="110"/>
      <c r="T261" s="99"/>
      <c r="V261" s="110"/>
      <c r="Y261" s="110"/>
      <c r="Z261" s="181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3:40" x14ac:dyDescent="0.3">
      <c r="C262" s="99"/>
      <c r="F262" s="172"/>
      <c r="H262" s="220"/>
      <c r="I262" s="220"/>
      <c r="J262" s="181"/>
      <c r="K262" s="181"/>
      <c r="L262" s="110"/>
      <c r="M262" s="110"/>
      <c r="N262" s="141"/>
      <c r="O262" s="141"/>
      <c r="P262" s="110"/>
      <c r="Q262" s="110"/>
      <c r="R262" s="110"/>
      <c r="T262" s="99"/>
      <c r="V262" s="110"/>
      <c r="Y262" s="110"/>
      <c r="Z262" s="181"/>
      <c r="AA262" s="110"/>
      <c r="AB262" s="110"/>
      <c r="AC262" s="141"/>
      <c r="AD262" s="141"/>
      <c r="AE262" s="110"/>
      <c r="AF262" s="110"/>
      <c r="AH262" s="207"/>
      <c r="AI262" s="110"/>
      <c r="AJ262" s="110"/>
      <c r="AL262" s="110"/>
      <c r="AM262" s="141"/>
      <c r="AN262" s="141"/>
    </row>
    <row r="263" spans="3:40" x14ac:dyDescent="0.3">
      <c r="F263" s="192"/>
      <c r="H263" s="110"/>
      <c r="I263" s="110"/>
      <c r="J263" s="217"/>
      <c r="K263" s="217"/>
      <c r="L263" s="192"/>
      <c r="M263" s="192"/>
      <c r="N263" s="192"/>
      <c r="O263" s="192"/>
      <c r="P263" s="192"/>
      <c r="Q263" s="192"/>
      <c r="R263" s="192"/>
      <c r="V263" s="192"/>
      <c r="Y263" s="110"/>
      <c r="Z263" s="217"/>
      <c r="AA263" s="192"/>
      <c r="AB263" s="192"/>
      <c r="AC263" s="192"/>
      <c r="AD263" s="192"/>
      <c r="AE263" s="192"/>
      <c r="AF263" s="192"/>
      <c r="AI263" s="192"/>
      <c r="AJ263" s="192"/>
      <c r="AK263" s="194"/>
      <c r="AL263" s="192"/>
    </row>
    <row r="264" spans="3:40" x14ac:dyDescent="0.3">
      <c r="C264" s="99"/>
      <c r="F264" s="110"/>
      <c r="H264" s="110"/>
      <c r="I264" s="110"/>
      <c r="J264" s="198"/>
      <c r="K264" s="198"/>
      <c r="L264" s="110"/>
      <c r="M264" s="110"/>
      <c r="N264" s="141"/>
      <c r="O264" s="141"/>
      <c r="P264" s="110"/>
      <c r="Q264" s="110"/>
      <c r="R264" s="110"/>
      <c r="T264" s="99"/>
      <c r="V264" s="110"/>
      <c r="Y264" s="110"/>
      <c r="Z264" s="198"/>
      <c r="AA264" s="110"/>
      <c r="AB264" s="110"/>
      <c r="AC264" s="141"/>
      <c r="AD264" s="141"/>
      <c r="AE264" s="110"/>
      <c r="AF264" s="110"/>
      <c r="AH264" s="207"/>
      <c r="AI264" s="110"/>
      <c r="AJ264" s="110"/>
      <c r="AL264" s="110"/>
      <c r="AM264" s="141"/>
      <c r="AN264" s="141"/>
    </row>
    <row r="265" spans="3:40" x14ac:dyDescent="0.3">
      <c r="F265" s="192"/>
      <c r="H265" s="110"/>
      <c r="I265" s="110"/>
      <c r="J265" s="217"/>
      <c r="K265" s="217"/>
      <c r="L265" s="192"/>
      <c r="M265" s="192"/>
      <c r="N265" s="192"/>
      <c r="O265" s="192"/>
      <c r="P265" s="192"/>
      <c r="Q265" s="192"/>
      <c r="R265" s="192"/>
      <c r="V265" s="192"/>
      <c r="Y265" s="110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</row>
    <row r="266" spans="3:40" x14ac:dyDescent="0.3">
      <c r="F266" s="110"/>
      <c r="R266" s="110"/>
      <c r="V266" s="110"/>
      <c r="AL266" s="110"/>
    </row>
    <row r="267" spans="3:40" x14ac:dyDescent="0.3">
      <c r="C267" s="99"/>
      <c r="F267" s="110"/>
      <c r="R267" s="110"/>
      <c r="T267" s="99"/>
      <c r="V267" s="110"/>
      <c r="AL267" s="110"/>
    </row>
    <row r="268" spans="3:40" x14ac:dyDescent="0.3">
      <c r="F268" s="110"/>
      <c r="R268" s="110"/>
      <c r="V268" s="110"/>
      <c r="AL268" s="110"/>
    </row>
    <row r="269" spans="3:40" x14ac:dyDescent="0.3">
      <c r="C269" s="99"/>
      <c r="F269" s="110"/>
      <c r="H269" s="172"/>
      <c r="I269" s="172"/>
      <c r="J269" s="222"/>
      <c r="K269" s="222"/>
      <c r="L269" s="110"/>
      <c r="M269" s="110"/>
      <c r="N269" s="141"/>
      <c r="O269" s="141"/>
      <c r="P269" s="172"/>
      <c r="Q269" s="172"/>
      <c r="R269" s="110"/>
      <c r="T269" s="99"/>
      <c r="V269" s="110"/>
      <c r="Y269" s="110"/>
      <c r="Z269" s="216"/>
      <c r="AA269" s="110"/>
      <c r="AB269" s="110"/>
      <c r="AC269" s="141"/>
      <c r="AD269" s="141"/>
      <c r="AE269" s="110"/>
      <c r="AF269" s="110"/>
      <c r="AH269" s="207"/>
      <c r="AI269" s="172"/>
      <c r="AJ269" s="172"/>
      <c r="AL269" s="110"/>
      <c r="AM269" s="141"/>
      <c r="AN269" s="141"/>
    </row>
    <row r="270" spans="3:40" x14ac:dyDescent="0.3">
      <c r="F270" s="192"/>
      <c r="H270" s="192"/>
      <c r="I270" s="192"/>
      <c r="J270" s="217"/>
      <c r="K270" s="217"/>
      <c r="L270" s="192"/>
      <c r="M270" s="192"/>
      <c r="N270" s="192"/>
      <c r="O270" s="192"/>
      <c r="P270" s="192"/>
      <c r="Q270" s="192"/>
      <c r="R270" s="192"/>
      <c r="V270" s="192"/>
      <c r="Y270" s="192"/>
      <c r="Z270" s="217"/>
      <c r="AA270" s="192"/>
      <c r="AB270" s="192"/>
      <c r="AC270" s="192"/>
      <c r="AD270" s="192"/>
      <c r="AE270" s="192"/>
      <c r="AF270" s="192"/>
      <c r="AI270" s="192"/>
      <c r="AJ270" s="192"/>
      <c r="AK270" s="194"/>
      <c r="AL270" s="192"/>
    </row>
    <row r="272" spans="3:40" x14ac:dyDescent="0.3">
      <c r="C272" s="99"/>
      <c r="F272" s="110"/>
      <c r="H272" s="110"/>
      <c r="I272" s="110"/>
      <c r="J272" s="209"/>
      <c r="K272" s="209"/>
      <c r="L272" s="110"/>
      <c r="M272" s="110"/>
      <c r="N272" s="141"/>
      <c r="O272" s="141"/>
      <c r="P272" s="110"/>
      <c r="Q272" s="110"/>
      <c r="R272" s="110"/>
      <c r="T272" s="99"/>
      <c r="V272" s="110"/>
      <c r="Y272" s="110"/>
      <c r="Z272" s="209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1:40" x14ac:dyDescent="0.3">
      <c r="F273" s="192"/>
      <c r="H273" s="192"/>
      <c r="I273" s="192"/>
      <c r="J273" s="217"/>
      <c r="K273" s="217"/>
      <c r="L273" s="192"/>
      <c r="M273" s="192"/>
      <c r="N273" s="192"/>
      <c r="O273" s="192"/>
      <c r="P273" s="192"/>
      <c r="Q273" s="192"/>
      <c r="R273" s="192"/>
      <c r="V273" s="192"/>
      <c r="Y273" s="192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</row>
    <row r="274" spans="1:40" x14ac:dyDescent="0.3">
      <c r="R274" s="110"/>
      <c r="AH274" s="110"/>
    </row>
    <row r="275" spans="1:40" x14ac:dyDescent="0.3">
      <c r="F275" s="110"/>
      <c r="H275" s="110"/>
      <c r="I275" s="110"/>
      <c r="J275" s="198"/>
      <c r="K275" s="198"/>
      <c r="L275" s="110"/>
      <c r="M275" s="110"/>
      <c r="N275" s="110"/>
      <c r="O275" s="110"/>
      <c r="P275" s="110"/>
      <c r="Q275" s="110"/>
      <c r="R275" s="110"/>
      <c r="V275" s="110"/>
      <c r="Y275" s="110"/>
      <c r="Z275" s="198"/>
      <c r="AA275" s="110"/>
      <c r="AB275" s="110"/>
      <c r="AC275" s="110"/>
      <c r="AD275" s="110"/>
      <c r="AE275" s="110"/>
      <c r="AF275" s="110"/>
      <c r="AH275" s="110"/>
    </row>
    <row r="276" spans="1:40" x14ac:dyDescent="0.3">
      <c r="C276" s="99"/>
      <c r="F276" s="110"/>
      <c r="H276" s="110"/>
      <c r="I276" s="110"/>
      <c r="J276" s="198"/>
      <c r="K276" s="198"/>
      <c r="L276" s="110"/>
      <c r="M276" s="110"/>
      <c r="N276" s="110"/>
      <c r="O276" s="110"/>
      <c r="P276" s="110"/>
      <c r="Q276" s="110"/>
      <c r="R276" s="110"/>
      <c r="T276" s="99"/>
      <c r="V276" s="110"/>
      <c r="Y276" s="110"/>
      <c r="Z276" s="198"/>
      <c r="AA276" s="110"/>
      <c r="AB276" s="110"/>
      <c r="AC276" s="110"/>
      <c r="AD276" s="110"/>
      <c r="AE276" s="110"/>
      <c r="AF276" s="110"/>
      <c r="AH276" s="110"/>
    </row>
    <row r="277" spans="1:40" x14ac:dyDescent="0.3">
      <c r="A277" s="99"/>
    </row>
    <row r="280" spans="1:40" x14ac:dyDescent="0.3">
      <c r="H280" s="99"/>
      <c r="I280" s="99"/>
      <c r="Y280" s="99"/>
    </row>
    <row r="282" spans="1:40" x14ac:dyDescent="0.3">
      <c r="L282" s="99"/>
      <c r="M282" s="99"/>
      <c r="AA282" s="99"/>
      <c r="AB282" s="99"/>
    </row>
    <row r="283" spans="1:40" x14ac:dyDescent="0.3">
      <c r="R283" s="99"/>
      <c r="AK283" s="190"/>
      <c r="AL283" s="99"/>
    </row>
    <row r="284" spans="1:40" x14ac:dyDescent="0.3">
      <c r="R284" s="99"/>
      <c r="AK284" s="190"/>
      <c r="AL284" s="99"/>
    </row>
    <row r="285" spans="1:40" x14ac:dyDescent="0.3">
      <c r="A285" s="99"/>
      <c r="R285" s="99"/>
      <c r="AK285" s="190"/>
      <c r="AL285" s="99"/>
    </row>
    <row r="286" spans="1:40" x14ac:dyDescent="0.3">
      <c r="L286" s="99"/>
      <c r="M286" s="99"/>
      <c r="AA286" s="99"/>
      <c r="AB286" s="99"/>
    </row>
    <row r="287" spans="1:40" x14ac:dyDescent="0.3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91"/>
      <c r="AH287" s="101"/>
      <c r="AI287" s="101"/>
      <c r="AJ287" s="101"/>
      <c r="AK287" s="191"/>
      <c r="AL287" s="101"/>
      <c r="AM287" s="101"/>
      <c r="AN287" s="101"/>
    </row>
    <row r="288" spans="1:40" x14ac:dyDescent="0.3">
      <c r="L288" s="102"/>
      <c r="M288" s="102"/>
      <c r="N288" s="102"/>
      <c r="O288" s="102"/>
      <c r="R288" s="102"/>
      <c r="AA288" s="102"/>
      <c r="AB288" s="102"/>
      <c r="AC288" s="102"/>
      <c r="AD288" s="102"/>
      <c r="AE288" s="102"/>
      <c r="AF288" s="102"/>
      <c r="AG288" s="151"/>
      <c r="AH288" s="102"/>
      <c r="AK288" s="151"/>
      <c r="AL288" s="102"/>
      <c r="AM288" s="102"/>
      <c r="AN288" s="102"/>
    </row>
    <row r="289" spans="1:40" x14ac:dyDescent="0.3">
      <c r="L289" s="102"/>
      <c r="M289" s="102"/>
      <c r="N289" s="102"/>
      <c r="O289" s="102"/>
      <c r="R289" s="102"/>
      <c r="Z289" s="102"/>
      <c r="AA289" s="102"/>
      <c r="AB289" s="102"/>
      <c r="AC289" s="102"/>
      <c r="AD289" s="102"/>
      <c r="AE289" s="102"/>
      <c r="AF289" s="102"/>
      <c r="AG289" s="151"/>
      <c r="AH289" s="102"/>
      <c r="AK289" s="151"/>
      <c r="AL289" s="102"/>
      <c r="AM289" s="102"/>
      <c r="AN289" s="102"/>
    </row>
    <row r="290" spans="1:40" x14ac:dyDescent="0.3">
      <c r="A290" s="102"/>
      <c r="C290" s="102"/>
      <c r="D290" s="102"/>
      <c r="E290" s="102"/>
      <c r="F290" s="102"/>
      <c r="J290" s="102"/>
      <c r="K290" s="102"/>
      <c r="L290" s="102"/>
      <c r="M290" s="102"/>
      <c r="N290" s="102"/>
      <c r="O290" s="102"/>
      <c r="P290" s="102"/>
      <c r="Q290" s="102"/>
      <c r="R290" s="102"/>
      <c r="T290" s="102"/>
      <c r="U290" s="102"/>
      <c r="V290" s="102"/>
      <c r="Z290" s="102"/>
      <c r="AA290" s="102"/>
      <c r="AB290" s="102"/>
      <c r="AC290" s="102"/>
      <c r="AD290" s="102"/>
      <c r="AE290" s="102"/>
      <c r="AF290" s="102"/>
      <c r="AG290" s="151"/>
      <c r="AH290" s="102"/>
      <c r="AI290" s="102"/>
      <c r="AJ290" s="102"/>
      <c r="AK290" s="151"/>
      <c r="AL290" s="102"/>
      <c r="AM290" s="102"/>
      <c r="AN290" s="102"/>
    </row>
    <row r="291" spans="1:40" x14ac:dyDescent="0.3">
      <c r="A291" s="102"/>
      <c r="C291" s="102"/>
      <c r="D291" s="102"/>
      <c r="E291" s="102"/>
      <c r="F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T291" s="102"/>
      <c r="U291" s="102"/>
      <c r="V291" s="102"/>
      <c r="Y291" s="102"/>
      <c r="Z291" s="102"/>
      <c r="AA291" s="102"/>
      <c r="AB291" s="102"/>
      <c r="AC291" s="102"/>
      <c r="AD291" s="102"/>
      <c r="AE291" s="102"/>
      <c r="AF291" s="102"/>
      <c r="AG291" s="151"/>
      <c r="AH291" s="102"/>
      <c r="AI291" s="102"/>
      <c r="AJ291" s="102"/>
      <c r="AK291" s="151"/>
      <c r="AL291" s="102"/>
      <c r="AM291" s="102"/>
      <c r="AN291" s="102"/>
    </row>
    <row r="292" spans="1:40" x14ac:dyDescent="0.3">
      <c r="C292" s="102"/>
      <c r="D292" s="102"/>
      <c r="E292" s="102"/>
      <c r="F292" s="102"/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T292" s="102"/>
      <c r="U292" s="102"/>
      <c r="V292" s="102"/>
      <c r="Y292" s="102"/>
      <c r="Z292" s="102"/>
      <c r="AA292" s="102"/>
      <c r="AB292" s="102"/>
      <c r="AC292" s="102"/>
      <c r="AD292" s="102"/>
      <c r="AE292" s="102"/>
      <c r="AF292" s="102"/>
      <c r="AG292" s="151"/>
      <c r="AH292" s="102"/>
      <c r="AI292" s="102"/>
      <c r="AJ292" s="102"/>
      <c r="AK292" s="151"/>
      <c r="AL292" s="102"/>
      <c r="AM292" s="102"/>
      <c r="AN292" s="102"/>
    </row>
    <row r="293" spans="1:40" x14ac:dyDescent="0.3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91"/>
      <c r="AH293" s="101"/>
      <c r="AI293" s="101"/>
      <c r="AJ293" s="101"/>
      <c r="AK293" s="191"/>
      <c r="AL293" s="101"/>
      <c r="AM293" s="101"/>
      <c r="AN293" s="101"/>
    </row>
    <row r="294" spans="1:40" x14ac:dyDescent="0.3"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Y294" s="102"/>
      <c r="Z294" s="102"/>
      <c r="AA294" s="102"/>
      <c r="AB294" s="102"/>
      <c r="AC294" s="102"/>
      <c r="AD294" s="102"/>
      <c r="AE294" s="102"/>
      <c r="AF294" s="102"/>
      <c r="AG294" s="151"/>
      <c r="AH294" s="102"/>
      <c r="AI294" s="102"/>
      <c r="AJ294" s="102"/>
      <c r="AK294" s="151"/>
      <c r="AL294" s="102"/>
      <c r="AM294" s="102"/>
      <c r="AN294" s="102"/>
    </row>
    <row r="295" spans="1:40" x14ac:dyDescent="0.3">
      <c r="C295" s="99"/>
      <c r="D295" s="99"/>
      <c r="E295" s="99"/>
      <c r="T295" s="99"/>
      <c r="U295" s="99"/>
    </row>
    <row r="296" spans="1:40" x14ac:dyDescent="0.3">
      <c r="C296" s="99"/>
      <c r="T296" s="99"/>
    </row>
    <row r="298" spans="1:40" x14ac:dyDescent="0.3">
      <c r="C298" s="99"/>
      <c r="F298" s="172"/>
      <c r="H298" s="172"/>
      <c r="I298" s="172"/>
      <c r="J298" s="181"/>
      <c r="K298" s="181"/>
      <c r="L298" s="110"/>
      <c r="M298" s="110"/>
      <c r="N298" s="141"/>
      <c r="O298" s="141"/>
      <c r="R298" s="110"/>
      <c r="T298" s="99"/>
      <c r="V298" s="110"/>
      <c r="Y298" s="172"/>
      <c r="Z298" s="181"/>
      <c r="AA298" s="110"/>
      <c r="AB298" s="110"/>
      <c r="AC298" s="141"/>
      <c r="AD298" s="141"/>
      <c r="AE298" s="110"/>
      <c r="AF298" s="110"/>
      <c r="AH298" s="207"/>
      <c r="AL298" s="110"/>
      <c r="AM298" s="141"/>
      <c r="AN298" s="141"/>
    </row>
    <row r="299" spans="1:40" x14ac:dyDescent="0.3">
      <c r="F299" s="192"/>
      <c r="H299" s="110"/>
      <c r="I299" s="110"/>
      <c r="J299" s="217"/>
      <c r="K299" s="217"/>
      <c r="L299" s="192"/>
      <c r="M299" s="192"/>
      <c r="N299" s="192"/>
      <c r="O299" s="192"/>
      <c r="P299" s="192"/>
      <c r="Q299" s="192"/>
      <c r="R299" s="192"/>
      <c r="V299" s="192"/>
      <c r="Y299" s="110"/>
      <c r="Z299" s="217"/>
      <c r="AA299" s="192"/>
      <c r="AB299" s="192"/>
      <c r="AC299" s="192"/>
      <c r="AD299" s="192"/>
      <c r="AE299" s="192"/>
      <c r="AF299" s="192"/>
      <c r="AI299" s="192"/>
      <c r="AJ299" s="192"/>
      <c r="AK299" s="194"/>
      <c r="AL299" s="192"/>
      <c r="AM299" s="141"/>
      <c r="AN299" s="141"/>
    </row>
    <row r="300" spans="1:40" x14ac:dyDescent="0.3">
      <c r="C300" s="99"/>
      <c r="F300" s="172"/>
      <c r="H300" s="172"/>
      <c r="I300" s="172"/>
      <c r="J300" s="227"/>
      <c r="K300" s="227"/>
      <c r="L300" s="110"/>
      <c r="M300" s="110"/>
      <c r="N300" s="141"/>
      <c r="O300" s="141"/>
      <c r="P300" s="110"/>
      <c r="Q300" s="110"/>
      <c r="R300" s="110"/>
      <c r="S300" s="110"/>
      <c r="T300" s="99"/>
      <c r="V300" s="172"/>
      <c r="Y300" s="172"/>
      <c r="Z300" s="227"/>
      <c r="AA300" s="110"/>
      <c r="AB300" s="110"/>
      <c r="AC300" s="141"/>
      <c r="AD300" s="141"/>
      <c r="AE300" s="110"/>
      <c r="AF300" s="110"/>
      <c r="AH300" s="141"/>
      <c r="AI300" s="110"/>
      <c r="AJ300" s="110"/>
      <c r="AL300" s="110"/>
      <c r="AM300" s="141"/>
      <c r="AN300" s="141"/>
    </row>
    <row r="301" spans="1:40" x14ac:dyDescent="0.3">
      <c r="C301" s="99"/>
      <c r="F301" s="172"/>
      <c r="H301" s="172"/>
      <c r="I301" s="172"/>
      <c r="J301" s="181"/>
      <c r="K301" s="181"/>
      <c r="L301" s="110"/>
      <c r="M301" s="110"/>
      <c r="N301" s="141"/>
      <c r="O301" s="141"/>
      <c r="P301" s="110"/>
      <c r="Q301" s="110"/>
      <c r="R301" s="110"/>
      <c r="T301" s="99"/>
      <c r="V301" s="172"/>
      <c r="Y301" s="110"/>
      <c r="Z301" s="181"/>
      <c r="AA301" s="110"/>
      <c r="AB301" s="110"/>
      <c r="AC301" s="141"/>
      <c r="AD301" s="141"/>
      <c r="AE301" s="110"/>
      <c r="AF301" s="110"/>
      <c r="AH301" s="207"/>
      <c r="AI301" s="110"/>
      <c r="AJ301" s="110"/>
      <c r="AL301" s="110"/>
      <c r="AM301" s="141"/>
      <c r="AN301" s="141"/>
    </row>
    <row r="302" spans="1:40" x14ac:dyDescent="0.3">
      <c r="C302" s="99"/>
      <c r="F302" s="172"/>
      <c r="H302" s="172"/>
      <c r="I302" s="172"/>
      <c r="J302" s="181"/>
      <c r="K302" s="181"/>
      <c r="L302" s="110"/>
      <c r="M302" s="110"/>
      <c r="N302" s="141"/>
      <c r="O302" s="141"/>
      <c r="P302" s="110"/>
      <c r="Q302" s="110"/>
      <c r="R302" s="110"/>
      <c r="T302" s="99"/>
      <c r="V302" s="172"/>
      <c r="Y302" s="110"/>
      <c r="Z302" s="181"/>
      <c r="AA302" s="110"/>
      <c r="AB302" s="110"/>
      <c r="AC302" s="141"/>
      <c r="AD302" s="141"/>
      <c r="AE302" s="110"/>
      <c r="AF302" s="110"/>
      <c r="AH302" s="207"/>
      <c r="AI302" s="110"/>
      <c r="AJ302" s="110"/>
      <c r="AL302" s="110"/>
      <c r="AM302" s="141"/>
      <c r="AN302" s="141"/>
    </row>
    <row r="303" spans="1:40" x14ac:dyDescent="0.3">
      <c r="F303" s="192"/>
      <c r="H303" s="192"/>
      <c r="I303" s="192"/>
      <c r="J303" s="217"/>
      <c r="K303" s="217"/>
      <c r="L303" s="192"/>
      <c r="M303" s="192"/>
      <c r="N303" s="192"/>
      <c r="O303" s="192"/>
      <c r="P303" s="192"/>
      <c r="Q303" s="192"/>
      <c r="R303" s="192"/>
      <c r="V303" s="192"/>
      <c r="Y303" s="192"/>
      <c r="Z303" s="217"/>
      <c r="AA303" s="192"/>
      <c r="AB303" s="192"/>
      <c r="AC303" s="192"/>
      <c r="AD303" s="192"/>
      <c r="AE303" s="192"/>
      <c r="AF303" s="192"/>
      <c r="AI303" s="192"/>
      <c r="AJ303" s="192"/>
      <c r="AK303" s="194"/>
      <c r="AL303" s="192"/>
      <c r="AM303" s="141"/>
      <c r="AN303" s="141"/>
    </row>
    <row r="304" spans="1:40" x14ac:dyDescent="0.3">
      <c r="C304" s="99"/>
      <c r="F304" s="110"/>
      <c r="H304" s="110"/>
      <c r="I304" s="110"/>
      <c r="J304" s="198"/>
      <c r="K304" s="198"/>
      <c r="L304" s="110"/>
      <c r="M304" s="110"/>
      <c r="N304" s="141"/>
      <c r="O304" s="141"/>
      <c r="P304" s="110"/>
      <c r="Q304" s="110"/>
      <c r="R304" s="110"/>
      <c r="T304" s="99"/>
      <c r="V304" s="110"/>
      <c r="Y304" s="110"/>
      <c r="Z304" s="198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3:40" x14ac:dyDescent="0.3">
      <c r="F305" s="192"/>
      <c r="H305" s="192"/>
      <c r="I305" s="192"/>
      <c r="J305" s="217"/>
      <c r="K305" s="217"/>
      <c r="L305" s="192"/>
      <c r="M305" s="192"/>
      <c r="N305" s="192"/>
      <c r="O305" s="192"/>
      <c r="P305" s="192"/>
      <c r="Q305" s="192"/>
      <c r="R305" s="192"/>
      <c r="V305" s="192"/>
      <c r="Y305" s="192"/>
      <c r="Z305" s="217"/>
      <c r="AA305" s="192"/>
      <c r="AB305" s="192"/>
      <c r="AC305" s="192"/>
      <c r="AD305" s="192"/>
      <c r="AE305" s="192"/>
      <c r="AF305" s="192"/>
      <c r="AI305" s="192"/>
      <c r="AJ305" s="192"/>
      <c r="AK305" s="194"/>
      <c r="AL305" s="192"/>
      <c r="AM305" s="141"/>
      <c r="AN305" s="141"/>
    </row>
    <row r="306" spans="3:40" x14ac:dyDescent="0.3">
      <c r="C306" s="99"/>
      <c r="F306" s="110"/>
      <c r="H306" s="110"/>
      <c r="I306" s="110"/>
      <c r="J306" s="198"/>
      <c r="K306" s="198"/>
      <c r="L306" s="110"/>
      <c r="M306" s="110"/>
      <c r="N306" s="141"/>
      <c r="O306" s="141"/>
      <c r="P306" s="110"/>
      <c r="Q306" s="110"/>
      <c r="R306" s="110"/>
      <c r="T306" s="99"/>
      <c r="V306" s="110"/>
      <c r="Y306" s="110"/>
      <c r="Z306" s="198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3:40" x14ac:dyDescent="0.3">
      <c r="C307" s="99"/>
      <c r="F307" s="110"/>
      <c r="H307" s="172"/>
      <c r="I307" s="172"/>
      <c r="J307" s="222"/>
      <c r="K307" s="222"/>
      <c r="L307" s="110"/>
      <c r="M307" s="110"/>
      <c r="N307" s="141"/>
      <c r="O307" s="141"/>
      <c r="P307" s="110"/>
      <c r="Q307" s="110"/>
      <c r="R307" s="110"/>
      <c r="T307" s="99"/>
      <c r="V307" s="110"/>
      <c r="Y307" s="110"/>
      <c r="Z307" s="216"/>
      <c r="AA307" s="110"/>
      <c r="AB307" s="110"/>
      <c r="AC307" s="141"/>
      <c r="AD307" s="141"/>
      <c r="AE307" s="110"/>
      <c r="AF307" s="110"/>
      <c r="AH307" s="207"/>
      <c r="AI307" s="110"/>
      <c r="AJ307" s="110"/>
      <c r="AL307" s="110"/>
      <c r="AM307" s="141"/>
      <c r="AN307" s="141"/>
    </row>
    <row r="308" spans="3:40" x14ac:dyDescent="0.3">
      <c r="F308" s="192"/>
      <c r="H308" s="192"/>
      <c r="I308" s="192"/>
      <c r="J308" s="217"/>
      <c r="K308" s="217"/>
      <c r="L308" s="192"/>
      <c r="M308" s="192"/>
      <c r="N308" s="192"/>
      <c r="O308" s="192"/>
      <c r="P308" s="192"/>
      <c r="Q308" s="192"/>
      <c r="R308" s="192"/>
      <c r="V308" s="192"/>
      <c r="Y308" s="192"/>
      <c r="Z308" s="217"/>
      <c r="AA308" s="192"/>
      <c r="AB308" s="192"/>
      <c r="AC308" s="192"/>
      <c r="AD308" s="192"/>
      <c r="AE308" s="192"/>
      <c r="AF308" s="192"/>
      <c r="AI308" s="192"/>
      <c r="AJ308" s="192"/>
      <c r="AK308" s="194"/>
      <c r="AL308" s="192"/>
      <c r="AM308" s="141"/>
      <c r="AN308" s="141"/>
    </row>
    <row r="310" spans="3:40" x14ac:dyDescent="0.3">
      <c r="C310" s="99"/>
      <c r="F310" s="110"/>
      <c r="H310" s="110"/>
      <c r="I310" s="110"/>
      <c r="J310" s="217"/>
      <c r="K310" s="217"/>
      <c r="L310" s="110"/>
      <c r="M310" s="110"/>
      <c r="N310" s="141"/>
      <c r="O310" s="141"/>
      <c r="P310" s="110"/>
      <c r="Q310" s="110"/>
      <c r="R310" s="110"/>
      <c r="S310" s="110"/>
      <c r="T310" s="99"/>
      <c r="V310" s="110"/>
      <c r="Y310" s="110"/>
      <c r="Z310" s="217"/>
      <c r="AA310" s="110"/>
      <c r="AB310" s="110"/>
      <c r="AC310" s="141"/>
      <c r="AD310" s="141"/>
      <c r="AE310" s="110"/>
      <c r="AF310" s="110"/>
      <c r="AH310" s="141"/>
      <c r="AI310" s="110"/>
      <c r="AJ310" s="110"/>
      <c r="AL310" s="110"/>
      <c r="AM310" s="141"/>
      <c r="AN310" s="141"/>
    </row>
    <row r="311" spans="3:40" x14ac:dyDescent="0.3">
      <c r="F311" s="192"/>
      <c r="H311" s="192"/>
      <c r="I311" s="192"/>
      <c r="J311" s="217"/>
      <c r="K311" s="217"/>
      <c r="L311" s="192"/>
      <c r="M311" s="192"/>
      <c r="N311" s="192"/>
      <c r="O311" s="192"/>
      <c r="P311" s="192"/>
      <c r="Q311" s="192"/>
      <c r="R311" s="192"/>
      <c r="S311" s="110"/>
      <c r="V311" s="192"/>
      <c r="Y311" s="192"/>
      <c r="Z311" s="217"/>
      <c r="AA311" s="192"/>
      <c r="AB311" s="192"/>
      <c r="AC311" s="192"/>
      <c r="AD311" s="192"/>
      <c r="AE311" s="192"/>
      <c r="AF311" s="192"/>
      <c r="AI311" s="192"/>
      <c r="AJ311" s="192"/>
      <c r="AK311" s="194"/>
      <c r="AL311" s="192"/>
      <c r="AM311" s="141"/>
      <c r="AN311" s="141"/>
    </row>
    <row r="312" spans="3:40" x14ac:dyDescent="0.3">
      <c r="C312" s="99"/>
      <c r="F312" s="172"/>
      <c r="H312" s="172"/>
      <c r="I312" s="172"/>
      <c r="J312" s="217"/>
      <c r="K312" s="217"/>
      <c r="L312" s="110"/>
      <c r="M312" s="110"/>
      <c r="N312" s="141"/>
      <c r="O312" s="141"/>
      <c r="P312" s="110"/>
      <c r="Q312" s="110"/>
      <c r="R312" s="110"/>
      <c r="S312" s="110"/>
      <c r="T312" s="99"/>
      <c r="V312" s="172"/>
      <c r="Y312" s="172"/>
      <c r="Z312" s="217"/>
      <c r="AA312" s="110"/>
      <c r="AB312" s="110"/>
      <c r="AC312" s="141"/>
      <c r="AD312" s="141"/>
      <c r="AE312" s="110"/>
      <c r="AF312" s="110"/>
      <c r="AI312" s="110"/>
      <c r="AJ312" s="110"/>
      <c r="AL312" s="110"/>
      <c r="AM312" s="141"/>
      <c r="AN312" s="141"/>
    </row>
    <row r="314" spans="3:40" x14ac:dyDescent="0.3">
      <c r="C314" s="99"/>
      <c r="F314" s="172"/>
      <c r="H314" s="172"/>
      <c r="I314" s="172"/>
      <c r="J314" s="181"/>
      <c r="K314" s="181"/>
      <c r="L314" s="110"/>
      <c r="M314" s="110"/>
      <c r="N314" s="141"/>
      <c r="O314" s="141"/>
      <c r="R314" s="110"/>
      <c r="T314" s="99"/>
      <c r="V314" s="110"/>
      <c r="Y314" s="172"/>
      <c r="Z314" s="181"/>
      <c r="AA314" s="110"/>
      <c r="AB314" s="110"/>
      <c r="AC314" s="141"/>
      <c r="AD314" s="141"/>
      <c r="AE314" s="110"/>
      <c r="AF314" s="110"/>
      <c r="AH314" s="207"/>
      <c r="AL314" s="110"/>
      <c r="AM314" s="141"/>
      <c r="AN314" s="141"/>
    </row>
    <row r="315" spans="3:40" x14ac:dyDescent="0.3">
      <c r="F315" s="192"/>
      <c r="H315" s="110"/>
      <c r="I315" s="110"/>
      <c r="J315" s="217"/>
      <c r="K315" s="217"/>
      <c r="L315" s="192"/>
      <c r="M315" s="192"/>
      <c r="N315" s="192"/>
      <c r="O315" s="192"/>
      <c r="P315" s="192"/>
      <c r="Q315" s="192"/>
      <c r="R315" s="192"/>
      <c r="V315" s="192"/>
      <c r="Y315" s="110"/>
      <c r="Z315" s="217"/>
      <c r="AA315" s="192"/>
      <c r="AB315" s="192"/>
      <c r="AC315" s="192"/>
      <c r="AD315" s="192"/>
      <c r="AE315" s="192"/>
      <c r="AF315" s="192"/>
      <c r="AI315" s="192"/>
      <c r="AJ315" s="192"/>
      <c r="AK315" s="194"/>
      <c r="AL315" s="192"/>
      <c r="AM315" s="141"/>
      <c r="AN315" s="141"/>
    </row>
    <row r="316" spans="3:40" x14ac:dyDescent="0.3">
      <c r="C316" s="99"/>
      <c r="F316" s="172"/>
      <c r="H316" s="172"/>
      <c r="I316" s="172"/>
      <c r="J316" s="227"/>
      <c r="K316" s="227"/>
      <c r="L316" s="110"/>
      <c r="M316" s="110"/>
      <c r="N316" s="141"/>
      <c r="O316" s="141"/>
      <c r="P316" s="110"/>
      <c r="Q316" s="110"/>
      <c r="R316" s="110"/>
      <c r="S316" s="110"/>
      <c r="T316" s="99"/>
      <c r="V316" s="172"/>
      <c r="Y316" s="172"/>
      <c r="Z316" s="227"/>
      <c r="AA316" s="110"/>
      <c r="AB316" s="110"/>
      <c r="AC316" s="141"/>
      <c r="AD316" s="141"/>
      <c r="AE316" s="110"/>
      <c r="AF316" s="110"/>
      <c r="AH316" s="141"/>
      <c r="AI316" s="110"/>
      <c r="AJ316" s="110"/>
      <c r="AL316" s="110"/>
      <c r="AM316" s="141"/>
      <c r="AN316" s="141"/>
    </row>
    <row r="317" spans="3:40" x14ac:dyDescent="0.3">
      <c r="C317" s="99"/>
      <c r="F317" s="172"/>
      <c r="H317" s="172"/>
      <c r="I317" s="172"/>
      <c r="J317" s="181"/>
      <c r="K317" s="181"/>
      <c r="L317" s="110"/>
      <c r="M317" s="110"/>
      <c r="N317" s="141"/>
      <c r="O317" s="141"/>
      <c r="P317" s="110"/>
      <c r="Q317" s="110"/>
      <c r="R317" s="110"/>
      <c r="T317" s="99"/>
      <c r="V317" s="172"/>
      <c r="Y317" s="110"/>
      <c r="Z317" s="181"/>
      <c r="AA317" s="110"/>
      <c r="AB317" s="110"/>
      <c r="AC317" s="141"/>
      <c r="AD317" s="141"/>
      <c r="AE317" s="110"/>
      <c r="AF317" s="110"/>
      <c r="AH317" s="207"/>
      <c r="AI317" s="110"/>
      <c r="AJ317" s="110"/>
      <c r="AL317" s="110"/>
      <c r="AM317" s="141"/>
      <c r="AN317" s="141"/>
    </row>
    <row r="318" spans="3:40" x14ac:dyDescent="0.3">
      <c r="C318" s="99"/>
      <c r="F318" s="172"/>
      <c r="H318" s="172"/>
      <c r="I318" s="172"/>
      <c r="J318" s="181"/>
      <c r="K318" s="181"/>
      <c r="L318" s="110"/>
      <c r="M318" s="110"/>
      <c r="N318" s="141"/>
      <c r="O318" s="141"/>
      <c r="P318" s="110"/>
      <c r="Q318" s="110"/>
      <c r="R318" s="110"/>
      <c r="T318" s="99"/>
      <c r="V318" s="172"/>
      <c r="Y318" s="110"/>
      <c r="Z318" s="181"/>
      <c r="AA318" s="110"/>
      <c r="AB318" s="110"/>
      <c r="AC318" s="141"/>
      <c r="AD318" s="141"/>
      <c r="AE318" s="110"/>
      <c r="AF318" s="110"/>
      <c r="AH318" s="207"/>
      <c r="AI318" s="110"/>
      <c r="AJ318" s="110"/>
      <c r="AL318" s="110"/>
      <c r="AM318" s="141"/>
      <c r="AN318" s="141"/>
    </row>
    <row r="319" spans="3:40" x14ac:dyDescent="0.3">
      <c r="F319" s="192"/>
      <c r="H319" s="192"/>
      <c r="I319" s="192"/>
      <c r="J319" s="217"/>
      <c r="K319" s="217"/>
      <c r="L319" s="192"/>
      <c r="M319" s="192"/>
      <c r="N319" s="192"/>
      <c r="O319" s="192"/>
      <c r="P319" s="192"/>
      <c r="Q319" s="192"/>
      <c r="R319" s="192"/>
      <c r="V319" s="192"/>
      <c r="Y319" s="192"/>
      <c r="Z319" s="217"/>
      <c r="AA319" s="192"/>
      <c r="AB319" s="192"/>
      <c r="AC319" s="192"/>
      <c r="AD319" s="192"/>
      <c r="AE319" s="192"/>
      <c r="AF319" s="192"/>
      <c r="AI319" s="192"/>
      <c r="AJ319" s="192"/>
      <c r="AK319" s="194"/>
      <c r="AL319" s="192"/>
      <c r="AM319" s="141"/>
      <c r="AN319" s="141"/>
    </row>
    <row r="320" spans="3:40" x14ac:dyDescent="0.3">
      <c r="C320" s="99"/>
      <c r="F320" s="110"/>
      <c r="H320" s="110"/>
      <c r="I320" s="110"/>
      <c r="J320" s="198"/>
      <c r="K320" s="198"/>
      <c r="L320" s="110"/>
      <c r="M320" s="110"/>
      <c r="N320" s="141"/>
      <c r="O320" s="141"/>
      <c r="P320" s="110"/>
      <c r="Q320" s="110"/>
      <c r="R320" s="110"/>
      <c r="T320" s="99"/>
      <c r="V320" s="110"/>
      <c r="Y320" s="110"/>
      <c r="Z320" s="198"/>
      <c r="AA320" s="110"/>
      <c r="AB320" s="110"/>
      <c r="AC320" s="141"/>
      <c r="AD320" s="141"/>
      <c r="AE320" s="110"/>
      <c r="AF320" s="110"/>
      <c r="AH320" s="207"/>
      <c r="AI320" s="110"/>
      <c r="AJ320" s="110"/>
      <c r="AL320" s="110"/>
      <c r="AM320" s="141"/>
      <c r="AN320" s="141"/>
    </row>
    <row r="321" spans="1:40" x14ac:dyDescent="0.3">
      <c r="F321" s="192"/>
      <c r="H321" s="192"/>
      <c r="I321" s="192"/>
      <c r="J321" s="217"/>
      <c r="K321" s="217"/>
      <c r="L321" s="192"/>
      <c r="M321" s="192"/>
      <c r="N321" s="192"/>
      <c r="O321" s="192"/>
      <c r="P321" s="192"/>
      <c r="Q321" s="192"/>
      <c r="R321" s="192"/>
      <c r="V321" s="192"/>
      <c r="Y321" s="192"/>
      <c r="Z321" s="217"/>
      <c r="AA321" s="192"/>
      <c r="AB321" s="192"/>
      <c r="AC321" s="192"/>
      <c r="AD321" s="192"/>
      <c r="AE321" s="192"/>
      <c r="AF321" s="192"/>
      <c r="AI321" s="192"/>
      <c r="AJ321" s="192"/>
      <c r="AK321" s="194"/>
      <c r="AL321" s="192"/>
      <c r="AM321" s="141"/>
      <c r="AN321" s="141"/>
    </row>
    <row r="322" spans="1:40" x14ac:dyDescent="0.3">
      <c r="C322" s="99"/>
      <c r="F322" s="110"/>
      <c r="H322" s="110"/>
      <c r="I322" s="110"/>
      <c r="J322" s="198"/>
      <c r="K322" s="198"/>
      <c r="L322" s="110"/>
      <c r="M322" s="110"/>
      <c r="N322" s="141"/>
      <c r="O322" s="141"/>
      <c r="P322" s="110"/>
      <c r="Q322" s="110"/>
      <c r="R322" s="110"/>
      <c r="T322" s="99"/>
      <c r="V322" s="110"/>
      <c r="Y322" s="110"/>
      <c r="Z322" s="198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1:40" x14ac:dyDescent="0.3">
      <c r="C323" s="99"/>
      <c r="F323" s="110"/>
      <c r="H323" s="172"/>
      <c r="I323" s="172"/>
      <c r="J323" s="222"/>
      <c r="K323" s="222"/>
      <c r="L323" s="110"/>
      <c r="M323" s="110"/>
      <c r="N323" s="141"/>
      <c r="O323" s="141"/>
      <c r="P323" s="110"/>
      <c r="Q323" s="110"/>
      <c r="R323" s="110"/>
      <c r="T323" s="99"/>
      <c r="V323" s="110"/>
      <c r="Y323" s="110"/>
      <c r="Z323" s="216"/>
      <c r="AA323" s="110"/>
      <c r="AB323" s="110"/>
      <c r="AC323" s="141"/>
      <c r="AD323" s="141"/>
      <c r="AE323" s="110"/>
      <c r="AF323" s="110"/>
      <c r="AH323" s="207"/>
      <c r="AI323" s="110"/>
      <c r="AJ323" s="110"/>
      <c r="AL323" s="110"/>
      <c r="AM323" s="141"/>
      <c r="AN323" s="141"/>
    </row>
    <row r="324" spans="1:40" x14ac:dyDescent="0.3">
      <c r="F324" s="192"/>
      <c r="H324" s="192"/>
      <c r="I324" s="192"/>
      <c r="J324" s="217"/>
      <c r="K324" s="217"/>
      <c r="L324" s="192"/>
      <c r="M324" s="192"/>
      <c r="N324" s="192"/>
      <c r="O324" s="192"/>
      <c r="P324" s="192"/>
      <c r="Q324" s="192"/>
      <c r="R324" s="192"/>
      <c r="V324" s="192"/>
      <c r="Y324" s="192"/>
      <c r="Z324" s="217"/>
      <c r="AA324" s="192"/>
      <c r="AB324" s="192"/>
      <c r="AC324" s="192"/>
      <c r="AD324" s="192"/>
      <c r="AE324" s="192"/>
      <c r="AF324" s="192"/>
      <c r="AI324" s="192"/>
      <c r="AJ324" s="192"/>
      <c r="AK324" s="194"/>
      <c r="AL324" s="192"/>
      <c r="AM324" s="141"/>
      <c r="AN324" s="141"/>
    </row>
    <row r="326" spans="1:40" x14ac:dyDescent="0.3">
      <c r="C326" s="99"/>
      <c r="F326" s="110"/>
      <c r="H326" s="110"/>
      <c r="I326" s="110"/>
      <c r="J326" s="217"/>
      <c r="K326" s="217"/>
      <c r="L326" s="110"/>
      <c r="M326" s="110"/>
      <c r="N326" s="141"/>
      <c r="O326" s="141"/>
      <c r="P326" s="110"/>
      <c r="Q326" s="110"/>
      <c r="R326" s="110"/>
      <c r="S326" s="110"/>
      <c r="T326" s="99"/>
      <c r="V326" s="110"/>
      <c r="Y326" s="110"/>
      <c r="Z326" s="217"/>
      <c r="AA326" s="110"/>
      <c r="AB326" s="110"/>
      <c r="AC326" s="141"/>
      <c r="AD326" s="141"/>
      <c r="AE326" s="110"/>
      <c r="AF326" s="110"/>
      <c r="AH326" s="141"/>
      <c r="AI326" s="110"/>
      <c r="AJ326" s="110"/>
      <c r="AL326" s="110"/>
      <c r="AM326" s="141"/>
      <c r="AN326" s="141"/>
    </row>
    <row r="327" spans="1:40" x14ac:dyDescent="0.3">
      <c r="F327" s="192"/>
      <c r="H327" s="192"/>
      <c r="I327" s="192"/>
      <c r="J327" s="217"/>
      <c r="K327" s="217"/>
      <c r="L327" s="192"/>
      <c r="M327" s="192"/>
      <c r="N327" s="192"/>
      <c r="O327" s="192"/>
      <c r="P327" s="192"/>
      <c r="Q327" s="192"/>
      <c r="R327" s="192"/>
      <c r="S327" s="110"/>
      <c r="V327" s="192"/>
      <c r="Y327" s="192"/>
      <c r="Z327" s="217"/>
      <c r="AA327" s="192"/>
      <c r="AB327" s="192"/>
      <c r="AC327" s="192"/>
      <c r="AD327" s="192"/>
      <c r="AE327" s="192"/>
      <c r="AF327" s="192"/>
      <c r="AI327" s="192"/>
      <c r="AJ327" s="192"/>
      <c r="AK327" s="194"/>
      <c r="AL327" s="192"/>
      <c r="AM327" s="141"/>
      <c r="AN327" s="141"/>
    </row>
    <row r="328" spans="1:40" x14ac:dyDescent="0.3">
      <c r="C328" s="99"/>
      <c r="T328" s="99"/>
    </row>
    <row r="329" spans="1:40" x14ac:dyDescent="0.3">
      <c r="C329" s="99"/>
      <c r="F329" s="110"/>
      <c r="H329" s="110"/>
      <c r="I329" s="110"/>
      <c r="L329" s="110"/>
      <c r="M329" s="110"/>
      <c r="N329" s="141"/>
      <c r="O329" s="141"/>
      <c r="P329" s="172"/>
      <c r="Q329" s="172"/>
      <c r="R329" s="110"/>
      <c r="T329" s="99"/>
      <c r="V329" s="110"/>
      <c r="Y329" s="110"/>
      <c r="AA329" s="110"/>
      <c r="AB329" s="110"/>
      <c r="AC329" s="141"/>
      <c r="AD329" s="141"/>
      <c r="AE329" s="110"/>
      <c r="AF329" s="110"/>
      <c r="AH329" s="141"/>
      <c r="AI329" s="172"/>
      <c r="AJ329" s="172"/>
      <c r="AL329" s="110"/>
      <c r="AM329" s="141"/>
      <c r="AN329" s="141"/>
    </row>
    <row r="330" spans="1:40" x14ac:dyDescent="0.3">
      <c r="F330" s="192"/>
      <c r="H330" s="192"/>
      <c r="I330" s="192"/>
      <c r="J330" s="217"/>
      <c r="K330" s="217"/>
      <c r="L330" s="192"/>
      <c r="M330" s="192"/>
      <c r="N330" s="192"/>
      <c r="O330" s="192"/>
      <c r="P330" s="192"/>
      <c r="Q330" s="192"/>
      <c r="R330" s="192"/>
      <c r="V330" s="192"/>
      <c r="Y330" s="192"/>
      <c r="Z330" s="217"/>
      <c r="AA330" s="192"/>
      <c r="AB330" s="192"/>
      <c r="AC330" s="192"/>
      <c r="AD330" s="192"/>
      <c r="AE330" s="192"/>
      <c r="AF330" s="192"/>
      <c r="AI330" s="192"/>
      <c r="AJ330" s="192"/>
      <c r="AK330" s="194"/>
      <c r="AL330" s="192"/>
    </row>
    <row r="332" spans="1:40" x14ac:dyDescent="0.3">
      <c r="C332" s="99"/>
      <c r="L332" s="110"/>
      <c r="M332" s="110"/>
      <c r="N332" s="110"/>
      <c r="O332" s="110"/>
      <c r="P332" s="110"/>
      <c r="Q332" s="110"/>
      <c r="R332" s="110"/>
      <c r="S332" s="110"/>
      <c r="T332" s="99"/>
      <c r="AA332" s="110"/>
      <c r="AB332" s="110"/>
      <c r="AC332" s="110"/>
      <c r="AD332" s="110"/>
      <c r="AI332" s="110"/>
      <c r="AJ332" s="110"/>
      <c r="AL332" s="110"/>
    </row>
    <row r="333" spans="1:40" x14ac:dyDescent="0.3">
      <c r="A333" s="99"/>
    </row>
    <row r="335" spans="1:40" x14ac:dyDescent="0.3">
      <c r="H335" s="99"/>
      <c r="I335" s="99"/>
      <c r="Y335" s="99"/>
    </row>
    <row r="337" spans="1:40" x14ac:dyDescent="0.3">
      <c r="L337" s="99"/>
      <c r="M337" s="99"/>
      <c r="AA337" s="99"/>
      <c r="AB337" s="99"/>
    </row>
    <row r="338" spans="1:40" x14ac:dyDescent="0.3">
      <c r="R338" s="99"/>
      <c r="AK338" s="190"/>
      <c r="AL338" s="99"/>
    </row>
    <row r="339" spans="1:40" x14ac:dyDescent="0.3">
      <c r="R339" s="99"/>
      <c r="AK339" s="190"/>
      <c r="AL339" s="99"/>
    </row>
    <row r="340" spans="1:40" x14ac:dyDescent="0.3">
      <c r="A340" s="99"/>
      <c r="R340" s="99"/>
      <c r="AK340" s="190"/>
      <c r="AL340" s="99"/>
    </row>
    <row r="341" spans="1:40" x14ac:dyDescent="0.3">
      <c r="L341" s="99"/>
      <c r="M341" s="99"/>
      <c r="AA341" s="99"/>
      <c r="AB341" s="99"/>
    </row>
    <row r="342" spans="1:40" x14ac:dyDescent="0.3">
      <c r="A342" s="101"/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T342" s="101"/>
      <c r="U342" s="101"/>
      <c r="V342" s="101"/>
      <c r="W342" s="101"/>
      <c r="X342" s="101"/>
      <c r="Y342" s="101"/>
      <c r="Z342" s="101"/>
      <c r="AA342" s="101"/>
      <c r="AB342" s="101"/>
      <c r="AC342" s="101"/>
      <c r="AD342" s="101"/>
      <c r="AE342" s="101"/>
      <c r="AF342" s="101"/>
      <c r="AG342" s="191"/>
      <c r="AH342" s="101"/>
      <c r="AI342" s="101"/>
      <c r="AJ342" s="101"/>
      <c r="AK342" s="191"/>
      <c r="AL342" s="101"/>
      <c r="AM342" s="101"/>
      <c r="AN342" s="101"/>
    </row>
    <row r="343" spans="1:40" x14ac:dyDescent="0.3">
      <c r="L343" s="102"/>
      <c r="M343" s="102"/>
      <c r="N343" s="102"/>
      <c r="O343" s="102"/>
      <c r="R343" s="102"/>
      <c r="AA343" s="102"/>
      <c r="AB343" s="102"/>
      <c r="AC343" s="102"/>
      <c r="AD343" s="102"/>
      <c r="AE343" s="102"/>
      <c r="AF343" s="102"/>
      <c r="AG343" s="151"/>
      <c r="AH343" s="102"/>
      <c r="AK343" s="151"/>
      <c r="AL343" s="102"/>
      <c r="AM343" s="102"/>
      <c r="AN343" s="102"/>
    </row>
    <row r="344" spans="1:40" x14ac:dyDescent="0.3">
      <c r="L344" s="102"/>
      <c r="M344" s="102"/>
      <c r="N344" s="102"/>
      <c r="O344" s="102"/>
      <c r="R344" s="102"/>
      <c r="Z344" s="102"/>
      <c r="AA344" s="102"/>
      <c r="AB344" s="102"/>
      <c r="AC344" s="102"/>
      <c r="AD344" s="102"/>
      <c r="AE344" s="102"/>
      <c r="AF344" s="102"/>
      <c r="AG344" s="151"/>
      <c r="AH344" s="102"/>
      <c r="AK344" s="151"/>
      <c r="AL344" s="102"/>
      <c r="AM344" s="102"/>
      <c r="AN344" s="102"/>
    </row>
    <row r="345" spans="1:40" x14ac:dyDescent="0.3">
      <c r="A345" s="102"/>
      <c r="C345" s="102"/>
      <c r="D345" s="102"/>
      <c r="E345" s="102"/>
      <c r="F345" s="102"/>
      <c r="J345" s="102"/>
      <c r="K345" s="102"/>
      <c r="L345" s="102"/>
      <c r="M345" s="102"/>
      <c r="N345" s="102"/>
      <c r="O345" s="102"/>
      <c r="P345" s="102"/>
      <c r="Q345" s="102"/>
      <c r="R345" s="102"/>
      <c r="T345" s="102"/>
      <c r="U345" s="102"/>
      <c r="V345" s="102"/>
      <c r="Z345" s="102"/>
      <c r="AA345" s="102"/>
      <c r="AB345" s="102"/>
      <c r="AC345" s="102"/>
      <c r="AD345" s="102"/>
      <c r="AE345" s="102"/>
      <c r="AF345" s="102"/>
      <c r="AG345" s="151"/>
      <c r="AH345" s="102"/>
      <c r="AI345" s="102"/>
      <c r="AJ345" s="102"/>
      <c r="AK345" s="151"/>
      <c r="AL345" s="102"/>
      <c r="AM345" s="102"/>
      <c r="AN345" s="102"/>
    </row>
    <row r="346" spans="1:40" x14ac:dyDescent="0.3">
      <c r="A346" s="102"/>
      <c r="C346" s="102"/>
      <c r="D346" s="102"/>
      <c r="E346" s="102"/>
      <c r="F346" s="102"/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T346" s="102"/>
      <c r="U346" s="102"/>
      <c r="V346" s="102"/>
      <c r="Y346" s="102"/>
      <c r="Z346" s="102"/>
      <c r="AA346" s="102"/>
      <c r="AB346" s="102"/>
      <c r="AC346" s="102"/>
      <c r="AD346" s="102"/>
      <c r="AE346" s="102"/>
      <c r="AF346" s="102"/>
      <c r="AG346" s="151"/>
      <c r="AH346" s="102"/>
      <c r="AI346" s="102"/>
      <c r="AJ346" s="102"/>
      <c r="AK346" s="151"/>
      <c r="AL346" s="102"/>
      <c r="AM346" s="102"/>
      <c r="AN346" s="102"/>
    </row>
    <row r="347" spans="1:40" x14ac:dyDescent="0.3">
      <c r="C347" s="102"/>
      <c r="D347" s="102"/>
      <c r="E347" s="102"/>
      <c r="F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T347" s="102"/>
      <c r="U347" s="102"/>
      <c r="V347" s="102"/>
      <c r="Y347" s="102"/>
      <c r="Z347" s="102"/>
      <c r="AA347" s="102"/>
      <c r="AB347" s="102"/>
      <c r="AC347" s="102"/>
      <c r="AD347" s="102"/>
      <c r="AE347" s="102"/>
      <c r="AF347" s="102"/>
      <c r="AG347" s="151"/>
      <c r="AH347" s="102"/>
      <c r="AI347" s="102"/>
      <c r="AJ347" s="102"/>
      <c r="AK347" s="151"/>
      <c r="AL347" s="102"/>
      <c r="AM347" s="102"/>
      <c r="AN347" s="102"/>
    </row>
    <row r="348" spans="1:40" x14ac:dyDescent="0.3">
      <c r="A348" s="101"/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T348" s="101"/>
      <c r="U348" s="101"/>
      <c r="V348" s="101"/>
      <c r="W348" s="101"/>
      <c r="X348" s="101"/>
      <c r="Y348" s="101"/>
      <c r="Z348" s="101"/>
      <c r="AA348" s="101"/>
      <c r="AB348" s="101"/>
      <c r="AC348" s="101"/>
      <c r="AD348" s="101"/>
      <c r="AE348" s="101"/>
      <c r="AF348" s="101"/>
      <c r="AG348" s="191"/>
      <c r="AH348" s="101"/>
      <c r="AI348" s="101"/>
      <c r="AJ348" s="101"/>
      <c r="AK348" s="191"/>
      <c r="AL348" s="101"/>
      <c r="AM348" s="101"/>
      <c r="AN348" s="101"/>
    </row>
    <row r="349" spans="1:40" x14ac:dyDescent="0.3"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Y349" s="102"/>
      <c r="Z349" s="102"/>
      <c r="AA349" s="102"/>
      <c r="AB349" s="102"/>
      <c r="AC349" s="102"/>
      <c r="AD349" s="102"/>
      <c r="AE349" s="102"/>
      <c r="AF349" s="102"/>
      <c r="AG349" s="151"/>
      <c r="AH349" s="102"/>
      <c r="AI349" s="102"/>
      <c r="AJ349" s="102"/>
      <c r="AK349" s="151"/>
      <c r="AL349" s="102"/>
      <c r="AM349" s="102"/>
      <c r="AN349" s="102"/>
    </row>
    <row r="350" spans="1:40" x14ac:dyDescent="0.3">
      <c r="C350" s="99"/>
      <c r="D350" s="99"/>
      <c r="E350" s="99"/>
      <c r="T350" s="99"/>
      <c r="U350" s="99"/>
    </row>
    <row r="351" spans="1:40" x14ac:dyDescent="0.3">
      <c r="D351" s="99"/>
      <c r="E351" s="99"/>
      <c r="U351" s="99"/>
    </row>
    <row r="353" spans="3:40" x14ac:dyDescent="0.3">
      <c r="C353" s="99"/>
      <c r="T353" s="99"/>
    </row>
    <row r="354" spans="3:40" x14ac:dyDescent="0.3">
      <c r="C354" s="99"/>
      <c r="F354" s="172"/>
      <c r="H354" s="172"/>
      <c r="I354" s="172"/>
      <c r="J354" s="228"/>
      <c r="K354" s="228"/>
      <c r="L354" s="110"/>
      <c r="M354" s="110"/>
      <c r="N354" s="141"/>
      <c r="O354" s="141"/>
      <c r="P354" s="110"/>
      <c r="Q354" s="110"/>
      <c r="R354" s="110"/>
      <c r="T354" s="99"/>
      <c r="V354" s="172"/>
      <c r="W354" s="110"/>
      <c r="X354" s="110"/>
      <c r="Y354" s="172"/>
      <c r="Z354" s="228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F355" s="110"/>
      <c r="H355" s="110"/>
      <c r="I355" s="110"/>
      <c r="J355" s="217"/>
      <c r="K355" s="217"/>
      <c r="L355" s="110"/>
      <c r="M355" s="110"/>
      <c r="N355" s="141"/>
      <c r="O355" s="141"/>
      <c r="P355" s="110"/>
      <c r="Q355" s="110"/>
      <c r="R355" s="110"/>
      <c r="T355" s="99"/>
      <c r="V355" s="172"/>
      <c r="W355" s="110"/>
      <c r="X355" s="110"/>
      <c r="Y355" s="172"/>
      <c r="Z355" s="217"/>
      <c r="AA355" s="110"/>
      <c r="AB355" s="110"/>
      <c r="AC355" s="141"/>
      <c r="AD355" s="141"/>
      <c r="AE355" s="110"/>
      <c r="AF355" s="110"/>
      <c r="AH355" s="207"/>
      <c r="AI355" s="110"/>
      <c r="AJ355" s="110"/>
      <c r="AL355" s="110"/>
      <c r="AM355" s="141"/>
      <c r="AN355" s="141"/>
    </row>
    <row r="356" spans="3:40" x14ac:dyDescent="0.3">
      <c r="C356" s="99"/>
      <c r="F356" s="172"/>
      <c r="H356" s="172"/>
      <c r="I356" s="172"/>
      <c r="J356" s="228"/>
      <c r="K356" s="228"/>
      <c r="L356" s="110"/>
      <c r="M356" s="110"/>
      <c r="N356" s="141"/>
      <c r="O356" s="141"/>
      <c r="P356" s="110"/>
      <c r="Q356" s="110"/>
      <c r="R356" s="110"/>
      <c r="T356" s="99"/>
      <c r="V356" s="172"/>
      <c r="W356" s="110"/>
      <c r="X356" s="110"/>
      <c r="Y356" s="172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72"/>
      <c r="W357" s="110"/>
      <c r="X357" s="110"/>
      <c r="Y357" s="172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72"/>
      <c r="W358" s="110"/>
      <c r="X358" s="110"/>
      <c r="Y358" s="172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10"/>
      <c r="H359" s="110"/>
      <c r="I359" s="110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72"/>
      <c r="W359" s="110"/>
      <c r="X359" s="110"/>
      <c r="Y359" s="172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F360" s="110"/>
      <c r="H360" s="110"/>
      <c r="I360" s="110"/>
      <c r="J360" s="228"/>
      <c r="K360" s="228"/>
      <c r="L360" s="110"/>
      <c r="M360" s="110"/>
      <c r="N360" s="141"/>
      <c r="O360" s="141"/>
      <c r="P360" s="110"/>
      <c r="Q360" s="110"/>
      <c r="R360" s="110"/>
      <c r="T360" s="99"/>
      <c r="V360" s="172"/>
      <c r="W360" s="110"/>
      <c r="X360" s="110"/>
      <c r="Y360" s="172"/>
      <c r="Z360" s="228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3:40" x14ac:dyDescent="0.3">
      <c r="F361" s="210"/>
      <c r="H361" s="230"/>
      <c r="I361" s="230"/>
      <c r="J361" s="228"/>
      <c r="K361" s="228"/>
      <c r="L361" s="210"/>
      <c r="M361" s="210"/>
      <c r="N361" s="192"/>
      <c r="O361" s="192"/>
      <c r="P361" s="210"/>
      <c r="Q361" s="210"/>
      <c r="R361" s="210"/>
      <c r="V361" s="210"/>
      <c r="W361" s="110"/>
      <c r="X361" s="110"/>
      <c r="Y361" s="210"/>
      <c r="Z361" s="228"/>
      <c r="AA361" s="210"/>
      <c r="AB361" s="210"/>
      <c r="AC361" s="211"/>
      <c r="AD361" s="211"/>
      <c r="AE361" s="210"/>
      <c r="AF361" s="210"/>
      <c r="AH361" s="207"/>
      <c r="AI361" s="210"/>
      <c r="AJ361" s="210"/>
      <c r="AK361" s="191"/>
      <c r="AL361" s="210"/>
      <c r="AM361" s="141"/>
      <c r="AN361" s="141"/>
    </row>
    <row r="362" spans="3:40" x14ac:dyDescent="0.3">
      <c r="C362" s="99"/>
      <c r="F362" s="110"/>
      <c r="H362" s="110"/>
      <c r="I362" s="110"/>
      <c r="J362" s="228"/>
      <c r="K362" s="228"/>
      <c r="L362" s="110"/>
      <c r="M362" s="110"/>
      <c r="N362" s="207"/>
      <c r="O362" s="207"/>
      <c r="P362" s="110"/>
      <c r="Q362" s="110"/>
      <c r="R362" s="110"/>
      <c r="T362" s="102"/>
      <c r="V362" s="110"/>
      <c r="W362" s="110"/>
      <c r="X362" s="110"/>
      <c r="Y362" s="110"/>
      <c r="Z362" s="228"/>
      <c r="AA362" s="110"/>
      <c r="AB362" s="110"/>
      <c r="AC362" s="207"/>
      <c r="AD362" s="207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F363" s="101"/>
      <c r="H363" s="101"/>
      <c r="I363" s="101"/>
      <c r="L363" s="101"/>
      <c r="M363" s="101"/>
      <c r="N363" s="211"/>
      <c r="O363" s="211"/>
      <c r="P363" s="210"/>
      <c r="Q363" s="210"/>
      <c r="R363" s="210"/>
      <c r="V363" s="210"/>
      <c r="Y363" s="210"/>
      <c r="Z363" s="217"/>
      <c r="AA363" s="210"/>
      <c r="AB363" s="210"/>
      <c r="AC363" s="210"/>
      <c r="AD363" s="210"/>
      <c r="AE363" s="210"/>
      <c r="AF363" s="210"/>
      <c r="AI363" s="210"/>
      <c r="AJ363" s="210"/>
      <c r="AK363" s="191"/>
      <c r="AL363" s="210"/>
      <c r="AM363" s="211"/>
      <c r="AN363" s="211"/>
    </row>
    <row r="368" spans="3:40" x14ac:dyDescent="0.3">
      <c r="N368" s="110"/>
      <c r="O368" s="110"/>
      <c r="P368" s="110"/>
      <c r="Q368" s="110"/>
      <c r="R368" s="110"/>
      <c r="V368" s="110"/>
      <c r="Y368" s="110"/>
      <c r="Z368" s="19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1:40" x14ac:dyDescent="0.3">
      <c r="C369" s="99"/>
      <c r="D369" s="99"/>
      <c r="E369" s="99"/>
      <c r="J369" s="163"/>
      <c r="K369" s="163"/>
      <c r="T369" s="99"/>
      <c r="U369" s="99"/>
      <c r="Z369" s="163"/>
      <c r="AE369" s="110"/>
      <c r="AF369" s="110"/>
      <c r="AI369" s="110"/>
      <c r="AJ369" s="110"/>
      <c r="AL369" s="110"/>
      <c r="AM369" s="141"/>
      <c r="AN369" s="141"/>
    </row>
    <row r="370" spans="1:40" x14ac:dyDescent="0.3">
      <c r="D370" s="99"/>
      <c r="E370" s="99"/>
      <c r="F370" s="110"/>
      <c r="H370" s="110"/>
      <c r="I370" s="110"/>
      <c r="J370" s="228"/>
      <c r="K370" s="228"/>
      <c r="L370" s="110"/>
      <c r="M370" s="110"/>
      <c r="N370" s="141"/>
      <c r="O370" s="141"/>
      <c r="P370" s="110"/>
      <c r="Q370" s="110"/>
      <c r="R370" s="110"/>
      <c r="U370" s="99"/>
      <c r="V370" s="110"/>
      <c r="Y370" s="110"/>
      <c r="Z370" s="22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1:40" x14ac:dyDescent="0.3">
      <c r="F371" s="110"/>
      <c r="H371" s="110"/>
      <c r="I371" s="110"/>
      <c r="J371" s="217"/>
      <c r="K371" s="217"/>
      <c r="L371" s="110"/>
      <c r="M371" s="110"/>
      <c r="N371" s="110"/>
      <c r="O371" s="110"/>
      <c r="P371" s="110"/>
      <c r="Q371" s="110"/>
      <c r="R371" s="110"/>
      <c r="V371" s="110"/>
      <c r="Y371" s="110"/>
      <c r="Z371" s="217"/>
      <c r="AA371" s="110"/>
      <c r="AB371" s="110"/>
      <c r="AC371" s="110"/>
      <c r="AD371" s="110"/>
      <c r="AE371" s="110"/>
      <c r="AF371" s="110"/>
      <c r="AH371" s="207"/>
      <c r="AI371" s="172"/>
      <c r="AJ371" s="172"/>
      <c r="AL371" s="110"/>
      <c r="AM371" s="141"/>
      <c r="AN371" s="141"/>
    </row>
    <row r="372" spans="1:40" x14ac:dyDescent="0.3">
      <c r="C372" s="99"/>
      <c r="F372" s="172"/>
      <c r="H372" s="172"/>
      <c r="I372" s="172"/>
      <c r="J372" s="216"/>
      <c r="K372" s="216"/>
      <c r="L372" s="110"/>
      <c r="M372" s="110"/>
      <c r="N372" s="141"/>
      <c r="O372" s="141"/>
      <c r="P372" s="110"/>
      <c r="Q372" s="110"/>
      <c r="R372" s="110"/>
      <c r="T372" s="99"/>
      <c r="V372" s="172"/>
      <c r="Y372" s="172"/>
      <c r="Z372" s="216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1:40" x14ac:dyDescent="0.3">
      <c r="F373" s="101"/>
      <c r="H373" s="101"/>
      <c r="I373" s="101"/>
      <c r="L373" s="101"/>
      <c r="M373" s="101"/>
      <c r="N373" s="101"/>
      <c r="O373" s="101"/>
      <c r="P373" s="101"/>
      <c r="Q373" s="101"/>
      <c r="R373" s="101"/>
      <c r="V373" s="101"/>
      <c r="Y373" s="101"/>
      <c r="AA373" s="101"/>
      <c r="AB373" s="101"/>
      <c r="AC373" s="101"/>
      <c r="AD373" s="101"/>
      <c r="AE373" s="101"/>
      <c r="AF373" s="101"/>
      <c r="AG373" s="191"/>
      <c r="AH373" s="101"/>
      <c r="AI373" s="101"/>
      <c r="AJ373" s="101"/>
      <c r="AK373" s="191"/>
      <c r="AL373" s="101"/>
      <c r="AM373" s="101"/>
      <c r="AN373" s="101"/>
    </row>
    <row r="374" spans="1:40" x14ac:dyDescent="0.3">
      <c r="C374" s="102"/>
      <c r="F374" s="172"/>
      <c r="H374" s="172"/>
      <c r="I374" s="172"/>
      <c r="J374" s="181"/>
      <c r="K374" s="181"/>
      <c r="L374" s="172"/>
      <c r="M374" s="172"/>
      <c r="N374" s="141"/>
      <c r="O374" s="141"/>
      <c r="P374" s="172"/>
      <c r="Q374" s="172"/>
      <c r="R374" s="172"/>
      <c r="T374" s="102"/>
      <c r="V374" s="110"/>
      <c r="Y374" s="110"/>
      <c r="Z374" s="198"/>
      <c r="AA374" s="110"/>
      <c r="AB374" s="110"/>
      <c r="AC374" s="141"/>
      <c r="AD374" s="141"/>
      <c r="AH374" s="207"/>
      <c r="AI374" s="110"/>
      <c r="AJ374" s="110"/>
      <c r="AL374" s="110"/>
      <c r="AM374" s="141"/>
      <c r="AN374" s="141"/>
    </row>
    <row r="375" spans="1:40" x14ac:dyDescent="0.3">
      <c r="F375" s="210"/>
      <c r="H375" s="210"/>
      <c r="I375" s="210"/>
      <c r="J375" s="217"/>
      <c r="K375" s="217"/>
      <c r="L375" s="210"/>
      <c r="M375" s="210"/>
      <c r="N375" s="210"/>
      <c r="O375" s="210"/>
      <c r="P375" s="210"/>
      <c r="Q375" s="210"/>
      <c r="R375" s="210"/>
      <c r="V375" s="101"/>
      <c r="Y375" s="101"/>
      <c r="AA375" s="101"/>
      <c r="AB375" s="101"/>
      <c r="AC375" s="101"/>
      <c r="AD375" s="101"/>
      <c r="AE375" s="101"/>
      <c r="AF375" s="101"/>
      <c r="AG375" s="191"/>
      <c r="AH375" s="101"/>
      <c r="AI375" s="101"/>
      <c r="AJ375" s="101"/>
      <c r="AK375" s="191"/>
      <c r="AL375" s="101"/>
      <c r="AM375" s="101"/>
      <c r="AN375" s="101"/>
    </row>
    <row r="376" spans="1:40" x14ac:dyDescent="0.3">
      <c r="F376" s="172"/>
      <c r="H376" s="172"/>
      <c r="I376" s="172"/>
      <c r="J376" s="227"/>
      <c r="K376" s="227"/>
      <c r="L376" s="110"/>
      <c r="M376" s="110"/>
      <c r="N376" s="141"/>
      <c r="O376" s="141"/>
      <c r="P376" s="110"/>
      <c r="Q376" s="110"/>
      <c r="R376" s="110"/>
    </row>
    <row r="377" spans="1:40" x14ac:dyDescent="0.3">
      <c r="A377" s="99"/>
      <c r="F377" s="172"/>
      <c r="H377" s="172"/>
      <c r="I377" s="172"/>
      <c r="J377" s="181"/>
      <c r="K377" s="181"/>
      <c r="L377" s="110"/>
      <c r="M377" s="110"/>
      <c r="N377" s="141"/>
      <c r="O377" s="141"/>
      <c r="P377" s="110"/>
      <c r="Q377" s="110"/>
      <c r="R377" s="110"/>
    </row>
    <row r="378" spans="1:40" x14ac:dyDescent="0.3">
      <c r="F378" s="172"/>
      <c r="H378" s="172"/>
      <c r="I378" s="172"/>
      <c r="J378" s="181"/>
      <c r="K378" s="181"/>
      <c r="L378" s="110"/>
      <c r="M378" s="110"/>
      <c r="N378" s="141"/>
      <c r="O378" s="141"/>
      <c r="P378" s="110"/>
      <c r="Q378" s="110"/>
      <c r="R378" s="110"/>
    </row>
    <row r="379" spans="1:40" x14ac:dyDescent="0.3">
      <c r="A379" s="99"/>
    </row>
    <row r="382" spans="1:40" x14ac:dyDescent="0.3">
      <c r="H382" s="99"/>
      <c r="I382" s="99"/>
      <c r="Y382" s="99"/>
    </row>
    <row r="384" spans="1:40" x14ac:dyDescent="0.3">
      <c r="L384" s="99"/>
      <c r="M384" s="99"/>
      <c r="AA384" s="99"/>
      <c r="AB384" s="99"/>
    </row>
    <row r="385" spans="1:40" x14ac:dyDescent="0.3">
      <c r="R385" s="99"/>
      <c r="AK385" s="190"/>
      <c r="AL385" s="99"/>
    </row>
    <row r="386" spans="1:40" x14ac:dyDescent="0.3">
      <c r="R386" s="99"/>
      <c r="AK386" s="190"/>
      <c r="AL386" s="99"/>
    </row>
    <row r="387" spans="1:40" x14ac:dyDescent="0.3">
      <c r="A387" s="99"/>
      <c r="R387" s="99"/>
      <c r="AK387" s="190"/>
      <c r="AL387" s="99"/>
    </row>
    <row r="388" spans="1:40" x14ac:dyDescent="0.3">
      <c r="L388" s="99"/>
      <c r="M388" s="99"/>
      <c r="AA388" s="99"/>
      <c r="AB388" s="99"/>
    </row>
    <row r="389" spans="1:40" x14ac:dyDescent="0.3">
      <c r="A389" s="101"/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91"/>
      <c r="AH389" s="101"/>
      <c r="AI389" s="101"/>
      <c r="AJ389" s="101"/>
      <c r="AK389" s="191"/>
      <c r="AL389" s="101"/>
      <c r="AM389" s="101"/>
      <c r="AN389" s="101"/>
    </row>
    <row r="390" spans="1:40" x14ac:dyDescent="0.3">
      <c r="L390" s="102"/>
      <c r="M390" s="102"/>
      <c r="N390" s="102"/>
      <c r="O390" s="102"/>
      <c r="R390" s="102"/>
      <c r="AA390" s="102"/>
      <c r="AB390" s="102"/>
      <c r="AC390" s="102"/>
      <c r="AD390" s="102"/>
      <c r="AE390" s="102"/>
      <c r="AF390" s="102"/>
      <c r="AG390" s="151"/>
      <c r="AH390" s="102"/>
      <c r="AK390" s="151"/>
      <c r="AL390" s="102"/>
      <c r="AM390" s="102"/>
      <c r="AN390" s="102"/>
    </row>
    <row r="391" spans="1:40" x14ac:dyDescent="0.3">
      <c r="L391" s="102"/>
      <c r="M391" s="102"/>
      <c r="N391" s="102"/>
      <c r="O391" s="102"/>
      <c r="R391" s="102"/>
      <c r="Z391" s="102"/>
      <c r="AA391" s="102"/>
      <c r="AB391" s="102"/>
      <c r="AC391" s="102"/>
      <c r="AD391" s="102"/>
      <c r="AE391" s="102"/>
      <c r="AF391" s="102"/>
      <c r="AG391" s="151"/>
      <c r="AH391" s="102"/>
      <c r="AK391" s="151"/>
      <c r="AL391" s="102"/>
      <c r="AM391" s="102"/>
      <c r="AN391" s="102"/>
    </row>
    <row r="392" spans="1:40" x14ac:dyDescent="0.3">
      <c r="A392" s="102"/>
      <c r="C392" s="102"/>
      <c r="D392" s="102"/>
      <c r="E392" s="102"/>
      <c r="F392" s="102"/>
      <c r="J392" s="102"/>
      <c r="K392" s="102"/>
      <c r="L392" s="102"/>
      <c r="M392" s="102"/>
      <c r="N392" s="102"/>
      <c r="O392" s="102"/>
      <c r="P392" s="102"/>
      <c r="Q392" s="102"/>
      <c r="R392" s="102"/>
      <c r="T392" s="102"/>
      <c r="U392" s="102"/>
      <c r="V392" s="102"/>
      <c r="Z392" s="102"/>
      <c r="AA392" s="102"/>
      <c r="AB392" s="102"/>
      <c r="AC392" s="102"/>
      <c r="AD392" s="102"/>
      <c r="AE392" s="102"/>
      <c r="AF392" s="102"/>
      <c r="AG392" s="151"/>
      <c r="AH392" s="102"/>
      <c r="AI392" s="102"/>
      <c r="AJ392" s="102"/>
      <c r="AK392" s="151"/>
      <c r="AL392" s="102"/>
      <c r="AM392" s="102"/>
      <c r="AN392" s="102"/>
    </row>
    <row r="393" spans="1:40" x14ac:dyDescent="0.3">
      <c r="A393" s="102"/>
      <c r="C393" s="102"/>
      <c r="D393" s="102"/>
      <c r="E393" s="102"/>
      <c r="F393" s="102"/>
      <c r="H393" s="102"/>
      <c r="I393" s="102"/>
      <c r="J393" s="102"/>
      <c r="K393" s="102"/>
      <c r="L393" s="102"/>
      <c r="M393" s="102"/>
      <c r="N393" s="102"/>
      <c r="O393" s="102"/>
      <c r="P393" s="102"/>
      <c r="Q393" s="102"/>
      <c r="R393" s="102"/>
      <c r="T393" s="102"/>
      <c r="U393" s="102"/>
      <c r="V393" s="102"/>
      <c r="Y393" s="102"/>
      <c r="Z393" s="102"/>
      <c r="AA393" s="102"/>
      <c r="AB393" s="102"/>
      <c r="AC393" s="102"/>
      <c r="AD393" s="102"/>
      <c r="AE393" s="102"/>
      <c r="AF393" s="102"/>
      <c r="AG393" s="151"/>
      <c r="AH393" s="102"/>
      <c r="AI393" s="102"/>
      <c r="AJ393" s="102"/>
      <c r="AK393" s="151"/>
      <c r="AL393" s="102"/>
      <c r="AM393" s="102"/>
      <c r="AN393" s="102"/>
    </row>
    <row r="394" spans="1:40" x14ac:dyDescent="0.3">
      <c r="C394" s="102"/>
      <c r="D394" s="102"/>
      <c r="E394" s="102"/>
      <c r="F394" s="102"/>
      <c r="H394" s="102"/>
      <c r="I394" s="102"/>
      <c r="J394" s="102"/>
      <c r="K394" s="102"/>
      <c r="L394" s="102"/>
      <c r="M394" s="102"/>
      <c r="N394" s="102"/>
      <c r="O394" s="102"/>
      <c r="P394" s="102"/>
      <c r="Q394" s="102"/>
      <c r="R394" s="102"/>
      <c r="T394" s="102"/>
      <c r="U394" s="102"/>
      <c r="V394" s="102"/>
      <c r="Y394" s="102"/>
      <c r="Z394" s="102"/>
      <c r="AA394" s="102"/>
      <c r="AB394" s="102"/>
      <c r="AC394" s="102"/>
      <c r="AD394" s="102"/>
      <c r="AE394" s="102"/>
      <c r="AF394" s="102"/>
      <c r="AG394" s="151"/>
      <c r="AH394" s="102"/>
      <c r="AI394" s="102"/>
      <c r="AJ394" s="102"/>
      <c r="AK394" s="151"/>
      <c r="AL394" s="102"/>
      <c r="AM394" s="102"/>
      <c r="AN394" s="102"/>
    </row>
    <row r="395" spans="1:40" x14ac:dyDescent="0.3">
      <c r="A395" s="101"/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T395" s="101"/>
      <c r="U395" s="101"/>
      <c r="V395" s="101"/>
      <c r="W395" s="101"/>
      <c r="X395" s="101"/>
      <c r="Y395" s="101"/>
      <c r="Z395" s="101"/>
      <c r="AA395" s="101"/>
      <c r="AB395" s="101"/>
      <c r="AC395" s="101"/>
      <c r="AD395" s="101"/>
      <c r="AE395" s="101"/>
      <c r="AF395" s="101"/>
      <c r="AG395" s="191"/>
      <c r="AH395" s="101"/>
      <c r="AI395" s="101"/>
      <c r="AJ395" s="101"/>
      <c r="AK395" s="191"/>
      <c r="AL395" s="101"/>
      <c r="AM395" s="101"/>
      <c r="AN395" s="101"/>
    </row>
    <row r="396" spans="1:40" x14ac:dyDescent="0.3"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Y396" s="102"/>
      <c r="Z396" s="102"/>
      <c r="AA396" s="102"/>
      <c r="AB396" s="102"/>
      <c r="AC396" s="102"/>
      <c r="AD396" s="102"/>
      <c r="AE396" s="102"/>
      <c r="AF396" s="102"/>
      <c r="AG396" s="151"/>
      <c r="AH396" s="102"/>
      <c r="AI396" s="102"/>
      <c r="AJ396" s="102"/>
      <c r="AK396" s="151"/>
      <c r="AL396" s="102"/>
      <c r="AM396" s="102"/>
      <c r="AN396" s="102"/>
    </row>
    <row r="397" spans="1:40" x14ac:dyDescent="0.3">
      <c r="C397" s="99"/>
      <c r="D397" s="99"/>
      <c r="E397" s="99"/>
      <c r="T397" s="99"/>
      <c r="U397" s="99"/>
    </row>
    <row r="399" spans="1:40" x14ac:dyDescent="0.3">
      <c r="C399" s="99"/>
      <c r="T399" s="99"/>
    </row>
    <row r="400" spans="1:40" x14ac:dyDescent="0.3">
      <c r="C400" s="99"/>
      <c r="F400" s="172"/>
      <c r="H400" s="172"/>
      <c r="I400" s="172"/>
      <c r="J400" s="217"/>
      <c r="K400" s="217"/>
      <c r="L400" s="110"/>
      <c r="M400" s="110"/>
      <c r="N400" s="141"/>
      <c r="O400" s="141"/>
      <c r="P400" s="110"/>
      <c r="Q400" s="110"/>
      <c r="R400" s="110"/>
      <c r="T400" s="99"/>
      <c r="V400" s="172"/>
      <c r="Y400" s="172"/>
      <c r="Z400" s="217"/>
      <c r="AA400" s="110"/>
      <c r="AB400" s="110"/>
      <c r="AC400" s="141"/>
      <c r="AD400" s="141"/>
      <c r="AE400" s="110"/>
      <c r="AF400" s="110"/>
      <c r="AH400" s="207"/>
      <c r="AI400" s="110"/>
      <c r="AJ400" s="110"/>
      <c r="AL400" s="110"/>
      <c r="AM400" s="141"/>
      <c r="AN400" s="141"/>
    </row>
    <row r="401" spans="3:40" x14ac:dyDescent="0.3">
      <c r="C401" s="99"/>
      <c r="T401" s="99"/>
    </row>
    <row r="402" spans="3:40" x14ac:dyDescent="0.3">
      <c r="C402" s="99"/>
      <c r="F402" s="172"/>
      <c r="H402" s="172"/>
      <c r="I402" s="172"/>
      <c r="J402" s="228"/>
      <c r="K402" s="228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Z402" s="228"/>
      <c r="AA402" s="110"/>
      <c r="AB402" s="110"/>
      <c r="AC402" s="141"/>
      <c r="AD402" s="141"/>
      <c r="AE402" s="110"/>
      <c r="AF402" s="110"/>
      <c r="AH402" s="207"/>
      <c r="AI402" s="110"/>
      <c r="AJ402" s="110"/>
      <c r="AL402" s="110"/>
      <c r="AM402" s="141"/>
      <c r="AN402" s="141"/>
    </row>
    <row r="403" spans="3:40" x14ac:dyDescent="0.3">
      <c r="C403" s="99"/>
      <c r="F403" s="172"/>
      <c r="H403" s="172"/>
      <c r="I403" s="172"/>
      <c r="J403" s="228"/>
      <c r="K403" s="228"/>
      <c r="L403" s="110"/>
      <c r="M403" s="110"/>
      <c r="N403" s="141"/>
      <c r="O403" s="141"/>
      <c r="P403" s="110"/>
      <c r="Q403" s="110"/>
      <c r="R403" s="110"/>
      <c r="T403" s="99"/>
      <c r="V403" s="110"/>
      <c r="Y403" s="110"/>
      <c r="Z403" s="228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3:40" x14ac:dyDescent="0.3">
      <c r="C404" s="99"/>
      <c r="F404" s="172"/>
      <c r="H404" s="172"/>
      <c r="I404" s="172"/>
      <c r="J404" s="228"/>
      <c r="K404" s="228"/>
      <c r="L404" s="110"/>
      <c r="M404" s="110"/>
      <c r="N404" s="141"/>
      <c r="O404" s="141"/>
      <c r="P404" s="110"/>
      <c r="Q404" s="110"/>
      <c r="R404" s="110"/>
      <c r="T404" s="99"/>
      <c r="V404" s="110"/>
      <c r="Y404" s="110"/>
      <c r="Z404" s="228"/>
      <c r="AA404" s="110"/>
      <c r="AB404" s="110"/>
      <c r="AC404" s="141"/>
      <c r="AD404" s="141"/>
      <c r="AE404" s="110"/>
      <c r="AF404" s="110"/>
      <c r="AH404" s="207"/>
      <c r="AI404" s="110"/>
      <c r="AJ404" s="110"/>
      <c r="AL404" s="110"/>
      <c r="AM404" s="141"/>
      <c r="AN404" s="141"/>
    </row>
    <row r="405" spans="3:40" x14ac:dyDescent="0.3">
      <c r="C405" s="99"/>
      <c r="F405" s="172"/>
      <c r="H405" s="172"/>
      <c r="I405" s="172"/>
      <c r="J405" s="228"/>
      <c r="K405" s="228"/>
      <c r="L405" s="110"/>
      <c r="M405" s="110"/>
      <c r="N405" s="141"/>
      <c r="O405" s="141"/>
      <c r="P405" s="110"/>
      <c r="Q405" s="110"/>
      <c r="R405" s="110"/>
      <c r="T405" s="99"/>
      <c r="V405" s="110"/>
      <c r="Y405" s="110"/>
      <c r="Z405" s="228"/>
      <c r="AA405" s="110"/>
      <c r="AB405" s="110"/>
      <c r="AC405" s="141"/>
      <c r="AD405" s="141"/>
      <c r="AE405" s="110"/>
      <c r="AF405" s="110"/>
      <c r="AH405" s="207"/>
      <c r="AI405" s="110"/>
      <c r="AJ405" s="110"/>
      <c r="AL405" s="110"/>
      <c r="AM405" s="141"/>
      <c r="AN405" s="141"/>
    </row>
    <row r="406" spans="3:40" x14ac:dyDescent="0.3">
      <c r="C406" s="99"/>
      <c r="J406" s="163"/>
      <c r="K406" s="163"/>
      <c r="T406" s="99"/>
      <c r="Z406" s="163"/>
    </row>
    <row r="407" spans="3:40" x14ac:dyDescent="0.3">
      <c r="C407" s="99"/>
      <c r="F407" s="172"/>
      <c r="H407" s="172"/>
      <c r="I407" s="172"/>
      <c r="J407" s="228"/>
      <c r="K407" s="228"/>
      <c r="L407" s="110"/>
      <c r="M407" s="110"/>
      <c r="N407" s="141"/>
      <c r="O407" s="141"/>
      <c r="P407" s="110"/>
      <c r="Q407" s="110"/>
      <c r="R407" s="110"/>
      <c r="T407" s="99"/>
      <c r="V407" s="110"/>
      <c r="Y407" s="110"/>
      <c r="Z407" s="228"/>
      <c r="AA407" s="110"/>
      <c r="AB407" s="110"/>
      <c r="AC407" s="141"/>
      <c r="AD407" s="141"/>
      <c r="AE407" s="110"/>
      <c r="AF407" s="110"/>
      <c r="AH407" s="207"/>
      <c r="AI407" s="110"/>
      <c r="AJ407" s="110"/>
      <c r="AL407" s="110"/>
      <c r="AM407" s="141"/>
      <c r="AN407" s="141"/>
    </row>
    <row r="408" spans="3:40" x14ac:dyDescent="0.3">
      <c r="C408" s="99"/>
      <c r="F408" s="172"/>
      <c r="H408" s="172"/>
      <c r="I408" s="172"/>
      <c r="J408" s="228"/>
      <c r="K408" s="228"/>
      <c r="L408" s="110"/>
      <c r="M408" s="110"/>
      <c r="N408" s="141"/>
      <c r="O408" s="141"/>
      <c r="P408" s="110"/>
      <c r="Q408" s="110"/>
      <c r="R408" s="110"/>
      <c r="T408" s="99"/>
      <c r="V408" s="110"/>
      <c r="Y408" s="110"/>
      <c r="Z408" s="228"/>
      <c r="AA408" s="110"/>
      <c r="AB408" s="110"/>
      <c r="AC408" s="141"/>
      <c r="AD408" s="141"/>
      <c r="AE408" s="110"/>
      <c r="AF408" s="110"/>
      <c r="AH408" s="207"/>
      <c r="AI408" s="110"/>
      <c r="AJ408" s="110"/>
      <c r="AL408" s="110"/>
      <c r="AM408" s="141"/>
      <c r="AN408" s="141"/>
    </row>
    <row r="409" spans="3:40" x14ac:dyDescent="0.3">
      <c r="C409" s="99"/>
      <c r="F409" s="172"/>
      <c r="H409" s="172"/>
      <c r="I409" s="172"/>
      <c r="J409" s="228"/>
      <c r="K409" s="228"/>
      <c r="L409" s="110"/>
      <c r="M409" s="110"/>
      <c r="N409" s="141"/>
      <c r="O409" s="141"/>
      <c r="P409" s="110"/>
      <c r="Q409" s="110"/>
      <c r="R409" s="110"/>
      <c r="T409" s="99"/>
      <c r="V409" s="110"/>
      <c r="Y409" s="110"/>
      <c r="Z409" s="228"/>
      <c r="AA409" s="110"/>
      <c r="AB409" s="110"/>
      <c r="AC409" s="141"/>
      <c r="AD409" s="141"/>
      <c r="AE409" s="110"/>
      <c r="AF409" s="110"/>
      <c r="AH409" s="207"/>
      <c r="AI409" s="110"/>
      <c r="AJ409" s="110"/>
      <c r="AL409" s="110"/>
      <c r="AM409" s="141"/>
      <c r="AN409" s="141"/>
    </row>
    <row r="410" spans="3:40" x14ac:dyDescent="0.3">
      <c r="C410" s="99"/>
      <c r="J410" s="163"/>
      <c r="K410" s="163"/>
      <c r="T410" s="99"/>
      <c r="Z410" s="163"/>
    </row>
    <row r="411" spans="3:40" x14ac:dyDescent="0.3">
      <c r="C411" s="99"/>
      <c r="F411" s="172"/>
      <c r="H411" s="172"/>
      <c r="I411" s="172"/>
      <c r="J411" s="228"/>
      <c r="K411" s="228"/>
      <c r="L411" s="110"/>
      <c r="M411" s="110"/>
      <c r="N411" s="141"/>
      <c r="O411" s="141"/>
      <c r="P411" s="110"/>
      <c r="Q411" s="110"/>
      <c r="R411" s="110"/>
      <c r="T411" s="99"/>
      <c r="V411" s="110"/>
      <c r="Y411" s="110"/>
      <c r="Z411" s="228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3:40" x14ac:dyDescent="0.3">
      <c r="C412" s="99"/>
      <c r="F412" s="172"/>
      <c r="H412" s="172"/>
      <c r="I412" s="172"/>
      <c r="J412" s="228"/>
      <c r="K412" s="228"/>
      <c r="L412" s="110"/>
      <c r="M412" s="110"/>
      <c r="N412" s="141"/>
      <c r="O412" s="141"/>
      <c r="P412" s="110"/>
      <c r="Q412" s="110"/>
      <c r="R412" s="110"/>
      <c r="T412" s="99"/>
      <c r="V412" s="110"/>
      <c r="Y412" s="110"/>
      <c r="Z412" s="228"/>
      <c r="AA412" s="110"/>
      <c r="AB412" s="110"/>
      <c r="AC412" s="141"/>
      <c r="AD412" s="141"/>
      <c r="AE412" s="110"/>
      <c r="AF412" s="110"/>
      <c r="AH412" s="207"/>
      <c r="AI412" s="110"/>
      <c r="AJ412" s="110"/>
      <c r="AL412" s="110"/>
      <c r="AM412" s="141"/>
      <c r="AN412" s="141"/>
    </row>
    <row r="413" spans="3:40" x14ac:dyDescent="0.3">
      <c r="C413" s="99"/>
      <c r="J413" s="163"/>
      <c r="K413" s="163"/>
      <c r="T413" s="99"/>
      <c r="Z413" s="163"/>
    </row>
    <row r="414" spans="3:40" x14ac:dyDescent="0.3">
      <c r="C414" s="99"/>
      <c r="F414" s="172"/>
      <c r="H414" s="172"/>
      <c r="I414" s="172"/>
      <c r="J414" s="228"/>
      <c r="K414" s="228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228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F415" s="172"/>
      <c r="H415" s="172"/>
      <c r="I415" s="172"/>
      <c r="J415" s="228"/>
      <c r="K415" s="228"/>
      <c r="L415" s="110"/>
      <c r="M415" s="110"/>
      <c r="N415" s="141"/>
      <c r="O415" s="141"/>
      <c r="P415" s="110"/>
      <c r="Q415" s="110"/>
      <c r="R415" s="110"/>
      <c r="T415" s="99"/>
      <c r="V415" s="110"/>
      <c r="Y415" s="110"/>
      <c r="Z415" s="228"/>
      <c r="AA415" s="110"/>
      <c r="AB415" s="110"/>
      <c r="AC415" s="141"/>
      <c r="AD415" s="141"/>
      <c r="AE415" s="110"/>
      <c r="AF415" s="110"/>
      <c r="AH415" s="207"/>
      <c r="AI415" s="110"/>
      <c r="AJ415" s="110"/>
      <c r="AL415" s="110"/>
      <c r="AM415" s="141"/>
      <c r="AN415" s="141"/>
    </row>
    <row r="416" spans="3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F417" s="192"/>
      <c r="H417" s="192"/>
      <c r="I417" s="192"/>
      <c r="J417" s="228"/>
      <c r="K417" s="228"/>
      <c r="L417" s="192"/>
      <c r="M417" s="192"/>
      <c r="N417" s="192"/>
      <c r="O417" s="192"/>
      <c r="P417" s="192"/>
      <c r="Q417" s="192"/>
      <c r="R417" s="192"/>
      <c r="V417" s="192"/>
      <c r="Y417" s="192"/>
      <c r="Z417" s="228"/>
      <c r="AA417" s="192"/>
      <c r="AB417" s="192"/>
      <c r="AC417" s="192"/>
      <c r="AD417" s="192"/>
      <c r="AE417" s="192"/>
      <c r="AF417" s="192"/>
      <c r="AI417" s="192"/>
      <c r="AJ417" s="192"/>
      <c r="AK417" s="194"/>
      <c r="AL417" s="192"/>
    </row>
    <row r="418" spans="3:40" x14ac:dyDescent="0.3">
      <c r="C418" s="102"/>
      <c r="F418" s="110"/>
      <c r="H418" s="110"/>
      <c r="I418" s="110"/>
      <c r="J418" s="163"/>
      <c r="K418" s="163"/>
      <c r="L418" s="110"/>
      <c r="M418" s="110"/>
      <c r="N418" s="207"/>
      <c r="O418" s="207"/>
      <c r="P418" s="110"/>
      <c r="Q418" s="110"/>
      <c r="R418" s="110"/>
      <c r="T418" s="102"/>
      <c r="V418" s="110"/>
      <c r="Y418" s="110"/>
      <c r="Z418" s="163"/>
      <c r="AA418" s="110"/>
      <c r="AB418" s="110"/>
      <c r="AC418" s="110"/>
      <c r="AD418" s="110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F419" s="192"/>
      <c r="H419" s="192"/>
      <c r="I419" s="192"/>
      <c r="J419" s="228"/>
      <c r="K419" s="228"/>
      <c r="L419" s="192"/>
      <c r="M419" s="192"/>
      <c r="N419" s="192"/>
      <c r="O419" s="192"/>
      <c r="P419" s="192"/>
      <c r="Q419" s="192"/>
      <c r="R419" s="192"/>
      <c r="V419" s="192"/>
      <c r="Y419" s="192"/>
      <c r="Z419" s="228"/>
      <c r="AA419" s="192"/>
      <c r="AB419" s="192"/>
      <c r="AC419" s="192"/>
      <c r="AD419" s="192"/>
      <c r="AE419" s="192"/>
      <c r="AF419" s="192"/>
      <c r="AI419" s="192"/>
      <c r="AJ419" s="192"/>
      <c r="AK419" s="194"/>
      <c r="AL419" s="192"/>
    </row>
    <row r="420" spans="3:40" x14ac:dyDescent="0.3">
      <c r="C420" s="99"/>
      <c r="J420" s="163"/>
      <c r="K420" s="163"/>
      <c r="T420" s="99"/>
      <c r="Z420" s="163"/>
    </row>
    <row r="421" spans="3:40" x14ac:dyDescent="0.3">
      <c r="C421" s="99"/>
      <c r="J421" s="163"/>
      <c r="K421" s="163"/>
      <c r="T421" s="99"/>
      <c r="Z421" s="163"/>
    </row>
    <row r="422" spans="3:40" x14ac:dyDescent="0.3">
      <c r="C422" s="99"/>
      <c r="F422" s="172"/>
      <c r="H422" s="172"/>
      <c r="I422" s="172"/>
      <c r="J422" s="228"/>
      <c r="K422" s="228"/>
      <c r="L422" s="110"/>
      <c r="M422" s="110"/>
      <c r="N422" s="141"/>
      <c r="O422" s="141"/>
      <c r="P422" s="110"/>
      <c r="Q422" s="110"/>
      <c r="R422" s="110"/>
      <c r="T422" s="99"/>
      <c r="V422" s="110"/>
      <c r="Y422" s="110"/>
      <c r="Z422" s="228"/>
      <c r="AA422" s="110"/>
      <c r="AB422" s="110"/>
      <c r="AC422" s="141"/>
      <c r="AD422" s="141"/>
      <c r="AE422" s="110"/>
      <c r="AF422" s="110"/>
      <c r="AH422" s="207"/>
      <c r="AI422" s="110"/>
      <c r="AJ422" s="110"/>
      <c r="AL422" s="110"/>
      <c r="AM422" s="141"/>
      <c r="AN422" s="141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C426" s="99"/>
      <c r="F426" s="172"/>
      <c r="H426" s="172"/>
      <c r="I426" s="172"/>
      <c r="J426" s="228"/>
      <c r="K426" s="228"/>
      <c r="L426" s="110"/>
      <c r="M426" s="110"/>
      <c r="N426" s="141"/>
      <c r="O426" s="141"/>
      <c r="P426" s="110"/>
      <c r="Q426" s="110"/>
      <c r="R426" s="110"/>
      <c r="T426" s="99"/>
      <c r="V426" s="110"/>
      <c r="Y426" s="110"/>
      <c r="Z426" s="228"/>
      <c r="AA426" s="110"/>
      <c r="AB426" s="110"/>
      <c r="AC426" s="141"/>
      <c r="AD426" s="141"/>
      <c r="AE426" s="110"/>
      <c r="AF426" s="110"/>
      <c r="AH426" s="207"/>
      <c r="AI426" s="110"/>
      <c r="AJ426" s="110"/>
      <c r="AL426" s="110"/>
      <c r="AM426" s="141"/>
      <c r="AN426" s="141"/>
    </row>
    <row r="427" spans="3:40" x14ac:dyDescent="0.3">
      <c r="C427" s="99"/>
      <c r="F427" s="172"/>
      <c r="H427" s="172"/>
      <c r="I427" s="172"/>
      <c r="J427" s="228"/>
      <c r="K427" s="228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8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C428" s="99"/>
      <c r="F428" s="172"/>
      <c r="H428" s="172"/>
      <c r="I428" s="172"/>
      <c r="J428" s="228"/>
      <c r="K428" s="228"/>
      <c r="L428" s="110"/>
      <c r="M428" s="110"/>
      <c r="N428" s="141"/>
      <c r="O428" s="141"/>
      <c r="P428" s="110"/>
      <c r="Q428" s="110"/>
      <c r="R428" s="110"/>
      <c r="T428" s="99"/>
      <c r="V428" s="110"/>
      <c r="Y428" s="110"/>
      <c r="Z428" s="228"/>
      <c r="AA428" s="110"/>
      <c r="AB428" s="110"/>
      <c r="AC428" s="141"/>
      <c r="AD428" s="141"/>
      <c r="AE428" s="110"/>
      <c r="AF428" s="110"/>
      <c r="AH428" s="207"/>
      <c r="AI428" s="110"/>
      <c r="AJ428" s="110"/>
      <c r="AL428" s="110"/>
      <c r="AM428" s="141"/>
      <c r="AN428" s="141"/>
    </row>
    <row r="429" spans="3:40" x14ac:dyDescent="0.3">
      <c r="C429" s="99"/>
      <c r="J429" s="163"/>
      <c r="K429" s="163"/>
      <c r="T429" s="99"/>
      <c r="Z429" s="163"/>
    </row>
    <row r="430" spans="3:40" x14ac:dyDescent="0.3">
      <c r="C430" s="99"/>
      <c r="F430" s="172"/>
      <c r="H430" s="172"/>
      <c r="I430" s="172"/>
      <c r="J430" s="228"/>
      <c r="K430" s="228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228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F431" s="172"/>
      <c r="H431" s="172"/>
      <c r="I431" s="172"/>
      <c r="J431" s="228"/>
      <c r="K431" s="228"/>
      <c r="L431" s="110"/>
      <c r="M431" s="110"/>
      <c r="N431" s="141"/>
      <c r="O431" s="141"/>
      <c r="P431" s="110"/>
      <c r="Q431" s="110"/>
      <c r="R431" s="110"/>
      <c r="T431" s="99"/>
      <c r="V431" s="110"/>
      <c r="Y431" s="110"/>
      <c r="Z431" s="228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3:40" x14ac:dyDescent="0.3">
      <c r="C432" s="99"/>
      <c r="F432" s="172"/>
      <c r="H432" s="172"/>
      <c r="I432" s="172"/>
      <c r="J432" s="228"/>
      <c r="K432" s="228"/>
      <c r="L432" s="110"/>
      <c r="M432" s="110"/>
      <c r="N432" s="141"/>
      <c r="O432" s="141"/>
      <c r="P432" s="110"/>
      <c r="Q432" s="110"/>
      <c r="R432" s="110"/>
      <c r="T432" s="99"/>
      <c r="V432" s="110"/>
      <c r="Y432" s="110"/>
      <c r="Z432" s="228"/>
      <c r="AA432" s="110"/>
      <c r="AB432" s="110"/>
      <c r="AC432" s="141"/>
      <c r="AD432" s="141"/>
      <c r="AE432" s="110"/>
      <c r="AF432" s="110"/>
      <c r="AH432" s="207"/>
      <c r="AI432" s="110"/>
      <c r="AJ432" s="110"/>
      <c r="AL432" s="110"/>
      <c r="AM432" s="141"/>
      <c r="AN432" s="141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J434" s="163"/>
      <c r="K434" s="163"/>
      <c r="T434" s="99"/>
      <c r="Z434" s="163"/>
    </row>
    <row r="435" spans="3:40" x14ac:dyDescent="0.3">
      <c r="C435" s="99"/>
      <c r="F435" s="172"/>
      <c r="H435" s="172"/>
      <c r="I435" s="172"/>
      <c r="J435" s="228"/>
      <c r="K435" s="228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8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3:40" x14ac:dyDescent="0.3">
      <c r="C436" s="99"/>
      <c r="F436" s="172"/>
      <c r="H436" s="172"/>
      <c r="I436" s="172"/>
      <c r="J436" s="228"/>
      <c r="K436" s="228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Z436" s="228"/>
      <c r="AA436" s="110"/>
      <c r="AB436" s="110"/>
      <c r="AC436" s="141"/>
      <c r="AD436" s="141"/>
      <c r="AE436" s="110"/>
      <c r="AF436" s="110"/>
      <c r="AH436" s="207"/>
      <c r="AI436" s="110"/>
      <c r="AJ436" s="110"/>
      <c r="AL436" s="110"/>
      <c r="AM436" s="141"/>
      <c r="AN436" s="141"/>
    </row>
    <row r="437" spans="3:40" x14ac:dyDescent="0.3">
      <c r="C437" s="99"/>
      <c r="F437" s="172"/>
      <c r="H437" s="172"/>
      <c r="I437" s="172"/>
      <c r="J437" s="228"/>
      <c r="K437" s="228"/>
      <c r="L437" s="110"/>
      <c r="M437" s="110"/>
      <c r="N437" s="141"/>
      <c r="O437" s="141"/>
      <c r="P437" s="110"/>
      <c r="Q437" s="110"/>
      <c r="R437" s="110"/>
      <c r="T437" s="99"/>
      <c r="V437" s="110"/>
      <c r="Y437" s="110"/>
      <c r="Z437" s="228"/>
      <c r="AA437" s="110"/>
      <c r="AB437" s="110"/>
      <c r="AC437" s="141"/>
      <c r="AD437" s="141"/>
      <c r="AE437" s="110"/>
      <c r="AF437" s="110"/>
      <c r="AH437" s="207"/>
      <c r="AI437" s="110"/>
      <c r="AJ437" s="110"/>
      <c r="AL437" s="110"/>
      <c r="AM437" s="141"/>
      <c r="AN437" s="141"/>
    </row>
    <row r="438" spans="3:40" x14ac:dyDescent="0.3">
      <c r="C438" s="99"/>
      <c r="F438" s="172"/>
      <c r="H438" s="172"/>
      <c r="I438" s="172"/>
      <c r="J438" s="228"/>
      <c r="K438" s="228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8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C439" s="99"/>
      <c r="F439" s="172"/>
      <c r="H439" s="172"/>
      <c r="I439" s="172"/>
      <c r="J439" s="228"/>
      <c r="K439" s="228"/>
      <c r="L439" s="110"/>
      <c r="M439" s="110"/>
      <c r="N439" s="141"/>
      <c r="O439" s="141"/>
      <c r="P439" s="110"/>
      <c r="Q439" s="110"/>
      <c r="R439" s="110"/>
      <c r="T439" s="99"/>
      <c r="V439" s="110"/>
      <c r="Y439" s="110"/>
      <c r="Z439" s="228"/>
      <c r="AA439" s="110"/>
      <c r="AB439" s="110"/>
      <c r="AC439" s="141"/>
      <c r="AD439" s="141"/>
      <c r="AE439" s="110"/>
      <c r="AF439" s="110"/>
      <c r="AH439" s="207"/>
      <c r="AI439" s="110"/>
      <c r="AJ439" s="110"/>
      <c r="AL439" s="110"/>
      <c r="AM439" s="141"/>
      <c r="AN439" s="141"/>
    </row>
    <row r="440" spans="3:40" x14ac:dyDescent="0.3">
      <c r="F440" s="192"/>
      <c r="H440" s="192"/>
      <c r="I440" s="192"/>
      <c r="J440" s="217"/>
      <c r="K440" s="217"/>
      <c r="L440" s="192"/>
      <c r="M440" s="192"/>
      <c r="N440" s="192"/>
      <c r="O440" s="192"/>
      <c r="P440" s="192"/>
      <c r="Q440" s="192"/>
      <c r="R440" s="192"/>
      <c r="V440" s="192"/>
      <c r="Y440" s="192"/>
      <c r="Z440" s="228"/>
      <c r="AA440" s="192"/>
      <c r="AB440" s="192"/>
      <c r="AC440" s="192"/>
      <c r="AD440" s="192"/>
      <c r="AE440" s="192"/>
      <c r="AF440" s="192"/>
      <c r="AI440" s="192"/>
      <c r="AJ440" s="192"/>
      <c r="AK440" s="194"/>
      <c r="AL440" s="192"/>
    </row>
    <row r="441" spans="3:40" x14ac:dyDescent="0.3">
      <c r="C441" s="99"/>
      <c r="F441" s="110"/>
      <c r="H441" s="110"/>
      <c r="I441" s="110"/>
      <c r="L441" s="110"/>
      <c r="M441" s="110"/>
      <c r="N441" s="207"/>
      <c r="O441" s="207"/>
      <c r="P441" s="110"/>
      <c r="Q441" s="110"/>
      <c r="R441" s="110"/>
      <c r="T441" s="99"/>
      <c r="V441" s="110"/>
      <c r="Y441" s="110"/>
      <c r="AA441" s="110"/>
      <c r="AB441" s="110"/>
      <c r="AC441" s="141"/>
      <c r="AD441" s="141"/>
      <c r="AE441" s="110"/>
      <c r="AF441" s="110"/>
      <c r="AH441" s="207"/>
      <c r="AI441" s="110"/>
      <c r="AJ441" s="110"/>
      <c r="AL441" s="110"/>
      <c r="AM441" s="141"/>
      <c r="AN441" s="141"/>
    </row>
    <row r="442" spans="3:40" x14ac:dyDescent="0.3">
      <c r="F442" s="192"/>
      <c r="H442" s="192"/>
      <c r="I442" s="192"/>
      <c r="J442" s="217"/>
      <c r="K442" s="217"/>
      <c r="L442" s="192"/>
      <c r="M442" s="192"/>
      <c r="N442" s="192"/>
      <c r="O442" s="192"/>
      <c r="P442" s="192"/>
      <c r="Q442" s="192"/>
      <c r="R442" s="192"/>
      <c r="V442" s="192"/>
      <c r="Y442" s="192"/>
      <c r="Z442" s="217"/>
      <c r="AA442" s="192"/>
      <c r="AB442" s="192"/>
      <c r="AC442" s="192"/>
      <c r="AD442" s="192"/>
      <c r="AE442" s="192"/>
      <c r="AF442" s="192"/>
      <c r="AI442" s="192"/>
      <c r="AJ442" s="192"/>
      <c r="AK442" s="194"/>
      <c r="AL442" s="192"/>
    </row>
    <row r="443" spans="3:40" x14ac:dyDescent="0.3">
      <c r="C443" s="99"/>
      <c r="T443" s="99"/>
    </row>
    <row r="444" spans="3:40" x14ac:dyDescent="0.3">
      <c r="C444" s="99"/>
      <c r="F444" s="172"/>
      <c r="H444" s="172"/>
      <c r="I444" s="172"/>
      <c r="J444" s="181"/>
      <c r="K444" s="181"/>
      <c r="L444" s="110"/>
      <c r="M444" s="110"/>
      <c r="N444" s="141"/>
      <c r="O444" s="141"/>
      <c r="P444" s="110"/>
      <c r="Q444" s="110"/>
      <c r="R444" s="110"/>
      <c r="T444" s="99"/>
      <c r="V444" s="110"/>
      <c r="Y444" s="110"/>
      <c r="Z444" s="181"/>
      <c r="AA444" s="110"/>
      <c r="AB444" s="110"/>
      <c r="AC444" s="141"/>
      <c r="AD444" s="141"/>
      <c r="AE444" s="110"/>
      <c r="AF444" s="110"/>
      <c r="AH444" s="207"/>
      <c r="AI444" s="110"/>
      <c r="AJ444" s="110"/>
      <c r="AL444" s="110"/>
      <c r="AM444" s="141"/>
      <c r="AN444" s="141"/>
    </row>
    <row r="445" spans="3:40" x14ac:dyDescent="0.3">
      <c r="C445" s="99"/>
      <c r="F445" s="172"/>
      <c r="H445" s="172"/>
      <c r="I445" s="172"/>
      <c r="J445" s="181"/>
      <c r="K445" s="181"/>
      <c r="L445" s="110"/>
      <c r="M445" s="110"/>
      <c r="N445" s="141"/>
      <c r="O445" s="141"/>
      <c r="P445" s="110"/>
      <c r="Q445" s="110"/>
      <c r="R445" s="110"/>
      <c r="T445" s="99"/>
      <c r="V445" s="110"/>
      <c r="Y445" s="110"/>
      <c r="Z445" s="181"/>
      <c r="AA445" s="110"/>
      <c r="AB445" s="110"/>
      <c r="AC445" s="141"/>
      <c r="AD445" s="141"/>
      <c r="AE445" s="110"/>
      <c r="AF445" s="110"/>
      <c r="AH445" s="207"/>
      <c r="AI445" s="110"/>
      <c r="AJ445" s="110"/>
      <c r="AL445" s="110"/>
      <c r="AM445" s="141"/>
      <c r="AN445" s="141"/>
    </row>
    <row r="446" spans="3:40" x14ac:dyDescent="0.3">
      <c r="F446" s="192"/>
      <c r="H446" s="110"/>
      <c r="I446" s="110"/>
      <c r="J446" s="217"/>
      <c r="K446" s="217"/>
      <c r="L446" s="192"/>
      <c r="M446" s="192"/>
      <c r="N446" s="192"/>
      <c r="O446" s="192"/>
      <c r="P446" s="192"/>
      <c r="Q446" s="192"/>
      <c r="R446" s="192"/>
      <c r="V446" s="192"/>
      <c r="Y446" s="110"/>
      <c r="Z446" s="217"/>
      <c r="AA446" s="192"/>
      <c r="AB446" s="192"/>
      <c r="AC446" s="192"/>
      <c r="AD446" s="192"/>
      <c r="AE446" s="192"/>
      <c r="AF446" s="192"/>
      <c r="AI446" s="192"/>
      <c r="AJ446" s="192"/>
      <c r="AK446" s="194"/>
      <c r="AL446" s="192"/>
    </row>
    <row r="447" spans="3:40" x14ac:dyDescent="0.3">
      <c r="F447" s="110"/>
      <c r="H447" s="110"/>
      <c r="I447" s="110"/>
      <c r="J447" s="217"/>
      <c r="K447" s="217"/>
      <c r="L447" s="110"/>
      <c r="M447" s="110"/>
      <c r="N447" s="110"/>
      <c r="O447" s="110"/>
      <c r="P447" s="110"/>
      <c r="Q447" s="110"/>
      <c r="R447" s="110"/>
      <c r="V447" s="110"/>
      <c r="Y447" s="110"/>
      <c r="Z447" s="217"/>
      <c r="AA447" s="110"/>
      <c r="AB447" s="110"/>
      <c r="AC447" s="110"/>
      <c r="AD447" s="110"/>
      <c r="AE447" s="110"/>
      <c r="AF447" s="110"/>
      <c r="AI447" s="110"/>
      <c r="AJ447" s="110"/>
      <c r="AL447" s="110"/>
    </row>
    <row r="448" spans="3:40" x14ac:dyDescent="0.3">
      <c r="C448" s="99"/>
      <c r="F448" s="110"/>
      <c r="H448" s="110"/>
      <c r="I448" s="110"/>
      <c r="L448" s="110"/>
      <c r="M448" s="110"/>
      <c r="N448" s="141"/>
      <c r="O448" s="141"/>
      <c r="P448" s="110"/>
      <c r="Q448" s="110"/>
      <c r="R448" s="110"/>
      <c r="T448" s="99"/>
      <c r="V448" s="110"/>
      <c r="Y448" s="110"/>
      <c r="AA448" s="110"/>
      <c r="AB448" s="110"/>
      <c r="AC448" s="141"/>
      <c r="AD448" s="141"/>
      <c r="AE448" s="110"/>
      <c r="AF448" s="110"/>
      <c r="AH448" s="207"/>
      <c r="AI448" s="172"/>
      <c r="AJ448" s="172"/>
      <c r="AL448" s="110"/>
      <c r="AM448" s="141"/>
      <c r="AN448" s="141"/>
    </row>
    <row r="449" spans="1:38" x14ac:dyDescent="0.3">
      <c r="F449" s="192"/>
      <c r="H449" s="192"/>
      <c r="I449" s="192"/>
      <c r="J449" s="217"/>
      <c r="K449" s="217"/>
      <c r="L449" s="192"/>
      <c r="M449" s="192"/>
      <c r="N449" s="192"/>
      <c r="O449" s="192"/>
      <c r="P449" s="192"/>
      <c r="Q449" s="192"/>
      <c r="R449" s="192"/>
      <c r="V449" s="192"/>
      <c r="Y449" s="192"/>
      <c r="Z449" s="217"/>
      <c r="AA449" s="192"/>
      <c r="AB449" s="192"/>
      <c r="AC449" s="192"/>
      <c r="AD449" s="192"/>
      <c r="AE449" s="192"/>
      <c r="AF449" s="192"/>
      <c r="AI449" s="192"/>
      <c r="AJ449" s="192"/>
      <c r="AK449" s="194"/>
      <c r="AL449" s="192"/>
    </row>
    <row r="451" spans="1:38" x14ac:dyDescent="0.3">
      <c r="A451" s="99"/>
      <c r="T451" s="99"/>
    </row>
    <row r="452" spans="1:38" x14ac:dyDescent="0.3">
      <c r="A452" s="99"/>
      <c r="T452" s="99"/>
    </row>
    <row r="453" spans="1:38" x14ac:dyDescent="0.3">
      <c r="A453" s="99"/>
      <c r="T453" s="99"/>
    </row>
    <row r="454" spans="1:38" x14ac:dyDescent="0.3">
      <c r="A454" s="99"/>
      <c r="T454" s="99"/>
    </row>
    <row r="455" spans="1:38" x14ac:dyDescent="0.3">
      <c r="A455" s="99"/>
      <c r="T455" s="99"/>
    </row>
    <row r="456" spans="1:38" x14ac:dyDescent="0.3">
      <c r="A456" s="99"/>
      <c r="T456" s="99"/>
    </row>
    <row r="457" spans="1:38" x14ac:dyDescent="0.3">
      <c r="A457" s="99"/>
      <c r="T457" s="99"/>
    </row>
    <row r="458" spans="1:38" x14ac:dyDescent="0.3">
      <c r="A458" s="99"/>
      <c r="T458" s="99"/>
    </row>
    <row r="459" spans="1:38" x14ac:dyDescent="0.3">
      <c r="A459" s="99"/>
      <c r="T459" s="99"/>
    </row>
    <row r="461" spans="1:38" x14ac:dyDescent="0.3">
      <c r="A461" s="99"/>
    </row>
    <row r="463" spans="1:38" x14ac:dyDescent="0.3">
      <c r="H463" s="99"/>
      <c r="I463" s="99"/>
      <c r="Y463" s="99"/>
    </row>
    <row r="465" spans="1:40" x14ac:dyDescent="0.3">
      <c r="L465" s="99"/>
      <c r="M465" s="99"/>
      <c r="AA465" s="99"/>
      <c r="AB465" s="99"/>
    </row>
    <row r="466" spans="1:40" x14ac:dyDescent="0.3">
      <c r="R466" s="99"/>
      <c r="AK466" s="190"/>
      <c r="AL466" s="99"/>
    </row>
    <row r="467" spans="1:40" x14ac:dyDescent="0.3">
      <c r="R467" s="99"/>
      <c r="AK467" s="190"/>
      <c r="AL467" s="99"/>
    </row>
    <row r="468" spans="1:40" x14ac:dyDescent="0.3">
      <c r="A468" s="99"/>
      <c r="R468" s="99"/>
      <c r="AK468" s="190"/>
      <c r="AL468" s="99"/>
    </row>
    <row r="469" spans="1:40" x14ac:dyDescent="0.3">
      <c r="L469" s="99"/>
      <c r="M469" s="99"/>
      <c r="AA469" s="99"/>
      <c r="AB469" s="99"/>
    </row>
    <row r="470" spans="1:40" x14ac:dyDescent="0.3">
      <c r="A470" s="101"/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T470" s="101"/>
      <c r="U470" s="101"/>
      <c r="V470" s="101"/>
      <c r="W470" s="101"/>
      <c r="X470" s="101"/>
      <c r="Y470" s="101"/>
      <c r="Z470" s="101"/>
      <c r="AA470" s="101"/>
      <c r="AB470" s="101"/>
      <c r="AC470" s="101"/>
      <c r="AD470" s="101"/>
      <c r="AE470" s="101"/>
      <c r="AF470" s="101"/>
      <c r="AG470" s="191"/>
      <c r="AH470" s="101"/>
      <c r="AI470" s="101"/>
      <c r="AJ470" s="101"/>
      <c r="AK470" s="191"/>
      <c r="AL470" s="101"/>
      <c r="AM470" s="101"/>
      <c r="AN470" s="101"/>
    </row>
    <row r="471" spans="1:40" x14ac:dyDescent="0.3">
      <c r="L471" s="102"/>
      <c r="M471" s="102"/>
      <c r="N471" s="102"/>
      <c r="O471" s="102"/>
      <c r="R471" s="102"/>
      <c r="AA471" s="102"/>
      <c r="AB471" s="102"/>
      <c r="AC471" s="102"/>
      <c r="AD471" s="102"/>
      <c r="AE471" s="102"/>
      <c r="AF471" s="102"/>
      <c r="AG471" s="151"/>
      <c r="AH471" s="102"/>
      <c r="AK471" s="151"/>
      <c r="AL471" s="102"/>
      <c r="AM471" s="102"/>
      <c r="AN471" s="102"/>
    </row>
    <row r="472" spans="1:40" x14ac:dyDescent="0.3">
      <c r="L472" s="102"/>
      <c r="M472" s="102"/>
      <c r="N472" s="102"/>
      <c r="O472" s="102"/>
      <c r="R472" s="102"/>
      <c r="Z472" s="102"/>
      <c r="AA472" s="102"/>
      <c r="AB472" s="102"/>
      <c r="AC472" s="102"/>
      <c r="AD472" s="102"/>
      <c r="AE472" s="102"/>
      <c r="AF472" s="102"/>
      <c r="AG472" s="151"/>
      <c r="AH472" s="102"/>
      <c r="AK472" s="151"/>
      <c r="AL472" s="102"/>
      <c r="AM472" s="102"/>
      <c r="AN472" s="102"/>
    </row>
    <row r="473" spans="1:40" x14ac:dyDescent="0.3">
      <c r="A473" s="102"/>
      <c r="C473" s="102"/>
      <c r="D473" s="102"/>
      <c r="E473" s="102"/>
      <c r="F473" s="102"/>
      <c r="J473" s="102"/>
      <c r="K473" s="102"/>
      <c r="L473" s="102"/>
      <c r="M473" s="102"/>
      <c r="N473" s="102"/>
      <c r="O473" s="102"/>
      <c r="P473" s="102"/>
      <c r="Q473" s="102"/>
      <c r="R473" s="102"/>
      <c r="T473" s="102"/>
      <c r="U473" s="102"/>
      <c r="V473" s="102"/>
      <c r="Z473" s="102"/>
      <c r="AA473" s="102"/>
      <c r="AB473" s="102"/>
      <c r="AC473" s="102"/>
      <c r="AD473" s="102"/>
      <c r="AE473" s="102"/>
      <c r="AF473" s="102"/>
      <c r="AG473" s="151"/>
      <c r="AH473" s="102"/>
      <c r="AI473" s="102"/>
      <c r="AJ473" s="102"/>
      <c r="AK473" s="151"/>
      <c r="AL473" s="102"/>
      <c r="AM473" s="102"/>
      <c r="AN473" s="102"/>
    </row>
    <row r="474" spans="1:40" x14ac:dyDescent="0.3">
      <c r="A474" s="102"/>
      <c r="C474" s="102"/>
      <c r="D474" s="102"/>
      <c r="E474" s="102"/>
      <c r="F474" s="102"/>
      <c r="H474" s="102"/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T474" s="102"/>
      <c r="U474" s="102"/>
      <c r="V474" s="102"/>
      <c r="Y474" s="102"/>
      <c r="Z474" s="102"/>
      <c r="AA474" s="102"/>
      <c r="AB474" s="102"/>
      <c r="AC474" s="102"/>
      <c r="AD474" s="102"/>
      <c r="AE474" s="102"/>
      <c r="AF474" s="102"/>
      <c r="AG474" s="151"/>
      <c r="AH474" s="102"/>
      <c r="AI474" s="102"/>
      <c r="AJ474" s="102"/>
      <c r="AK474" s="151"/>
      <c r="AL474" s="102"/>
      <c r="AM474" s="102"/>
      <c r="AN474" s="102"/>
    </row>
    <row r="475" spans="1:40" x14ac:dyDescent="0.3">
      <c r="C475" s="102"/>
      <c r="D475" s="102"/>
      <c r="E475" s="102"/>
      <c r="F475" s="102"/>
      <c r="H475" s="102"/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T475" s="102"/>
      <c r="U475" s="102"/>
      <c r="V475" s="102"/>
      <c r="Y475" s="102"/>
      <c r="Z475" s="102"/>
      <c r="AA475" s="102"/>
      <c r="AB475" s="102"/>
      <c r="AC475" s="102"/>
      <c r="AD475" s="102"/>
      <c r="AE475" s="102"/>
      <c r="AF475" s="102"/>
      <c r="AG475" s="151"/>
      <c r="AH475" s="102"/>
      <c r="AI475" s="102"/>
      <c r="AJ475" s="102"/>
      <c r="AK475" s="151"/>
      <c r="AL475" s="102"/>
      <c r="AM475" s="102"/>
      <c r="AN475" s="102"/>
    </row>
    <row r="476" spans="1:40" x14ac:dyDescent="0.3">
      <c r="A476" s="101"/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T476" s="101"/>
      <c r="U476" s="101"/>
      <c r="V476" s="101"/>
      <c r="W476" s="101"/>
      <c r="X476" s="101"/>
      <c r="Y476" s="101"/>
      <c r="Z476" s="101"/>
      <c r="AA476" s="101"/>
      <c r="AB476" s="101"/>
      <c r="AC476" s="101"/>
      <c r="AD476" s="101"/>
      <c r="AE476" s="101"/>
      <c r="AF476" s="101"/>
      <c r="AG476" s="191"/>
      <c r="AH476" s="101"/>
      <c r="AI476" s="101"/>
      <c r="AJ476" s="101"/>
      <c r="AK476" s="191"/>
      <c r="AL476" s="101"/>
      <c r="AM476" s="101"/>
      <c r="AN476" s="101"/>
    </row>
    <row r="477" spans="1:40" x14ac:dyDescent="0.3"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Y477" s="102"/>
      <c r="Z477" s="102"/>
      <c r="AA477" s="102"/>
      <c r="AB477" s="102"/>
      <c r="AC477" s="102"/>
      <c r="AD477" s="102"/>
      <c r="AE477" s="102"/>
      <c r="AF477" s="102"/>
      <c r="AG477" s="151"/>
      <c r="AH477" s="102"/>
      <c r="AI477" s="102"/>
      <c r="AJ477" s="102"/>
      <c r="AK477" s="151"/>
      <c r="AL477" s="102"/>
      <c r="AM477" s="102"/>
      <c r="AN477" s="102"/>
    </row>
    <row r="478" spans="1:40" x14ac:dyDescent="0.3">
      <c r="C478" s="99"/>
      <c r="D478" s="99"/>
      <c r="E478" s="99"/>
      <c r="T478" s="99"/>
      <c r="U478" s="99"/>
    </row>
    <row r="479" spans="1:40" x14ac:dyDescent="0.3">
      <c r="D479" s="99"/>
      <c r="E479" s="99"/>
      <c r="U479" s="99"/>
    </row>
    <row r="481" spans="3:40" x14ac:dyDescent="0.3">
      <c r="C481" s="99"/>
      <c r="F481" s="110"/>
      <c r="J481" s="209"/>
      <c r="K481" s="209"/>
      <c r="L481" s="110"/>
      <c r="M481" s="110"/>
      <c r="R481" s="110"/>
      <c r="T481" s="99"/>
      <c r="V481" s="110"/>
      <c r="Z481" s="209"/>
      <c r="AA481" s="110"/>
      <c r="AB481" s="110"/>
      <c r="AH481" s="110"/>
      <c r="AL481" s="110"/>
    </row>
    <row r="482" spans="3:40" x14ac:dyDescent="0.3">
      <c r="C482" s="99"/>
      <c r="F482" s="110"/>
      <c r="R482" s="110"/>
      <c r="T482" s="99"/>
      <c r="V482" s="110"/>
      <c r="AH482" s="110"/>
      <c r="AL482" s="110"/>
    </row>
    <row r="483" spans="3:40" x14ac:dyDescent="0.3">
      <c r="AI483" s="110"/>
      <c r="AJ483" s="110"/>
      <c r="AL483" s="110"/>
      <c r="AM483" s="141"/>
      <c r="AN483" s="141"/>
    </row>
    <row r="484" spans="3:40" x14ac:dyDescent="0.3">
      <c r="C484" s="99"/>
      <c r="F484" s="172"/>
      <c r="H484" s="172"/>
      <c r="I484" s="172"/>
      <c r="J484" s="227"/>
      <c r="K484" s="227"/>
      <c r="L484" s="110"/>
      <c r="M484" s="110"/>
      <c r="N484" s="141"/>
      <c r="O484" s="141"/>
      <c r="P484" s="110"/>
      <c r="Q484" s="110"/>
      <c r="R484" s="110"/>
      <c r="T484" s="99"/>
      <c r="V484" s="110"/>
      <c r="Y484" s="110"/>
      <c r="Z484" s="227"/>
      <c r="AA484" s="110"/>
      <c r="AB484" s="110"/>
      <c r="AC484" s="141"/>
      <c r="AD484" s="141"/>
      <c r="AE484" s="110"/>
      <c r="AF484" s="110"/>
      <c r="AH484" s="207"/>
      <c r="AI484" s="110"/>
      <c r="AJ484" s="110"/>
      <c r="AL484" s="110"/>
      <c r="AM484" s="141"/>
      <c r="AN484" s="141"/>
    </row>
    <row r="485" spans="3:40" x14ac:dyDescent="0.3">
      <c r="F485" s="110"/>
      <c r="H485" s="110"/>
      <c r="I485" s="110"/>
      <c r="J485" s="198"/>
      <c r="K485" s="198"/>
      <c r="L485" s="110"/>
      <c r="M485" s="110"/>
      <c r="P485" s="110"/>
      <c r="Q485" s="110"/>
      <c r="R485" s="110"/>
      <c r="V485" s="110"/>
      <c r="Y485" s="110"/>
      <c r="Z485" s="198"/>
      <c r="AA485" s="110"/>
      <c r="AB485" s="110"/>
      <c r="AI485" s="110"/>
      <c r="AJ485" s="110"/>
      <c r="AL485" s="110"/>
      <c r="AM485" s="141"/>
      <c r="AN485" s="141"/>
    </row>
    <row r="486" spans="3:40" x14ac:dyDescent="0.3">
      <c r="F486" s="110"/>
      <c r="R486" s="110"/>
      <c r="V486" s="110"/>
      <c r="AL486" s="110"/>
      <c r="AM486" s="141"/>
      <c r="AN486" s="141"/>
    </row>
    <row r="487" spans="3:40" x14ac:dyDescent="0.3">
      <c r="C487" s="99"/>
      <c r="F487" s="110"/>
      <c r="J487" s="209"/>
      <c r="K487" s="209"/>
      <c r="L487" s="110"/>
      <c r="M487" s="110"/>
      <c r="N487" s="141"/>
      <c r="O487" s="141"/>
      <c r="R487" s="110"/>
      <c r="T487" s="99"/>
      <c r="V487" s="110"/>
      <c r="Z487" s="209"/>
      <c r="AA487" s="110"/>
      <c r="AB487" s="110"/>
      <c r="AC487" s="141"/>
      <c r="AD487" s="141"/>
      <c r="AL487" s="110"/>
      <c r="AM487" s="141"/>
      <c r="AN487" s="141"/>
    </row>
    <row r="488" spans="3:40" x14ac:dyDescent="0.3">
      <c r="C488" s="99"/>
      <c r="F488" s="110"/>
      <c r="H488" s="110"/>
      <c r="I488" s="110"/>
      <c r="J488" s="209"/>
      <c r="K488" s="209"/>
      <c r="L488" s="110"/>
      <c r="M488" s="110"/>
      <c r="N488" s="141"/>
      <c r="O488" s="141"/>
      <c r="P488" s="110"/>
      <c r="Q488" s="110"/>
      <c r="R488" s="110"/>
      <c r="T488" s="99"/>
      <c r="V488" s="110"/>
      <c r="Y488" s="110"/>
      <c r="Z488" s="209"/>
      <c r="AA488" s="110"/>
      <c r="AB488" s="110"/>
      <c r="AC488" s="141"/>
      <c r="AD488" s="141"/>
      <c r="AI488" s="110"/>
      <c r="AJ488" s="110"/>
      <c r="AL488" s="110"/>
      <c r="AM488" s="141"/>
      <c r="AN488" s="141"/>
    </row>
    <row r="489" spans="3:40" x14ac:dyDescent="0.3">
      <c r="C489" s="99"/>
      <c r="T489" s="99"/>
      <c r="AM489" s="141"/>
      <c r="AN489" s="141"/>
    </row>
    <row r="490" spans="3:40" x14ac:dyDescent="0.3">
      <c r="C490" s="99"/>
      <c r="T490" s="99"/>
      <c r="AM490" s="141"/>
      <c r="AN490" s="141"/>
    </row>
    <row r="491" spans="3:40" x14ac:dyDescent="0.3">
      <c r="AM491" s="141"/>
      <c r="AN491" s="141"/>
    </row>
    <row r="492" spans="3:40" x14ac:dyDescent="0.3">
      <c r="C492" s="99"/>
      <c r="F492" s="172"/>
      <c r="H492" s="172"/>
      <c r="I492" s="172"/>
      <c r="J492" s="227"/>
      <c r="K492" s="227"/>
      <c r="L492" s="110"/>
      <c r="M492" s="110"/>
      <c r="N492" s="141"/>
      <c r="O492" s="141"/>
      <c r="P492" s="110"/>
      <c r="Q492" s="110"/>
      <c r="R492" s="110"/>
      <c r="T492" s="99"/>
      <c r="V492" s="110"/>
      <c r="Y492" s="110"/>
      <c r="Z492" s="227"/>
      <c r="AA492" s="110"/>
      <c r="AB492" s="110"/>
      <c r="AC492" s="141"/>
      <c r="AD492" s="141"/>
      <c r="AE492" s="110"/>
      <c r="AF492" s="110"/>
      <c r="AH492" s="207"/>
      <c r="AI492" s="110"/>
      <c r="AJ492" s="110"/>
      <c r="AL492" s="110"/>
      <c r="AM492" s="141"/>
      <c r="AN492" s="141"/>
    </row>
    <row r="493" spans="3:40" x14ac:dyDescent="0.3">
      <c r="F493" s="192"/>
      <c r="H493" s="192"/>
      <c r="I493" s="192"/>
      <c r="J493" s="217"/>
      <c r="K493" s="217"/>
      <c r="L493" s="192"/>
      <c r="M493" s="192"/>
      <c r="N493" s="192"/>
      <c r="O493" s="192"/>
      <c r="P493" s="192"/>
      <c r="Q493" s="192"/>
      <c r="R493" s="192"/>
      <c r="V493" s="192"/>
      <c r="Y493" s="192"/>
      <c r="Z493" s="217"/>
      <c r="AA493" s="192"/>
      <c r="AB493" s="192"/>
      <c r="AC493" s="192"/>
      <c r="AD493" s="192"/>
      <c r="AE493" s="192"/>
      <c r="AF493" s="192"/>
      <c r="AI493" s="192"/>
      <c r="AJ493" s="192"/>
      <c r="AK493" s="194"/>
      <c r="AL493" s="192"/>
      <c r="AM493" s="141"/>
      <c r="AN493" s="141"/>
    </row>
    <row r="494" spans="3:40" x14ac:dyDescent="0.3">
      <c r="H494" s="110"/>
      <c r="I494" s="110"/>
      <c r="Y494" s="110"/>
      <c r="AM494" s="141"/>
      <c r="AN494" s="141"/>
    </row>
    <row r="495" spans="3:40" x14ac:dyDescent="0.3">
      <c r="C495" s="99"/>
      <c r="F495" s="110"/>
      <c r="H495" s="110"/>
      <c r="I495" s="110"/>
      <c r="L495" s="110"/>
      <c r="M495" s="110"/>
      <c r="N495" s="141"/>
      <c r="O495" s="141"/>
      <c r="P495" s="172"/>
      <c r="Q495" s="172"/>
      <c r="R495" s="110"/>
      <c r="T495" s="99"/>
      <c r="V495" s="110"/>
      <c r="Y495" s="110"/>
      <c r="AA495" s="110"/>
      <c r="AB495" s="110"/>
      <c r="AC495" s="141"/>
      <c r="AD495" s="141"/>
      <c r="AE495" s="110"/>
      <c r="AF495" s="110"/>
      <c r="AH495" s="207"/>
      <c r="AI495" s="172"/>
      <c r="AJ495" s="172"/>
      <c r="AL495" s="110"/>
      <c r="AM495" s="141"/>
      <c r="AN495" s="141"/>
    </row>
    <row r="496" spans="3:40" x14ac:dyDescent="0.3">
      <c r="F496" s="192"/>
      <c r="H496" s="192"/>
      <c r="I496" s="192"/>
      <c r="J496" s="217"/>
      <c r="K496" s="217"/>
      <c r="L496" s="192"/>
      <c r="M496" s="192"/>
      <c r="N496" s="192"/>
      <c r="O496" s="192"/>
      <c r="P496" s="192"/>
      <c r="Q496" s="192"/>
      <c r="R496" s="192"/>
      <c r="V496" s="192"/>
      <c r="Y496" s="192"/>
      <c r="Z496" s="217"/>
      <c r="AA496" s="192"/>
      <c r="AB496" s="192"/>
      <c r="AC496" s="192"/>
      <c r="AD496" s="192"/>
      <c r="AE496" s="192"/>
      <c r="AF496" s="192"/>
      <c r="AI496" s="192"/>
      <c r="AJ496" s="192"/>
      <c r="AK496" s="194"/>
      <c r="AL496" s="192"/>
      <c r="AM496" s="141"/>
      <c r="AN496" s="141"/>
    </row>
    <row r="498" spans="1:40" x14ac:dyDescent="0.3">
      <c r="F498" s="110"/>
      <c r="H498" s="110"/>
      <c r="I498" s="110"/>
      <c r="J498" s="198"/>
      <c r="K498" s="198"/>
      <c r="L498" s="110"/>
      <c r="M498" s="110"/>
      <c r="N498" s="110"/>
      <c r="O498" s="110"/>
      <c r="P498" s="110"/>
      <c r="Q498" s="110"/>
      <c r="R498" s="110"/>
      <c r="V498" s="110"/>
      <c r="Y498" s="110"/>
      <c r="Z498" s="198"/>
      <c r="AA498" s="110"/>
      <c r="AB498" s="110"/>
      <c r="AC498" s="110"/>
      <c r="AD498" s="110"/>
      <c r="AE498" s="110"/>
      <c r="AF498" s="110"/>
      <c r="AH498" s="110"/>
      <c r="AI498" s="110"/>
      <c r="AJ498" s="110"/>
      <c r="AL498" s="110"/>
    </row>
    <row r="499" spans="1:40" x14ac:dyDescent="0.3">
      <c r="A499" s="99"/>
    </row>
    <row r="501" spans="1:40" x14ac:dyDescent="0.3">
      <c r="H501" s="99"/>
      <c r="I501" s="99"/>
      <c r="Y501" s="99"/>
    </row>
    <row r="503" spans="1:40" x14ac:dyDescent="0.3">
      <c r="L503" s="99"/>
      <c r="M503" s="99"/>
      <c r="AA503" s="99"/>
      <c r="AB503" s="99"/>
    </row>
    <row r="504" spans="1:40" x14ac:dyDescent="0.3">
      <c r="R504" s="99"/>
      <c r="AK504" s="190"/>
      <c r="AL504" s="99"/>
    </row>
    <row r="505" spans="1:40" x14ac:dyDescent="0.3">
      <c r="R505" s="99"/>
      <c r="AK505" s="190"/>
      <c r="AL505" s="99"/>
    </row>
    <row r="506" spans="1:40" x14ac:dyDescent="0.3">
      <c r="A506" s="99"/>
      <c r="R506" s="99"/>
      <c r="AK506" s="190"/>
      <c r="AL506" s="99"/>
    </row>
    <row r="507" spans="1:40" x14ac:dyDescent="0.3">
      <c r="L507" s="99"/>
      <c r="M507" s="99"/>
      <c r="AA507" s="99"/>
      <c r="AB507" s="99"/>
    </row>
    <row r="508" spans="1:40" x14ac:dyDescent="0.3">
      <c r="A508" s="101"/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T508" s="101"/>
      <c r="U508" s="101"/>
      <c r="V508" s="101"/>
      <c r="W508" s="101"/>
      <c r="X508" s="101"/>
      <c r="Y508" s="101"/>
      <c r="Z508" s="101"/>
      <c r="AA508" s="101"/>
      <c r="AB508" s="101"/>
      <c r="AC508" s="101"/>
      <c r="AD508" s="101"/>
      <c r="AE508" s="101"/>
      <c r="AF508" s="101"/>
      <c r="AG508" s="191"/>
      <c r="AH508" s="101"/>
      <c r="AI508" s="101"/>
      <c r="AJ508" s="101"/>
      <c r="AK508" s="191"/>
      <c r="AL508" s="101"/>
      <c r="AM508" s="101"/>
      <c r="AN508" s="101"/>
    </row>
    <row r="509" spans="1:40" x14ac:dyDescent="0.3">
      <c r="L509" s="102"/>
      <c r="M509" s="102"/>
      <c r="N509" s="102"/>
      <c r="O509" s="102"/>
      <c r="R509" s="102"/>
      <c r="AA509" s="102"/>
      <c r="AB509" s="102"/>
      <c r="AC509" s="102"/>
      <c r="AD509" s="102"/>
      <c r="AE509" s="102"/>
      <c r="AF509" s="102"/>
      <c r="AG509" s="151"/>
      <c r="AH509" s="102"/>
      <c r="AK509" s="151"/>
      <c r="AL509" s="102"/>
      <c r="AM509" s="102"/>
      <c r="AN509" s="102"/>
    </row>
    <row r="510" spans="1:40" x14ac:dyDescent="0.3">
      <c r="L510" s="102"/>
      <c r="M510" s="102"/>
      <c r="N510" s="102"/>
      <c r="O510" s="102"/>
      <c r="R510" s="102"/>
      <c r="Z510" s="102"/>
      <c r="AA510" s="102"/>
      <c r="AB510" s="102"/>
      <c r="AC510" s="102"/>
      <c r="AD510" s="102"/>
      <c r="AE510" s="102"/>
      <c r="AF510" s="102"/>
      <c r="AG510" s="151"/>
      <c r="AH510" s="102"/>
      <c r="AK510" s="151"/>
      <c r="AL510" s="102"/>
      <c r="AM510" s="102"/>
      <c r="AN510" s="102"/>
    </row>
    <row r="511" spans="1:40" x14ac:dyDescent="0.3">
      <c r="A511" s="102"/>
      <c r="C511" s="102"/>
      <c r="D511" s="102"/>
      <c r="E511" s="102"/>
      <c r="F511" s="102"/>
      <c r="J511" s="102"/>
      <c r="K511" s="102"/>
      <c r="L511" s="102"/>
      <c r="M511" s="102"/>
      <c r="N511" s="102"/>
      <c r="O511" s="102"/>
      <c r="P511" s="102"/>
      <c r="Q511" s="102"/>
      <c r="R511" s="102"/>
      <c r="T511" s="102"/>
      <c r="U511" s="102"/>
      <c r="V511" s="102"/>
      <c r="Z511" s="102"/>
      <c r="AA511" s="102"/>
      <c r="AB511" s="102"/>
      <c r="AC511" s="102"/>
      <c r="AD511" s="102"/>
      <c r="AE511" s="102"/>
      <c r="AF511" s="102"/>
      <c r="AG511" s="151"/>
      <c r="AH511" s="102"/>
      <c r="AI511" s="102"/>
      <c r="AJ511" s="102"/>
      <c r="AK511" s="151"/>
      <c r="AL511" s="102"/>
      <c r="AM511" s="102"/>
      <c r="AN511" s="102"/>
    </row>
    <row r="512" spans="1:40" x14ac:dyDescent="0.3">
      <c r="A512" s="102"/>
      <c r="C512" s="102"/>
      <c r="D512" s="102"/>
      <c r="E512" s="102"/>
      <c r="F512" s="102"/>
      <c r="H512" s="102"/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T512" s="102"/>
      <c r="U512" s="102"/>
      <c r="V512" s="102"/>
      <c r="Y512" s="102"/>
      <c r="Z512" s="102"/>
      <c r="AA512" s="102"/>
      <c r="AB512" s="102"/>
      <c r="AC512" s="102"/>
      <c r="AD512" s="102"/>
      <c r="AE512" s="102"/>
      <c r="AF512" s="102"/>
      <c r="AG512" s="151"/>
      <c r="AH512" s="102"/>
      <c r="AI512" s="102"/>
      <c r="AJ512" s="102"/>
      <c r="AK512" s="151"/>
      <c r="AL512" s="102"/>
      <c r="AM512" s="102"/>
      <c r="AN512" s="102"/>
    </row>
    <row r="513" spans="1:40" x14ac:dyDescent="0.3">
      <c r="C513" s="102"/>
      <c r="D513" s="102"/>
      <c r="E513" s="102"/>
      <c r="F513" s="102"/>
      <c r="H513" s="102"/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T513" s="102"/>
      <c r="U513" s="102"/>
      <c r="V513" s="102"/>
      <c r="Y513" s="102"/>
      <c r="Z513" s="102"/>
      <c r="AA513" s="102"/>
      <c r="AB513" s="102"/>
      <c r="AC513" s="102"/>
      <c r="AD513" s="102"/>
      <c r="AE513" s="102"/>
      <c r="AF513" s="102"/>
      <c r="AG513" s="151"/>
      <c r="AH513" s="102"/>
      <c r="AI513" s="102"/>
      <c r="AJ513" s="102"/>
      <c r="AK513" s="151"/>
      <c r="AL513" s="102"/>
      <c r="AM513" s="102"/>
      <c r="AN513" s="102"/>
    </row>
    <row r="514" spans="1:40" x14ac:dyDescent="0.3">
      <c r="A514" s="101"/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T514" s="101"/>
      <c r="U514" s="101"/>
      <c r="V514" s="101"/>
      <c r="W514" s="101"/>
      <c r="X514" s="101"/>
      <c r="Y514" s="101"/>
      <c r="Z514" s="101"/>
      <c r="AA514" s="101"/>
      <c r="AB514" s="101"/>
      <c r="AC514" s="101"/>
      <c r="AD514" s="101"/>
      <c r="AE514" s="101"/>
      <c r="AF514" s="101"/>
      <c r="AG514" s="191"/>
      <c r="AH514" s="101"/>
      <c r="AI514" s="101"/>
      <c r="AJ514" s="101"/>
      <c r="AK514" s="191"/>
      <c r="AL514" s="101"/>
      <c r="AM514" s="101"/>
      <c r="AN514" s="101"/>
    </row>
    <row r="515" spans="1:40" x14ac:dyDescent="0.3"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Y515" s="102"/>
      <c r="Z515" s="102"/>
      <c r="AA515" s="102"/>
      <c r="AB515" s="102"/>
      <c r="AC515" s="102"/>
      <c r="AD515" s="102"/>
      <c r="AE515" s="102"/>
      <c r="AF515" s="102"/>
      <c r="AG515" s="151"/>
      <c r="AH515" s="102"/>
      <c r="AI515" s="102"/>
      <c r="AJ515" s="102"/>
      <c r="AK515" s="151"/>
      <c r="AL515" s="102"/>
      <c r="AM515" s="102"/>
      <c r="AN515" s="102"/>
    </row>
    <row r="516" spans="1:40" x14ac:dyDescent="0.3">
      <c r="C516" s="99"/>
      <c r="D516" s="99"/>
      <c r="E516" s="99"/>
      <c r="T516" s="99"/>
      <c r="U516" s="99"/>
      <c r="V516" s="110"/>
      <c r="W516" s="110"/>
      <c r="X516" s="110"/>
      <c r="Y516" s="110"/>
      <c r="Z516" s="227"/>
    </row>
    <row r="518" spans="1:40" x14ac:dyDescent="0.3">
      <c r="C518" s="99"/>
      <c r="T518" s="99"/>
      <c r="V518" s="110"/>
      <c r="W518" s="110"/>
      <c r="X518" s="110"/>
      <c r="Y518" s="110"/>
      <c r="Z518" s="227"/>
    </row>
    <row r="519" spans="1:40" x14ac:dyDescent="0.3">
      <c r="C519" s="99"/>
      <c r="F519" s="172"/>
      <c r="H519" s="172"/>
      <c r="I519" s="172"/>
      <c r="J519" s="228"/>
      <c r="K519" s="228"/>
      <c r="L519" s="110"/>
      <c r="M519" s="110"/>
      <c r="N519" s="141"/>
      <c r="O519" s="141"/>
      <c r="P519" s="110"/>
      <c r="Q519" s="110"/>
      <c r="R519" s="110"/>
      <c r="T519" s="99"/>
      <c r="V519" s="110"/>
      <c r="W519" s="110"/>
      <c r="X519" s="110"/>
      <c r="Y519" s="110"/>
      <c r="Z519" s="228"/>
      <c r="AA519" s="110"/>
      <c r="AB519" s="110"/>
      <c r="AC519" s="141"/>
      <c r="AD519" s="141"/>
      <c r="AE519" s="110"/>
      <c r="AF519" s="110"/>
      <c r="AH519" s="207"/>
      <c r="AI519" s="110"/>
      <c r="AJ519" s="110"/>
      <c r="AL519" s="110"/>
      <c r="AM519" s="141"/>
      <c r="AN519" s="141"/>
    </row>
    <row r="520" spans="1:40" x14ac:dyDescent="0.3">
      <c r="C520" s="99"/>
      <c r="F520" s="172"/>
      <c r="H520" s="172"/>
      <c r="I520" s="172"/>
      <c r="J520" s="228"/>
      <c r="K520" s="228"/>
      <c r="L520" s="110"/>
      <c r="M520" s="110"/>
      <c r="N520" s="141"/>
      <c r="O520" s="141"/>
      <c r="P520" s="110"/>
      <c r="Q520" s="110"/>
      <c r="R520" s="110"/>
      <c r="T520" s="99"/>
      <c r="V520" s="110"/>
      <c r="W520" s="110"/>
      <c r="X520" s="110"/>
      <c r="Y520" s="110"/>
      <c r="Z520" s="228"/>
      <c r="AA520" s="110"/>
      <c r="AB520" s="110"/>
      <c r="AC520" s="141"/>
      <c r="AD520" s="141"/>
      <c r="AE520" s="110"/>
      <c r="AF520" s="110"/>
      <c r="AH520" s="207"/>
      <c r="AI520" s="110"/>
      <c r="AJ520" s="110"/>
      <c r="AL520" s="110"/>
      <c r="AM520" s="141"/>
      <c r="AN520" s="141"/>
    </row>
    <row r="521" spans="1:40" x14ac:dyDescent="0.3">
      <c r="C521" s="99"/>
      <c r="F521" s="172"/>
      <c r="H521" s="172"/>
      <c r="I521" s="172"/>
      <c r="J521" s="228"/>
      <c r="K521" s="228"/>
      <c r="L521" s="110"/>
      <c r="M521" s="110"/>
      <c r="N521" s="141"/>
      <c r="O521" s="141"/>
      <c r="P521" s="110"/>
      <c r="Q521" s="110"/>
      <c r="R521" s="110"/>
      <c r="T521" s="99"/>
      <c r="V521" s="110"/>
      <c r="W521" s="110"/>
      <c r="X521" s="110"/>
      <c r="Y521" s="110"/>
      <c r="Z521" s="228"/>
      <c r="AA521" s="110"/>
      <c r="AB521" s="110"/>
      <c r="AC521" s="141"/>
      <c r="AD521" s="141"/>
      <c r="AE521" s="110"/>
      <c r="AF521" s="110"/>
      <c r="AH521" s="207"/>
      <c r="AI521" s="110"/>
      <c r="AJ521" s="110"/>
      <c r="AL521" s="110"/>
      <c r="AM521" s="141"/>
      <c r="AN521" s="141"/>
    </row>
    <row r="522" spans="1:40" x14ac:dyDescent="0.3">
      <c r="C522" s="99"/>
      <c r="F522" s="172"/>
      <c r="H522" s="172"/>
      <c r="I522" s="172"/>
      <c r="J522" s="228"/>
      <c r="K522" s="228"/>
      <c r="L522" s="110"/>
      <c r="M522" s="110"/>
      <c r="N522" s="141"/>
      <c r="O522" s="141"/>
      <c r="P522" s="110"/>
      <c r="Q522" s="110"/>
      <c r="R522" s="110"/>
      <c r="T522" s="99"/>
      <c r="V522" s="110"/>
      <c r="W522" s="110"/>
      <c r="X522" s="110"/>
      <c r="Y522" s="110"/>
      <c r="Z522" s="228"/>
      <c r="AA522" s="110"/>
      <c r="AB522" s="110"/>
      <c r="AC522" s="141"/>
      <c r="AD522" s="141"/>
      <c r="AE522" s="110"/>
      <c r="AF522" s="110"/>
      <c r="AH522" s="207"/>
      <c r="AI522" s="110"/>
      <c r="AJ522" s="110"/>
      <c r="AL522" s="110"/>
      <c r="AM522" s="141"/>
      <c r="AN522" s="141"/>
    </row>
    <row r="523" spans="1:40" x14ac:dyDescent="0.3">
      <c r="J523" s="163"/>
      <c r="K523" s="163"/>
      <c r="V523" s="110"/>
      <c r="W523" s="110"/>
      <c r="X523" s="110"/>
      <c r="Y523" s="110"/>
      <c r="Z523" s="228"/>
    </row>
    <row r="524" spans="1:40" x14ac:dyDescent="0.3">
      <c r="C524" s="99"/>
      <c r="F524" s="172"/>
      <c r="H524" s="172"/>
      <c r="I524" s="172"/>
      <c r="J524" s="228"/>
      <c r="K524" s="228"/>
      <c r="L524" s="110"/>
      <c r="M524" s="110"/>
      <c r="N524" s="141"/>
      <c r="O524" s="141"/>
      <c r="P524" s="110"/>
      <c r="Q524" s="110"/>
      <c r="R524" s="110"/>
      <c r="T524" s="99"/>
      <c r="V524" s="110"/>
      <c r="W524" s="110"/>
      <c r="X524" s="110"/>
      <c r="Y524" s="110"/>
      <c r="Z524" s="228"/>
      <c r="AA524" s="110"/>
      <c r="AB524" s="110"/>
      <c r="AC524" s="141"/>
      <c r="AD524" s="141"/>
      <c r="AE524" s="110"/>
      <c r="AF524" s="110"/>
      <c r="AH524" s="207"/>
      <c r="AI524" s="110"/>
      <c r="AJ524" s="110"/>
      <c r="AL524" s="110"/>
      <c r="AM524" s="207"/>
      <c r="AN524" s="207"/>
    </row>
    <row r="525" spans="1:40" x14ac:dyDescent="0.3">
      <c r="C525" s="99"/>
      <c r="J525" s="163"/>
      <c r="K525" s="163"/>
      <c r="T525" s="99"/>
      <c r="V525" s="110"/>
      <c r="W525" s="110"/>
      <c r="X525" s="110"/>
      <c r="Y525" s="110"/>
      <c r="Z525" s="228"/>
    </row>
    <row r="526" spans="1:40" x14ac:dyDescent="0.3">
      <c r="C526" s="99"/>
      <c r="F526" s="172"/>
      <c r="H526" s="172"/>
      <c r="I526" s="172"/>
      <c r="J526" s="228"/>
      <c r="K526" s="228"/>
      <c r="L526" s="110"/>
      <c r="M526" s="110"/>
      <c r="N526" s="141"/>
      <c r="O526" s="141"/>
      <c r="P526" s="110"/>
      <c r="Q526" s="110"/>
      <c r="R526" s="110"/>
      <c r="T526" s="99"/>
      <c r="V526" s="110"/>
      <c r="W526" s="110"/>
      <c r="X526" s="110"/>
      <c r="Y526" s="110"/>
      <c r="Z526" s="228"/>
      <c r="AA526" s="110"/>
      <c r="AB526" s="110"/>
      <c r="AC526" s="141"/>
      <c r="AD526" s="141"/>
      <c r="AE526" s="110"/>
      <c r="AF526" s="110"/>
      <c r="AH526" s="207"/>
      <c r="AI526" s="110"/>
      <c r="AJ526" s="110"/>
      <c r="AL526" s="110"/>
      <c r="AM526" s="207"/>
      <c r="AN526" s="207"/>
    </row>
    <row r="527" spans="1:40" x14ac:dyDescent="0.3">
      <c r="J527" s="163"/>
      <c r="K527" s="163"/>
      <c r="Z527" s="163"/>
    </row>
    <row r="528" spans="1:40" x14ac:dyDescent="0.3">
      <c r="C528" s="99"/>
      <c r="J528" s="163"/>
      <c r="K528" s="163"/>
      <c r="T528" s="99"/>
      <c r="V528" s="110"/>
      <c r="W528" s="110"/>
      <c r="X528" s="110"/>
      <c r="Y528" s="110"/>
      <c r="Z528" s="228"/>
    </row>
    <row r="529" spans="1:40" x14ac:dyDescent="0.3">
      <c r="C529" s="99"/>
      <c r="F529" s="172"/>
      <c r="H529" s="172"/>
      <c r="I529" s="172"/>
      <c r="J529" s="228"/>
      <c r="K529" s="228"/>
      <c r="L529" s="110"/>
      <c r="M529" s="110"/>
      <c r="N529" s="141"/>
      <c r="O529" s="141"/>
      <c r="P529" s="110"/>
      <c r="Q529" s="110"/>
      <c r="R529" s="110"/>
      <c r="T529" s="99"/>
      <c r="V529" s="110"/>
      <c r="W529" s="110"/>
      <c r="X529" s="110"/>
      <c r="Y529" s="110"/>
      <c r="Z529" s="228"/>
      <c r="AA529" s="110"/>
      <c r="AB529" s="110"/>
      <c r="AC529" s="141"/>
      <c r="AD529" s="141"/>
      <c r="AE529" s="110"/>
      <c r="AF529" s="110"/>
      <c r="AH529" s="207"/>
      <c r="AI529" s="110"/>
      <c r="AJ529" s="110"/>
      <c r="AL529" s="110"/>
      <c r="AM529" s="207"/>
      <c r="AN529" s="207"/>
    </row>
    <row r="530" spans="1:40" x14ac:dyDescent="0.3">
      <c r="C530" s="99"/>
      <c r="F530" s="172"/>
      <c r="H530" s="172"/>
      <c r="I530" s="172"/>
      <c r="J530" s="228"/>
      <c r="K530" s="228"/>
      <c r="L530" s="110"/>
      <c r="M530" s="110"/>
      <c r="N530" s="141"/>
      <c r="O530" s="141"/>
      <c r="P530" s="110"/>
      <c r="Q530" s="110"/>
      <c r="R530" s="110"/>
      <c r="T530" s="99"/>
      <c r="V530" s="110"/>
      <c r="W530" s="110"/>
      <c r="X530" s="110"/>
      <c r="Y530" s="110"/>
      <c r="Z530" s="228"/>
      <c r="AA530" s="110"/>
      <c r="AB530" s="110"/>
      <c r="AC530" s="141"/>
      <c r="AD530" s="141"/>
      <c r="AE530" s="110"/>
      <c r="AF530" s="110"/>
      <c r="AH530" s="207"/>
      <c r="AI530" s="110"/>
      <c r="AJ530" s="110"/>
      <c r="AL530" s="110"/>
      <c r="AM530" s="207"/>
      <c r="AN530" s="207"/>
    </row>
    <row r="531" spans="1:40" x14ac:dyDescent="0.3">
      <c r="F531" s="192"/>
      <c r="H531" s="192"/>
      <c r="I531" s="192"/>
      <c r="J531" s="228"/>
      <c r="K531" s="228"/>
      <c r="L531" s="192"/>
      <c r="M531" s="192"/>
      <c r="N531" s="192"/>
      <c r="O531" s="192"/>
      <c r="P531" s="192"/>
      <c r="Q531" s="192"/>
      <c r="R531" s="192"/>
      <c r="V531" s="192"/>
      <c r="Y531" s="192"/>
      <c r="Z531" s="217"/>
      <c r="AA531" s="192"/>
      <c r="AB531" s="192"/>
      <c r="AC531" s="192"/>
      <c r="AD531" s="192"/>
      <c r="AE531" s="192"/>
      <c r="AF531" s="192"/>
      <c r="AI531" s="192"/>
      <c r="AJ531" s="192"/>
      <c r="AK531" s="194"/>
      <c r="AL531" s="192"/>
    </row>
    <row r="532" spans="1:40" x14ac:dyDescent="0.3">
      <c r="C532" s="99"/>
      <c r="F532" s="110"/>
      <c r="H532" s="110"/>
      <c r="I532" s="110"/>
      <c r="L532" s="110"/>
      <c r="M532" s="110"/>
      <c r="N532" s="141"/>
      <c r="O532" s="141"/>
      <c r="P532" s="172"/>
      <c r="Q532" s="172"/>
      <c r="R532" s="110"/>
      <c r="T532" s="99"/>
      <c r="V532" s="110"/>
      <c r="W532" s="110"/>
      <c r="X532" s="110"/>
      <c r="Y532" s="110"/>
      <c r="Z532" s="227"/>
      <c r="AA532" s="110"/>
      <c r="AB532" s="110"/>
      <c r="AC532" s="141"/>
      <c r="AD532" s="141"/>
      <c r="AE532" s="110"/>
      <c r="AF532" s="110"/>
      <c r="AH532" s="207"/>
      <c r="AI532" s="172"/>
      <c r="AJ532" s="172"/>
      <c r="AL532" s="110"/>
      <c r="AM532" s="207"/>
      <c r="AN532" s="207"/>
    </row>
    <row r="533" spans="1:40" x14ac:dyDescent="0.3">
      <c r="F533" s="192"/>
      <c r="H533" s="192"/>
      <c r="I533" s="192"/>
      <c r="J533" s="217"/>
      <c r="K533" s="217"/>
      <c r="L533" s="192"/>
      <c r="M533" s="192"/>
      <c r="N533" s="192"/>
      <c r="O533" s="192"/>
      <c r="P533" s="192"/>
      <c r="Q533" s="192"/>
      <c r="R533" s="192"/>
      <c r="V533" s="192"/>
      <c r="Y533" s="192"/>
      <c r="Z533" s="217"/>
      <c r="AA533" s="192"/>
      <c r="AB533" s="192"/>
      <c r="AC533" s="192"/>
      <c r="AD533" s="192"/>
      <c r="AE533" s="192"/>
      <c r="AF533" s="192"/>
      <c r="AI533" s="192"/>
      <c r="AJ533" s="192"/>
      <c r="AK533" s="194"/>
      <c r="AL533" s="192"/>
    </row>
    <row r="536" spans="1:40" x14ac:dyDescent="0.3">
      <c r="A536" s="99"/>
    </row>
    <row r="538" spans="1:40" x14ac:dyDescent="0.3">
      <c r="H538" s="99"/>
      <c r="I538" s="99"/>
      <c r="Y538" s="99"/>
    </row>
    <row r="540" spans="1:40" x14ac:dyDescent="0.3">
      <c r="L540" s="99"/>
      <c r="M540" s="99"/>
      <c r="AA540" s="99"/>
      <c r="AB540" s="99"/>
    </row>
    <row r="541" spans="1:40" x14ac:dyDescent="0.3">
      <c r="R541" s="99"/>
      <c r="AK541" s="190"/>
      <c r="AL541" s="99"/>
    </row>
    <row r="542" spans="1:40" x14ac:dyDescent="0.3">
      <c r="R542" s="99"/>
      <c r="AK542" s="190"/>
      <c r="AL542" s="99"/>
    </row>
    <row r="543" spans="1:40" x14ac:dyDescent="0.3">
      <c r="A543" s="99"/>
      <c r="R543" s="99"/>
      <c r="AK543" s="190"/>
      <c r="AL543" s="99"/>
    </row>
    <row r="544" spans="1:40" x14ac:dyDescent="0.3">
      <c r="L544" s="99"/>
      <c r="M544" s="99"/>
      <c r="AA544" s="99"/>
      <c r="AB544" s="99"/>
    </row>
    <row r="545" spans="1:40" x14ac:dyDescent="0.3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91"/>
      <c r="AH545" s="101"/>
      <c r="AI545" s="101"/>
      <c r="AJ545" s="101"/>
      <c r="AK545" s="191"/>
      <c r="AL545" s="101"/>
      <c r="AM545" s="101"/>
      <c r="AN545" s="101"/>
    </row>
    <row r="546" spans="1:40" x14ac:dyDescent="0.3">
      <c r="L546" s="102"/>
      <c r="M546" s="102"/>
      <c r="N546" s="102"/>
      <c r="O546" s="102"/>
      <c r="R546" s="102"/>
      <c r="AA546" s="102"/>
      <c r="AB546" s="102"/>
      <c r="AC546" s="102"/>
      <c r="AD546" s="102"/>
      <c r="AE546" s="102"/>
      <c r="AF546" s="102"/>
      <c r="AG546" s="151"/>
      <c r="AH546" s="102"/>
      <c r="AK546" s="151"/>
      <c r="AL546" s="102"/>
      <c r="AM546" s="102"/>
      <c r="AN546" s="102"/>
    </row>
    <row r="547" spans="1:40" x14ac:dyDescent="0.3">
      <c r="L547" s="102"/>
      <c r="M547" s="102"/>
      <c r="N547" s="102"/>
      <c r="O547" s="102"/>
      <c r="R547" s="102"/>
      <c r="Z547" s="102"/>
      <c r="AA547" s="102"/>
      <c r="AB547" s="102"/>
      <c r="AC547" s="102"/>
      <c r="AD547" s="102"/>
      <c r="AE547" s="102"/>
      <c r="AF547" s="102"/>
      <c r="AG547" s="151"/>
      <c r="AH547" s="102"/>
      <c r="AK547" s="151"/>
      <c r="AL547" s="102"/>
      <c r="AM547" s="102"/>
      <c r="AN547" s="102"/>
    </row>
    <row r="548" spans="1:40" x14ac:dyDescent="0.3">
      <c r="A548" s="102"/>
      <c r="C548" s="102"/>
      <c r="D548" s="102"/>
      <c r="E548" s="102"/>
      <c r="F548" s="102"/>
      <c r="J548" s="102"/>
      <c r="K548" s="102"/>
      <c r="L548" s="102"/>
      <c r="M548" s="102"/>
      <c r="N548" s="102"/>
      <c r="O548" s="102"/>
      <c r="P548" s="102"/>
      <c r="Q548" s="102"/>
      <c r="R548" s="102"/>
      <c r="T548" s="102"/>
      <c r="U548" s="102"/>
      <c r="V548" s="102"/>
      <c r="Z548" s="102"/>
      <c r="AA548" s="102"/>
      <c r="AB548" s="102"/>
      <c r="AC548" s="102"/>
      <c r="AD548" s="102"/>
      <c r="AE548" s="102"/>
      <c r="AF548" s="102"/>
      <c r="AG548" s="151"/>
      <c r="AH548" s="102"/>
      <c r="AI548" s="102"/>
      <c r="AJ548" s="102"/>
      <c r="AK548" s="151"/>
      <c r="AL548" s="102"/>
      <c r="AM548" s="102"/>
      <c r="AN548" s="102"/>
    </row>
    <row r="549" spans="1:40" x14ac:dyDescent="0.3">
      <c r="A549" s="102"/>
      <c r="C549" s="102"/>
      <c r="D549" s="102"/>
      <c r="E549" s="102"/>
      <c r="F549" s="102"/>
      <c r="H549" s="102"/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T549" s="102"/>
      <c r="U549" s="102"/>
      <c r="V549" s="102"/>
      <c r="Y549" s="102"/>
      <c r="Z549" s="102"/>
      <c r="AA549" s="102"/>
      <c r="AB549" s="102"/>
      <c r="AC549" s="102"/>
      <c r="AD549" s="102"/>
      <c r="AE549" s="102"/>
      <c r="AF549" s="102"/>
      <c r="AG549" s="151"/>
      <c r="AH549" s="102"/>
      <c r="AI549" s="102"/>
      <c r="AJ549" s="102"/>
      <c r="AK549" s="151"/>
      <c r="AL549" s="102"/>
      <c r="AM549" s="102"/>
      <c r="AN549" s="102"/>
    </row>
    <row r="550" spans="1:40" x14ac:dyDescent="0.3">
      <c r="C550" s="102"/>
      <c r="D550" s="102"/>
      <c r="E550" s="102"/>
      <c r="F550" s="102"/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T550" s="102"/>
      <c r="U550" s="102"/>
      <c r="V550" s="102"/>
      <c r="Y550" s="102"/>
      <c r="Z550" s="102"/>
      <c r="AA550" s="102"/>
      <c r="AB550" s="102"/>
      <c r="AC550" s="102"/>
      <c r="AD550" s="102"/>
      <c r="AE550" s="102"/>
      <c r="AF550" s="102"/>
      <c r="AG550" s="151"/>
      <c r="AH550" s="102"/>
      <c r="AI550" s="102"/>
      <c r="AJ550" s="102"/>
      <c r="AK550" s="151"/>
      <c r="AL550" s="102"/>
      <c r="AM550" s="102"/>
      <c r="AN550" s="102"/>
    </row>
    <row r="551" spans="1:40" x14ac:dyDescent="0.3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91"/>
      <c r="AH551" s="101"/>
      <c r="AI551" s="101"/>
      <c r="AJ551" s="101"/>
      <c r="AK551" s="191"/>
      <c r="AL551" s="101"/>
      <c r="AM551" s="101"/>
      <c r="AN551" s="101"/>
    </row>
    <row r="552" spans="1:40" x14ac:dyDescent="0.3"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Y552" s="102"/>
      <c r="Z552" s="102"/>
      <c r="AA552" s="102"/>
      <c r="AB552" s="102"/>
      <c r="AC552" s="102"/>
      <c r="AD552" s="102"/>
      <c r="AE552" s="102"/>
      <c r="AF552" s="102"/>
      <c r="AG552" s="151"/>
      <c r="AH552" s="102"/>
      <c r="AI552" s="102"/>
      <c r="AJ552" s="102"/>
      <c r="AK552" s="151"/>
      <c r="AL552" s="102"/>
      <c r="AM552" s="102"/>
      <c r="AN552" s="102"/>
    </row>
    <row r="553" spans="1:40" x14ac:dyDescent="0.3">
      <c r="C553" s="99"/>
      <c r="D553" s="99"/>
      <c r="E553" s="99"/>
      <c r="T553" s="99"/>
      <c r="U553" s="99"/>
    </row>
    <row r="555" spans="1:40" x14ac:dyDescent="0.3">
      <c r="C555" s="99"/>
      <c r="T555" s="99"/>
    </row>
    <row r="556" spans="1:40" x14ac:dyDescent="0.3">
      <c r="C556" s="99"/>
      <c r="T556" s="99"/>
    </row>
    <row r="557" spans="1:40" x14ac:dyDescent="0.3">
      <c r="C557" s="99"/>
      <c r="F557" s="172"/>
      <c r="H557" s="172"/>
      <c r="I557" s="172"/>
      <c r="J557" s="228"/>
      <c r="K557" s="228"/>
      <c r="L557" s="110"/>
      <c r="M557" s="110"/>
      <c r="N557" s="141"/>
      <c r="O557" s="141"/>
      <c r="P557" s="110"/>
      <c r="Q557" s="110"/>
      <c r="R557" s="110"/>
      <c r="T557" s="99"/>
      <c r="V557" s="110"/>
      <c r="W557" s="110"/>
      <c r="X557" s="110"/>
      <c r="Y557" s="110"/>
      <c r="Z557" s="228"/>
      <c r="AA557" s="110"/>
      <c r="AB557" s="110"/>
      <c r="AC557" s="141"/>
      <c r="AD557" s="141"/>
      <c r="AE557" s="110"/>
      <c r="AF557" s="110"/>
      <c r="AH557" s="207"/>
      <c r="AI557" s="110"/>
      <c r="AJ557" s="110"/>
      <c r="AL557" s="110"/>
      <c r="AM557" s="207"/>
      <c r="AN557" s="207"/>
    </row>
    <row r="558" spans="1:40" x14ac:dyDescent="0.3">
      <c r="C558" s="99"/>
      <c r="F558" s="110"/>
      <c r="H558" s="110"/>
      <c r="I558" s="110"/>
      <c r="J558" s="163"/>
      <c r="K558" s="163"/>
      <c r="L558" s="110"/>
      <c r="M558" s="110"/>
      <c r="N558" s="141"/>
      <c r="O558" s="141"/>
      <c r="P558" s="110"/>
      <c r="Q558" s="110"/>
      <c r="R558" s="110"/>
      <c r="T558" s="99"/>
      <c r="V558" s="110"/>
      <c r="W558" s="110"/>
      <c r="X558" s="110"/>
      <c r="Y558" s="110"/>
      <c r="Z558" s="163"/>
      <c r="AA558" s="110"/>
      <c r="AB558" s="110"/>
      <c r="AC558" s="141"/>
      <c r="AD558" s="141"/>
      <c r="AE558" s="110"/>
      <c r="AF558" s="110"/>
      <c r="AH558" s="207"/>
      <c r="AI558" s="110"/>
      <c r="AJ558" s="110"/>
      <c r="AL558" s="110"/>
      <c r="AM558" s="207"/>
      <c r="AN558" s="207"/>
    </row>
    <row r="559" spans="1:40" x14ac:dyDescent="0.3">
      <c r="C559" s="99"/>
      <c r="F559" s="110"/>
      <c r="H559" s="110"/>
      <c r="I559" s="110"/>
      <c r="J559" s="163"/>
      <c r="K559" s="163"/>
      <c r="L559" s="110"/>
      <c r="M559" s="110"/>
      <c r="N559" s="141"/>
      <c r="O559" s="141"/>
      <c r="P559" s="110"/>
      <c r="Q559" s="110"/>
      <c r="R559" s="110"/>
      <c r="T559" s="99"/>
      <c r="V559" s="110"/>
      <c r="W559" s="110"/>
      <c r="X559" s="110"/>
      <c r="Y559" s="110"/>
      <c r="Z559" s="163"/>
      <c r="AA559" s="110"/>
      <c r="AB559" s="110"/>
      <c r="AC559" s="141"/>
      <c r="AD559" s="141"/>
      <c r="AE559" s="110"/>
      <c r="AF559" s="110"/>
      <c r="AH559" s="207"/>
      <c r="AI559" s="110"/>
      <c r="AJ559" s="110"/>
      <c r="AL559" s="110"/>
      <c r="AM559" s="207"/>
      <c r="AN559" s="207"/>
    </row>
    <row r="560" spans="1:40" x14ac:dyDescent="0.3">
      <c r="C560" s="99"/>
      <c r="F560" s="110"/>
      <c r="H560" s="110"/>
      <c r="I560" s="110"/>
      <c r="J560" s="163"/>
      <c r="K560" s="163"/>
      <c r="T560" s="99"/>
      <c r="V560" s="110"/>
      <c r="Z560" s="163"/>
    </row>
    <row r="561" spans="3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3:40" x14ac:dyDescent="0.3">
      <c r="C562" s="99"/>
      <c r="F562" s="110"/>
      <c r="H562" s="110"/>
      <c r="I562" s="110"/>
      <c r="J562" s="163"/>
      <c r="K562" s="163"/>
      <c r="T562" s="99"/>
      <c r="V562" s="110"/>
      <c r="W562" s="110"/>
      <c r="X562" s="110"/>
      <c r="Y562" s="110"/>
      <c r="Z562" s="163"/>
      <c r="AC562" s="141"/>
      <c r="AD562" s="141"/>
      <c r="AE562" s="110"/>
      <c r="AF562" s="110"/>
      <c r="AH562" s="207"/>
      <c r="AI562" s="110"/>
      <c r="AJ562" s="110"/>
      <c r="AL562" s="110"/>
      <c r="AM562" s="207"/>
      <c r="AN562" s="207"/>
    </row>
    <row r="563" spans="3:40" x14ac:dyDescent="0.3">
      <c r="C563" s="99"/>
      <c r="F563" s="172"/>
      <c r="H563" s="172"/>
      <c r="I563" s="172"/>
      <c r="J563" s="228"/>
      <c r="K563" s="228"/>
      <c r="L563" s="110"/>
      <c r="M563" s="110"/>
      <c r="N563" s="141"/>
      <c r="O563" s="141"/>
      <c r="P563" s="110"/>
      <c r="Q563" s="110"/>
      <c r="R563" s="110"/>
      <c r="T563" s="99"/>
      <c r="V563" s="110"/>
      <c r="W563" s="110"/>
      <c r="X563" s="110"/>
      <c r="Y563" s="110"/>
      <c r="Z563" s="228"/>
      <c r="AA563" s="110"/>
      <c r="AB563" s="110"/>
      <c r="AC563" s="141"/>
      <c r="AD563" s="141"/>
      <c r="AE563" s="110"/>
      <c r="AF563" s="110"/>
      <c r="AH563" s="207"/>
      <c r="AI563" s="110"/>
      <c r="AJ563" s="110"/>
      <c r="AL563" s="110"/>
      <c r="AM563" s="207"/>
      <c r="AN563" s="207"/>
    </row>
    <row r="564" spans="3:40" x14ac:dyDescent="0.3">
      <c r="C564" s="99"/>
      <c r="F564" s="110"/>
      <c r="H564" s="110"/>
      <c r="I564" s="110"/>
      <c r="J564" s="163"/>
      <c r="K564" s="163"/>
      <c r="L564" s="110"/>
      <c r="M564" s="110"/>
      <c r="N564" s="141"/>
      <c r="O564" s="141"/>
      <c r="P564" s="110"/>
      <c r="Q564" s="110"/>
      <c r="R564" s="110"/>
      <c r="T564" s="99"/>
      <c r="V564" s="110"/>
      <c r="W564" s="110"/>
      <c r="X564" s="110"/>
      <c r="Y564" s="110"/>
      <c r="Z564" s="163"/>
      <c r="AA564" s="110"/>
      <c r="AB564" s="110"/>
      <c r="AC564" s="141"/>
      <c r="AD564" s="141"/>
      <c r="AE564" s="110"/>
      <c r="AF564" s="110"/>
      <c r="AH564" s="207"/>
      <c r="AI564" s="110"/>
      <c r="AJ564" s="110"/>
      <c r="AL564" s="110"/>
      <c r="AM564" s="207"/>
      <c r="AN564" s="207"/>
    </row>
    <row r="565" spans="3:40" x14ac:dyDescent="0.3">
      <c r="F565" s="110"/>
      <c r="H565" s="110"/>
      <c r="I565" s="110"/>
      <c r="J565" s="163"/>
      <c r="K565" s="163"/>
      <c r="Z565" s="163"/>
    </row>
    <row r="566" spans="3:40" x14ac:dyDescent="0.3">
      <c r="C566" s="99"/>
      <c r="F566" s="110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228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207"/>
      <c r="AN566" s="207"/>
    </row>
    <row r="567" spans="3:40" x14ac:dyDescent="0.3">
      <c r="F567" s="192"/>
      <c r="H567" s="192"/>
      <c r="I567" s="192"/>
      <c r="J567" s="228"/>
      <c r="K567" s="228"/>
      <c r="L567" s="192"/>
      <c r="M567" s="192"/>
      <c r="N567" s="192"/>
      <c r="O567" s="192"/>
      <c r="P567" s="192"/>
      <c r="Q567" s="192"/>
      <c r="R567" s="192"/>
      <c r="V567" s="192"/>
      <c r="Y567" s="192"/>
      <c r="Z567" s="228"/>
      <c r="AA567" s="192"/>
      <c r="AB567" s="192"/>
      <c r="AC567" s="192"/>
      <c r="AD567" s="192"/>
      <c r="AE567" s="192"/>
      <c r="AF567" s="192"/>
      <c r="AI567" s="192"/>
      <c r="AJ567" s="192"/>
      <c r="AK567" s="194"/>
      <c r="AL567" s="192"/>
    </row>
    <row r="568" spans="3:40" x14ac:dyDescent="0.3">
      <c r="C568" s="99"/>
      <c r="F568" s="110"/>
      <c r="H568" s="110"/>
      <c r="I568" s="110"/>
      <c r="J568" s="163"/>
      <c r="K568" s="163"/>
      <c r="L568" s="110"/>
      <c r="M568" s="110"/>
      <c r="P568" s="110"/>
      <c r="Q568" s="110"/>
      <c r="R568" s="110"/>
      <c r="T568" s="99"/>
      <c r="V568" s="110"/>
      <c r="Y568" s="110"/>
      <c r="Z568" s="163"/>
      <c r="AA568" s="110"/>
      <c r="AB568" s="110"/>
      <c r="AC568" s="207"/>
      <c r="AD568" s="207"/>
      <c r="AE568" s="110"/>
      <c r="AF568" s="110"/>
      <c r="AH568" s="207"/>
      <c r="AI568" s="110"/>
      <c r="AJ568" s="110"/>
      <c r="AL568" s="110"/>
      <c r="AM568" s="207"/>
      <c r="AN568" s="207"/>
    </row>
    <row r="569" spans="3:40" x14ac:dyDescent="0.3">
      <c r="F569" s="192"/>
      <c r="H569" s="192"/>
      <c r="I569" s="192"/>
      <c r="J569" s="228"/>
      <c r="K569" s="228"/>
      <c r="L569" s="192"/>
      <c r="M569" s="192"/>
      <c r="N569" s="192"/>
      <c r="O569" s="192"/>
      <c r="P569" s="192"/>
      <c r="Q569" s="192"/>
      <c r="R569" s="192"/>
      <c r="V569" s="192"/>
      <c r="Y569" s="192"/>
      <c r="Z569" s="228"/>
      <c r="AA569" s="192"/>
      <c r="AB569" s="192"/>
      <c r="AC569" s="192"/>
      <c r="AD569" s="192"/>
      <c r="AE569" s="192"/>
      <c r="AF569" s="192"/>
      <c r="AI569" s="192"/>
      <c r="AJ569" s="192"/>
      <c r="AK569" s="194"/>
      <c r="AL569" s="192"/>
    </row>
    <row r="570" spans="3:40" x14ac:dyDescent="0.3">
      <c r="J570" s="163"/>
      <c r="K570" s="163"/>
      <c r="Z570" s="163"/>
    </row>
    <row r="571" spans="3:40" x14ac:dyDescent="0.3">
      <c r="C571" s="99"/>
      <c r="J571" s="163"/>
      <c r="K571" s="163"/>
      <c r="T571" s="99"/>
      <c r="Z571" s="163"/>
    </row>
    <row r="572" spans="3:40" x14ac:dyDescent="0.3">
      <c r="C572" s="99"/>
      <c r="J572" s="163"/>
      <c r="K572" s="163"/>
      <c r="T572" s="99"/>
      <c r="Z572" s="163"/>
    </row>
    <row r="573" spans="3:40" x14ac:dyDescent="0.3">
      <c r="C573" s="99"/>
      <c r="F573" s="172"/>
      <c r="H573" s="172"/>
      <c r="I573" s="172"/>
      <c r="J573" s="228"/>
      <c r="K573" s="228"/>
      <c r="L573" s="110"/>
      <c r="M573" s="110"/>
      <c r="N573" s="141"/>
      <c r="O573" s="141"/>
      <c r="P573" s="110"/>
      <c r="Q573" s="110"/>
      <c r="R573" s="110"/>
      <c r="T573" s="99"/>
      <c r="V573" s="110"/>
      <c r="W573" s="110"/>
      <c r="X573" s="110"/>
      <c r="Y573" s="110"/>
      <c r="Z573" s="228"/>
      <c r="AA573" s="110"/>
      <c r="AB573" s="110"/>
      <c r="AC573" s="141"/>
      <c r="AD573" s="141"/>
      <c r="AE573" s="110"/>
      <c r="AF573" s="110"/>
      <c r="AH573" s="207"/>
      <c r="AI573" s="110"/>
      <c r="AJ573" s="110"/>
      <c r="AL573" s="110"/>
      <c r="AM573" s="207"/>
      <c r="AN573" s="207"/>
    </row>
    <row r="574" spans="3:40" x14ac:dyDescent="0.3">
      <c r="C574" s="99"/>
      <c r="J574" s="163"/>
      <c r="K574" s="163"/>
      <c r="T574" s="99"/>
      <c r="Z574" s="163"/>
    </row>
    <row r="575" spans="3:40" x14ac:dyDescent="0.3">
      <c r="C575" s="99"/>
      <c r="F575" s="172"/>
      <c r="H575" s="172"/>
      <c r="I575" s="172"/>
      <c r="J575" s="228"/>
      <c r="K575" s="228"/>
      <c r="L575" s="110"/>
      <c r="M575" s="110"/>
      <c r="N575" s="141"/>
      <c r="O575" s="141"/>
      <c r="P575" s="110"/>
      <c r="Q575" s="110"/>
      <c r="R575" s="110"/>
      <c r="T575" s="99"/>
      <c r="V575" s="110"/>
      <c r="W575" s="110"/>
      <c r="X575" s="110"/>
      <c r="Y575" s="110"/>
      <c r="Z575" s="228"/>
      <c r="AA575" s="110"/>
      <c r="AB575" s="110"/>
      <c r="AC575" s="141"/>
      <c r="AD575" s="141"/>
      <c r="AE575" s="110"/>
      <c r="AF575" s="110"/>
      <c r="AH575" s="207"/>
      <c r="AI575" s="110"/>
      <c r="AJ575" s="110"/>
      <c r="AL575" s="110"/>
      <c r="AM575" s="207"/>
      <c r="AN575" s="207"/>
    </row>
    <row r="576" spans="3:40" x14ac:dyDescent="0.3">
      <c r="F576" s="192"/>
      <c r="H576" s="192"/>
      <c r="I576" s="192"/>
      <c r="J576" s="228"/>
      <c r="K576" s="228"/>
      <c r="L576" s="192"/>
      <c r="M576" s="192"/>
      <c r="N576" s="192"/>
      <c r="O576" s="192"/>
      <c r="P576" s="192"/>
      <c r="Q576" s="192"/>
      <c r="R576" s="192"/>
      <c r="V576" s="192"/>
      <c r="Y576" s="192"/>
      <c r="Z576" s="228"/>
      <c r="AA576" s="192"/>
      <c r="AB576" s="192"/>
      <c r="AC576" s="192"/>
      <c r="AD576" s="192"/>
      <c r="AE576" s="192"/>
      <c r="AF576" s="192"/>
      <c r="AI576" s="192"/>
      <c r="AJ576" s="192"/>
      <c r="AK576" s="194"/>
      <c r="AL576" s="192"/>
    </row>
    <row r="577" spans="1:40" x14ac:dyDescent="0.3">
      <c r="C577" s="99"/>
      <c r="F577" s="110"/>
      <c r="H577" s="110"/>
      <c r="I577" s="110"/>
      <c r="J577" s="163"/>
      <c r="K577" s="163"/>
      <c r="L577" s="110"/>
      <c r="M577" s="110"/>
      <c r="N577" s="207"/>
      <c r="O577" s="207"/>
      <c r="P577" s="110"/>
      <c r="Q577" s="110"/>
      <c r="R577" s="110"/>
      <c r="T577" s="99"/>
      <c r="V577" s="110"/>
      <c r="Y577" s="110"/>
      <c r="Z577" s="163"/>
      <c r="AA577" s="110"/>
      <c r="AB577" s="110"/>
      <c r="AC577" s="207"/>
      <c r="AD577" s="207"/>
      <c r="AE577" s="110"/>
      <c r="AF577" s="110"/>
      <c r="AH577" s="207"/>
      <c r="AI577" s="110"/>
      <c r="AJ577" s="110"/>
      <c r="AL577" s="110"/>
      <c r="AM577" s="207"/>
      <c r="AN577" s="207"/>
    </row>
    <row r="578" spans="1:40" x14ac:dyDescent="0.3">
      <c r="F578" s="192"/>
      <c r="H578" s="192"/>
      <c r="I578" s="192"/>
      <c r="J578" s="228"/>
      <c r="K578" s="228"/>
      <c r="L578" s="192"/>
      <c r="M578" s="192"/>
      <c r="N578" s="192"/>
      <c r="O578" s="192"/>
      <c r="P578" s="192"/>
      <c r="Q578" s="192"/>
      <c r="R578" s="192"/>
      <c r="V578" s="192"/>
      <c r="Y578" s="192"/>
      <c r="Z578" s="217"/>
      <c r="AA578" s="192"/>
      <c r="AB578" s="192"/>
      <c r="AC578" s="192"/>
      <c r="AD578" s="192"/>
      <c r="AE578" s="192"/>
      <c r="AF578" s="192"/>
      <c r="AI578" s="192"/>
      <c r="AJ578" s="192"/>
      <c r="AK578" s="194"/>
      <c r="AL578" s="192"/>
    </row>
    <row r="579" spans="1:40" x14ac:dyDescent="0.3">
      <c r="J579" s="163"/>
      <c r="K579" s="163"/>
    </row>
    <row r="580" spans="1:40" x14ac:dyDescent="0.3">
      <c r="C580" s="99"/>
      <c r="F580" s="110"/>
      <c r="H580" s="110"/>
      <c r="I580" s="110"/>
      <c r="J580" s="163"/>
      <c r="K580" s="163"/>
      <c r="L580" s="110"/>
      <c r="M580" s="110"/>
      <c r="N580" s="141"/>
      <c r="O580" s="141"/>
      <c r="P580" s="172"/>
      <c r="Q580" s="172"/>
      <c r="R580" s="110"/>
      <c r="T580" s="99"/>
      <c r="V580" s="110"/>
      <c r="Y580" s="110"/>
      <c r="AA580" s="110"/>
      <c r="AB580" s="110"/>
      <c r="AC580" s="207"/>
      <c r="AD580" s="207"/>
      <c r="AE580" s="110"/>
      <c r="AF580" s="110"/>
      <c r="AH580" s="207"/>
      <c r="AI580" s="172"/>
      <c r="AJ580" s="172"/>
      <c r="AL580" s="110"/>
      <c r="AM580" s="207"/>
      <c r="AN580" s="207"/>
    </row>
    <row r="581" spans="1:40" x14ac:dyDescent="0.3">
      <c r="F581" s="192"/>
      <c r="H581" s="192"/>
      <c r="I581" s="192"/>
      <c r="J581" s="228"/>
      <c r="K581" s="228"/>
      <c r="L581" s="192"/>
      <c r="M581" s="192"/>
      <c r="N581" s="192"/>
      <c r="O581" s="192"/>
      <c r="P581" s="192"/>
      <c r="Q581" s="192"/>
      <c r="R581" s="192"/>
      <c r="V581" s="192"/>
      <c r="Y581" s="192"/>
      <c r="Z581" s="217"/>
      <c r="AA581" s="192"/>
      <c r="AB581" s="192"/>
      <c r="AC581" s="192"/>
      <c r="AD581" s="192"/>
      <c r="AE581" s="192"/>
      <c r="AF581" s="192"/>
      <c r="AI581" s="192"/>
      <c r="AJ581" s="192"/>
      <c r="AK581" s="194"/>
      <c r="AL581" s="192"/>
    </row>
    <row r="584" spans="1:40" x14ac:dyDescent="0.3">
      <c r="A584" s="99"/>
    </row>
    <row r="586" spans="1:40" x14ac:dyDescent="0.3">
      <c r="H586" s="99"/>
      <c r="I586" s="99"/>
      <c r="Y586" s="99"/>
    </row>
    <row r="588" spans="1:40" x14ac:dyDescent="0.3">
      <c r="L588" s="99"/>
      <c r="M588" s="99"/>
      <c r="AA588" s="99"/>
      <c r="AB588" s="99"/>
    </row>
    <row r="589" spans="1:40" x14ac:dyDescent="0.3">
      <c r="R589" s="99"/>
      <c r="AK589" s="190"/>
      <c r="AL589" s="99"/>
    </row>
    <row r="590" spans="1:40" x14ac:dyDescent="0.3">
      <c r="R590" s="99"/>
      <c r="AK590" s="190"/>
      <c r="AL590" s="99"/>
    </row>
    <row r="591" spans="1:40" x14ac:dyDescent="0.3">
      <c r="A591" s="99"/>
      <c r="R591" s="99"/>
      <c r="AK591" s="190"/>
      <c r="AL591" s="99"/>
    </row>
    <row r="592" spans="1:40" x14ac:dyDescent="0.3">
      <c r="L592" s="99"/>
      <c r="M592" s="99"/>
      <c r="AA592" s="99"/>
      <c r="AB592" s="99"/>
    </row>
    <row r="593" spans="1:40" x14ac:dyDescent="0.3">
      <c r="A593" s="101"/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T593" s="101"/>
      <c r="U593" s="101"/>
      <c r="V593" s="101"/>
      <c r="W593" s="101"/>
      <c r="X593" s="101"/>
      <c r="Y593" s="101"/>
      <c r="Z593" s="101"/>
      <c r="AA593" s="101"/>
      <c r="AB593" s="101"/>
      <c r="AC593" s="101"/>
      <c r="AD593" s="101"/>
      <c r="AE593" s="101"/>
      <c r="AF593" s="101"/>
      <c r="AG593" s="191"/>
      <c r="AH593" s="101"/>
      <c r="AI593" s="101"/>
      <c r="AJ593" s="101"/>
      <c r="AK593" s="191"/>
      <c r="AL593" s="101"/>
      <c r="AM593" s="101"/>
      <c r="AN593" s="101"/>
    </row>
    <row r="594" spans="1:40" x14ac:dyDescent="0.3">
      <c r="L594" s="102"/>
      <c r="M594" s="102"/>
      <c r="N594" s="102"/>
      <c r="O594" s="102"/>
      <c r="R594" s="102"/>
      <c r="AA594" s="102"/>
      <c r="AB594" s="102"/>
      <c r="AC594" s="102"/>
      <c r="AD594" s="102"/>
      <c r="AE594" s="102"/>
      <c r="AF594" s="102"/>
      <c r="AG594" s="151"/>
      <c r="AH594" s="102"/>
      <c r="AK594" s="151"/>
      <c r="AL594" s="102"/>
      <c r="AM594" s="102"/>
      <c r="AN594" s="102"/>
    </row>
    <row r="595" spans="1:40" x14ac:dyDescent="0.3">
      <c r="L595" s="102"/>
      <c r="M595" s="102"/>
      <c r="N595" s="102"/>
      <c r="O595" s="102"/>
      <c r="R595" s="102"/>
      <c r="Z595" s="102"/>
      <c r="AA595" s="102"/>
      <c r="AB595" s="102"/>
      <c r="AC595" s="102"/>
      <c r="AD595" s="102"/>
      <c r="AE595" s="102"/>
      <c r="AF595" s="102"/>
      <c r="AG595" s="151"/>
      <c r="AH595" s="102"/>
      <c r="AK595" s="151"/>
      <c r="AL595" s="102"/>
      <c r="AM595" s="102"/>
      <c r="AN595" s="102"/>
    </row>
    <row r="596" spans="1:40" x14ac:dyDescent="0.3">
      <c r="A596" s="102"/>
      <c r="C596" s="102"/>
      <c r="D596" s="102"/>
      <c r="E596" s="102"/>
      <c r="F596" s="102"/>
      <c r="J596" s="102"/>
      <c r="K596" s="102"/>
      <c r="L596" s="102"/>
      <c r="M596" s="102"/>
      <c r="N596" s="102"/>
      <c r="O596" s="102"/>
      <c r="P596" s="102"/>
      <c r="Q596" s="102"/>
      <c r="R596" s="102"/>
      <c r="T596" s="102"/>
      <c r="U596" s="102"/>
      <c r="V596" s="102"/>
      <c r="Z596" s="102"/>
      <c r="AA596" s="102"/>
      <c r="AB596" s="102"/>
      <c r="AC596" s="102"/>
      <c r="AD596" s="102"/>
      <c r="AE596" s="102"/>
      <c r="AF596" s="102"/>
      <c r="AG596" s="151"/>
      <c r="AH596" s="102"/>
      <c r="AI596" s="102"/>
      <c r="AJ596" s="102"/>
      <c r="AK596" s="151"/>
      <c r="AL596" s="102"/>
      <c r="AM596" s="102"/>
      <c r="AN596" s="102"/>
    </row>
    <row r="597" spans="1:40" x14ac:dyDescent="0.3">
      <c r="A597" s="102"/>
      <c r="C597" s="102"/>
      <c r="D597" s="102"/>
      <c r="E597" s="102"/>
      <c r="F597" s="102"/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T597" s="102"/>
      <c r="U597" s="102"/>
      <c r="V597" s="102"/>
      <c r="Y597" s="102"/>
      <c r="Z597" s="102"/>
      <c r="AA597" s="102"/>
      <c r="AB597" s="102"/>
      <c r="AC597" s="102"/>
      <c r="AD597" s="102"/>
      <c r="AE597" s="102"/>
      <c r="AF597" s="102"/>
      <c r="AG597" s="151"/>
      <c r="AH597" s="102"/>
      <c r="AI597" s="102"/>
      <c r="AJ597" s="102"/>
      <c r="AK597" s="151"/>
      <c r="AL597" s="102"/>
      <c r="AM597" s="102"/>
      <c r="AN597" s="102"/>
    </row>
    <row r="598" spans="1:40" x14ac:dyDescent="0.3">
      <c r="C598" s="102"/>
      <c r="D598" s="102"/>
      <c r="E598" s="102"/>
      <c r="F598" s="102"/>
      <c r="H598" s="102"/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T598" s="102"/>
      <c r="U598" s="102"/>
      <c r="V598" s="102"/>
      <c r="Y598" s="102"/>
      <c r="Z598" s="102"/>
      <c r="AA598" s="102"/>
      <c r="AB598" s="102"/>
      <c r="AC598" s="102"/>
      <c r="AD598" s="102"/>
      <c r="AE598" s="102"/>
      <c r="AF598" s="102"/>
      <c r="AG598" s="151"/>
      <c r="AH598" s="102"/>
      <c r="AI598" s="102"/>
      <c r="AJ598" s="102"/>
      <c r="AK598" s="151"/>
      <c r="AL598" s="102"/>
      <c r="AM598" s="102"/>
      <c r="AN598" s="102"/>
    </row>
    <row r="599" spans="1:40" x14ac:dyDescent="0.3">
      <c r="A599" s="101"/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T599" s="101"/>
      <c r="U599" s="101"/>
      <c r="V599" s="101"/>
      <c r="W599" s="101"/>
      <c r="X599" s="101"/>
      <c r="Y599" s="101"/>
      <c r="Z599" s="101"/>
      <c r="AA599" s="101"/>
      <c r="AB599" s="101"/>
      <c r="AC599" s="101"/>
      <c r="AD599" s="101"/>
      <c r="AE599" s="101"/>
      <c r="AF599" s="101"/>
      <c r="AG599" s="191"/>
      <c r="AH599" s="101"/>
      <c r="AI599" s="101"/>
      <c r="AJ599" s="101"/>
      <c r="AK599" s="191"/>
      <c r="AL599" s="101"/>
      <c r="AM599" s="101"/>
      <c r="AN599" s="101"/>
    </row>
    <row r="600" spans="1:40" x14ac:dyDescent="0.3"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Y600" s="102"/>
      <c r="Z600" s="102"/>
      <c r="AA600" s="102"/>
      <c r="AB600" s="102"/>
      <c r="AC600" s="102"/>
      <c r="AD600" s="102"/>
      <c r="AE600" s="102"/>
      <c r="AF600" s="102"/>
      <c r="AG600" s="151"/>
      <c r="AH600" s="102"/>
      <c r="AI600" s="102"/>
      <c r="AJ600" s="102"/>
      <c r="AK600" s="151"/>
      <c r="AL600" s="102"/>
      <c r="AM600" s="102"/>
      <c r="AN600" s="102"/>
    </row>
    <row r="601" spans="1:40" x14ac:dyDescent="0.3">
      <c r="C601" s="99"/>
      <c r="D601" s="99"/>
      <c r="E601" s="99"/>
      <c r="T601" s="99"/>
      <c r="U601" s="99"/>
    </row>
    <row r="603" spans="1:40" x14ac:dyDescent="0.3">
      <c r="C603" s="99"/>
      <c r="D603" s="99"/>
      <c r="E603" s="99"/>
      <c r="T603" s="99"/>
      <c r="U603" s="99"/>
    </row>
    <row r="604" spans="1:40" x14ac:dyDescent="0.3">
      <c r="C604" s="99"/>
      <c r="T604" s="99"/>
    </row>
    <row r="605" spans="1:40" x14ac:dyDescent="0.3">
      <c r="C605" s="99"/>
      <c r="T605" s="99"/>
    </row>
    <row r="606" spans="1:40" x14ac:dyDescent="0.3">
      <c r="C606" s="99"/>
      <c r="F606" s="172"/>
      <c r="H606" s="172"/>
      <c r="I606" s="172"/>
      <c r="J606" s="228"/>
      <c r="K606" s="228"/>
      <c r="L606" s="110"/>
      <c r="M606" s="110"/>
      <c r="N606" s="141"/>
      <c r="O606" s="141"/>
      <c r="P606" s="110"/>
      <c r="Q606" s="110"/>
      <c r="R606" s="110"/>
      <c r="T606" s="99"/>
      <c r="V606" s="110"/>
      <c r="W606" s="110"/>
      <c r="X606" s="110"/>
      <c r="Y606" s="110"/>
      <c r="Z606" s="228"/>
      <c r="AA606" s="110"/>
      <c r="AB606" s="110"/>
      <c r="AC606" s="141"/>
      <c r="AD606" s="141"/>
      <c r="AE606" s="110"/>
      <c r="AF606" s="110"/>
      <c r="AH606" s="207"/>
      <c r="AI606" s="110"/>
      <c r="AJ606" s="110"/>
      <c r="AL606" s="110"/>
      <c r="AM606" s="141"/>
      <c r="AN606" s="141"/>
    </row>
    <row r="607" spans="1:40" x14ac:dyDescent="0.3">
      <c r="C607" s="99"/>
      <c r="J607" s="163"/>
      <c r="K607" s="163"/>
      <c r="T607" s="99"/>
      <c r="V607" s="110"/>
      <c r="W607" s="110"/>
      <c r="X607" s="110"/>
      <c r="Y607" s="110"/>
      <c r="Z607" s="228"/>
    </row>
    <row r="608" spans="1:40" x14ac:dyDescent="0.3">
      <c r="C608" s="99"/>
      <c r="F608" s="172"/>
      <c r="H608" s="172"/>
      <c r="I608" s="172"/>
      <c r="J608" s="228"/>
      <c r="K608" s="228"/>
      <c r="L608" s="110"/>
      <c r="M608" s="110"/>
      <c r="N608" s="141"/>
      <c r="O608" s="141"/>
      <c r="P608" s="110"/>
      <c r="Q608" s="110"/>
      <c r="R608" s="110"/>
      <c r="T608" s="99"/>
      <c r="V608" s="110"/>
      <c r="W608" s="110"/>
      <c r="X608" s="110"/>
      <c r="Y608" s="110"/>
      <c r="Z608" s="228"/>
      <c r="AA608" s="110"/>
      <c r="AB608" s="110"/>
      <c r="AC608" s="141"/>
      <c r="AD608" s="141"/>
      <c r="AE608" s="110"/>
      <c r="AF608" s="110"/>
      <c r="AH608" s="207"/>
      <c r="AI608" s="110"/>
      <c r="AJ608" s="110"/>
      <c r="AL608" s="110"/>
      <c r="AM608" s="141"/>
      <c r="AN608" s="141"/>
    </row>
    <row r="609" spans="3:40" x14ac:dyDescent="0.3">
      <c r="C609" s="99"/>
      <c r="J609" s="163"/>
      <c r="K609" s="163"/>
      <c r="T609" s="99"/>
      <c r="V609" s="110"/>
      <c r="W609" s="110"/>
      <c r="X609" s="110"/>
      <c r="Y609" s="110"/>
      <c r="Z609" s="228"/>
    </row>
    <row r="610" spans="3:40" x14ac:dyDescent="0.3">
      <c r="C610" s="99"/>
      <c r="F610" s="172"/>
      <c r="H610" s="172"/>
      <c r="I610" s="172"/>
      <c r="J610" s="228"/>
      <c r="K610" s="228"/>
      <c r="L610" s="110"/>
      <c r="M610" s="110"/>
      <c r="N610" s="141"/>
      <c r="O610" s="141"/>
      <c r="P610" s="110"/>
      <c r="Q610" s="110"/>
      <c r="R610" s="110"/>
      <c r="T610" s="99"/>
      <c r="V610" s="110"/>
      <c r="W610" s="110"/>
      <c r="X610" s="110"/>
      <c r="Y610" s="110"/>
      <c r="Z610" s="228"/>
      <c r="AA610" s="110"/>
      <c r="AB610" s="110"/>
      <c r="AC610" s="141"/>
      <c r="AD610" s="141"/>
      <c r="AE610" s="110"/>
      <c r="AF610" s="110"/>
      <c r="AH610" s="207"/>
      <c r="AI610" s="110"/>
      <c r="AJ610" s="110"/>
      <c r="AL610" s="110"/>
      <c r="AM610" s="141"/>
      <c r="AN610" s="141"/>
    </row>
    <row r="611" spans="3:40" x14ac:dyDescent="0.3">
      <c r="C611" s="99"/>
      <c r="J611" s="163"/>
      <c r="K611" s="163"/>
      <c r="T611" s="99"/>
      <c r="V611" s="110"/>
      <c r="W611" s="110"/>
      <c r="X611" s="110"/>
      <c r="Y611" s="110"/>
      <c r="Z611" s="228"/>
    </row>
    <row r="612" spans="3:40" x14ac:dyDescent="0.3">
      <c r="C612" s="99"/>
      <c r="F612" s="172"/>
      <c r="H612" s="172"/>
      <c r="I612" s="172"/>
      <c r="J612" s="228"/>
      <c r="K612" s="228"/>
      <c r="L612" s="110"/>
      <c r="M612" s="110"/>
      <c r="N612" s="141"/>
      <c r="O612" s="141"/>
      <c r="P612" s="110"/>
      <c r="Q612" s="110"/>
      <c r="R612" s="110"/>
      <c r="T612" s="99"/>
      <c r="V612" s="110"/>
      <c r="W612" s="110"/>
      <c r="X612" s="110"/>
      <c r="Y612" s="110"/>
      <c r="Z612" s="228"/>
      <c r="AA612" s="110"/>
      <c r="AB612" s="110"/>
      <c r="AC612" s="141"/>
      <c r="AD612" s="141"/>
      <c r="AE612" s="110"/>
      <c r="AF612" s="110"/>
      <c r="AH612" s="207"/>
      <c r="AI612" s="110"/>
      <c r="AJ612" s="110"/>
      <c r="AL612" s="110"/>
      <c r="AM612" s="141"/>
      <c r="AN612" s="141"/>
    </row>
    <row r="613" spans="3:40" x14ac:dyDescent="0.3">
      <c r="C613" s="99"/>
      <c r="J613" s="163"/>
      <c r="K613" s="163"/>
      <c r="T613" s="99"/>
      <c r="V613" s="110"/>
      <c r="W613" s="110"/>
      <c r="X613" s="110"/>
      <c r="Y613" s="110"/>
      <c r="Z613" s="228"/>
    </row>
    <row r="614" spans="3:40" x14ac:dyDescent="0.3">
      <c r="C614" s="99"/>
      <c r="F614" s="172"/>
      <c r="H614" s="172"/>
      <c r="I614" s="172"/>
      <c r="J614" s="228"/>
      <c r="K614" s="228"/>
      <c r="L614" s="110"/>
      <c r="M614" s="110"/>
      <c r="N614" s="141"/>
      <c r="O614" s="141"/>
      <c r="P614" s="110"/>
      <c r="Q614" s="110"/>
      <c r="R614" s="110"/>
      <c r="T614" s="99"/>
      <c r="V614" s="110"/>
      <c r="W614" s="110"/>
      <c r="X614" s="110"/>
      <c r="Y614" s="110"/>
      <c r="Z614" s="228"/>
      <c r="AA614" s="110"/>
      <c r="AB614" s="110"/>
      <c r="AC614" s="141"/>
      <c r="AD614" s="141"/>
      <c r="AE614" s="110"/>
      <c r="AF614" s="110"/>
      <c r="AH614" s="207"/>
      <c r="AI614" s="110"/>
      <c r="AJ614" s="110"/>
      <c r="AL614" s="110"/>
      <c r="AM614" s="141"/>
      <c r="AN614" s="141"/>
    </row>
    <row r="615" spans="3:40" x14ac:dyDescent="0.3">
      <c r="C615" s="99"/>
      <c r="J615" s="163"/>
      <c r="K615" s="163"/>
      <c r="T615" s="99"/>
      <c r="V615" s="110"/>
      <c r="W615" s="110"/>
      <c r="X615" s="110"/>
      <c r="Y615" s="110"/>
      <c r="Z615" s="228"/>
    </row>
    <row r="616" spans="3:40" x14ac:dyDescent="0.3">
      <c r="C616" s="99"/>
      <c r="F616" s="172"/>
      <c r="H616" s="172"/>
      <c r="I616" s="172"/>
      <c r="J616" s="228"/>
      <c r="K616" s="228"/>
      <c r="L616" s="110"/>
      <c r="M616" s="110"/>
      <c r="N616" s="141"/>
      <c r="O616" s="141"/>
      <c r="P616" s="110"/>
      <c r="Q616" s="110"/>
      <c r="R616" s="110"/>
      <c r="T616" s="99"/>
      <c r="V616" s="110"/>
      <c r="W616" s="110"/>
      <c r="X616" s="110"/>
      <c r="Y616" s="110"/>
      <c r="Z616" s="228"/>
      <c r="AA616" s="110"/>
      <c r="AB616" s="110"/>
      <c r="AC616" s="141"/>
      <c r="AD616" s="141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F617" s="192"/>
      <c r="H617" s="192"/>
      <c r="I617" s="192"/>
      <c r="J617" s="228"/>
      <c r="K617" s="228"/>
      <c r="L617" s="192"/>
      <c r="M617" s="192"/>
      <c r="N617" s="192"/>
      <c r="O617" s="192"/>
      <c r="P617" s="192"/>
      <c r="Q617" s="192"/>
      <c r="R617" s="192"/>
      <c r="V617" s="192"/>
      <c r="Y617" s="192"/>
      <c r="Z617" s="228"/>
      <c r="AA617" s="192"/>
      <c r="AB617" s="192"/>
      <c r="AC617" s="192"/>
      <c r="AD617" s="192"/>
      <c r="AE617" s="192"/>
      <c r="AF617" s="192"/>
      <c r="AI617" s="192"/>
      <c r="AJ617" s="192"/>
      <c r="AK617" s="194"/>
      <c r="AL617" s="192"/>
      <c r="AM617" s="141"/>
      <c r="AN617" s="141"/>
    </row>
    <row r="618" spans="3:40" x14ac:dyDescent="0.3">
      <c r="C618" s="99"/>
      <c r="F618" s="110"/>
      <c r="H618" s="110"/>
      <c r="I618" s="110"/>
      <c r="J618" s="163"/>
      <c r="K618" s="163"/>
      <c r="L618" s="110"/>
      <c r="M618" s="110"/>
      <c r="N618" s="141"/>
      <c r="O618" s="141"/>
      <c r="P618" s="172"/>
      <c r="Q618" s="172"/>
      <c r="R618" s="110"/>
      <c r="T618" s="99"/>
      <c r="V618" s="110"/>
      <c r="W618" s="110"/>
      <c r="X618" s="110"/>
      <c r="Y618" s="110"/>
      <c r="Z618" s="228"/>
      <c r="AA618" s="110"/>
      <c r="AB618" s="110"/>
      <c r="AC618" s="141"/>
      <c r="AD618" s="141"/>
      <c r="AE618" s="110"/>
      <c r="AF618" s="110"/>
      <c r="AH618" s="207"/>
      <c r="AI618" s="172"/>
      <c r="AJ618" s="172"/>
      <c r="AL618" s="110"/>
      <c r="AM618" s="141"/>
      <c r="AN618" s="141"/>
    </row>
    <row r="619" spans="3:40" x14ac:dyDescent="0.3">
      <c r="F619" s="192"/>
      <c r="H619" s="192"/>
      <c r="I619" s="192"/>
      <c r="J619" s="228"/>
      <c r="K619" s="228"/>
      <c r="L619" s="192"/>
      <c r="M619" s="192"/>
      <c r="N619" s="192"/>
      <c r="O619" s="192"/>
      <c r="P619" s="192"/>
      <c r="Q619" s="192"/>
      <c r="R619" s="192"/>
      <c r="V619" s="192"/>
      <c r="Y619" s="192"/>
      <c r="Z619" s="228"/>
      <c r="AA619" s="192"/>
      <c r="AB619" s="192"/>
      <c r="AC619" s="192"/>
      <c r="AD619" s="192"/>
      <c r="AE619" s="192"/>
      <c r="AF619" s="192"/>
      <c r="AI619" s="192"/>
      <c r="AJ619" s="192"/>
      <c r="AK619" s="194"/>
      <c r="AL619" s="192"/>
    </row>
    <row r="620" spans="3:40" x14ac:dyDescent="0.3">
      <c r="C620" s="99"/>
      <c r="D620" s="99"/>
      <c r="E620" s="99"/>
      <c r="J620" s="163"/>
      <c r="K620" s="163"/>
      <c r="T620" s="99"/>
      <c r="U620" s="99"/>
      <c r="V620" s="110"/>
      <c r="W620" s="110"/>
      <c r="X620" s="110"/>
      <c r="Y620" s="110"/>
      <c r="Z620" s="228"/>
    </row>
    <row r="621" spans="3:40" x14ac:dyDescent="0.3">
      <c r="C621" s="99"/>
      <c r="J621" s="163"/>
      <c r="K621" s="163"/>
      <c r="T621" s="99"/>
      <c r="V621" s="110"/>
      <c r="W621" s="110"/>
      <c r="X621" s="110"/>
      <c r="Y621" s="110"/>
      <c r="Z621" s="228"/>
    </row>
    <row r="622" spans="3:40" x14ac:dyDescent="0.3">
      <c r="C622" s="99"/>
      <c r="J622" s="163"/>
      <c r="K622" s="163"/>
      <c r="T622" s="99"/>
      <c r="V622" s="110"/>
      <c r="W622" s="110"/>
      <c r="X622" s="110"/>
      <c r="Y622" s="110"/>
      <c r="Z622" s="228"/>
    </row>
    <row r="623" spans="3:40" x14ac:dyDescent="0.3">
      <c r="C623" s="99"/>
      <c r="F623" s="172"/>
      <c r="H623" s="172"/>
      <c r="I623" s="172"/>
      <c r="J623" s="228"/>
      <c r="K623" s="228"/>
      <c r="L623" s="110"/>
      <c r="M623" s="110"/>
      <c r="N623" s="141"/>
      <c r="O623" s="141"/>
      <c r="P623" s="110"/>
      <c r="Q623" s="110"/>
      <c r="R623" s="110"/>
      <c r="T623" s="99"/>
      <c r="V623" s="110"/>
      <c r="W623" s="110"/>
      <c r="X623" s="110"/>
      <c r="Y623" s="110"/>
      <c r="Z623" s="228"/>
      <c r="AA623" s="110"/>
      <c r="AB623" s="110"/>
      <c r="AC623" s="141"/>
      <c r="AD623" s="141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C624" s="99"/>
      <c r="J624" s="163"/>
      <c r="K624" s="163"/>
      <c r="T624" s="99"/>
      <c r="V624" s="110"/>
      <c r="W624" s="110"/>
      <c r="X624" s="110"/>
      <c r="Y624" s="110"/>
      <c r="Z624" s="228"/>
    </row>
    <row r="625" spans="3:40" x14ac:dyDescent="0.3">
      <c r="C625" s="99"/>
      <c r="F625" s="172"/>
      <c r="H625" s="172"/>
      <c r="I625" s="172"/>
      <c r="J625" s="228"/>
      <c r="K625" s="228"/>
      <c r="L625" s="110"/>
      <c r="M625" s="110"/>
      <c r="N625" s="141"/>
      <c r="O625" s="141"/>
      <c r="P625" s="110"/>
      <c r="Q625" s="110"/>
      <c r="R625" s="110"/>
      <c r="T625" s="99"/>
      <c r="V625" s="110"/>
      <c r="W625" s="110"/>
      <c r="X625" s="110"/>
      <c r="Y625" s="110"/>
      <c r="Z625" s="228"/>
      <c r="AA625" s="110"/>
      <c r="AB625" s="110"/>
      <c r="AC625" s="141"/>
      <c r="AD625" s="141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F626" s="192"/>
      <c r="H626" s="192"/>
      <c r="I626" s="192"/>
      <c r="J626" s="228"/>
      <c r="K626" s="228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</row>
    <row r="627" spans="3:40" x14ac:dyDescent="0.3">
      <c r="C627" s="99"/>
      <c r="F627" s="110"/>
      <c r="H627" s="110"/>
      <c r="I627" s="110"/>
      <c r="L627" s="110"/>
      <c r="M627" s="110"/>
      <c r="N627" s="141"/>
      <c r="O627" s="141"/>
      <c r="P627" s="172"/>
      <c r="Q627" s="172"/>
      <c r="R627" s="110"/>
      <c r="T627" s="99"/>
      <c r="V627" s="110"/>
      <c r="W627" s="110"/>
      <c r="X627" s="110"/>
      <c r="Y627" s="110"/>
      <c r="Z627" s="227"/>
      <c r="AA627" s="110"/>
      <c r="AB627" s="110"/>
      <c r="AC627" s="141"/>
      <c r="AD627" s="141"/>
      <c r="AE627" s="110"/>
      <c r="AF627" s="110"/>
      <c r="AH627" s="207"/>
      <c r="AI627" s="172"/>
      <c r="AJ627" s="172"/>
      <c r="AL627" s="110"/>
      <c r="AM627" s="141"/>
      <c r="AN627" s="141"/>
    </row>
    <row r="628" spans="3:40" x14ac:dyDescent="0.3">
      <c r="F628" s="192"/>
      <c r="H628" s="192"/>
      <c r="I628" s="192"/>
      <c r="J628" s="217"/>
      <c r="K628" s="217"/>
      <c r="L628" s="192"/>
      <c r="M628" s="192"/>
      <c r="N628" s="192"/>
      <c r="O628" s="192"/>
      <c r="P628" s="192"/>
      <c r="Q628" s="192"/>
      <c r="R628" s="192"/>
      <c r="V628" s="192"/>
      <c r="Y628" s="192"/>
      <c r="Z628" s="217"/>
      <c r="AA628" s="192"/>
      <c r="AB628" s="192"/>
      <c r="AC628" s="192"/>
      <c r="AD628" s="192"/>
      <c r="AE628" s="192"/>
      <c r="AF628" s="192"/>
      <c r="AI628" s="192"/>
      <c r="AJ628" s="192"/>
      <c r="AK628" s="194"/>
      <c r="AL628" s="192"/>
    </row>
    <row r="629" spans="3:40" x14ac:dyDescent="0.3">
      <c r="C629" s="99"/>
      <c r="D629" s="99"/>
      <c r="E629" s="99"/>
      <c r="T629" s="99"/>
      <c r="U629" s="99"/>
      <c r="V629" s="110"/>
      <c r="W629" s="110"/>
      <c r="X629" s="110"/>
      <c r="Y629" s="110"/>
      <c r="Z629" s="227"/>
    </row>
    <row r="630" spans="3:40" x14ac:dyDescent="0.3">
      <c r="C630" s="99"/>
      <c r="T630" s="99"/>
      <c r="V630" s="110"/>
      <c r="W630" s="110"/>
      <c r="X630" s="110"/>
      <c r="Y630" s="110"/>
      <c r="Z630" s="227"/>
    </row>
    <row r="631" spans="3:40" x14ac:dyDescent="0.3">
      <c r="C631" s="99"/>
      <c r="F631" s="172"/>
      <c r="H631" s="172"/>
      <c r="I631" s="172"/>
      <c r="J631" s="227"/>
      <c r="K631" s="227"/>
      <c r="L631" s="110"/>
      <c r="M631" s="110"/>
      <c r="N631" s="141"/>
      <c r="O631" s="141"/>
      <c r="P631" s="110"/>
      <c r="Q631" s="110"/>
      <c r="R631" s="110"/>
      <c r="T631" s="99"/>
      <c r="V631" s="110"/>
      <c r="W631" s="110"/>
      <c r="X631" s="110"/>
      <c r="Y631" s="110"/>
      <c r="Z631" s="227"/>
      <c r="AA631" s="110"/>
      <c r="AB631" s="110"/>
      <c r="AC631" s="141"/>
      <c r="AD631" s="141"/>
      <c r="AE631" s="110"/>
      <c r="AF631" s="110"/>
      <c r="AH631" s="207"/>
      <c r="AI631" s="110"/>
      <c r="AJ631" s="110"/>
      <c r="AL631" s="110"/>
      <c r="AM631" s="141"/>
      <c r="AN631" s="141"/>
    </row>
    <row r="632" spans="3:40" x14ac:dyDescent="0.3">
      <c r="C632" s="99"/>
      <c r="T632" s="99"/>
      <c r="V632" s="110"/>
      <c r="W632" s="110"/>
      <c r="X632" s="110"/>
      <c r="Y632" s="110"/>
      <c r="Z632" s="227"/>
    </row>
    <row r="633" spans="3:40" x14ac:dyDescent="0.3">
      <c r="C633" s="99"/>
      <c r="F633" s="172"/>
      <c r="H633" s="172"/>
      <c r="I633" s="172"/>
      <c r="J633" s="227"/>
      <c r="K633" s="227"/>
      <c r="L633" s="110"/>
      <c r="M633" s="110"/>
      <c r="N633" s="141"/>
      <c r="O633" s="141"/>
      <c r="P633" s="110"/>
      <c r="Q633" s="110"/>
      <c r="R633" s="110"/>
      <c r="T633" s="99"/>
      <c r="V633" s="110"/>
      <c r="W633" s="110"/>
      <c r="X633" s="110"/>
      <c r="Y633" s="110"/>
      <c r="Z633" s="227"/>
      <c r="AA633" s="110"/>
      <c r="AB633" s="110"/>
      <c r="AC633" s="141"/>
      <c r="AD633" s="141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C634" s="99"/>
      <c r="T634" s="99"/>
      <c r="V634" s="110"/>
      <c r="W634" s="110"/>
      <c r="X634" s="110"/>
      <c r="Y634" s="110"/>
      <c r="Z634" s="227"/>
    </row>
    <row r="635" spans="3:40" x14ac:dyDescent="0.3">
      <c r="C635" s="99"/>
      <c r="F635" s="172"/>
      <c r="H635" s="172"/>
      <c r="I635" s="172"/>
      <c r="J635" s="227"/>
      <c r="K635" s="227"/>
      <c r="L635" s="110"/>
      <c r="M635" s="110"/>
      <c r="N635" s="141"/>
      <c r="O635" s="141"/>
      <c r="P635" s="110"/>
      <c r="Q635" s="110"/>
      <c r="R635" s="110"/>
      <c r="T635" s="99"/>
      <c r="V635" s="110"/>
      <c r="W635" s="110"/>
      <c r="X635" s="110"/>
      <c r="Y635" s="110"/>
      <c r="Z635" s="227"/>
      <c r="AA635" s="110"/>
      <c r="AB635" s="110"/>
      <c r="AC635" s="141"/>
      <c r="AD635" s="141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C636" s="99"/>
      <c r="T636" s="99"/>
      <c r="V636" s="110"/>
      <c r="W636" s="110"/>
      <c r="X636" s="110"/>
      <c r="Y636" s="110"/>
      <c r="Z636" s="227"/>
    </row>
    <row r="637" spans="3:40" x14ac:dyDescent="0.3">
      <c r="C637" s="99"/>
      <c r="F637" s="172"/>
      <c r="H637" s="172"/>
      <c r="I637" s="172"/>
      <c r="J637" s="227"/>
      <c r="K637" s="227"/>
      <c r="L637" s="110"/>
      <c r="M637" s="110"/>
      <c r="N637" s="141"/>
      <c r="O637" s="141"/>
      <c r="P637" s="110"/>
      <c r="Q637" s="110"/>
      <c r="R637" s="110"/>
      <c r="T637" s="99"/>
      <c r="V637" s="110"/>
      <c r="W637" s="110"/>
      <c r="X637" s="110"/>
      <c r="Y637" s="110"/>
      <c r="Z637" s="227"/>
      <c r="AA637" s="110"/>
      <c r="AB637" s="110"/>
      <c r="AC637" s="141"/>
      <c r="AD637" s="141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F638" s="192"/>
      <c r="H638" s="192"/>
      <c r="I638" s="192"/>
      <c r="J638" s="217"/>
      <c r="K638" s="217"/>
      <c r="L638" s="192"/>
      <c r="M638" s="192"/>
      <c r="N638" s="192"/>
      <c r="O638" s="192"/>
      <c r="P638" s="192"/>
      <c r="Q638" s="192"/>
      <c r="R638" s="192"/>
      <c r="V638" s="192"/>
      <c r="Y638" s="192"/>
      <c r="Z638" s="217"/>
      <c r="AA638" s="192"/>
      <c r="AB638" s="192"/>
      <c r="AC638" s="192"/>
      <c r="AD638" s="192"/>
      <c r="AE638" s="192"/>
      <c r="AF638" s="192"/>
      <c r="AI638" s="192"/>
      <c r="AJ638" s="192"/>
      <c r="AK638" s="194"/>
      <c r="AL638" s="192"/>
    </row>
    <row r="639" spans="3:40" x14ac:dyDescent="0.3">
      <c r="C639" s="99"/>
      <c r="F639" s="110"/>
      <c r="H639" s="110"/>
      <c r="I639" s="110"/>
      <c r="L639" s="110"/>
      <c r="M639" s="110"/>
      <c r="N639" s="141"/>
      <c r="O639" s="141"/>
      <c r="P639" s="172"/>
      <c r="Q639" s="172"/>
      <c r="R639" s="110"/>
      <c r="T639" s="99"/>
      <c r="V639" s="110"/>
      <c r="W639" s="110"/>
      <c r="X639" s="110"/>
      <c r="Y639" s="110"/>
      <c r="Z639" s="227"/>
      <c r="AA639" s="110"/>
      <c r="AB639" s="110"/>
      <c r="AC639" s="141"/>
      <c r="AD639" s="141"/>
      <c r="AE639" s="110"/>
      <c r="AF639" s="110"/>
      <c r="AH639" s="207"/>
      <c r="AI639" s="172"/>
      <c r="AJ639" s="172"/>
      <c r="AL639" s="110"/>
      <c r="AM639" s="141"/>
      <c r="AN639" s="141"/>
    </row>
    <row r="640" spans="3:40" x14ac:dyDescent="0.3">
      <c r="F640" s="192"/>
      <c r="H640" s="192"/>
      <c r="I640" s="192"/>
      <c r="J640" s="217"/>
      <c r="K640" s="217"/>
      <c r="L640" s="192"/>
      <c r="M640" s="192"/>
      <c r="N640" s="192"/>
      <c r="O640" s="192"/>
      <c r="P640" s="192"/>
      <c r="Q640" s="192"/>
      <c r="R640" s="192"/>
      <c r="V640" s="192"/>
      <c r="Y640" s="192"/>
      <c r="Z640" s="217"/>
      <c r="AA640" s="192"/>
      <c r="AB640" s="192"/>
      <c r="AC640" s="192"/>
      <c r="AD640" s="192"/>
      <c r="AE640" s="192"/>
      <c r="AF640" s="192"/>
      <c r="AI640" s="192"/>
      <c r="AJ640" s="192"/>
      <c r="AK640" s="194"/>
      <c r="AL640" s="192"/>
    </row>
    <row r="641" spans="1:40" x14ac:dyDescent="0.3">
      <c r="C641" s="99"/>
      <c r="F641" s="110"/>
      <c r="H641" s="110"/>
      <c r="I641" s="110"/>
      <c r="L641" s="110"/>
      <c r="M641" s="110"/>
      <c r="N641" s="141"/>
      <c r="O641" s="141"/>
      <c r="P641" s="110"/>
      <c r="Q641" s="110"/>
      <c r="R641" s="110"/>
      <c r="T641" s="99"/>
      <c r="V641" s="110"/>
      <c r="W641" s="110"/>
      <c r="X641" s="110"/>
      <c r="Y641" s="110"/>
      <c r="AA641" s="110"/>
      <c r="AB641" s="110"/>
      <c r="AC641" s="141"/>
      <c r="AD641" s="141"/>
      <c r="AE641" s="110"/>
      <c r="AF641" s="110"/>
      <c r="AH641" s="207"/>
      <c r="AI641" s="110"/>
      <c r="AJ641" s="110"/>
      <c r="AL641" s="110"/>
      <c r="AM641" s="207"/>
      <c r="AN641" s="207"/>
    </row>
    <row r="642" spans="1:40" x14ac:dyDescent="0.3">
      <c r="F642" s="192"/>
      <c r="H642" s="192"/>
      <c r="I642" s="192"/>
      <c r="J642" s="217"/>
      <c r="K642" s="217"/>
      <c r="L642" s="192"/>
      <c r="M642" s="192"/>
      <c r="N642" s="192"/>
      <c r="O642" s="192"/>
      <c r="P642" s="192"/>
      <c r="Q642" s="192"/>
      <c r="R642" s="192"/>
      <c r="V642" s="192"/>
      <c r="Y642" s="192"/>
      <c r="Z642" s="217"/>
      <c r="AA642" s="192"/>
      <c r="AB642" s="192"/>
      <c r="AC642" s="192"/>
      <c r="AD642" s="192"/>
      <c r="AE642" s="192"/>
      <c r="AF642" s="192"/>
      <c r="AI642" s="192"/>
      <c r="AJ642" s="192"/>
      <c r="AK642" s="194"/>
      <c r="AL642" s="192"/>
    </row>
    <row r="645" spans="1:40" x14ac:dyDescent="0.3">
      <c r="A645" s="99"/>
    </row>
    <row r="647" spans="1:40" x14ac:dyDescent="0.3">
      <c r="H647" s="99"/>
      <c r="I647" s="99"/>
      <c r="Y647" s="99"/>
    </row>
    <row r="649" spans="1:40" x14ac:dyDescent="0.3">
      <c r="L649" s="99"/>
      <c r="M649" s="99"/>
      <c r="AA649" s="99"/>
      <c r="AB649" s="99"/>
    </row>
    <row r="650" spans="1:40" x14ac:dyDescent="0.3">
      <c r="R650" s="99"/>
      <c r="AK650" s="190"/>
      <c r="AL650" s="99"/>
    </row>
    <row r="651" spans="1:40" x14ac:dyDescent="0.3">
      <c r="R651" s="99"/>
      <c r="AK651" s="190"/>
      <c r="AL651" s="99"/>
    </row>
    <row r="652" spans="1:40" x14ac:dyDescent="0.3">
      <c r="A652" s="99"/>
      <c r="R652" s="99"/>
      <c r="AK652" s="190"/>
      <c r="AL652" s="99"/>
    </row>
    <row r="653" spans="1:40" x14ac:dyDescent="0.3">
      <c r="L653" s="99"/>
      <c r="M653" s="99"/>
      <c r="AA653" s="99"/>
      <c r="AB653" s="99"/>
    </row>
    <row r="654" spans="1:40" x14ac:dyDescent="0.3">
      <c r="A654" s="101"/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T654" s="101"/>
      <c r="U654" s="101"/>
      <c r="V654" s="101"/>
      <c r="W654" s="101"/>
      <c r="X654" s="101"/>
      <c r="Y654" s="101"/>
      <c r="Z654" s="101"/>
      <c r="AA654" s="101"/>
      <c r="AB654" s="101"/>
      <c r="AC654" s="101"/>
      <c r="AD654" s="101"/>
      <c r="AE654" s="101"/>
      <c r="AF654" s="101"/>
      <c r="AG654" s="191"/>
      <c r="AH654" s="101"/>
      <c r="AI654" s="101"/>
      <c r="AJ654" s="101"/>
      <c r="AK654" s="191"/>
      <c r="AL654" s="101"/>
      <c r="AM654" s="101"/>
      <c r="AN654" s="101"/>
    </row>
    <row r="655" spans="1:40" x14ac:dyDescent="0.3">
      <c r="L655" s="102"/>
      <c r="M655" s="102"/>
      <c r="N655" s="102"/>
      <c r="O655" s="102"/>
      <c r="R655" s="102"/>
      <c r="AA655" s="102"/>
      <c r="AB655" s="102"/>
      <c r="AC655" s="102"/>
      <c r="AD655" s="102"/>
      <c r="AE655" s="102"/>
      <c r="AF655" s="102"/>
      <c r="AG655" s="151"/>
      <c r="AH655" s="102"/>
      <c r="AK655" s="151"/>
      <c r="AL655" s="102"/>
      <c r="AM655" s="102"/>
      <c r="AN655" s="102"/>
    </row>
    <row r="656" spans="1:40" x14ac:dyDescent="0.3">
      <c r="L656" s="102"/>
      <c r="M656" s="102"/>
      <c r="N656" s="102"/>
      <c r="O656" s="102"/>
      <c r="R656" s="102"/>
      <c r="Z656" s="102"/>
      <c r="AA656" s="102"/>
      <c r="AB656" s="102"/>
      <c r="AC656" s="102"/>
      <c r="AD656" s="102"/>
      <c r="AE656" s="102"/>
      <c r="AF656" s="102"/>
      <c r="AG656" s="151"/>
      <c r="AH656" s="102"/>
      <c r="AK656" s="151"/>
      <c r="AL656" s="102"/>
      <c r="AM656" s="102"/>
      <c r="AN656" s="102"/>
    </row>
    <row r="657" spans="1:40" x14ac:dyDescent="0.3">
      <c r="A657" s="102"/>
      <c r="C657" s="102"/>
      <c r="D657" s="102"/>
      <c r="E657" s="102"/>
      <c r="F657" s="102"/>
      <c r="J657" s="102"/>
      <c r="K657" s="102"/>
      <c r="L657" s="102"/>
      <c r="M657" s="102"/>
      <c r="N657" s="102"/>
      <c r="O657" s="102"/>
      <c r="P657" s="102"/>
      <c r="Q657" s="102"/>
      <c r="R657" s="102"/>
      <c r="T657" s="102"/>
      <c r="U657" s="102"/>
      <c r="V657" s="102"/>
      <c r="Z657" s="102"/>
      <c r="AA657" s="102"/>
      <c r="AB657" s="102"/>
      <c r="AC657" s="102"/>
      <c r="AD657" s="102"/>
      <c r="AE657" s="102"/>
      <c r="AF657" s="102"/>
      <c r="AG657" s="151"/>
      <c r="AH657" s="102"/>
      <c r="AI657" s="102"/>
      <c r="AJ657" s="102"/>
      <c r="AK657" s="151"/>
      <c r="AL657" s="102"/>
      <c r="AM657" s="102"/>
      <c r="AN657" s="102"/>
    </row>
    <row r="658" spans="1:40" x14ac:dyDescent="0.3">
      <c r="A658" s="102"/>
      <c r="C658" s="102"/>
      <c r="D658" s="102"/>
      <c r="E658" s="102"/>
      <c r="F658" s="102"/>
      <c r="H658" s="102"/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T658" s="102"/>
      <c r="U658" s="102"/>
      <c r="V658" s="102"/>
      <c r="Y658" s="102"/>
      <c r="Z658" s="102"/>
      <c r="AA658" s="102"/>
      <c r="AB658" s="102"/>
      <c r="AC658" s="102"/>
      <c r="AD658" s="102"/>
      <c r="AE658" s="102"/>
      <c r="AF658" s="102"/>
      <c r="AG658" s="151"/>
      <c r="AH658" s="102"/>
      <c r="AI658" s="102"/>
      <c r="AJ658" s="102"/>
      <c r="AK658" s="151"/>
      <c r="AL658" s="102"/>
      <c r="AM658" s="102"/>
      <c r="AN658" s="102"/>
    </row>
    <row r="659" spans="1:40" x14ac:dyDescent="0.3">
      <c r="C659" s="102"/>
      <c r="D659" s="102"/>
      <c r="E659" s="102"/>
      <c r="F659" s="102"/>
      <c r="H659" s="102"/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T659" s="102"/>
      <c r="U659" s="102"/>
      <c r="V659" s="102"/>
      <c r="Y659" s="102"/>
      <c r="Z659" s="102"/>
      <c r="AA659" s="102"/>
      <c r="AB659" s="102"/>
      <c r="AC659" s="102"/>
      <c r="AD659" s="102"/>
      <c r="AE659" s="102"/>
      <c r="AF659" s="102"/>
      <c r="AG659" s="151"/>
      <c r="AH659" s="102"/>
      <c r="AI659" s="102"/>
      <c r="AJ659" s="102"/>
      <c r="AK659" s="151"/>
      <c r="AL659" s="102"/>
      <c r="AM659" s="102"/>
      <c r="AN659" s="102"/>
    </row>
    <row r="660" spans="1:40" x14ac:dyDescent="0.3">
      <c r="A660" s="101"/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T660" s="101"/>
      <c r="U660" s="101"/>
      <c r="V660" s="101"/>
      <c r="W660" s="101"/>
      <c r="X660" s="101"/>
      <c r="Y660" s="101"/>
      <c r="Z660" s="101"/>
      <c r="AA660" s="101"/>
      <c r="AB660" s="101"/>
      <c r="AC660" s="101"/>
      <c r="AD660" s="101"/>
      <c r="AE660" s="101"/>
      <c r="AF660" s="101"/>
      <c r="AG660" s="191"/>
      <c r="AH660" s="101"/>
      <c r="AI660" s="101"/>
      <c r="AJ660" s="101"/>
      <c r="AK660" s="191"/>
      <c r="AL660" s="101"/>
      <c r="AM660" s="101"/>
      <c r="AN660" s="101"/>
    </row>
    <row r="661" spans="1:40" x14ac:dyDescent="0.3"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Y661" s="102"/>
      <c r="Z661" s="102"/>
      <c r="AA661" s="102"/>
      <c r="AB661" s="102"/>
      <c r="AC661" s="102"/>
      <c r="AD661" s="102"/>
      <c r="AE661" s="102"/>
      <c r="AF661" s="102"/>
      <c r="AG661" s="151"/>
      <c r="AH661" s="102"/>
      <c r="AI661" s="102"/>
      <c r="AJ661" s="102"/>
      <c r="AK661" s="151"/>
      <c r="AL661" s="102"/>
      <c r="AM661" s="102"/>
      <c r="AN661" s="102"/>
    </row>
    <row r="662" spans="1:40" x14ac:dyDescent="0.3">
      <c r="C662" s="99"/>
      <c r="D662" s="99"/>
      <c r="E662" s="99"/>
      <c r="F662" s="110"/>
      <c r="H662" s="110"/>
      <c r="I662" s="110"/>
      <c r="J662" s="198"/>
      <c r="K662" s="198"/>
      <c r="L662" s="110"/>
      <c r="M662" s="110"/>
      <c r="N662" s="198"/>
      <c r="O662" s="198"/>
      <c r="P662" s="110"/>
      <c r="Q662" s="110"/>
      <c r="R662" s="110"/>
      <c r="T662" s="99"/>
      <c r="U662" s="99"/>
      <c r="V662" s="110"/>
      <c r="Y662" s="110"/>
      <c r="Z662" s="198"/>
      <c r="AA662" s="110"/>
      <c r="AB662" s="110"/>
      <c r="AC662" s="198"/>
      <c r="AD662" s="198"/>
      <c r="AE662" s="110"/>
      <c r="AF662" s="110"/>
      <c r="AH662" s="207"/>
      <c r="AI662" s="110"/>
      <c r="AJ662" s="110"/>
      <c r="AL662" s="110"/>
      <c r="AM662" s="141"/>
      <c r="AN662" s="141"/>
    </row>
    <row r="663" spans="1:40" x14ac:dyDescent="0.3">
      <c r="F663" s="192"/>
      <c r="H663" s="192"/>
      <c r="I663" s="192"/>
      <c r="J663" s="217"/>
      <c r="K663" s="217"/>
      <c r="L663" s="192"/>
      <c r="M663" s="192"/>
      <c r="N663" s="192"/>
      <c r="O663" s="192"/>
      <c r="P663" s="192"/>
      <c r="Q663" s="192"/>
      <c r="R663" s="192"/>
      <c r="V663" s="192"/>
      <c r="Y663" s="192"/>
      <c r="Z663" s="217"/>
      <c r="AA663" s="192"/>
      <c r="AB663" s="192"/>
      <c r="AC663" s="192"/>
      <c r="AD663" s="192"/>
      <c r="AE663" s="192"/>
      <c r="AF663" s="192"/>
      <c r="AI663" s="192"/>
      <c r="AJ663" s="192"/>
      <c r="AK663" s="194"/>
      <c r="AL663" s="192"/>
      <c r="AM663" s="141"/>
      <c r="AN663" s="141"/>
    </row>
    <row r="664" spans="1:40" x14ac:dyDescent="0.3">
      <c r="C664" s="99"/>
      <c r="F664" s="110"/>
      <c r="H664" s="110"/>
      <c r="I664" s="110"/>
      <c r="J664" s="198"/>
      <c r="K664" s="198"/>
      <c r="L664" s="110"/>
      <c r="M664" s="110"/>
      <c r="N664" s="198"/>
      <c r="O664" s="198"/>
      <c r="P664" s="110"/>
      <c r="Q664" s="110"/>
      <c r="R664" s="110"/>
      <c r="T664" s="99"/>
      <c r="V664" s="110"/>
      <c r="Y664" s="110"/>
      <c r="Z664" s="198"/>
      <c r="AA664" s="110"/>
      <c r="AB664" s="110"/>
      <c r="AC664" s="198"/>
      <c r="AD664" s="198"/>
      <c r="AE664" s="110"/>
      <c r="AF664" s="110"/>
      <c r="AH664" s="207"/>
      <c r="AI664" s="110"/>
      <c r="AJ664" s="110"/>
      <c r="AL664" s="110"/>
      <c r="AM664" s="141"/>
      <c r="AN664" s="141"/>
    </row>
    <row r="665" spans="1:40" x14ac:dyDescent="0.3">
      <c r="F665" s="110"/>
      <c r="H665" s="110"/>
      <c r="I665" s="110"/>
      <c r="J665" s="198"/>
      <c r="K665" s="198"/>
      <c r="L665" s="110"/>
      <c r="M665" s="110"/>
      <c r="N665" s="198"/>
      <c r="O665" s="198"/>
      <c r="P665" s="110"/>
      <c r="Q665" s="110"/>
      <c r="R665" s="110"/>
      <c r="V665" s="110"/>
      <c r="Y665" s="110"/>
      <c r="Z665" s="198"/>
      <c r="AA665" s="110"/>
      <c r="AB665" s="110"/>
      <c r="AC665" s="198"/>
      <c r="AD665" s="198"/>
      <c r="AH665" s="207"/>
      <c r="AI665" s="110"/>
      <c r="AJ665" s="110"/>
      <c r="AL665" s="110"/>
      <c r="AM665" s="141"/>
      <c r="AN665" s="141"/>
    </row>
    <row r="666" spans="1:40" x14ac:dyDescent="0.3">
      <c r="C666" s="99"/>
      <c r="D666" s="99"/>
      <c r="E666" s="99"/>
      <c r="F666" s="110"/>
      <c r="H666" s="110"/>
      <c r="I666" s="110"/>
      <c r="J666" s="198"/>
      <c r="K666" s="198"/>
      <c r="L666" s="110"/>
      <c r="M666" s="110"/>
      <c r="N666" s="198"/>
      <c r="O666" s="198"/>
      <c r="P666" s="110"/>
      <c r="Q666" s="110"/>
      <c r="R666" s="110"/>
      <c r="T666" s="99"/>
      <c r="U666" s="99"/>
      <c r="V666" s="110"/>
      <c r="Y666" s="110"/>
      <c r="Z666" s="198"/>
      <c r="AA666" s="110"/>
      <c r="AB666" s="110"/>
      <c r="AC666" s="198"/>
      <c r="AD666" s="198"/>
      <c r="AE666" s="110"/>
      <c r="AF666" s="110"/>
      <c r="AH666" s="207"/>
      <c r="AI666" s="110"/>
      <c r="AJ666" s="110"/>
      <c r="AL666" s="110"/>
      <c r="AM666" s="141"/>
      <c r="AN666" s="141"/>
    </row>
    <row r="667" spans="1:40" x14ac:dyDescent="0.3">
      <c r="C667" s="99"/>
      <c r="D667" s="99"/>
      <c r="E667" s="99"/>
      <c r="F667" s="110"/>
      <c r="H667" s="110"/>
      <c r="I667" s="110"/>
      <c r="J667" s="198"/>
      <c r="K667" s="198"/>
      <c r="L667" s="110"/>
      <c r="M667" s="110"/>
      <c r="N667" s="198"/>
      <c r="O667" s="198"/>
      <c r="P667" s="110"/>
      <c r="Q667" s="110"/>
      <c r="R667" s="110"/>
      <c r="T667" s="99"/>
      <c r="U667" s="99"/>
      <c r="V667" s="110"/>
      <c r="Y667" s="110"/>
      <c r="Z667" s="198"/>
      <c r="AA667" s="110"/>
      <c r="AB667" s="110"/>
      <c r="AC667" s="198"/>
      <c r="AD667" s="198"/>
      <c r="AE667" s="110"/>
      <c r="AF667" s="110"/>
      <c r="AH667" s="207"/>
      <c r="AI667" s="110"/>
      <c r="AJ667" s="110"/>
      <c r="AL667" s="110"/>
      <c r="AM667" s="141"/>
      <c r="AN667" s="141"/>
    </row>
    <row r="668" spans="1:40" x14ac:dyDescent="0.3">
      <c r="C668" s="99"/>
      <c r="D668" s="99"/>
      <c r="E668" s="99"/>
      <c r="F668" s="110"/>
      <c r="H668" s="110"/>
      <c r="I668" s="110"/>
      <c r="J668" s="198"/>
      <c r="K668" s="198"/>
      <c r="L668" s="110"/>
      <c r="M668" s="110"/>
      <c r="N668" s="198"/>
      <c r="O668" s="198"/>
      <c r="P668" s="110"/>
      <c r="Q668" s="110"/>
      <c r="R668" s="110"/>
      <c r="T668" s="99"/>
      <c r="U668" s="99"/>
      <c r="V668" s="110"/>
      <c r="Y668" s="110"/>
      <c r="Z668" s="198"/>
      <c r="AA668" s="110"/>
      <c r="AB668" s="110"/>
      <c r="AC668" s="198"/>
      <c r="AD668" s="198"/>
      <c r="AE668" s="110"/>
      <c r="AF668" s="110"/>
      <c r="AH668" s="207"/>
      <c r="AI668" s="110"/>
      <c r="AJ668" s="110"/>
      <c r="AL668" s="110"/>
      <c r="AM668" s="141"/>
      <c r="AN668" s="141"/>
    </row>
    <row r="669" spans="1:40" x14ac:dyDescent="0.3">
      <c r="C669" s="99"/>
      <c r="D669" s="99"/>
      <c r="E669" s="99"/>
      <c r="F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T669" s="99"/>
      <c r="U669" s="99"/>
      <c r="V669" s="110"/>
      <c r="Y669" s="110"/>
      <c r="Z669" s="198"/>
      <c r="AA669" s="110"/>
      <c r="AB669" s="110"/>
      <c r="AC669" s="198"/>
      <c r="AD669" s="198"/>
      <c r="AE669" s="110"/>
      <c r="AF669" s="110"/>
      <c r="AH669" s="207"/>
      <c r="AI669" s="110"/>
      <c r="AJ669" s="110"/>
      <c r="AL669" s="110"/>
      <c r="AM669" s="141"/>
      <c r="AN669" s="141"/>
    </row>
    <row r="670" spans="1:40" x14ac:dyDescent="0.3">
      <c r="C670" s="99"/>
      <c r="D670" s="99"/>
      <c r="E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U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1:40" x14ac:dyDescent="0.3">
      <c r="C671" s="99"/>
      <c r="D671" s="99"/>
      <c r="E671" s="99"/>
      <c r="F671" s="110"/>
      <c r="H671" s="110"/>
      <c r="I671" s="110"/>
      <c r="J671" s="198"/>
      <c r="K671" s="198"/>
      <c r="L671" s="110"/>
      <c r="M671" s="110"/>
      <c r="N671" s="198"/>
      <c r="O671" s="198"/>
      <c r="P671" s="110"/>
      <c r="Q671" s="110"/>
      <c r="R671" s="110"/>
      <c r="T671" s="99"/>
      <c r="U671" s="99"/>
      <c r="V671" s="110"/>
      <c r="Y671" s="110"/>
      <c r="Z671" s="198"/>
      <c r="AA671" s="110"/>
      <c r="AB671" s="110"/>
      <c r="AC671" s="198"/>
      <c r="AD671" s="198"/>
      <c r="AE671" s="110"/>
      <c r="AF671" s="110"/>
      <c r="AH671" s="207"/>
      <c r="AI671" s="110"/>
      <c r="AJ671" s="110"/>
      <c r="AL671" s="110"/>
      <c r="AM671" s="141"/>
      <c r="AN671" s="141"/>
    </row>
    <row r="672" spans="1:40" x14ac:dyDescent="0.3">
      <c r="F672" s="192"/>
      <c r="H672" s="192"/>
      <c r="I672" s="192"/>
      <c r="J672" s="217"/>
      <c r="K672" s="217"/>
      <c r="L672" s="192"/>
      <c r="M672" s="192"/>
      <c r="N672" s="192"/>
      <c r="O672" s="192"/>
      <c r="P672" s="192"/>
      <c r="Q672" s="192"/>
      <c r="R672" s="192"/>
      <c r="V672" s="192"/>
      <c r="Y672" s="192"/>
      <c r="Z672" s="217"/>
      <c r="AA672" s="192"/>
      <c r="AB672" s="192"/>
      <c r="AC672" s="192"/>
      <c r="AD672" s="192"/>
      <c r="AE672" s="192"/>
      <c r="AF672" s="192"/>
      <c r="AI672" s="192"/>
      <c r="AJ672" s="192"/>
      <c r="AK672" s="194"/>
      <c r="AL672" s="192"/>
      <c r="AM672" s="141"/>
      <c r="AN672" s="141"/>
    </row>
    <row r="673" spans="3:40" x14ac:dyDescent="0.3">
      <c r="C673" s="99"/>
      <c r="F673" s="110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T673" s="99"/>
      <c r="V673" s="110"/>
      <c r="Y673" s="110"/>
      <c r="Z673" s="198"/>
      <c r="AA673" s="110"/>
      <c r="AB673" s="110"/>
      <c r="AC673" s="198"/>
      <c r="AD673" s="198"/>
      <c r="AE673" s="110"/>
      <c r="AF673" s="110"/>
      <c r="AH673" s="207"/>
      <c r="AI673" s="110"/>
      <c r="AJ673" s="110"/>
      <c r="AL673" s="110"/>
      <c r="AM673" s="141"/>
      <c r="AN673" s="141"/>
    </row>
    <row r="674" spans="3:40" x14ac:dyDescent="0.3">
      <c r="F674" s="110"/>
      <c r="H674" s="110"/>
      <c r="I674" s="110"/>
      <c r="J674" s="198"/>
      <c r="K674" s="198"/>
      <c r="L674" s="110"/>
      <c r="M674" s="110"/>
      <c r="N674" s="198"/>
      <c r="O674" s="198"/>
      <c r="P674" s="110"/>
      <c r="Q674" s="110"/>
      <c r="R674" s="110"/>
      <c r="V674" s="110"/>
      <c r="Y674" s="110"/>
      <c r="Z674" s="198"/>
      <c r="AA674" s="110"/>
      <c r="AB674" s="110"/>
      <c r="AC674" s="198"/>
      <c r="AD674" s="198"/>
      <c r="AH674" s="207"/>
      <c r="AI674" s="110"/>
      <c r="AJ674" s="110"/>
      <c r="AL674" s="110"/>
      <c r="AM674" s="141"/>
      <c r="AN674" s="141"/>
    </row>
    <row r="675" spans="3:40" x14ac:dyDescent="0.3">
      <c r="C675" s="99"/>
      <c r="D675" s="99"/>
      <c r="E675" s="99"/>
      <c r="F675" s="110"/>
      <c r="H675" s="110"/>
      <c r="I675" s="110"/>
      <c r="J675" s="198"/>
      <c r="K675" s="198"/>
      <c r="L675" s="110"/>
      <c r="M675" s="110"/>
      <c r="N675" s="198"/>
      <c r="O675" s="198"/>
      <c r="P675" s="110"/>
      <c r="Q675" s="110"/>
      <c r="R675" s="110"/>
      <c r="T675" s="99"/>
      <c r="U675" s="99"/>
      <c r="V675" s="110"/>
      <c r="Y675" s="110"/>
      <c r="Z675" s="198"/>
      <c r="AA675" s="110"/>
      <c r="AB675" s="110"/>
      <c r="AC675" s="198"/>
      <c r="AD675" s="198"/>
      <c r="AE675" s="110"/>
      <c r="AF675" s="110"/>
      <c r="AH675" s="207"/>
      <c r="AI675" s="110"/>
      <c r="AJ675" s="110"/>
      <c r="AL675" s="110"/>
      <c r="AM675" s="141"/>
      <c r="AN675" s="141"/>
    </row>
    <row r="676" spans="3:40" x14ac:dyDescent="0.3">
      <c r="F676" s="192"/>
      <c r="H676" s="192"/>
      <c r="I676" s="192"/>
      <c r="J676" s="217"/>
      <c r="K676" s="217"/>
      <c r="L676" s="192"/>
      <c r="M676" s="192"/>
      <c r="N676" s="192"/>
      <c r="O676" s="192"/>
      <c r="P676" s="192"/>
      <c r="Q676" s="192"/>
      <c r="R676" s="192"/>
      <c r="V676" s="192"/>
      <c r="Y676" s="192"/>
      <c r="Z676" s="217"/>
      <c r="AA676" s="192"/>
      <c r="AB676" s="192"/>
      <c r="AC676" s="192"/>
      <c r="AD676" s="192"/>
      <c r="AE676" s="192"/>
      <c r="AF676" s="192"/>
      <c r="AI676" s="192"/>
      <c r="AJ676" s="192"/>
      <c r="AK676" s="194"/>
      <c r="AL676" s="192"/>
      <c r="AM676" s="141"/>
      <c r="AN676" s="141"/>
    </row>
    <row r="677" spans="3:40" x14ac:dyDescent="0.3">
      <c r="C677" s="99"/>
      <c r="F677" s="110"/>
      <c r="H677" s="110"/>
      <c r="I677" s="110"/>
      <c r="J677" s="198"/>
      <c r="K677" s="198"/>
      <c r="L677" s="110"/>
      <c r="M677" s="110"/>
      <c r="N677" s="198"/>
      <c r="O677" s="198"/>
      <c r="P677" s="110"/>
      <c r="Q677" s="110"/>
      <c r="R677" s="110"/>
      <c r="T677" s="99"/>
      <c r="V677" s="110"/>
      <c r="Y677" s="110"/>
      <c r="Z677" s="198"/>
      <c r="AA677" s="110"/>
      <c r="AB677" s="110"/>
      <c r="AC677" s="198"/>
      <c r="AD677" s="198"/>
      <c r="AE677" s="110"/>
      <c r="AF677" s="110"/>
      <c r="AH677" s="207"/>
      <c r="AI677" s="110"/>
      <c r="AJ677" s="110"/>
      <c r="AL677" s="110"/>
      <c r="AM677" s="141"/>
      <c r="AN677" s="141"/>
    </row>
    <row r="678" spans="3:40" x14ac:dyDescent="0.3">
      <c r="F678" s="110"/>
      <c r="H678" s="110"/>
      <c r="I678" s="110"/>
      <c r="J678" s="198"/>
      <c r="K678" s="198"/>
      <c r="L678" s="110"/>
      <c r="M678" s="110"/>
      <c r="N678" s="198"/>
      <c r="O678" s="198"/>
      <c r="P678" s="110"/>
      <c r="Q678" s="110"/>
      <c r="R678" s="110"/>
      <c r="V678" s="110"/>
      <c r="Y678" s="110"/>
      <c r="Z678" s="198"/>
      <c r="AA678" s="110"/>
      <c r="AB678" s="110"/>
      <c r="AC678" s="198"/>
      <c r="AD678" s="198"/>
      <c r="AH678" s="207"/>
      <c r="AI678" s="110"/>
      <c r="AJ678" s="110"/>
      <c r="AL678" s="110"/>
      <c r="AM678" s="141"/>
      <c r="AN678" s="141"/>
    </row>
    <row r="679" spans="3:40" x14ac:dyDescent="0.3">
      <c r="C679" s="99"/>
      <c r="D679" s="99"/>
      <c r="E679" s="99"/>
      <c r="F679" s="110"/>
      <c r="H679" s="110"/>
      <c r="I679" s="110"/>
      <c r="J679" s="198"/>
      <c r="K679" s="198"/>
      <c r="L679" s="110"/>
      <c r="M679" s="110"/>
      <c r="N679" s="198"/>
      <c r="O679" s="198"/>
      <c r="P679" s="110"/>
      <c r="Q679" s="110"/>
      <c r="R679" s="110"/>
      <c r="T679" s="99"/>
      <c r="U679" s="99"/>
      <c r="V679" s="110"/>
      <c r="Y679" s="110"/>
      <c r="Z679" s="198"/>
      <c r="AA679" s="110"/>
      <c r="AB679" s="110"/>
      <c r="AC679" s="198"/>
      <c r="AD679" s="198"/>
      <c r="AE679" s="110"/>
      <c r="AF679" s="110"/>
      <c r="AH679" s="207"/>
      <c r="AI679" s="110"/>
      <c r="AJ679" s="110"/>
      <c r="AL679" s="110"/>
      <c r="AM679" s="141"/>
      <c r="AN679" s="141"/>
    </row>
    <row r="680" spans="3:40" x14ac:dyDescent="0.3">
      <c r="C680" s="99"/>
      <c r="D680" s="99"/>
      <c r="E680" s="99"/>
      <c r="F680" s="110"/>
      <c r="G680" s="110"/>
      <c r="H680" s="110"/>
      <c r="I680" s="110"/>
      <c r="J680" s="198"/>
      <c r="K680" s="198"/>
      <c r="L680" s="110"/>
      <c r="M680" s="110"/>
      <c r="N680" s="198"/>
      <c r="O680" s="198"/>
      <c r="P680" s="110"/>
      <c r="Q680" s="110"/>
      <c r="R680" s="110"/>
      <c r="T680" s="99"/>
      <c r="U680" s="99"/>
      <c r="V680" s="110"/>
      <c r="W680" s="110"/>
      <c r="X680" s="110"/>
      <c r="Y680" s="110"/>
      <c r="Z680" s="198"/>
      <c r="AA680" s="110"/>
      <c r="AB680" s="110"/>
      <c r="AC680" s="198"/>
      <c r="AD680" s="198"/>
      <c r="AE680" s="110"/>
      <c r="AF680" s="110"/>
      <c r="AH680" s="207"/>
      <c r="AI680" s="110"/>
      <c r="AJ680" s="110"/>
      <c r="AL680" s="110"/>
      <c r="AM680" s="141"/>
      <c r="AN680" s="141"/>
    </row>
    <row r="681" spans="3:40" x14ac:dyDescent="0.3">
      <c r="C681" s="99"/>
      <c r="D681" s="99"/>
      <c r="E681" s="99"/>
      <c r="F681" s="110"/>
      <c r="G681" s="110"/>
      <c r="H681" s="110"/>
      <c r="I681" s="110"/>
      <c r="J681" s="198"/>
      <c r="K681" s="198"/>
      <c r="L681" s="110"/>
      <c r="M681" s="110"/>
      <c r="N681" s="198"/>
      <c r="O681" s="198"/>
      <c r="P681" s="110"/>
      <c r="Q681" s="110"/>
      <c r="R681" s="110"/>
      <c r="T681" s="99"/>
      <c r="U681" s="99"/>
      <c r="V681" s="110"/>
      <c r="W681" s="110"/>
      <c r="X681" s="110"/>
      <c r="Y681" s="110"/>
      <c r="Z681" s="198"/>
      <c r="AA681" s="110"/>
      <c r="AB681" s="110"/>
      <c r="AC681" s="198"/>
      <c r="AD681" s="198"/>
      <c r="AE681" s="110"/>
      <c r="AF681" s="110"/>
      <c r="AH681" s="207"/>
      <c r="AI681" s="110"/>
      <c r="AJ681" s="110"/>
      <c r="AL681" s="110"/>
      <c r="AM681" s="141"/>
      <c r="AN681" s="141"/>
    </row>
    <row r="682" spans="3:40" x14ac:dyDescent="0.3">
      <c r="C682" s="99"/>
      <c r="D682" s="99"/>
      <c r="E682" s="99"/>
      <c r="F682" s="110"/>
      <c r="H682" s="110"/>
      <c r="I682" s="110"/>
      <c r="J682" s="198"/>
      <c r="K682" s="198"/>
      <c r="L682" s="110"/>
      <c r="M682" s="110"/>
      <c r="N682" s="198"/>
      <c r="O682" s="198"/>
      <c r="P682" s="110"/>
      <c r="Q682" s="110"/>
      <c r="R682" s="110"/>
      <c r="T682" s="99"/>
      <c r="U682" s="99"/>
      <c r="V682" s="110"/>
      <c r="Y682" s="110"/>
      <c r="Z682" s="198"/>
      <c r="AA682" s="110"/>
      <c r="AB682" s="110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3:40" x14ac:dyDescent="0.3">
      <c r="C683" s="99"/>
      <c r="D683" s="99"/>
      <c r="E683" s="99"/>
      <c r="F683" s="110"/>
      <c r="H683" s="110"/>
      <c r="I683" s="110"/>
      <c r="J683" s="198"/>
      <c r="K683" s="198"/>
      <c r="L683" s="110"/>
      <c r="M683" s="110"/>
      <c r="N683" s="198"/>
      <c r="O683" s="198"/>
      <c r="P683" s="110"/>
      <c r="Q683" s="110"/>
      <c r="R683" s="110"/>
      <c r="T683" s="99"/>
      <c r="U683" s="99"/>
      <c r="V683" s="110"/>
      <c r="Y683" s="110"/>
      <c r="Z683" s="198"/>
      <c r="AA683" s="110"/>
      <c r="AB683" s="110"/>
      <c r="AC683" s="198"/>
      <c r="AD683" s="198"/>
      <c r="AE683" s="110"/>
      <c r="AF683" s="110"/>
      <c r="AH683" s="207"/>
      <c r="AI683" s="110"/>
      <c r="AJ683" s="110"/>
      <c r="AL683" s="110"/>
      <c r="AM683" s="141"/>
      <c r="AN683" s="141"/>
    </row>
    <row r="684" spans="3:40" x14ac:dyDescent="0.3">
      <c r="C684" s="99"/>
      <c r="D684" s="99"/>
      <c r="E684" s="99"/>
      <c r="F684" s="110"/>
      <c r="H684" s="110"/>
      <c r="I684" s="110"/>
      <c r="J684" s="198"/>
      <c r="K684" s="198"/>
      <c r="L684" s="110"/>
      <c r="M684" s="110"/>
      <c r="N684" s="198"/>
      <c r="O684" s="198"/>
      <c r="P684" s="110"/>
      <c r="Q684" s="110"/>
      <c r="R684" s="110"/>
      <c r="T684" s="99"/>
      <c r="U684" s="99"/>
      <c r="V684" s="110"/>
      <c r="Y684" s="110"/>
      <c r="Z684" s="198"/>
      <c r="AA684" s="110"/>
      <c r="AB684" s="110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3:40" x14ac:dyDescent="0.3">
      <c r="C685" s="99"/>
      <c r="D685" s="99"/>
      <c r="E685" s="99"/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T685" s="99"/>
      <c r="U685" s="99"/>
      <c r="V685" s="110"/>
      <c r="Y685" s="110"/>
      <c r="Z685" s="198"/>
      <c r="AA685" s="110"/>
      <c r="AB685" s="110"/>
      <c r="AC685" s="198"/>
      <c r="AD685" s="198"/>
      <c r="AE685" s="110"/>
      <c r="AF685" s="110"/>
      <c r="AH685" s="207"/>
      <c r="AI685" s="110"/>
      <c r="AJ685" s="110"/>
      <c r="AL685" s="110"/>
      <c r="AM685" s="141"/>
      <c r="AN685" s="141"/>
    </row>
    <row r="686" spans="3:40" x14ac:dyDescent="0.3">
      <c r="F686" s="192"/>
      <c r="H686" s="192"/>
      <c r="I686" s="192"/>
      <c r="J686" s="217"/>
      <c r="K686" s="217"/>
      <c r="L686" s="192"/>
      <c r="M686" s="192"/>
      <c r="N686" s="192"/>
      <c r="O686" s="192"/>
      <c r="P686" s="192"/>
      <c r="Q686" s="192"/>
      <c r="R686" s="192"/>
      <c r="V686" s="192"/>
      <c r="Y686" s="192"/>
      <c r="Z686" s="217"/>
      <c r="AA686" s="192"/>
      <c r="AB686" s="192"/>
      <c r="AC686" s="192"/>
      <c r="AD686" s="192"/>
      <c r="AE686" s="192"/>
      <c r="AF686" s="192"/>
      <c r="AI686" s="192"/>
      <c r="AJ686" s="192"/>
      <c r="AK686" s="194"/>
      <c r="AL686" s="192"/>
      <c r="AM686" s="141"/>
      <c r="AN686" s="141"/>
    </row>
    <row r="687" spans="3:40" x14ac:dyDescent="0.3">
      <c r="C687" s="99"/>
      <c r="F687" s="110"/>
      <c r="H687" s="110"/>
      <c r="I687" s="110"/>
      <c r="J687" s="198"/>
      <c r="K687" s="198"/>
      <c r="L687" s="110"/>
      <c r="M687" s="110"/>
      <c r="N687" s="198"/>
      <c r="O687" s="198"/>
      <c r="P687" s="110"/>
      <c r="Q687" s="110"/>
      <c r="R687" s="110"/>
      <c r="T687" s="99"/>
      <c r="V687" s="110"/>
      <c r="Y687" s="110"/>
      <c r="Z687" s="198"/>
      <c r="AA687" s="110"/>
      <c r="AB687" s="110"/>
      <c r="AC687" s="198"/>
      <c r="AD687" s="198"/>
      <c r="AE687" s="110"/>
      <c r="AF687" s="110"/>
      <c r="AH687" s="207"/>
      <c r="AI687" s="110"/>
      <c r="AJ687" s="110"/>
      <c r="AL687" s="110"/>
      <c r="AM687" s="141"/>
      <c r="AN687" s="141"/>
    </row>
    <row r="688" spans="3:40" x14ac:dyDescent="0.3">
      <c r="V688" s="110"/>
      <c r="Y688" s="110"/>
      <c r="Z688" s="217"/>
      <c r="AA688" s="110"/>
      <c r="AB688" s="110"/>
      <c r="AC688" s="110"/>
      <c r="AD688" s="110"/>
      <c r="AE688" s="110"/>
      <c r="AF688" s="110"/>
      <c r="AI688" s="110"/>
      <c r="AJ688" s="110"/>
      <c r="AL688" s="110"/>
      <c r="AM688" s="141"/>
      <c r="AN688" s="141"/>
    </row>
    <row r="689" spans="1:40" x14ac:dyDescent="0.3">
      <c r="C689" s="99"/>
      <c r="D689" s="99"/>
      <c r="E689" s="99"/>
      <c r="L689" s="110"/>
      <c r="M689" s="110"/>
      <c r="N689" s="198"/>
      <c r="O689" s="198"/>
      <c r="R689" s="110"/>
      <c r="T689" s="99"/>
      <c r="U689" s="99"/>
      <c r="AA689" s="110"/>
      <c r="AB689" s="110"/>
      <c r="AC689" s="198"/>
      <c r="AD689" s="198"/>
      <c r="AE689" s="110"/>
      <c r="AF689" s="110"/>
      <c r="AH689" s="207"/>
      <c r="AL689" s="110"/>
      <c r="AM689" s="141"/>
      <c r="AN689" s="141"/>
    </row>
    <row r="690" spans="1:40" x14ac:dyDescent="0.3">
      <c r="D690" s="99"/>
      <c r="E690" s="99"/>
      <c r="F690" s="172"/>
      <c r="H690" s="172"/>
      <c r="I690" s="172"/>
      <c r="J690" s="198"/>
      <c r="K690" s="198"/>
      <c r="L690" s="110"/>
      <c r="M690" s="110"/>
      <c r="N690" s="198"/>
      <c r="O690" s="198"/>
      <c r="P690" s="172"/>
      <c r="Q690" s="172"/>
      <c r="R690" s="110"/>
      <c r="U690" s="99"/>
      <c r="V690" s="110"/>
      <c r="Y690" s="110"/>
      <c r="Z690" s="198"/>
      <c r="AA690" s="110"/>
      <c r="AB690" s="110"/>
      <c r="AC690" s="198"/>
      <c r="AD690" s="198"/>
      <c r="AE690" s="110"/>
      <c r="AF690" s="110"/>
      <c r="AH690" s="207"/>
      <c r="AI690" s="110"/>
      <c r="AJ690" s="110"/>
      <c r="AL690" s="110"/>
      <c r="AM690" s="141"/>
      <c r="AN690" s="141"/>
    </row>
    <row r="691" spans="1:40" x14ac:dyDescent="0.3">
      <c r="F691" s="192"/>
      <c r="H691" s="192"/>
      <c r="I691" s="192"/>
      <c r="J691" s="217"/>
      <c r="K691" s="217"/>
      <c r="L691" s="192"/>
      <c r="M691" s="192"/>
      <c r="N691" s="192"/>
      <c r="O691" s="192"/>
      <c r="P691" s="192"/>
      <c r="Q691" s="192"/>
      <c r="R691" s="192"/>
      <c r="V691" s="192"/>
      <c r="Y691" s="192"/>
      <c r="Z691" s="217"/>
      <c r="AA691" s="192"/>
      <c r="AB691" s="192"/>
      <c r="AC691" s="192"/>
      <c r="AD691" s="192"/>
      <c r="AE691" s="192"/>
      <c r="AF691" s="192"/>
      <c r="AI691" s="192"/>
      <c r="AJ691" s="192"/>
      <c r="AK691" s="194"/>
      <c r="AL691" s="192"/>
      <c r="AM691" s="141"/>
      <c r="AN691" s="141"/>
    </row>
    <row r="692" spans="1:40" x14ac:dyDescent="0.3">
      <c r="C692" s="99"/>
      <c r="F692" s="110"/>
      <c r="H692" s="110"/>
      <c r="I692" s="110"/>
      <c r="J692" s="198"/>
      <c r="K692" s="198"/>
      <c r="L692" s="110"/>
      <c r="M692" s="110"/>
      <c r="N692" s="198"/>
      <c r="O692" s="198"/>
      <c r="P692" s="110"/>
      <c r="Q692" s="110"/>
      <c r="R692" s="110"/>
      <c r="T692" s="99"/>
      <c r="V692" s="110"/>
      <c r="Y692" s="110"/>
      <c r="Z692" s="198"/>
      <c r="AA692" s="110"/>
      <c r="AB692" s="110"/>
      <c r="AC692" s="198"/>
      <c r="AD692" s="198"/>
      <c r="AE692" s="110"/>
      <c r="AF692" s="110"/>
      <c r="AH692" s="207"/>
      <c r="AI692" s="110"/>
      <c r="AJ692" s="110"/>
      <c r="AL692" s="110"/>
      <c r="AM692" s="141"/>
      <c r="AN692" s="141"/>
    </row>
    <row r="693" spans="1:40" x14ac:dyDescent="0.3">
      <c r="F693" s="110"/>
      <c r="H693" s="110"/>
      <c r="I693" s="110"/>
      <c r="J693" s="198"/>
      <c r="K693" s="198"/>
      <c r="L693" s="110"/>
      <c r="M693" s="110"/>
      <c r="N693" s="198"/>
      <c r="O693" s="198"/>
      <c r="P693" s="110"/>
      <c r="Q693" s="110"/>
      <c r="R693" s="110"/>
      <c r="V693" s="110"/>
      <c r="Y693" s="110"/>
      <c r="Z693" s="198"/>
      <c r="AA693" s="110"/>
      <c r="AB693" s="110"/>
      <c r="AC693" s="198"/>
      <c r="AD693" s="198"/>
      <c r="AH693" s="207"/>
      <c r="AI693" s="110"/>
      <c r="AJ693" s="110"/>
      <c r="AL693" s="110"/>
      <c r="AM693" s="141"/>
      <c r="AN693" s="141"/>
    </row>
    <row r="694" spans="1:40" x14ac:dyDescent="0.3">
      <c r="D694" s="99"/>
      <c r="E694" s="99"/>
      <c r="F694" s="110"/>
      <c r="H694" s="110"/>
      <c r="I694" s="110"/>
      <c r="J694" s="198"/>
      <c r="K694" s="198"/>
      <c r="L694" s="172"/>
      <c r="M694" s="172"/>
      <c r="N694" s="198"/>
      <c r="O694" s="198"/>
      <c r="P694" s="110"/>
      <c r="Q694" s="110"/>
      <c r="R694" s="110"/>
      <c r="U694" s="99"/>
      <c r="V694" s="110"/>
      <c r="Y694" s="110"/>
      <c r="Z694" s="198"/>
      <c r="AA694" s="172"/>
      <c r="AB694" s="172"/>
      <c r="AC694" s="198"/>
      <c r="AD694" s="198"/>
      <c r="AE694" s="110"/>
      <c r="AF694" s="110"/>
      <c r="AH694" s="207"/>
      <c r="AI694" s="110"/>
      <c r="AJ694" s="110"/>
      <c r="AL694" s="110"/>
      <c r="AM694" s="141"/>
      <c r="AN694" s="141"/>
    </row>
    <row r="695" spans="1:40" x14ac:dyDescent="0.3">
      <c r="D695" s="99"/>
      <c r="E695" s="99"/>
      <c r="F695" s="110"/>
      <c r="H695" s="110"/>
      <c r="I695" s="110"/>
      <c r="J695" s="198"/>
      <c r="K695" s="198"/>
      <c r="L695" s="172"/>
      <c r="M695" s="172"/>
      <c r="N695" s="198"/>
      <c r="O695" s="198"/>
      <c r="P695" s="110"/>
      <c r="Q695" s="110"/>
      <c r="R695" s="110"/>
      <c r="U695" s="99"/>
      <c r="V695" s="110"/>
      <c r="Y695" s="110"/>
      <c r="Z695" s="198"/>
      <c r="AA695" s="172"/>
      <c r="AB695" s="172"/>
      <c r="AC695" s="198"/>
      <c r="AD695" s="198"/>
      <c r="AE695" s="110"/>
      <c r="AF695" s="110"/>
      <c r="AH695" s="207"/>
      <c r="AI695" s="110"/>
      <c r="AJ695" s="110"/>
      <c r="AL695" s="110"/>
      <c r="AM695" s="141"/>
      <c r="AN695" s="141"/>
    </row>
    <row r="696" spans="1:40" x14ac:dyDescent="0.3">
      <c r="D696" s="99"/>
      <c r="E696" s="99"/>
      <c r="F696" s="110"/>
      <c r="H696" s="110"/>
      <c r="I696" s="110"/>
      <c r="J696" s="198"/>
      <c r="K696" s="198"/>
      <c r="L696" s="172"/>
      <c r="M696" s="172"/>
      <c r="N696" s="198"/>
      <c r="O696" s="198"/>
      <c r="P696" s="110"/>
      <c r="Q696" s="110"/>
      <c r="R696" s="110"/>
      <c r="U696" s="99"/>
      <c r="V696" s="110"/>
      <c r="Y696" s="110"/>
      <c r="Z696" s="198"/>
      <c r="AA696" s="172"/>
      <c r="AB696" s="172"/>
      <c r="AC696" s="198"/>
      <c r="AD696" s="198"/>
      <c r="AE696" s="110"/>
      <c r="AF696" s="110"/>
      <c r="AH696" s="207"/>
      <c r="AI696" s="110"/>
      <c r="AJ696" s="110"/>
      <c r="AL696" s="110"/>
      <c r="AM696" s="141"/>
      <c r="AN696" s="141"/>
    </row>
    <row r="697" spans="1:40" x14ac:dyDescent="0.3">
      <c r="F697" s="192"/>
      <c r="H697" s="192"/>
      <c r="I697" s="192"/>
      <c r="J697" s="217"/>
      <c r="K697" s="217"/>
      <c r="L697" s="192"/>
      <c r="M697" s="192"/>
      <c r="N697" s="192"/>
      <c r="O697" s="192"/>
      <c r="P697" s="192"/>
      <c r="Q697" s="192"/>
      <c r="R697" s="192"/>
      <c r="V697" s="192"/>
      <c r="Y697" s="192"/>
      <c r="Z697" s="217"/>
      <c r="AA697" s="192"/>
      <c r="AB697" s="192"/>
      <c r="AC697" s="192"/>
      <c r="AD697" s="192"/>
      <c r="AE697" s="192"/>
      <c r="AF697" s="192"/>
      <c r="AI697" s="192"/>
      <c r="AJ697" s="192"/>
      <c r="AK697" s="194"/>
      <c r="AL697" s="192"/>
      <c r="AM697" s="141"/>
      <c r="AN697" s="141"/>
    </row>
    <row r="698" spans="1:40" x14ac:dyDescent="0.3">
      <c r="C698" s="99"/>
      <c r="F698" s="110"/>
      <c r="H698" s="110"/>
      <c r="I698" s="110"/>
      <c r="J698" s="198"/>
      <c r="K698" s="198"/>
      <c r="L698" s="110"/>
      <c r="M698" s="110"/>
      <c r="N698" s="198"/>
      <c r="O698" s="198"/>
      <c r="P698" s="110"/>
      <c r="Q698" s="110"/>
      <c r="R698" s="110"/>
      <c r="T698" s="99"/>
      <c r="V698" s="110"/>
      <c r="Y698" s="110"/>
      <c r="Z698" s="198"/>
      <c r="AA698" s="110"/>
      <c r="AB698" s="110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1:40" x14ac:dyDescent="0.3">
      <c r="F699" s="110"/>
      <c r="H699" s="110"/>
      <c r="I699" s="110"/>
      <c r="J699" s="198"/>
      <c r="K699" s="198"/>
      <c r="L699" s="110"/>
      <c r="M699" s="110"/>
      <c r="N699" s="198"/>
      <c r="O699" s="198"/>
      <c r="P699" s="110"/>
      <c r="Q699" s="110"/>
      <c r="R699" s="110"/>
      <c r="V699" s="110"/>
      <c r="Y699" s="110"/>
      <c r="Z699" s="198"/>
      <c r="AA699" s="110"/>
      <c r="AB699" s="110"/>
      <c r="AC699" s="198"/>
      <c r="AD699" s="198"/>
      <c r="AH699" s="207"/>
      <c r="AI699" s="110"/>
      <c r="AJ699" s="110"/>
      <c r="AL699" s="110"/>
      <c r="AM699" s="141"/>
      <c r="AN699" s="141"/>
    </row>
    <row r="700" spans="1:40" x14ac:dyDescent="0.3">
      <c r="C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1:40" x14ac:dyDescent="0.3">
      <c r="F701" s="192"/>
      <c r="H701" s="192"/>
      <c r="I701" s="192"/>
      <c r="J701" s="217"/>
      <c r="K701" s="217"/>
      <c r="L701" s="192"/>
      <c r="M701" s="192"/>
      <c r="N701" s="192"/>
      <c r="O701" s="192"/>
      <c r="P701" s="192"/>
      <c r="Q701" s="192"/>
      <c r="R701" s="192"/>
      <c r="V701" s="192"/>
      <c r="Y701" s="192"/>
      <c r="Z701" s="217"/>
      <c r="AA701" s="192"/>
      <c r="AB701" s="192"/>
      <c r="AC701" s="192"/>
      <c r="AD701" s="192"/>
      <c r="AE701" s="192"/>
      <c r="AF701" s="192"/>
      <c r="AI701" s="192"/>
      <c r="AJ701" s="192"/>
      <c r="AK701" s="194"/>
      <c r="AL701" s="192"/>
    </row>
    <row r="703" spans="1:40" x14ac:dyDescent="0.3">
      <c r="C703" s="99"/>
      <c r="L703" s="110"/>
      <c r="M703" s="110"/>
      <c r="P703" s="110"/>
      <c r="Q703" s="110"/>
      <c r="R703" s="110"/>
      <c r="T703" s="99"/>
    </row>
    <row r="704" spans="1:40" x14ac:dyDescent="0.3">
      <c r="A704" s="99"/>
      <c r="L704" s="110"/>
      <c r="M704" s="110"/>
      <c r="P704" s="110"/>
      <c r="Q704" s="110"/>
      <c r="R704" s="110"/>
    </row>
    <row r="705" spans="12:18" x14ac:dyDescent="0.3">
      <c r="L705" s="110"/>
      <c r="M705" s="110"/>
      <c r="P705" s="110"/>
      <c r="Q705" s="110"/>
      <c r="R705" s="110"/>
    </row>
    <row r="706" spans="12:18" x14ac:dyDescent="0.3">
      <c r="L706" s="110"/>
      <c r="M706" s="110"/>
      <c r="P706" s="110"/>
      <c r="Q706" s="110"/>
      <c r="R706" s="110"/>
    </row>
    <row r="707" spans="12:18" x14ac:dyDescent="0.3">
      <c r="L707" s="110"/>
      <c r="M707" s="110"/>
      <c r="P707" s="110"/>
      <c r="Q707" s="110"/>
      <c r="R707" s="110"/>
    </row>
    <row r="708" spans="12:18" x14ac:dyDescent="0.3">
      <c r="L708" s="110"/>
      <c r="M708" s="110"/>
      <c r="P708" s="110"/>
      <c r="Q708" s="110"/>
      <c r="R708" s="110"/>
    </row>
    <row r="709" spans="12:18" x14ac:dyDescent="0.3">
      <c r="L709" s="110"/>
      <c r="M709" s="110"/>
      <c r="P709" s="110"/>
      <c r="Q709" s="110"/>
      <c r="R709" s="110"/>
    </row>
    <row r="742" spans="49:49" x14ac:dyDescent="0.3">
      <c r="AW742" s="110"/>
    </row>
    <row r="743" spans="49:49" x14ac:dyDescent="0.3">
      <c r="AW743" s="110"/>
    </row>
    <row r="744" spans="49:49" x14ac:dyDescent="0.3">
      <c r="AW744" s="110"/>
    </row>
    <row r="745" spans="49:49" x14ac:dyDescent="0.3">
      <c r="AW745" s="110"/>
    </row>
    <row r="746" spans="49:49" x14ac:dyDescent="0.3">
      <c r="AW746" s="110"/>
    </row>
    <row r="747" spans="49:49" x14ac:dyDescent="0.3">
      <c r="AW747" s="110"/>
    </row>
    <row r="750" spans="49:49" x14ac:dyDescent="0.3">
      <c r="AW750" s="110"/>
    </row>
    <row r="751" spans="49:49" x14ac:dyDescent="0.3">
      <c r="AW751" s="110"/>
    </row>
    <row r="752" spans="49:49" x14ac:dyDescent="0.3">
      <c r="AW752" s="110"/>
    </row>
    <row r="753" spans="49:49" x14ac:dyDescent="0.3">
      <c r="AW753" s="110"/>
    </row>
    <row r="754" spans="49:49" x14ac:dyDescent="0.3">
      <c r="AW754" s="110"/>
    </row>
    <row r="755" spans="49:49" x14ac:dyDescent="0.3">
      <c r="AW755" s="110"/>
    </row>
    <row r="756" spans="49:49" x14ac:dyDescent="0.3">
      <c r="AW756" s="110"/>
    </row>
    <row r="757" spans="49:49" x14ac:dyDescent="0.3">
      <c r="AW757" s="110"/>
    </row>
    <row r="760" spans="49:49" x14ac:dyDescent="0.3">
      <c r="AW760" s="110"/>
    </row>
    <row r="761" spans="49:49" x14ac:dyDescent="0.3">
      <c r="AW761" s="110"/>
    </row>
    <row r="764" spans="49:49" x14ac:dyDescent="0.3">
      <c r="AW764" s="110"/>
    </row>
    <row r="765" spans="49:49" x14ac:dyDescent="0.3">
      <c r="AW765" s="110"/>
    </row>
    <row r="766" spans="49:49" x14ac:dyDescent="0.3">
      <c r="AW766" s="110"/>
    </row>
    <row r="767" spans="49:49" x14ac:dyDescent="0.3">
      <c r="AW767" s="110"/>
    </row>
    <row r="775" spans="45:69" x14ac:dyDescent="0.3">
      <c r="AY775" s="99"/>
    </row>
    <row r="776" spans="45:69" x14ac:dyDescent="0.3">
      <c r="AY776" s="99"/>
    </row>
    <row r="777" spans="45:69" x14ac:dyDescent="0.3">
      <c r="BD777" s="99"/>
    </row>
    <row r="778" spans="45:69" x14ac:dyDescent="0.3">
      <c r="BD778" s="99"/>
    </row>
    <row r="779" spans="45:69" x14ac:dyDescent="0.3">
      <c r="AS779" s="99"/>
      <c r="BD779" s="99"/>
    </row>
    <row r="781" spans="45:69" x14ac:dyDescent="0.3"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</row>
    <row r="782" spans="45:69" x14ac:dyDescent="0.3">
      <c r="AX782" s="99"/>
    </row>
    <row r="783" spans="45:69" x14ac:dyDescent="0.3">
      <c r="AX783" s="101"/>
      <c r="AY783" s="101"/>
      <c r="AZ783" s="101"/>
      <c r="BA783" s="101"/>
      <c r="BC783" s="102"/>
      <c r="BD783" s="102"/>
    </row>
    <row r="784" spans="45:69" x14ac:dyDescent="0.3">
      <c r="AV784" s="102"/>
      <c r="AW784" s="102"/>
      <c r="AZ784" s="102"/>
      <c r="BA784" s="102"/>
      <c r="BC784" s="102"/>
      <c r="BD784" s="102"/>
      <c r="BE784" s="102"/>
      <c r="BG784" s="101"/>
      <c r="BH784" s="99"/>
      <c r="BK784" s="101"/>
      <c r="BM784" s="101"/>
      <c r="BN784" s="99"/>
      <c r="BQ784" s="101"/>
    </row>
    <row r="785" spans="45:69" x14ac:dyDescent="0.3"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H785" s="102"/>
      <c r="BI785" s="102"/>
      <c r="BJ785" s="102"/>
      <c r="BN785" s="102"/>
      <c r="BO785" s="102"/>
      <c r="BP785" s="102"/>
    </row>
    <row r="786" spans="45:69" x14ac:dyDescent="0.3">
      <c r="AS786" s="102"/>
      <c r="AU786" s="99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G786" s="102"/>
      <c r="BH786" s="102"/>
      <c r="BI786" s="102"/>
      <c r="BJ786" s="102"/>
      <c r="BK786" s="102"/>
      <c r="BM786" s="102"/>
      <c r="BN786" s="102"/>
      <c r="BO786" s="102"/>
      <c r="BP786" s="102"/>
      <c r="BQ786" s="102"/>
    </row>
    <row r="787" spans="45:69" x14ac:dyDescent="0.3">
      <c r="AS787" s="102"/>
      <c r="AU787" s="99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G787" s="102"/>
      <c r="BH787" s="102"/>
      <c r="BI787" s="102"/>
      <c r="BJ787" s="102"/>
      <c r="BK787" s="102"/>
      <c r="BM787" s="102"/>
      <c r="BN787" s="102"/>
      <c r="BO787" s="102"/>
      <c r="BP787" s="102"/>
      <c r="BQ787" s="102"/>
    </row>
    <row r="788" spans="45:69" x14ac:dyDescent="0.3">
      <c r="AS788" s="101"/>
      <c r="AT788" s="101"/>
      <c r="AU788" s="101"/>
      <c r="AV788" s="101"/>
      <c r="AW788" s="101"/>
      <c r="AX788" s="101"/>
      <c r="AY788" s="101"/>
      <c r="AZ788" s="101"/>
      <c r="BA788" s="101"/>
      <c r="BB788" s="101"/>
      <c r="BC788" s="101"/>
      <c r="BD788" s="101"/>
      <c r="BE788" s="101"/>
      <c r="BG788" s="101"/>
      <c r="BH788" s="101"/>
      <c r="BI788" s="101"/>
      <c r="BJ788" s="101"/>
      <c r="BK788" s="101"/>
      <c r="BM788" s="101"/>
      <c r="BN788" s="101"/>
      <c r="BO788" s="101"/>
      <c r="BP788" s="101"/>
      <c r="BQ788" s="101"/>
    </row>
    <row r="789" spans="45:69" x14ac:dyDescent="0.3"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</row>
    <row r="790" spans="45:69" x14ac:dyDescent="0.3">
      <c r="AU790" s="99"/>
      <c r="AV790" s="102"/>
      <c r="AY790" s="198"/>
    </row>
    <row r="791" spans="45:69" x14ac:dyDescent="0.3">
      <c r="AV791" s="102"/>
      <c r="AW791" s="110"/>
      <c r="AX791" s="163"/>
      <c r="AY791" s="163"/>
      <c r="AZ791" s="163"/>
      <c r="BA791" s="141"/>
      <c r="BB791" s="163"/>
      <c r="BC791" s="198"/>
      <c r="BD791" s="198"/>
      <c r="BE791" s="141"/>
      <c r="BG791" s="163"/>
      <c r="BH791" s="163"/>
      <c r="BI791" s="163"/>
      <c r="BJ791" s="163"/>
      <c r="BK791" s="163"/>
      <c r="BM791" s="163"/>
      <c r="BN791" s="163"/>
      <c r="BO791" s="163"/>
      <c r="BP791" s="163"/>
      <c r="BQ791" s="163"/>
    </row>
    <row r="792" spans="45:69" x14ac:dyDescent="0.3">
      <c r="AV792" s="102"/>
      <c r="AW792" s="110"/>
      <c r="AX792" s="163"/>
      <c r="AY792" s="163"/>
      <c r="AZ792" s="163"/>
      <c r="BA792" s="141"/>
      <c r="BB792" s="163"/>
      <c r="BC792" s="198"/>
      <c r="BD792" s="198"/>
      <c r="BE792" s="141"/>
      <c r="BG792" s="163"/>
      <c r="BH792" s="163"/>
      <c r="BI792" s="163"/>
      <c r="BJ792" s="163"/>
      <c r="BK792" s="163"/>
      <c r="BM792" s="163"/>
      <c r="BN792" s="163"/>
      <c r="BO792" s="163"/>
      <c r="BP792" s="163"/>
      <c r="BQ792" s="163"/>
    </row>
    <row r="793" spans="45:69" x14ac:dyDescent="0.3">
      <c r="AV793" s="102"/>
      <c r="AW793" s="110"/>
      <c r="AX793" s="163"/>
      <c r="AY793" s="163"/>
      <c r="AZ793" s="163"/>
      <c r="BA793" s="141"/>
      <c r="BB793" s="163"/>
      <c r="BC793" s="198"/>
      <c r="BD793" s="198"/>
      <c r="BE793" s="141"/>
      <c r="BG793" s="163"/>
      <c r="BH793" s="163"/>
      <c r="BI793" s="163"/>
      <c r="BJ793" s="163"/>
      <c r="BK793" s="163"/>
      <c r="BM793" s="163"/>
      <c r="BN793" s="163"/>
      <c r="BO793" s="163"/>
      <c r="BP793" s="163"/>
      <c r="BQ793" s="163"/>
    </row>
    <row r="794" spans="45:69" x14ac:dyDescent="0.3">
      <c r="AV794" s="102"/>
      <c r="AW794" s="110"/>
      <c r="AX794" s="163"/>
      <c r="AY794" s="163"/>
      <c r="AZ794" s="163"/>
      <c r="BA794" s="141"/>
      <c r="BB794" s="163"/>
      <c r="BC794" s="198"/>
      <c r="BD794" s="198"/>
      <c r="BE794" s="141"/>
      <c r="BG794" s="163"/>
      <c r="BH794" s="163"/>
      <c r="BI794" s="163"/>
      <c r="BJ794" s="163"/>
      <c r="BK794" s="163"/>
      <c r="BM794" s="163"/>
      <c r="BN794" s="163"/>
      <c r="BO794" s="163"/>
      <c r="BP794" s="163"/>
      <c r="BQ794" s="163"/>
    </row>
    <row r="795" spans="45:69" x14ac:dyDescent="0.3">
      <c r="AV795" s="102"/>
      <c r="AW795" s="110"/>
      <c r="AX795" s="163"/>
      <c r="AY795" s="163"/>
      <c r="AZ795" s="163"/>
      <c r="BA795" s="141"/>
      <c r="BB795" s="163"/>
      <c r="BC795" s="198"/>
      <c r="BD795" s="198"/>
      <c r="BE795" s="141"/>
      <c r="BG795" s="163"/>
      <c r="BH795" s="163"/>
      <c r="BI795" s="163"/>
      <c r="BJ795" s="163"/>
      <c r="BK795" s="163"/>
      <c r="BM795" s="163"/>
      <c r="BN795" s="163"/>
      <c r="BO795" s="163"/>
      <c r="BP795" s="163"/>
      <c r="BQ795" s="163"/>
    </row>
    <row r="796" spans="45:69" x14ac:dyDescent="0.3">
      <c r="AV796" s="102"/>
      <c r="AW796" s="110"/>
      <c r="AX796" s="163"/>
      <c r="AY796" s="163"/>
      <c r="AZ796" s="163"/>
      <c r="BA796" s="141"/>
      <c r="BB796" s="163"/>
      <c r="BC796" s="198"/>
      <c r="BD796" s="198"/>
      <c r="BE796" s="141"/>
      <c r="BG796" s="163"/>
      <c r="BH796" s="163"/>
      <c r="BI796" s="163"/>
      <c r="BJ796" s="163"/>
      <c r="BK796" s="163"/>
      <c r="BM796" s="163"/>
      <c r="BN796" s="163"/>
      <c r="BO796" s="163"/>
      <c r="BP796" s="163"/>
      <c r="BQ796" s="163"/>
    </row>
    <row r="797" spans="45:69" x14ac:dyDescent="0.3">
      <c r="AV797" s="102"/>
      <c r="AW797" s="110"/>
      <c r="AX797" s="163"/>
      <c r="AY797" s="163"/>
      <c r="AZ797" s="163"/>
      <c r="BA797" s="141"/>
      <c r="BB797" s="163"/>
      <c r="BC797" s="198"/>
      <c r="BD797" s="198"/>
      <c r="BE797" s="141"/>
      <c r="BG797" s="163"/>
      <c r="BH797" s="163"/>
      <c r="BI797" s="163"/>
      <c r="BJ797" s="163"/>
      <c r="BK797" s="163"/>
      <c r="BM797" s="163"/>
      <c r="BN797" s="163"/>
      <c r="BO797" s="163"/>
      <c r="BP797" s="163"/>
      <c r="BQ797" s="163"/>
    </row>
    <row r="798" spans="45:69" x14ac:dyDescent="0.3">
      <c r="AY798" s="198"/>
      <c r="AZ798" s="163"/>
      <c r="BA798" s="141"/>
      <c r="BB798" s="163"/>
      <c r="BC798" s="198"/>
      <c r="BD798" s="198"/>
      <c r="BE798" s="141"/>
      <c r="BK798" s="163"/>
      <c r="BQ798" s="163"/>
    </row>
    <row r="799" spans="45:69" x14ac:dyDescent="0.3">
      <c r="AV799" s="102"/>
      <c r="AY799" s="198"/>
      <c r="AZ799" s="163"/>
      <c r="BA799" s="141"/>
      <c r="BB799" s="163"/>
      <c r="BC799" s="198"/>
      <c r="BD799" s="198"/>
      <c r="BE799" s="141"/>
      <c r="BK799" s="163"/>
      <c r="BQ799" s="163"/>
    </row>
    <row r="800" spans="45:69" x14ac:dyDescent="0.3">
      <c r="AV800" s="102"/>
      <c r="AW800" s="110"/>
      <c r="AX800" s="163"/>
      <c r="AY800" s="163"/>
      <c r="AZ800" s="163"/>
      <c r="BA800" s="141"/>
      <c r="BB800" s="163"/>
      <c r="BC800" s="198"/>
      <c r="BD800" s="198"/>
      <c r="BE800" s="141"/>
      <c r="BG800" s="163"/>
      <c r="BH800" s="163"/>
      <c r="BI800" s="163"/>
      <c r="BJ800" s="163"/>
      <c r="BK800" s="163"/>
      <c r="BM800" s="163"/>
      <c r="BN800" s="163"/>
      <c r="BO800" s="163"/>
      <c r="BP800" s="163"/>
      <c r="BQ800" s="163"/>
    </row>
    <row r="801" spans="45:69" x14ac:dyDescent="0.3">
      <c r="AV801" s="102"/>
      <c r="AW801" s="110"/>
      <c r="AX801" s="163"/>
      <c r="AY801" s="163"/>
      <c r="AZ801" s="163"/>
      <c r="BA801" s="141"/>
      <c r="BB801" s="163"/>
      <c r="BC801" s="198"/>
      <c r="BD801" s="198"/>
      <c r="BE801" s="141"/>
      <c r="BG801" s="163"/>
      <c r="BH801" s="163"/>
      <c r="BI801" s="163"/>
      <c r="BJ801" s="163"/>
      <c r="BK801" s="163"/>
      <c r="BM801" s="163"/>
      <c r="BN801" s="163"/>
      <c r="BO801" s="163"/>
      <c r="BP801" s="163"/>
      <c r="BQ801" s="163"/>
    </row>
    <row r="802" spans="45:69" x14ac:dyDescent="0.3">
      <c r="AV802" s="102"/>
      <c r="AW802" s="110"/>
      <c r="AX802" s="163"/>
      <c r="AY802" s="163"/>
      <c r="AZ802" s="163"/>
      <c r="BA802" s="141"/>
      <c r="BB802" s="163"/>
      <c r="BC802" s="198"/>
      <c r="BD802" s="198"/>
      <c r="BE802" s="141"/>
      <c r="BG802" s="163"/>
      <c r="BH802" s="163"/>
      <c r="BI802" s="163"/>
      <c r="BJ802" s="163"/>
      <c r="BK802" s="163"/>
      <c r="BM802" s="163"/>
      <c r="BN802" s="163"/>
      <c r="BO802" s="163"/>
      <c r="BP802" s="163"/>
      <c r="BQ802" s="163"/>
    </row>
    <row r="803" spans="45:69" x14ac:dyDescent="0.3">
      <c r="AV803" s="102"/>
      <c r="AW803" s="110"/>
      <c r="AX803" s="163"/>
      <c r="AY803" s="163"/>
      <c r="AZ803" s="163"/>
      <c r="BA803" s="141"/>
      <c r="BB803" s="163"/>
      <c r="BC803" s="198"/>
      <c r="BD803" s="198"/>
      <c r="BE803" s="141"/>
      <c r="BG803" s="163"/>
      <c r="BH803" s="163"/>
      <c r="BI803" s="163"/>
      <c r="BJ803" s="163"/>
      <c r="BK803" s="163"/>
      <c r="BM803" s="163"/>
      <c r="BN803" s="163"/>
      <c r="BO803" s="163"/>
      <c r="BP803" s="163"/>
      <c r="BQ803" s="163"/>
    </row>
    <row r="804" spans="45:69" x14ac:dyDescent="0.3">
      <c r="AV804" s="102"/>
      <c r="AW804" s="110"/>
      <c r="AX804" s="163"/>
      <c r="AY804" s="163"/>
      <c r="AZ804" s="163"/>
      <c r="BA804" s="141"/>
      <c r="BB804" s="163"/>
      <c r="BC804" s="198"/>
      <c r="BD804" s="198"/>
      <c r="BE804" s="141"/>
      <c r="BG804" s="163"/>
      <c r="BH804" s="163"/>
      <c r="BI804" s="163"/>
      <c r="BJ804" s="163"/>
      <c r="BK804" s="163"/>
      <c r="BM804" s="163"/>
      <c r="BN804" s="163"/>
      <c r="BO804" s="163"/>
      <c r="BP804" s="163"/>
      <c r="BQ804" s="163"/>
    </row>
    <row r="805" spans="45:69" x14ac:dyDescent="0.3">
      <c r="AV805" s="102"/>
      <c r="AW805" s="110"/>
      <c r="AX805" s="163"/>
      <c r="AY805" s="163"/>
      <c r="AZ805" s="163"/>
      <c r="BA805" s="141"/>
      <c r="BB805" s="163"/>
      <c r="BC805" s="198"/>
      <c r="BD805" s="198"/>
      <c r="BE805" s="141"/>
      <c r="BG805" s="163"/>
      <c r="BH805" s="163"/>
      <c r="BI805" s="163"/>
      <c r="BJ805" s="163"/>
      <c r="BK805" s="163"/>
      <c r="BM805" s="163"/>
      <c r="BN805" s="163"/>
      <c r="BO805" s="163"/>
      <c r="BP805" s="163"/>
      <c r="BQ805" s="163"/>
    </row>
    <row r="806" spans="45:69" x14ac:dyDescent="0.3">
      <c r="AV806" s="102"/>
      <c r="AW806" s="110"/>
      <c r="AX806" s="163"/>
      <c r="AY806" s="163"/>
      <c r="AZ806" s="163"/>
      <c r="BA806" s="141"/>
      <c r="BB806" s="163"/>
      <c r="BC806" s="198"/>
      <c r="BD806" s="198"/>
      <c r="BE806" s="141"/>
      <c r="BG806" s="163"/>
      <c r="BH806" s="163"/>
      <c r="BI806" s="163"/>
      <c r="BJ806" s="163"/>
      <c r="BK806" s="163"/>
      <c r="BM806" s="163"/>
      <c r="BN806" s="163"/>
      <c r="BO806" s="163"/>
      <c r="BP806" s="163"/>
      <c r="BQ806" s="163"/>
    </row>
    <row r="807" spans="45:69" x14ac:dyDescent="0.3">
      <c r="AV807" s="102"/>
      <c r="AW807" s="110"/>
      <c r="AX807" s="163"/>
      <c r="AY807" s="163"/>
      <c r="AZ807" s="163"/>
      <c r="BA807" s="141"/>
      <c r="BB807" s="163"/>
      <c r="BC807" s="198"/>
      <c r="BD807" s="198"/>
      <c r="BE807" s="141"/>
      <c r="BG807" s="163"/>
      <c r="BH807" s="163"/>
      <c r="BI807" s="163"/>
      <c r="BJ807" s="163"/>
      <c r="BK807" s="163"/>
      <c r="BM807" s="163"/>
      <c r="BN807" s="163"/>
      <c r="BO807" s="163"/>
      <c r="BP807" s="163"/>
      <c r="BQ807" s="163"/>
    </row>
    <row r="808" spans="45:69" x14ac:dyDescent="0.3">
      <c r="AY808" s="198"/>
      <c r="AZ808" s="163"/>
      <c r="BA808" s="141"/>
      <c r="BB808" s="163"/>
      <c r="BC808" s="198"/>
      <c r="BD808" s="198"/>
      <c r="BE808" s="141"/>
      <c r="BK808" s="163"/>
      <c r="BQ808" s="163"/>
    </row>
    <row r="809" spans="45:69" x14ac:dyDescent="0.3">
      <c r="AU809" s="99"/>
      <c r="AZ809" s="163"/>
      <c r="BB809" s="163"/>
      <c r="BG809" s="163"/>
      <c r="BH809" s="163"/>
      <c r="BJ809" s="163"/>
      <c r="BK809" s="163"/>
    </row>
    <row r="810" spans="45:69" x14ac:dyDescent="0.3">
      <c r="AZ810" s="163"/>
      <c r="BB810" s="163"/>
    </row>
    <row r="811" spans="45:69" x14ac:dyDescent="0.3">
      <c r="AS811" s="99"/>
      <c r="AZ811" s="163"/>
      <c r="BB811" s="163"/>
      <c r="BI811" s="163"/>
    </row>
    <row r="812" spans="45:69" x14ac:dyDescent="0.3">
      <c r="AZ812" s="163"/>
      <c r="BB812" s="163"/>
    </row>
    <row r="813" spans="45:69" x14ac:dyDescent="0.3">
      <c r="AY813" s="163"/>
      <c r="BB813" s="163"/>
    </row>
    <row r="814" spans="45:69" x14ac:dyDescent="0.3">
      <c r="AY814" s="99"/>
      <c r="AZ814" s="163"/>
      <c r="BB814" s="163"/>
    </row>
    <row r="815" spans="45:69" x14ac:dyDescent="0.3">
      <c r="AY815" s="99"/>
      <c r="AZ815" s="163"/>
      <c r="BB815" s="163"/>
    </row>
    <row r="816" spans="45:69" x14ac:dyDescent="0.3">
      <c r="AZ816" s="163"/>
      <c r="BB816" s="163"/>
      <c r="BD816" s="99"/>
    </row>
    <row r="817" spans="45:75" x14ac:dyDescent="0.3">
      <c r="AZ817" s="163"/>
      <c r="BB817" s="163"/>
      <c r="BD817" s="99"/>
    </row>
    <row r="818" spans="45:75" x14ac:dyDescent="0.3">
      <c r="AS818" s="99"/>
      <c r="AZ818" s="163"/>
      <c r="BB818" s="163"/>
      <c r="BD818" s="99"/>
    </row>
    <row r="819" spans="45:75" x14ac:dyDescent="0.3">
      <c r="AZ819" s="163"/>
      <c r="BB819" s="163"/>
    </row>
    <row r="820" spans="45:75" x14ac:dyDescent="0.3">
      <c r="AS820" s="101"/>
      <c r="AT820" s="101"/>
      <c r="AU820" s="101"/>
      <c r="AV820" s="101"/>
      <c r="AW820" s="101"/>
      <c r="AX820" s="101"/>
      <c r="AY820" s="101"/>
      <c r="AZ820" s="212"/>
      <c r="BA820" s="101"/>
      <c r="BB820" s="212"/>
      <c r="BC820" s="101"/>
      <c r="BD820" s="101"/>
      <c r="BE820" s="101"/>
    </row>
    <row r="821" spans="45:75" x14ac:dyDescent="0.3">
      <c r="AX821" s="99"/>
      <c r="AZ821" s="163"/>
      <c r="BB821" s="163"/>
    </row>
    <row r="822" spans="45:75" x14ac:dyDescent="0.3">
      <c r="AX822" s="101"/>
      <c r="AY822" s="101"/>
      <c r="AZ822" s="212"/>
      <c r="BA822" s="101"/>
      <c r="BB822" s="163"/>
      <c r="BC822" s="102"/>
      <c r="BD822" s="102"/>
    </row>
    <row r="823" spans="45:75" x14ac:dyDescent="0.3">
      <c r="AV823" s="102"/>
      <c r="AW823" s="102"/>
      <c r="AZ823" s="213"/>
      <c r="BA823" s="102"/>
      <c r="BB823" s="163"/>
      <c r="BC823" s="102"/>
      <c r="BD823" s="102"/>
      <c r="BE823" s="102"/>
      <c r="BG823" s="101"/>
      <c r="BH823" s="101"/>
      <c r="BI823" s="99"/>
      <c r="BM823" s="101"/>
      <c r="BN823" s="101"/>
      <c r="BP823" s="101"/>
      <c r="BQ823" s="101"/>
      <c r="BR823" s="99"/>
      <c r="BV823" s="101"/>
      <c r="BW823" s="101"/>
    </row>
    <row r="824" spans="45:75" x14ac:dyDescent="0.3">
      <c r="AV824" s="102"/>
      <c r="AW824" s="102"/>
      <c r="AX824" s="102"/>
      <c r="AY824" s="102"/>
      <c r="AZ824" s="213"/>
      <c r="BA824" s="102"/>
      <c r="BB824" s="213"/>
      <c r="BC824" s="102"/>
      <c r="BD824" s="102"/>
      <c r="BE824" s="102"/>
      <c r="BH824" s="102"/>
      <c r="BI824" s="102"/>
      <c r="BJ824" s="102"/>
      <c r="BK824" s="102"/>
      <c r="BL824" s="102"/>
      <c r="BM824" s="102"/>
      <c r="BQ824" s="102"/>
      <c r="BR824" s="102"/>
      <c r="BS824" s="102"/>
      <c r="BT824" s="102"/>
      <c r="BU824" s="102"/>
      <c r="BV824" s="102"/>
    </row>
    <row r="825" spans="45:75" x14ac:dyDescent="0.3">
      <c r="AS825" s="102"/>
      <c r="AU825" s="99"/>
      <c r="AV825" s="102"/>
      <c r="AW825" s="102"/>
      <c r="AX825" s="102"/>
      <c r="AY825" s="102"/>
      <c r="AZ825" s="213"/>
      <c r="BA825" s="102"/>
      <c r="BB825" s="213"/>
      <c r="BC825" s="102"/>
      <c r="BD825" s="102"/>
      <c r="BE825" s="102"/>
      <c r="BG825" s="102"/>
      <c r="BH825" s="102"/>
      <c r="BI825" s="102"/>
      <c r="BJ825" s="102"/>
      <c r="BK825" s="102"/>
      <c r="BL825" s="102"/>
      <c r="BM825" s="102"/>
      <c r="BN825" s="102"/>
      <c r="BP825" s="102"/>
      <c r="BQ825" s="102"/>
      <c r="BR825" s="102"/>
      <c r="BS825" s="102"/>
      <c r="BT825" s="102"/>
      <c r="BU825" s="102"/>
      <c r="BV825" s="102"/>
      <c r="BW825" s="102"/>
    </row>
    <row r="826" spans="45:75" x14ac:dyDescent="0.3">
      <c r="AS826" s="102"/>
      <c r="AU826" s="99"/>
      <c r="AV826" s="102"/>
      <c r="AW826" s="102"/>
      <c r="AX826" s="102"/>
      <c r="AY826" s="102"/>
      <c r="AZ826" s="213"/>
      <c r="BA826" s="102"/>
      <c r="BB826" s="213"/>
      <c r="BC826" s="102"/>
      <c r="BD826" s="102"/>
      <c r="BE826" s="102"/>
      <c r="BG826" s="102"/>
      <c r="BH826" s="102"/>
      <c r="BI826" s="102"/>
      <c r="BJ826" s="102"/>
      <c r="BK826" s="102"/>
      <c r="BL826" s="102"/>
      <c r="BM826" s="102"/>
      <c r="BN826" s="102"/>
      <c r="BP826" s="102"/>
      <c r="BQ826" s="102"/>
      <c r="BR826" s="102"/>
      <c r="BS826" s="102"/>
      <c r="BT826" s="102"/>
      <c r="BU826" s="102"/>
      <c r="BV826" s="102"/>
      <c r="BW826" s="102"/>
    </row>
    <row r="827" spans="45:75" x14ac:dyDescent="0.3">
      <c r="AS827" s="101"/>
      <c r="AT827" s="101"/>
      <c r="AU827" s="101"/>
      <c r="AV827" s="101"/>
      <c r="AW827" s="101"/>
      <c r="AX827" s="101"/>
      <c r="AY827" s="101"/>
      <c r="AZ827" s="212"/>
      <c r="BA827" s="101"/>
      <c r="BB827" s="212"/>
      <c r="BC827" s="101"/>
      <c r="BD827" s="101"/>
      <c r="BE827" s="101"/>
      <c r="BG827" s="101"/>
      <c r="BH827" s="101"/>
      <c r="BI827" s="101"/>
      <c r="BJ827" s="101"/>
      <c r="BK827" s="101"/>
      <c r="BL827" s="101"/>
      <c r="BM827" s="101"/>
      <c r="BN827" s="101"/>
      <c r="BP827" s="101"/>
      <c r="BQ827" s="101"/>
      <c r="BR827" s="101"/>
      <c r="BS827" s="101"/>
      <c r="BT827" s="101"/>
      <c r="BU827" s="101"/>
      <c r="BV827" s="101"/>
      <c r="BW827" s="101"/>
    </row>
    <row r="828" spans="45:75" x14ac:dyDescent="0.3">
      <c r="AV828" s="102"/>
      <c r="AW828" s="102"/>
      <c r="AX828" s="102"/>
      <c r="AY828" s="102"/>
      <c r="AZ828" s="213"/>
      <c r="BA828" s="102"/>
      <c r="BB828" s="213"/>
      <c r="BC828" s="102"/>
      <c r="BD828" s="102"/>
      <c r="BE828" s="102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</row>
    <row r="829" spans="45:75" x14ac:dyDescent="0.3">
      <c r="AU829" s="99"/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</row>
    <row r="830" spans="45:75" x14ac:dyDescent="0.3"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</row>
    <row r="831" spans="45:75" x14ac:dyDescent="0.3"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</row>
    <row r="832" spans="45:75" x14ac:dyDescent="0.3"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</row>
    <row r="833" spans="49:75" x14ac:dyDescent="0.3"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</row>
    <row r="834" spans="49:75" x14ac:dyDescent="0.3"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</row>
    <row r="835" spans="49:75" x14ac:dyDescent="0.3"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</row>
    <row r="836" spans="49:75" x14ac:dyDescent="0.3"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</row>
    <row r="837" spans="49:75" x14ac:dyDescent="0.3"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</row>
    <row r="838" spans="49:75" x14ac:dyDescent="0.3"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</row>
    <row r="839" spans="49:75" x14ac:dyDescent="0.3"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</row>
    <row r="840" spans="49:75" x14ac:dyDescent="0.3"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</row>
    <row r="841" spans="49:75" x14ac:dyDescent="0.3"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</row>
    <row r="842" spans="49:75" x14ac:dyDescent="0.3"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</row>
    <row r="843" spans="49:75" x14ac:dyDescent="0.3"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</row>
    <row r="844" spans="49:75" x14ac:dyDescent="0.3"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</row>
    <row r="845" spans="49:75" x14ac:dyDescent="0.3"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</row>
    <row r="846" spans="49:75" x14ac:dyDescent="0.3"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</row>
    <row r="847" spans="49:75" x14ac:dyDescent="0.3"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</row>
    <row r="848" spans="49:75" x14ac:dyDescent="0.3">
      <c r="AW848" s="110"/>
      <c r="AX848" s="163"/>
      <c r="AY848" s="163"/>
      <c r="AZ848" s="163"/>
      <c r="BA848" s="207"/>
      <c r="BB848" s="163"/>
      <c r="BC848" s="163"/>
      <c r="BD848" s="163"/>
      <c r="BE848" s="207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</row>
    <row r="849" spans="45:75" x14ac:dyDescent="0.3">
      <c r="AW849" s="110"/>
      <c r="AX849" s="163"/>
      <c r="AY849" s="163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</row>
    <row r="850" spans="45:75" x14ac:dyDescent="0.3">
      <c r="AW850" s="110"/>
      <c r="AX850" s="163"/>
      <c r="AY850" s="163"/>
      <c r="AZ850" s="163"/>
      <c r="BA850" s="207"/>
      <c r="BB850" s="163"/>
      <c r="BC850" s="163"/>
      <c r="BD850" s="163"/>
      <c r="BE850" s="207"/>
      <c r="BG850" s="101"/>
      <c r="BH850" s="101"/>
      <c r="BI850" s="99"/>
      <c r="BM850" s="101"/>
      <c r="BN850" s="101"/>
      <c r="BO850" s="163"/>
      <c r="BP850" s="101"/>
      <c r="BQ850" s="101"/>
      <c r="BR850" s="99"/>
      <c r="BV850" s="101"/>
      <c r="BW850" s="101"/>
    </row>
    <row r="851" spans="45:75" x14ac:dyDescent="0.3">
      <c r="AU851" s="99"/>
      <c r="AV851" s="102"/>
      <c r="AW851" s="110"/>
      <c r="AX851" s="163"/>
      <c r="AY851" s="163"/>
      <c r="AZ851" s="163"/>
      <c r="BA851" s="207"/>
      <c r="BB851" s="163"/>
      <c r="BC851" s="163"/>
      <c r="BD851" s="163"/>
      <c r="BE851" s="207"/>
      <c r="BG851" s="213"/>
      <c r="BH851" s="163"/>
      <c r="BI851" s="163"/>
      <c r="BJ851" s="163"/>
      <c r="BK851" s="213"/>
      <c r="BL851" s="214"/>
      <c r="BM851" s="163"/>
      <c r="BN851" s="213"/>
      <c r="BO851" s="163"/>
      <c r="BP851" s="213"/>
      <c r="BQ851" s="163"/>
      <c r="BR851" s="163"/>
      <c r="BS851" s="163"/>
      <c r="BT851" s="213"/>
      <c r="BU851" s="214"/>
      <c r="BV851" s="163"/>
      <c r="BW851" s="213"/>
    </row>
    <row r="852" spans="45:75" x14ac:dyDescent="0.3">
      <c r="AV852" s="102"/>
      <c r="AW852" s="110"/>
      <c r="AX852" s="163"/>
      <c r="AY852" s="163"/>
      <c r="AZ852" s="163"/>
      <c r="BA852" s="207"/>
      <c r="BB852" s="163"/>
      <c r="BC852" s="163"/>
      <c r="BD852" s="163"/>
      <c r="BE852" s="207"/>
      <c r="BG852" s="163"/>
      <c r="BH852" s="163"/>
      <c r="BI852" s="163"/>
      <c r="BJ852" s="163"/>
      <c r="BK852" s="163"/>
      <c r="BL852" s="214"/>
      <c r="BM852" s="163"/>
      <c r="BN852" s="163"/>
      <c r="BO852" s="163"/>
      <c r="BP852" s="163"/>
      <c r="BQ852" s="163"/>
      <c r="BR852" s="163"/>
      <c r="BS852" s="163"/>
      <c r="BT852" s="163"/>
      <c r="BU852" s="214"/>
      <c r="BV852" s="163"/>
      <c r="BW852" s="163"/>
    </row>
    <row r="853" spans="45:75" x14ac:dyDescent="0.3">
      <c r="AV853" s="102"/>
      <c r="AW853" s="110"/>
      <c r="AX853" s="163"/>
      <c r="AY853" s="163"/>
      <c r="AZ853" s="163"/>
      <c r="BA853" s="207"/>
      <c r="BB853" s="163"/>
      <c r="BC853" s="163"/>
      <c r="BD853" s="163"/>
      <c r="BE853" s="207"/>
      <c r="BG853" s="163"/>
      <c r="BH853" s="163"/>
      <c r="BI853" s="163"/>
      <c r="BJ853" s="163"/>
      <c r="BK853" s="163"/>
      <c r="BL853" s="214"/>
      <c r="BM853" s="163"/>
      <c r="BN853" s="163"/>
      <c r="BO853" s="163"/>
      <c r="BP853" s="163"/>
      <c r="BQ853" s="163"/>
      <c r="BR853" s="163"/>
      <c r="BS853" s="163"/>
      <c r="BT853" s="163"/>
      <c r="BU853" s="214"/>
      <c r="BV853" s="163"/>
      <c r="BW853" s="163"/>
    </row>
    <row r="854" spans="45:75" x14ac:dyDescent="0.3">
      <c r="AV854" s="102"/>
      <c r="AW854" s="110"/>
      <c r="AX854" s="163"/>
      <c r="AY854" s="163"/>
      <c r="AZ854" s="163"/>
      <c r="BA854" s="207"/>
      <c r="BB854" s="163"/>
      <c r="BC854" s="163"/>
      <c r="BD854" s="163"/>
      <c r="BE854" s="207"/>
      <c r="BG854" s="163"/>
      <c r="BH854" s="163"/>
      <c r="BI854" s="163"/>
      <c r="BJ854" s="163"/>
      <c r="BK854" s="163"/>
      <c r="BL854" s="214"/>
      <c r="BM854" s="163"/>
      <c r="BN854" s="163"/>
      <c r="BO854" s="163"/>
      <c r="BP854" s="163"/>
      <c r="BQ854" s="163"/>
      <c r="BR854" s="163"/>
      <c r="BS854" s="163"/>
      <c r="BT854" s="163"/>
      <c r="BU854" s="214"/>
      <c r="BV854" s="163"/>
      <c r="BW854" s="163"/>
    </row>
    <row r="855" spans="45:75" x14ac:dyDescent="0.3">
      <c r="AX855" s="163"/>
      <c r="AY855" s="163"/>
      <c r="AZ855" s="163"/>
      <c r="BA855" s="207"/>
      <c r="BB855" s="163"/>
      <c r="BC855" s="163"/>
      <c r="BD855" s="163"/>
      <c r="BE855" s="207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</row>
    <row r="856" spans="45:75" x14ac:dyDescent="0.3">
      <c r="AU856" s="99"/>
    </row>
    <row r="857" spans="45:75" x14ac:dyDescent="0.3">
      <c r="AU857" s="99"/>
      <c r="AZ857" s="163"/>
      <c r="BA857" s="207"/>
      <c r="BB857" s="163"/>
      <c r="BC857" s="163"/>
      <c r="BD857" s="163"/>
      <c r="BE857" s="207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</row>
    <row r="858" spans="45:75" x14ac:dyDescent="0.3">
      <c r="AS858" s="99"/>
      <c r="AZ858" s="163"/>
      <c r="BB858" s="163"/>
    </row>
    <row r="859" spans="45:75" x14ac:dyDescent="0.3">
      <c r="AZ859" s="163"/>
      <c r="BB859" s="163"/>
      <c r="BO859" s="163"/>
      <c r="BP859" s="163"/>
      <c r="BQ859" s="163"/>
      <c r="BR859" s="163"/>
      <c r="BS859" s="163"/>
      <c r="BT859" s="163"/>
      <c r="BU859" s="163"/>
      <c r="BV859" s="163"/>
    </row>
    <row r="860" spans="45:75" x14ac:dyDescent="0.3">
      <c r="AY860" s="163"/>
      <c r="AZ860" s="163"/>
      <c r="BB860" s="163"/>
      <c r="BO860" s="163"/>
      <c r="BP860" s="163"/>
      <c r="BQ860" s="163"/>
      <c r="BR860" s="163"/>
      <c r="BS860" s="163"/>
      <c r="BT860" s="163"/>
      <c r="BU860" s="163"/>
      <c r="BV860" s="163"/>
    </row>
    <row r="861" spans="45:75" x14ac:dyDescent="0.3">
      <c r="AY861" s="99"/>
      <c r="AZ861" s="163"/>
      <c r="BB861" s="163"/>
      <c r="BO861" s="163"/>
      <c r="BP861" s="163"/>
      <c r="BQ861" s="163"/>
      <c r="BR861" s="163"/>
      <c r="BS861" s="163"/>
      <c r="BT861" s="163"/>
      <c r="BU861" s="163"/>
      <c r="BV861" s="163"/>
    </row>
    <row r="862" spans="45:75" x14ac:dyDescent="0.3">
      <c r="AY862" s="99"/>
      <c r="AZ862" s="163"/>
      <c r="BB862" s="163"/>
      <c r="BO862" s="163"/>
      <c r="BP862" s="163"/>
      <c r="BQ862" s="163"/>
      <c r="BR862" s="163"/>
      <c r="BS862" s="163"/>
      <c r="BT862" s="163"/>
      <c r="BU862" s="163"/>
      <c r="BV862" s="163"/>
    </row>
    <row r="863" spans="45:75" x14ac:dyDescent="0.3">
      <c r="AZ863" s="163"/>
      <c r="BB863" s="163"/>
      <c r="BD863" s="99"/>
      <c r="BO863" s="163"/>
      <c r="BP863" s="163"/>
      <c r="BQ863" s="163"/>
      <c r="BR863" s="163"/>
      <c r="BS863" s="163"/>
      <c r="BT863" s="163"/>
      <c r="BU863" s="163"/>
      <c r="BV863" s="163"/>
    </row>
    <row r="864" spans="45:75" x14ac:dyDescent="0.3">
      <c r="AZ864" s="163"/>
      <c r="BB864" s="163"/>
      <c r="BD864" s="99"/>
      <c r="BO864" s="163"/>
      <c r="BP864" s="163"/>
      <c r="BQ864" s="163"/>
      <c r="BR864" s="163"/>
      <c r="BS864" s="163"/>
      <c r="BT864" s="163"/>
      <c r="BU864" s="163"/>
      <c r="BV864" s="163"/>
    </row>
    <row r="865" spans="45:74" x14ac:dyDescent="0.3">
      <c r="AS865" s="99"/>
      <c r="AZ865" s="163"/>
      <c r="BB865" s="163"/>
      <c r="BD865" s="99"/>
      <c r="BO865" s="163"/>
      <c r="BP865" s="163"/>
      <c r="BQ865" s="163"/>
      <c r="BR865" s="163"/>
      <c r="BS865" s="163"/>
      <c r="BT865" s="163"/>
      <c r="BU865" s="163"/>
      <c r="BV865" s="163"/>
    </row>
    <row r="866" spans="45:74" x14ac:dyDescent="0.3">
      <c r="AZ866" s="163"/>
      <c r="BB866" s="163"/>
      <c r="BO866" s="163"/>
      <c r="BP866" s="163"/>
      <c r="BQ866" s="163"/>
      <c r="BR866" s="163"/>
      <c r="BS866" s="163"/>
      <c r="BT866" s="163"/>
      <c r="BU866" s="163"/>
      <c r="BV866" s="163"/>
    </row>
    <row r="867" spans="45:74" x14ac:dyDescent="0.3">
      <c r="AS867" s="101"/>
      <c r="AT867" s="101"/>
      <c r="AU867" s="101"/>
      <c r="AV867" s="101"/>
      <c r="AW867" s="101"/>
      <c r="AX867" s="101"/>
      <c r="AY867" s="101"/>
      <c r="AZ867" s="212"/>
      <c r="BA867" s="101"/>
      <c r="BB867" s="212"/>
      <c r="BC867" s="101"/>
      <c r="BD867" s="101"/>
      <c r="BE867" s="101"/>
      <c r="BO867" s="163"/>
      <c r="BP867" s="163"/>
      <c r="BQ867" s="163"/>
      <c r="BR867" s="163"/>
      <c r="BS867" s="163"/>
      <c r="BT867" s="163"/>
      <c r="BU867" s="163"/>
      <c r="BV867" s="163"/>
    </row>
    <row r="868" spans="45:74" x14ac:dyDescent="0.3">
      <c r="AX868" s="99"/>
      <c r="AZ868" s="163"/>
      <c r="BB868" s="163"/>
      <c r="BO868" s="163"/>
      <c r="BP868" s="163"/>
      <c r="BQ868" s="163"/>
      <c r="BR868" s="163"/>
      <c r="BS868" s="163"/>
      <c r="BT868" s="163"/>
      <c r="BU868" s="163"/>
      <c r="BV868" s="163"/>
    </row>
    <row r="869" spans="45:74" x14ac:dyDescent="0.3">
      <c r="AX869" s="101"/>
      <c r="AY869" s="101"/>
      <c r="AZ869" s="212"/>
      <c r="BA869" s="101"/>
      <c r="BB869" s="163"/>
      <c r="BC869" s="102"/>
      <c r="BD869" s="102"/>
      <c r="BO869" s="163"/>
      <c r="BP869" s="163"/>
      <c r="BQ869" s="163"/>
      <c r="BR869" s="163"/>
      <c r="BS869" s="163"/>
      <c r="BT869" s="163"/>
      <c r="BU869" s="163"/>
      <c r="BV869" s="163"/>
    </row>
    <row r="870" spans="45:74" x14ac:dyDescent="0.3">
      <c r="AV870" s="102"/>
      <c r="AW870" s="102"/>
      <c r="AZ870" s="213"/>
      <c r="BA870" s="102"/>
      <c r="BB870" s="163"/>
      <c r="BC870" s="102"/>
      <c r="BD870" s="102"/>
      <c r="BE870" s="102"/>
      <c r="BG870" s="101"/>
      <c r="BH870" s="99"/>
      <c r="BK870" s="101"/>
      <c r="BM870" s="101"/>
      <c r="BN870" s="99"/>
      <c r="BQ870" s="101"/>
    </row>
    <row r="871" spans="45:74" x14ac:dyDescent="0.3">
      <c r="AV871" s="102"/>
      <c r="AW871" s="102"/>
      <c r="AX871" s="102"/>
      <c r="AY871" s="102"/>
      <c r="AZ871" s="213"/>
      <c r="BA871" s="102"/>
      <c r="BB871" s="213"/>
      <c r="BC871" s="102"/>
      <c r="BD871" s="102"/>
      <c r="BE871" s="102"/>
      <c r="BH871" s="102"/>
      <c r="BI871" s="102"/>
      <c r="BN871" s="102"/>
      <c r="BO871" s="102"/>
    </row>
    <row r="872" spans="45:74" x14ac:dyDescent="0.3">
      <c r="AS872" s="102"/>
      <c r="AU872" s="99"/>
      <c r="AV872" s="102"/>
      <c r="AW872" s="102"/>
      <c r="AX872" s="102"/>
      <c r="AY872" s="102"/>
      <c r="AZ872" s="213"/>
      <c r="BA872" s="102"/>
      <c r="BB872" s="213"/>
      <c r="BC872" s="102"/>
      <c r="BD872" s="102"/>
      <c r="BE872" s="102"/>
      <c r="BG872" s="102"/>
      <c r="BH872" s="102"/>
      <c r="BI872" s="102"/>
      <c r="BJ872" s="102"/>
      <c r="BK872" s="102"/>
      <c r="BM872" s="102"/>
      <c r="BN872" s="102"/>
      <c r="BO872" s="102"/>
      <c r="BP872" s="102"/>
      <c r="BQ872" s="102"/>
    </row>
    <row r="873" spans="45:74" x14ac:dyDescent="0.3">
      <c r="AS873" s="102"/>
      <c r="AU873" s="99"/>
      <c r="AV873" s="102"/>
      <c r="AW873" s="102"/>
      <c r="AX873" s="102"/>
      <c r="AY873" s="102"/>
      <c r="AZ873" s="213"/>
      <c r="BA873" s="102"/>
      <c r="BB873" s="213"/>
      <c r="BC873" s="102"/>
      <c r="BD873" s="102"/>
      <c r="BE873" s="102"/>
      <c r="BG873" s="102"/>
      <c r="BH873" s="102"/>
      <c r="BI873" s="102"/>
      <c r="BJ873" s="102"/>
      <c r="BK873" s="102"/>
      <c r="BM873" s="102"/>
      <c r="BN873" s="102"/>
      <c r="BO873" s="102"/>
      <c r="BP873" s="102"/>
      <c r="BQ873" s="102"/>
    </row>
    <row r="874" spans="45:74" x14ac:dyDescent="0.3">
      <c r="AS874" s="101"/>
      <c r="AT874" s="101"/>
      <c r="AU874" s="101"/>
      <c r="AV874" s="101"/>
      <c r="AW874" s="101"/>
      <c r="AX874" s="101"/>
      <c r="AY874" s="101"/>
      <c r="AZ874" s="212"/>
      <c r="BA874" s="101"/>
      <c r="BB874" s="212"/>
      <c r="BC874" s="101"/>
      <c r="BD874" s="101"/>
      <c r="BE874" s="101"/>
      <c r="BG874" s="101"/>
      <c r="BH874" s="101"/>
      <c r="BI874" s="101"/>
      <c r="BJ874" s="101"/>
      <c r="BK874" s="101"/>
      <c r="BM874" s="101"/>
      <c r="BN874" s="101"/>
      <c r="BO874" s="101"/>
      <c r="BP874" s="101"/>
      <c r="BQ874" s="101"/>
    </row>
    <row r="875" spans="45:74" x14ac:dyDescent="0.3">
      <c r="AV875" s="102"/>
      <c r="AW875" s="102"/>
      <c r="AX875" s="102"/>
      <c r="AY875" s="102"/>
      <c r="AZ875" s="213"/>
      <c r="BA875" s="102"/>
      <c r="BB875" s="213"/>
      <c r="BC875" s="102"/>
      <c r="BD875" s="102"/>
      <c r="BE875" s="102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</row>
    <row r="876" spans="45:74" x14ac:dyDescent="0.3">
      <c r="AT876" s="99"/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</row>
    <row r="877" spans="45:74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</row>
    <row r="878" spans="45:74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</row>
    <row r="879" spans="45:74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</row>
    <row r="880" spans="45:74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</row>
    <row r="881" spans="46:71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</row>
    <row r="882" spans="46:71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</row>
    <row r="883" spans="46:71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</row>
    <row r="884" spans="46:71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</row>
    <row r="885" spans="46:71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</row>
    <row r="886" spans="46:71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</row>
    <row r="887" spans="46:71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</row>
    <row r="888" spans="46:71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</row>
    <row r="889" spans="46:71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</row>
    <row r="890" spans="46:71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</row>
    <row r="891" spans="46:71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</row>
    <row r="892" spans="46:71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</row>
    <row r="893" spans="46:71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</row>
    <row r="894" spans="46:71" x14ac:dyDescent="0.3">
      <c r="AZ894" s="163"/>
      <c r="BB894" s="163"/>
      <c r="BC894" s="163"/>
      <c r="BD894" s="163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</row>
    <row r="895" spans="46:71" x14ac:dyDescent="0.3">
      <c r="AT895" s="99"/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6:71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8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8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8:57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</row>
    <row r="900" spans="48:57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8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8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8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8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8:57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8:57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8:57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8:57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8:57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0" spans="48:57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</row>
    <row r="911" spans="48:57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</row>
    <row r="912" spans="48:57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</row>
    <row r="913" spans="45:57" x14ac:dyDescent="0.3">
      <c r="BB913" s="163"/>
    </row>
    <row r="914" spans="45:57" x14ac:dyDescent="0.3">
      <c r="AU914" s="99"/>
      <c r="BB914" s="163"/>
    </row>
    <row r="915" spans="45:57" x14ac:dyDescent="0.3">
      <c r="AU915" s="99"/>
    </row>
    <row r="916" spans="45:57" x14ac:dyDescent="0.3">
      <c r="AU916" s="99"/>
      <c r="BB916" s="163"/>
    </row>
    <row r="917" spans="45:57" x14ac:dyDescent="0.3">
      <c r="AS917" s="99"/>
      <c r="AZ917" s="163"/>
      <c r="BB917" s="163"/>
    </row>
    <row r="918" spans="45:57" x14ac:dyDescent="0.3">
      <c r="AZ918" s="163"/>
      <c r="BB918" s="163"/>
    </row>
    <row r="919" spans="45:57" x14ac:dyDescent="0.3">
      <c r="AY919" s="163"/>
      <c r="AZ919" s="163"/>
      <c r="BB919" s="163"/>
    </row>
    <row r="920" spans="45:57" x14ac:dyDescent="0.3">
      <c r="AY920" s="99"/>
      <c r="AZ920" s="163"/>
      <c r="BB920" s="163"/>
    </row>
    <row r="921" spans="45:57" x14ac:dyDescent="0.3">
      <c r="AY921" s="99"/>
      <c r="AZ921" s="163"/>
      <c r="BB921" s="163"/>
    </row>
    <row r="922" spans="45:57" x14ac:dyDescent="0.3">
      <c r="AZ922" s="163"/>
      <c r="BB922" s="163"/>
      <c r="BD922" s="99"/>
    </row>
    <row r="923" spans="45:57" x14ac:dyDescent="0.3">
      <c r="AZ923" s="163"/>
      <c r="BB923" s="163"/>
      <c r="BD923" s="99"/>
    </row>
    <row r="924" spans="45:57" x14ac:dyDescent="0.3">
      <c r="AS924" s="99"/>
      <c r="AZ924" s="163"/>
      <c r="BB924" s="163"/>
      <c r="BD924" s="99"/>
    </row>
    <row r="925" spans="45:57" x14ac:dyDescent="0.3">
      <c r="AZ925" s="163"/>
      <c r="BB925" s="163"/>
    </row>
    <row r="926" spans="45:57" x14ac:dyDescent="0.3">
      <c r="AS926" s="101"/>
      <c r="AT926" s="101"/>
      <c r="AU926" s="101"/>
      <c r="AV926" s="101"/>
      <c r="AW926" s="101"/>
      <c r="AX926" s="101"/>
      <c r="AY926" s="101"/>
      <c r="AZ926" s="212"/>
      <c r="BA926" s="101"/>
      <c r="BB926" s="212"/>
      <c r="BC926" s="101"/>
      <c r="BD926" s="101"/>
      <c r="BE926" s="101"/>
    </row>
    <row r="927" spans="45:57" x14ac:dyDescent="0.3">
      <c r="AX927" s="99"/>
      <c r="AZ927" s="163"/>
      <c r="BB927" s="163"/>
    </row>
    <row r="928" spans="45:57" x14ac:dyDescent="0.3">
      <c r="AX928" s="101"/>
      <c r="AY928" s="101"/>
      <c r="AZ928" s="212"/>
      <c r="BA928" s="101"/>
      <c r="BB928" s="163"/>
      <c r="BC928" s="102"/>
      <c r="BD928" s="102"/>
    </row>
    <row r="929" spans="45:57" x14ac:dyDescent="0.3">
      <c r="AV929" s="102"/>
      <c r="AW929" s="102"/>
      <c r="AZ929" s="213"/>
      <c r="BA929" s="102"/>
      <c r="BB929" s="163"/>
      <c r="BC929" s="102"/>
      <c r="BD929" s="102"/>
      <c r="BE929" s="102"/>
    </row>
    <row r="930" spans="45:57" x14ac:dyDescent="0.3">
      <c r="AV930" s="102"/>
      <c r="AW930" s="102"/>
      <c r="AX930" s="102"/>
      <c r="AY930" s="102"/>
      <c r="AZ930" s="213"/>
      <c r="BA930" s="102"/>
      <c r="BB930" s="213"/>
      <c r="BC930" s="102"/>
      <c r="BD930" s="102"/>
      <c r="BE930" s="102"/>
    </row>
    <row r="931" spans="45:57" x14ac:dyDescent="0.3">
      <c r="AS931" s="102"/>
      <c r="AU931" s="99"/>
      <c r="AV931" s="102"/>
      <c r="AW931" s="102"/>
      <c r="AX931" s="102"/>
      <c r="AY931" s="102"/>
      <c r="AZ931" s="213"/>
      <c r="BA931" s="102"/>
      <c r="BB931" s="213"/>
      <c r="BC931" s="102"/>
      <c r="BD931" s="102"/>
      <c r="BE931" s="102"/>
    </row>
    <row r="932" spans="45:57" x14ac:dyDescent="0.3">
      <c r="AS932" s="102"/>
      <c r="AU932" s="99"/>
      <c r="AV932" s="102"/>
      <c r="AW932" s="102"/>
      <c r="AX932" s="102"/>
      <c r="AY932" s="102"/>
      <c r="AZ932" s="213"/>
      <c r="BA932" s="102"/>
      <c r="BB932" s="213"/>
      <c r="BC932" s="102"/>
      <c r="BD932" s="102"/>
      <c r="BE932" s="102"/>
    </row>
    <row r="933" spans="45:57" x14ac:dyDescent="0.3">
      <c r="AS933" s="101"/>
      <c r="AT933" s="101"/>
      <c r="AU933" s="101"/>
      <c r="AV933" s="101"/>
      <c r="AW933" s="101"/>
      <c r="AX933" s="101"/>
      <c r="AY933" s="101"/>
      <c r="AZ933" s="212"/>
      <c r="BA933" s="101"/>
      <c r="BB933" s="212"/>
      <c r="BC933" s="101"/>
      <c r="BD933" s="101"/>
      <c r="BE933" s="101"/>
    </row>
    <row r="934" spans="45:57" x14ac:dyDescent="0.3">
      <c r="AV934" s="102"/>
      <c r="AW934" s="102"/>
      <c r="AX934" s="102"/>
      <c r="AY934" s="102"/>
      <c r="AZ934" s="213"/>
      <c r="BA934" s="102"/>
      <c r="BB934" s="213"/>
      <c r="BC934" s="102"/>
      <c r="BD934" s="102"/>
      <c r="BE934" s="102"/>
    </row>
    <row r="935" spans="45:57" x14ac:dyDescent="0.3">
      <c r="AT935" s="99"/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5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5:57" x14ac:dyDescent="0.3"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5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5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5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5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5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5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5:57" x14ac:dyDescent="0.3">
      <c r="AV944" s="110"/>
      <c r="AW944" s="110"/>
      <c r="AX944" s="163"/>
      <c r="AY944" s="163"/>
      <c r="AZ944" s="163"/>
      <c r="BA944" s="207"/>
      <c r="BB944" s="163"/>
      <c r="BC944" s="163"/>
      <c r="BD944" s="163"/>
      <c r="BE944" s="207"/>
    </row>
    <row r="945" spans="45:57" x14ac:dyDescent="0.3">
      <c r="AV945" s="110"/>
      <c r="AW945" s="110"/>
      <c r="BB945" s="163"/>
    </row>
    <row r="946" spans="45:57" x14ac:dyDescent="0.3">
      <c r="AT946" s="99"/>
      <c r="AV946" s="110"/>
      <c r="AW946" s="110"/>
      <c r="AX946" s="163"/>
      <c r="AY946" s="163"/>
      <c r="AZ946" s="163"/>
      <c r="BA946" s="207"/>
      <c r="BB946" s="163"/>
      <c r="BC946" s="163"/>
      <c r="BD946" s="163"/>
      <c r="BE946" s="207"/>
    </row>
    <row r="947" spans="45:57" x14ac:dyDescent="0.3">
      <c r="AV947" s="110"/>
      <c r="AW947" s="110"/>
      <c r="AX947" s="163"/>
      <c r="AY947" s="163"/>
      <c r="AZ947" s="163"/>
      <c r="BA947" s="207"/>
      <c r="BB947" s="163"/>
      <c r="BC947" s="163"/>
      <c r="BD947" s="163"/>
      <c r="BE947" s="207"/>
    </row>
    <row r="948" spans="45:57" x14ac:dyDescent="0.3">
      <c r="AV948" s="110"/>
      <c r="AW948" s="110"/>
      <c r="AX948" s="163"/>
      <c r="AY948" s="163"/>
      <c r="AZ948" s="163"/>
      <c r="BA948" s="207"/>
      <c r="BB948" s="163"/>
      <c r="BC948" s="163"/>
      <c r="BD948" s="163"/>
      <c r="BE948" s="207"/>
    </row>
    <row r="949" spans="45:57" x14ac:dyDescent="0.3">
      <c r="AV949" s="110"/>
      <c r="AW949" s="110"/>
      <c r="AX949" s="163"/>
      <c r="AY949" s="163"/>
      <c r="AZ949" s="163"/>
      <c r="BA949" s="207"/>
      <c r="BB949" s="163"/>
      <c r="BC949" s="163"/>
      <c r="BD949" s="163"/>
      <c r="BE949" s="207"/>
    </row>
    <row r="950" spans="45:57" x14ac:dyDescent="0.3">
      <c r="AV950" s="110"/>
      <c r="AW950" s="110"/>
      <c r="AX950" s="163"/>
      <c r="AY950" s="163"/>
      <c r="AZ950" s="163"/>
      <c r="BA950" s="207"/>
      <c r="BB950" s="163"/>
      <c r="BC950" s="163"/>
      <c r="BD950" s="163"/>
      <c r="BE950" s="207"/>
    </row>
    <row r="951" spans="45:57" x14ac:dyDescent="0.3">
      <c r="AV951" s="110"/>
      <c r="AW951" s="110"/>
      <c r="AX951" s="163"/>
      <c r="AY951" s="163"/>
      <c r="AZ951" s="163"/>
      <c r="BA951" s="207"/>
      <c r="BB951" s="163"/>
      <c r="BC951" s="163"/>
      <c r="BD951" s="163"/>
      <c r="BE951" s="207"/>
    </row>
    <row r="952" spans="45:57" x14ac:dyDescent="0.3">
      <c r="AV952" s="110"/>
      <c r="AW952" s="110"/>
      <c r="AX952" s="163"/>
      <c r="AY952" s="163"/>
      <c r="AZ952" s="163"/>
      <c r="BA952" s="207"/>
      <c r="BB952" s="163"/>
      <c r="BC952" s="163"/>
      <c r="BD952" s="163"/>
      <c r="BE952" s="207"/>
    </row>
    <row r="953" spans="45:57" x14ac:dyDescent="0.3">
      <c r="AV953" s="110"/>
      <c r="AW953" s="110"/>
      <c r="AX953" s="163"/>
      <c r="AY953" s="163"/>
      <c r="AZ953" s="163"/>
      <c r="BA953" s="207"/>
      <c r="BB953" s="163"/>
      <c r="BC953" s="163"/>
      <c r="BD953" s="163"/>
      <c r="BE953" s="207"/>
    </row>
    <row r="954" spans="45:57" x14ac:dyDescent="0.3">
      <c r="AV954" s="110"/>
      <c r="AW954" s="110"/>
      <c r="AX954" s="163"/>
      <c r="AY954" s="163"/>
      <c r="AZ954" s="163"/>
      <c r="BA954" s="207"/>
      <c r="BB954" s="163"/>
      <c r="BC954" s="163"/>
      <c r="BD954" s="163"/>
      <c r="BE954" s="207"/>
    </row>
    <row r="955" spans="45:57" x14ac:dyDescent="0.3">
      <c r="AV955" s="110"/>
      <c r="AW955" s="110"/>
      <c r="AX955" s="163"/>
      <c r="AY955" s="163"/>
      <c r="AZ955" s="163"/>
      <c r="BA955" s="207"/>
      <c r="BB955" s="163"/>
      <c r="BC955" s="163"/>
      <c r="BD955" s="163"/>
      <c r="BE955" s="207"/>
    </row>
    <row r="957" spans="45:57" x14ac:dyDescent="0.3">
      <c r="AU957" s="99"/>
    </row>
    <row r="958" spans="45:57" x14ac:dyDescent="0.3">
      <c r="AU958" s="99"/>
    </row>
    <row r="959" spans="45:57" x14ac:dyDescent="0.3">
      <c r="AU959" s="99"/>
    </row>
    <row r="960" spans="45:57" x14ac:dyDescent="0.3">
      <c r="AS960" s="99"/>
    </row>
    <row r="981" spans="52:71" x14ac:dyDescent="0.3">
      <c r="AZ981" s="163"/>
      <c r="BB981" s="163"/>
      <c r="BC981" s="163"/>
      <c r="BD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</row>
    <row r="982" spans="52:71" x14ac:dyDescent="0.3">
      <c r="AZ982" s="163"/>
      <c r="BB982" s="163"/>
      <c r="BC982" s="163"/>
      <c r="BD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</row>
    <row r="983" spans="52:71" x14ac:dyDescent="0.3">
      <c r="AZ983" s="163"/>
      <c r="BB983" s="163"/>
      <c r="BC983" s="163"/>
      <c r="BD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</row>
    <row r="984" spans="52:71" x14ac:dyDescent="0.3">
      <c r="AZ984" s="163"/>
      <c r="BB984" s="163"/>
      <c r="BC984" s="163"/>
      <c r="BD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</row>
    <row r="985" spans="52:71" x14ac:dyDescent="0.3">
      <c r="AZ985" s="163"/>
      <c r="BB985" s="163"/>
      <c r="BC985" s="163"/>
      <c r="BD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</row>
    <row r="986" spans="52:71" x14ac:dyDescent="0.3">
      <c r="AZ986" s="163"/>
      <c r="BB986" s="163"/>
      <c r="BC986" s="163"/>
      <c r="BD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</row>
    <row r="987" spans="52:71" x14ac:dyDescent="0.3">
      <c r="AZ987" s="163"/>
      <c r="BB987" s="163"/>
      <c r="BC987" s="163"/>
      <c r="BD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</row>
    <row r="988" spans="52:71" x14ac:dyDescent="0.3">
      <c r="AZ988" s="163"/>
      <c r="BB988" s="163"/>
      <c r="BC988" s="163"/>
      <c r="BD988" s="163"/>
      <c r="BG988" s="163"/>
      <c r="BH988" s="163"/>
      <c r="BI988" s="163"/>
      <c r="BJ988" s="163"/>
      <c r="BK988" s="163"/>
      <c r="BL988" s="163"/>
      <c r="BM988" s="163"/>
      <c r="BN988" s="163"/>
      <c r="BO988" s="163"/>
      <c r="BP988" s="163"/>
      <c r="BQ988" s="163"/>
      <c r="BR988" s="163"/>
      <c r="BS988" s="163"/>
    </row>
    <row r="989" spans="52:71" x14ac:dyDescent="0.3">
      <c r="AZ989" s="163"/>
      <c r="BB989" s="163"/>
      <c r="BC989" s="163"/>
      <c r="BD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</row>
    <row r="990" spans="52:71" x14ac:dyDescent="0.3">
      <c r="AZ990" s="163"/>
      <c r="BB990" s="163"/>
      <c r="BC990" s="163"/>
      <c r="BD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</row>
    <row r="991" spans="52:71" x14ac:dyDescent="0.3">
      <c r="AZ991" s="163"/>
      <c r="BB991" s="163"/>
      <c r="BC991" s="163"/>
      <c r="BD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</row>
    <row r="992" spans="52:71" x14ac:dyDescent="0.3">
      <c r="AZ992" s="163"/>
      <c r="BB992" s="163"/>
      <c r="BC992" s="163"/>
      <c r="BD992" s="163"/>
      <c r="BG992" s="163"/>
      <c r="BH992" s="163"/>
      <c r="BI992" s="163"/>
      <c r="BJ992" s="163"/>
      <c r="BK992" s="163"/>
      <c r="BL992" s="163"/>
      <c r="BM992" s="163"/>
      <c r="BN992" s="163"/>
      <c r="BO992" s="163"/>
      <c r="BP992" s="163"/>
      <c r="BQ992" s="163"/>
      <c r="BR992" s="163"/>
      <c r="BS992" s="163"/>
    </row>
    <row r="993" spans="52:71" x14ac:dyDescent="0.3">
      <c r="AZ993" s="163"/>
      <c r="BG993" s="163"/>
      <c r="BH993" s="163"/>
      <c r="BI993" s="163"/>
      <c r="BJ993" s="163"/>
      <c r="BK993" s="163"/>
      <c r="BL993" s="163"/>
      <c r="BM993" s="163"/>
      <c r="BN993" s="163"/>
      <c r="BO993" s="163"/>
      <c r="BP993" s="163"/>
      <c r="BQ993" s="163"/>
      <c r="BR993" s="163"/>
      <c r="BS993" s="163"/>
    </row>
    <row r="994" spans="52:71" x14ac:dyDescent="0.3">
      <c r="AZ994" s="163"/>
      <c r="BG994" s="163"/>
      <c r="BH994" s="163"/>
      <c r="BI994" s="163"/>
      <c r="BJ994" s="163"/>
      <c r="BK994" s="163"/>
      <c r="BL994" s="163"/>
      <c r="BM994" s="163"/>
      <c r="BN994" s="163"/>
      <c r="BO994" s="163"/>
      <c r="BP994" s="163"/>
      <c r="BQ994" s="163"/>
      <c r="BR994" s="163"/>
      <c r="BS994" s="163"/>
    </row>
    <row r="995" spans="52:71" x14ac:dyDescent="0.3">
      <c r="AZ995" s="163"/>
      <c r="BG995" s="163"/>
      <c r="BH995" s="163"/>
      <c r="BI995" s="163"/>
      <c r="BJ995" s="163"/>
      <c r="BK995" s="163"/>
      <c r="BL995" s="163"/>
      <c r="BM995" s="163"/>
      <c r="BN995" s="163"/>
      <c r="BO995" s="163"/>
      <c r="BP995" s="163"/>
      <c r="BQ995" s="163"/>
      <c r="BR995" s="163"/>
      <c r="BS995" s="163"/>
    </row>
    <row r="996" spans="52:71" x14ac:dyDescent="0.3">
      <c r="AZ996" s="163"/>
      <c r="BG996" s="163"/>
      <c r="BH996" s="163"/>
      <c r="BI996" s="163"/>
      <c r="BJ996" s="163"/>
      <c r="BK996" s="163"/>
      <c r="BL996" s="163"/>
      <c r="BM996" s="163"/>
      <c r="BN996" s="163"/>
      <c r="BO996" s="163"/>
      <c r="BP996" s="163"/>
      <c r="BQ996" s="163"/>
      <c r="BR996" s="163"/>
      <c r="BS996" s="163"/>
    </row>
    <row r="997" spans="52:71" x14ac:dyDescent="0.3">
      <c r="AZ997" s="163"/>
      <c r="BG997" s="163"/>
      <c r="BH997" s="163"/>
      <c r="BI997" s="163"/>
      <c r="BJ997" s="163"/>
      <c r="BK997" s="163"/>
      <c r="BL997" s="163"/>
      <c r="BM997" s="163"/>
      <c r="BN997" s="163"/>
      <c r="BO997" s="163"/>
      <c r="BP997" s="163"/>
      <c r="BQ997" s="163"/>
      <c r="BR997" s="163"/>
      <c r="BS997" s="163"/>
    </row>
    <row r="998" spans="52:71" x14ac:dyDescent="0.3">
      <c r="AZ998" s="163"/>
      <c r="BG998" s="163"/>
      <c r="BH998" s="163"/>
      <c r="BI998" s="163"/>
      <c r="BJ998" s="163"/>
      <c r="BK998" s="163"/>
      <c r="BL998" s="163"/>
      <c r="BM998" s="163"/>
      <c r="BN998" s="163"/>
      <c r="BO998" s="163"/>
      <c r="BP998" s="163"/>
      <c r="BQ998" s="163"/>
      <c r="BR998" s="163"/>
      <c r="BS998" s="163"/>
    </row>
    <row r="999" spans="52:71" x14ac:dyDescent="0.3">
      <c r="AZ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</row>
    <row r="1000" spans="52:71" x14ac:dyDescent="0.3">
      <c r="AZ1000" s="163"/>
    </row>
    <row r="1001" spans="52:71" x14ac:dyDescent="0.3">
      <c r="AZ1001" s="163"/>
    </row>
    <row r="1015" spans="1:28" x14ac:dyDescent="0.3">
      <c r="A1015" s="99"/>
    </row>
    <row r="1018" spans="1:28" x14ac:dyDescent="0.3">
      <c r="Y1018" s="99"/>
    </row>
    <row r="1019" spans="1:28" x14ac:dyDescent="0.3">
      <c r="A1019" s="99"/>
      <c r="H1019" s="99"/>
      <c r="I1019" s="99"/>
    </row>
    <row r="1020" spans="1:28" x14ac:dyDescent="0.3">
      <c r="A1020" s="99"/>
      <c r="V1020" s="102"/>
      <c r="AA1020" s="102"/>
      <c r="AB1020" s="102"/>
    </row>
    <row r="1021" spans="1:28" x14ac:dyDescent="0.3">
      <c r="A1021" s="99"/>
      <c r="V1021" s="101"/>
      <c r="AA1021" s="101"/>
      <c r="AB1021" s="101"/>
    </row>
    <row r="1022" spans="1:28" x14ac:dyDescent="0.3">
      <c r="A1022" s="99"/>
      <c r="U1022" s="99"/>
      <c r="AA1022" s="102"/>
      <c r="AB1022" s="102"/>
    </row>
    <row r="1023" spans="1:28" x14ac:dyDescent="0.3">
      <c r="A1023" s="99"/>
    </row>
    <row r="1024" spans="1:28" x14ac:dyDescent="0.3">
      <c r="A1024" s="99"/>
      <c r="U1024" s="99"/>
      <c r="AA1024" s="102"/>
      <c r="AB1024" s="102"/>
    </row>
    <row r="1025" spans="1:28" x14ac:dyDescent="0.3">
      <c r="A1025" s="99"/>
    </row>
    <row r="1026" spans="1:28" x14ac:dyDescent="0.3">
      <c r="A1026" s="99"/>
      <c r="U1026" s="99"/>
      <c r="V1026" s="231"/>
      <c r="AA1026" s="102"/>
      <c r="AB1026" s="102"/>
    </row>
    <row r="1027" spans="1:28" x14ac:dyDescent="0.3">
      <c r="A1027" s="99"/>
    </row>
    <row r="1028" spans="1:28" x14ac:dyDescent="0.3">
      <c r="A1028" s="99"/>
      <c r="U1028" s="99"/>
      <c r="AA1028" s="102"/>
      <c r="AB1028" s="102"/>
    </row>
    <row r="1029" spans="1:28" x14ac:dyDescent="0.3">
      <c r="A1029" s="99"/>
    </row>
    <row r="1030" spans="1:28" x14ac:dyDescent="0.3">
      <c r="A1030" s="99"/>
      <c r="U1030" s="99"/>
      <c r="AA1030" s="102"/>
      <c r="AB1030" s="102"/>
    </row>
    <row r="1031" spans="1:28" x14ac:dyDescent="0.3">
      <c r="A1031" s="99"/>
    </row>
    <row r="1032" spans="1:28" x14ac:dyDescent="0.3">
      <c r="A1032" s="99"/>
    </row>
    <row r="1033" spans="1:28" x14ac:dyDescent="0.3">
      <c r="A1033" s="99"/>
    </row>
    <row r="1034" spans="1:28" x14ac:dyDescent="0.3">
      <c r="A1034" s="99"/>
    </row>
    <row r="1035" spans="1:28" x14ac:dyDescent="0.3">
      <c r="A1035" s="99"/>
    </row>
    <row r="1036" spans="1:28" x14ac:dyDescent="0.3">
      <c r="A1036" s="99"/>
    </row>
    <row r="1037" spans="1:28" x14ac:dyDescent="0.3">
      <c r="A1037" s="99"/>
    </row>
    <row r="1038" spans="1:28" x14ac:dyDescent="0.3">
      <c r="A1038" s="99"/>
    </row>
    <row r="1039" spans="1:28" x14ac:dyDescent="0.3">
      <c r="A1039" s="99"/>
    </row>
    <row r="1040" spans="1:28" x14ac:dyDescent="0.3">
      <c r="A1040" s="99"/>
    </row>
    <row r="1041" spans="1:9" x14ac:dyDescent="0.3">
      <c r="A1041" s="99"/>
      <c r="H1041" s="99"/>
      <c r="I1041" s="99"/>
    </row>
    <row r="1044" spans="1:9" x14ac:dyDescent="0.3">
      <c r="A1044" s="99"/>
    </row>
    <row r="1047" spans="1:9" x14ac:dyDescent="0.3">
      <c r="A1047" s="99"/>
    </row>
    <row r="1050" spans="1:9" x14ac:dyDescent="0.3">
      <c r="A1050" s="99"/>
    </row>
    <row r="1051" spans="1:9" x14ac:dyDescent="0.3">
      <c r="A1051" s="99"/>
    </row>
    <row r="1052" spans="1:9" x14ac:dyDescent="0.3">
      <c r="A1052" s="99"/>
    </row>
    <row r="1053" spans="1:9" x14ac:dyDescent="0.3">
      <c r="A1053" s="99"/>
    </row>
    <row r="1054" spans="1:9" x14ac:dyDescent="0.3">
      <c r="A1054" s="99"/>
    </row>
    <row r="1055" spans="1:9" x14ac:dyDescent="0.3">
      <c r="A1055" s="99"/>
    </row>
    <row r="1056" spans="1:9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1" spans="1:1" x14ac:dyDescent="0.3">
      <c r="A1071" s="99"/>
    </row>
    <row r="1072" spans="1:1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77" spans="1:1" x14ac:dyDescent="0.3">
      <c r="A1077" s="99"/>
    </row>
    <row r="1078" spans="1:1" x14ac:dyDescent="0.3">
      <c r="A1078" s="99"/>
    </row>
    <row r="1079" spans="1:1" x14ac:dyDescent="0.3">
      <c r="A1079" s="99"/>
    </row>
    <row r="1080" spans="1:1" x14ac:dyDescent="0.3">
      <c r="A1080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9" spans="1:1" x14ac:dyDescent="0.3">
      <c r="A1089" s="99"/>
    </row>
    <row r="1090" spans="1:1" x14ac:dyDescent="0.3">
      <c r="A1090" s="99"/>
    </row>
    <row r="1093" spans="1:1" x14ac:dyDescent="0.3">
      <c r="A1093" s="99"/>
    </row>
    <row r="1095" spans="1:1" x14ac:dyDescent="0.3">
      <c r="A1095" s="99"/>
    </row>
    <row r="1097" spans="1:1" x14ac:dyDescent="0.3">
      <c r="A1097" s="99"/>
    </row>
    <row r="1099" spans="1:1" x14ac:dyDescent="0.3">
      <c r="A1099" s="99"/>
    </row>
    <row r="1102" spans="1:1" x14ac:dyDescent="0.3">
      <c r="A1102" s="99"/>
    </row>
    <row r="1103" spans="1:1" x14ac:dyDescent="0.3">
      <c r="A1103" s="99"/>
    </row>
    <row r="1104" spans="1:1" x14ac:dyDescent="0.3">
      <c r="A1104" s="99"/>
    </row>
    <row r="1105" spans="1:1" x14ac:dyDescent="0.3">
      <c r="A1105" s="99"/>
    </row>
    <row r="1106" spans="1:1" x14ac:dyDescent="0.3">
      <c r="A1106" s="99"/>
    </row>
    <row r="1107" spans="1:1" x14ac:dyDescent="0.3">
      <c r="A1107" s="99"/>
    </row>
    <row r="1108" spans="1:1" x14ac:dyDescent="0.3">
      <c r="A1108" s="99"/>
    </row>
    <row r="1109" spans="1:1" x14ac:dyDescent="0.3">
      <c r="A1109" s="99"/>
    </row>
  </sheetData>
  <customSheetViews>
    <customSheetView guid="{F562D92E-120C-4AE9-9663-89E64D41DC53}" scale="75" fitToPage="1" topLeftCell="V50">
      <selection activeCell="P35" sqref="P3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C5">
      <selection activeCell="J33" sqref="J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7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9"/>
      <headerFooter alignWithMargins="0"/>
    </customSheetView>
    <customSheetView guid="{4BC93440-BA85-4935-A8C9-66DC6AE5DE5E}" scale="75" fitToPage="1" showRuler="0" topLeftCell="Y50">
      <selection activeCell="Y75" sqref="Y7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9" orientation="landscape" r:id="rId10"/>
      <headerFooter alignWithMargins="0"/>
    </customSheetView>
    <customSheetView guid="{0C49E549-011E-46F4-A82E-2CC8951A9C1E}" scale="75" fitToPage="1" showRuler="0" topLeftCell="H24">
      <selection activeCell="L37" sqref="L3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7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syncVertical="1" syncRef="A1" transitionEvaluation="1" transitionEntry="1" codeName="Sheet10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5" style="98" customWidth="1"/>
    <col min="2" max="2" width="0.4140625" style="98" customWidth="1"/>
    <col min="3" max="3" width="6.75" style="98" customWidth="1"/>
    <col min="4" max="4" width="38.6640625" style="98" customWidth="1"/>
    <col min="5" max="5" width="0.41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582031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7.582031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7.33203125" style="98" customWidth="1"/>
    <col min="23" max="23" width="37.4140625" style="98" customWidth="1"/>
    <col min="24" max="24" width="0.582031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7 OF "&amp;TEXT(Page_Num_2.3,"00")</f>
        <v>PAGE 7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6" t="s">
        <v>49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H20" s="102"/>
      <c r="I20" s="102"/>
      <c r="J20" s="103"/>
      <c r="K20" s="102"/>
      <c r="L20" s="102"/>
      <c r="M20" s="102"/>
      <c r="N20" s="102"/>
      <c r="O20" s="102"/>
      <c r="P20" s="102"/>
      <c r="Q20" s="102"/>
      <c r="R20" s="102"/>
      <c r="Y20" s="102"/>
      <c r="Z20" s="102"/>
      <c r="AA20" s="102"/>
      <c r="AB20" s="102"/>
      <c r="AC20" s="102"/>
      <c r="AD20" s="102"/>
      <c r="AE20" s="102"/>
      <c r="AF20" s="102"/>
      <c r="AG20" s="151"/>
      <c r="AH20" s="102"/>
      <c r="AI20" s="102"/>
      <c r="AJ20" s="102"/>
      <c r="AK20" s="151"/>
      <c r="AL20" s="102"/>
      <c r="AM20" s="102"/>
      <c r="AN20" s="102"/>
    </row>
    <row r="21" spans="1:40" x14ac:dyDescent="0.3">
      <c r="A21" s="98">
        <v>1</v>
      </c>
      <c r="C21" s="124" t="s">
        <v>95</v>
      </c>
      <c r="D21" s="124" t="s">
        <v>388</v>
      </c>
      <c r="E21" s="99"/>
      <c r="F21" s="1"/>
      <c r="G21" s="1"/>
      <c r="H21" s="106"/>
      <c r="I21" s="106"/>
      <c r="J21" s="136"/>
      <c r="K21" s="136"/>
      <c r="L21" s="106"/>
      <c r="M21" s="106"/>
      <c r="N21" s="175"/>
      <c r="O21" s="175"/>
      <c r="P21" s="106"/>
      <c r="Q21" s="106"/>
      <c r="R21" s="106"/>
      <c r="S21" s="110"/>
      <c r="T21" s="99"/>
      <c r="V21" s="110"/>
      <c r="Y21" s="110"/>
      <c r="Z21" s="217"/>
      <c r="AA21" s="110"/>
      <c r="AB21" s="110"/>
      <c r="AC21" s="141"/>
      <c r="AD21" s="141"/>
      <c r="AE21" s="110"/>
      <c r="AF21" s="110"/>
      <c r="AH21" s="141"/>
      <c r="AI21" s="110"/>
      <c r="AJ21" s="110"/>
      <c r="AL21" s="110"/>
      <c r="AM21" s="141"/>
      <c r="AN21" s="141"/>
    </row>
    <row r="22" spans="1:40" x14ac:dyDescent="0.3">
      <c r="F22" s="1"/>
      <c r="G22" s="1"/>
      <c r="H22" s="106"/>
      <c r="I22" s="106"/>
      <c r="J22" s="136"/>
      <c r="K22" s="136"/>
      <c r="L22" s="106"/>
      <c r="M22" s="106"/>
      <c r="N22" s="175"/>
      <c r="O22" s="175"/>
      <c r="P22" s="106"/>
      <c r="Q22" s="106"/>
      <c r="R22" s="106"/>
      <c r="S22" s="110"/>
      <c r="V22" s="192"/>
      <c r="Y22" s="192"/>
      <c r="Z22" s="217"/>
      <c r="AA22" s="192"/>
      <c r="AB22" s="192"/>
      <c r="AC22" s="192"/>
      <c r="AD22" s="192"/>
      <c r="AE22" s="192"/>
      <c r="AF22" s="192"/>
      <c r="AI22" s="192"/>
      <c r="AJ22" s="192"/>
      <c r="AK22" s="194"/>
      <c r="AL22" s="192"/>
      <c r="AM22" s="141"/>
      <c r="AN22" s="141"/>
    </row>
    <row r="23" spans="1:40" ht="15.9" customHeight="1" x14ac:dyDescent="0.3">
      <c r="A23" s="98">
        <v>2</v>
      </c>
      <c r="C23" s="116" t="s">
        <v>412</v>
      </c>
      <c r="F23" s="172">
        <v>0</v>
      </c>
      <c r="G23" s="1"/>
      <c r="H23" s="147"/>
      <c r="I23" s="147"/>
      <c r="J23" s="247"/>
      <c r="K23" s="247"/>
      <c r="L23" s="147">
        <v>0</v>
      </c>
      <c r="M23" s="147"/>
      <c r="N23" s="175">
        <f>ROUND((L23/L$38)*100,1)</f>
        <v>0</v>
      </c>
      <c r="O23" s="175"/>
      <c r="P23" s="106"/>
      <c r="Q23" s="106"/>
      <c r="R23" s="106">
        <f>L23+P23</f>
        <v>0</v>
      </c>
      <c r="S23" s="110"/>
      <c r="T23" s="99"/>
      <c r="Z23" s="217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F24" s="172"/>
      <c r="G24" s="1"/>
      <c r="H24" s="182"/>
      <c r="I24" s="182"/>
      <c r="J24" s="182"/>
      <c r="K24" s="182"/>
      <c r="L24" s="1"/>
      <c r="M24" s="1"/>
      <c r="N24" s="1"/>
      <c r="O24" s="1"/>
      <c r="P24" s="1"/>
      <c r="Q24" s="1"/>
      <c r="R24" s="106"/>
      <c r="S24" s="110"/>
      <c r="T24" s="99"/>
      <c r="AA24" s="110"/>
      <c r="AB24" s="110"/>
      <c r="AC24" s="110"/>
      <c r="AD24" s="110"/>
      <c r="AI24" s="110"/>
      <c r="AJ24" s="110"/>
      <c r="AL24" s="110"/>
    </row>
    <row r="25" spans="1:40" ht="15.75" customHeight="1" x14ac:dyDescent="0.3">
      <c r="A25" s="98">
        <v>3</v>
      </c>
      <c r="C25" s="116" t="s">
        <v>62</v>
      </c>
      <c r="F25" s="172">
        <f>'[7]Forecast BILLS'!$B$69</f>
        <v>165</v>
      </c>
      <c r="G25" s="1"/>
      <c r="H25" s="147"/>
      <c r="I25" s="147"/>
      <c r="J25" s="181">
        <f>INPUT!D96</f>
        <v>15</v>
      </c>
      <c r="K25" s="180"/>
      <c r="L25" s="106">
        <f>ROUND(F25*J25,0)</f>
        <v>2475</v>
      </c>
      <c r="M25" s="106"/>
      <c r="N25" s="175">
        <f>ROUND((L25/L$38)*100,1)</f>
        <v>4.2</v>
      </c>
      <c r="O25" s="175"/>
      <c r="P25" s="106"/>
      <c r="Q25" s="106"/>
      <c r="R25" s="106">
        <f>L25+P25</f>
        <v>2475</v>
      </c>
    </row>
    <row r="26" spans="1:40" x14ac:dyDescent="0.3">
      <c r="F26" s="147"/>
      <c r="G26" s="1"/>
      <c r="H26" s="182"/>
      <c r="I26" s="182"/>
      <c r="J26" s="220"/>
      <c r="K26" s="182"/>
      <c r="L26" s="1"/>
      <c r="M26" s="1"/>
      <c r="N26" s="1"/>
      <c r="O26" s="1"/>
      <c r="P26" s="1"/>
      <c r="Q26" s="1"/>
      <c r="R26" s="106"/>
      <c r="Y26" s="99"/>
    </row>
    <row r="27" spans="1:40" x14ac:dyDescent="0.3">
      <c r="A27" s="98">
        <v>4</v>
      </c>
      <c r="C27" s="116" t="s">
        <v>371</v>
      </c>
      <c r="F27" s="147"/>
      <c r="G27" s="1"/>
      <c r="H27" s="182"/>
      <c r="I27" s="182"/>
      <c r="J27" s="220"/>
      <c r="K27" s="182"/>
      <c r="L27" s="1"/>
      <c r="M27" s="1"/>
      <c r="N27" s="1"/>
      <c r="O27" s="1"/>
      <c r="P27" s="1"/>
      <c r="Q27" s="1"/>
      <c r="R27" s="106"/>
      <c r="Y27" s="99"/>
    </row>
    <row r="28" spans="1:40" x14ac:dyDescent="0.3">
      <c r="A28" s="98">
        <v>5</v>
      </c>
      <c r="C28" s="99" t="s">
        <v>153</v>
      </c>
      <c r="F28" s="177"/>
      <c r="G28" s="1"/>
      <c r="H28" s="183">
        <f>'[7]Forecast KWH'!$B$68</f>
        <v>326050</v>
      </c>
      <c r="I28" s="147"/>
      <c r="J28" s="184">
        <f>INPUT!D98</f>
        <v>0.16764499999999999</v>
      </c>
      <c r="K28" s="185"/>
      <c r="L28" s="117">
        <f>ROUND((H28*(J28)),0)</f>
        <v>54661</v>
      </c>
      <c r="M28" s="106"/>
      <c r="N28" s="236">
        <f>ROUND((L28/L$38)*100,1)</f>
        <v>92.1</v>
      </c>
      <c r="O28" s="175"/>
      <c r="P28" s="177"/>
      <c r="Q28" s="106"/>
      <c r="R28" s="117">
        <f>L28+P28</f>
        <v>54661</v>
      </c>
      <c r="AA28" s="99"/>
      <c r="AB28" s="99"/>
    </row>
    <row r="29" spans="1:40" ht="20.100000000000001" customHeight="1" x14ac:dyDescent="0.3">
      <c r="A29" s="98">
        <v>6</v>
      </c>
      <c r="C29" s="169" t="s">
        <v>443</v>
      </c>
      <c r="F29" s="246">
        <f>F25</f>
        <v>165</v>
      </c>
      <c r="G29" s="1"/>
      <c r="H29" s="246">
        <f>H28</f>
        <v>326050</v>
      </c>
      <c r="I29" s="147"/>
      <c r="J29" s="184"/>
      <c r="K29" s="185"/>
      <c r="L29" s="112">
        <f>L23+L25+L28</f>
        <v>57136</v>
      </c>
      <c r="M29" s="106"/>
      <c r="N29" s="193">
        <f>ROUND((L29/L$38)*100,1)</f>
        <v>96.3</v>
      </c>
      <c r="O29" s="175"/>
      <c r="P29" s="246"/>
      <c r="Q29" s="106"/>
      <c r="R29" s="112">
        <f>R23+R25+R28</f>
        <v>57136</v>
      </c>
      <c r="AA29" s="99"/>
      <c r="AB29" s="99"/>
    </row>
    <row r="30" spans="1:40" x14ac:dyDescent="0.3">
      <c r="C30" s="99"/>
      <c r="F30" s="147"/>
      <c r="G30" s="1"/>
      <c r="H30" s="172"/>
      <c r="I30" s="147"/>
      <c r="J30" s="184"/>
      <c r="K30" s="185"/>
      <c r="L30" s="106"/>
      <c r="M30" s="106"/>
      <c r="N30" s="175"/>
      <c r="O30" s="175"/>
      <c r="P30" s="147"/>
      <c r="Q30" s="106"/>
      <c r="R30" s="106"/>
      <c r="AA30" s="99"/>
      <c r="AB30" s="99"/>
    </row>
    <row r="31" spans="1:40" x14ac:dyDescent="0.3">
      <c r="A31" s="98">
        <v>7</v>
      </c>
      <c r="C31" s="124" t="s">
        <v>428</v>
      </c>
      <c r="F31" s="147"/>
      <c r="G31" s="1"/>
      <c r="H31" s="172"/>
      <c r="I31" s="147"/>
      <c r="J31" s="184"/>
      <c r="K31" s="185"/>
      <c r="L31" s="106"/>
      <c r="M31" s="106"/>
      <c r="N31" s="175"/>
      <c r="O31" s="175"/>
      <c r="P31" s="147"/>
      <c r="Q31" s="106"/>
      <c r="R31" s="106"/>
      <c r="AA31" s="99"/>
      <c r="AB31" s="99"/>
    </row>
    <row r="32" spans="1:40" x14ac:dyDescent="0.3">
      <c r="A32" s="98">
        <v>8</v>
      </c>
      <c r="C32" s="176" t="str">
        <f>DSMR_Name</f>
        <v>DEMAND SIDE MANAGEMENT RIDER (DSMR)</v>
      </c>
      <c r="F32" s="147"/>
      <c r="G32" s="1"/>
      <c r="H32" s="172"/>
      <c r="I32" s="147"/>
      <c r="J32" s="218">
        <f>PRO_DSM_DIST</f>
        <v>3.503E-3</v>
      </c>
      <c r="K32" s="185"/>
      <c r="L32" s="106">
        <f>ROUND($H$29*J32,0)</f>
        <v>1142</v>
      </c>
      <c r="M32" s="106"/>
      <c r="N32" s="154">
        <f>ROUND((L32/L$38)*100,1)+0.1</f>
        <v>2</v>
      </c>
      <c r="O32" s="175"/>
      <c r="P32" s="147"/>
      <c r="Q32" s="106"/>
      <c r="R32" s="106">
        <f>L32+P32</f>
        <v>1142</v>
      </c>
      <c r="AA32" s="99"/>
      <c r="AB32" s="99"/>
    </row>
    <row r="33" spans="1:40" x14ac:dyDescent="0.3">
      <c r="A33" s="98">
        <v>9</v>
      </c>
      <c r="C33" s="176" t="str">
        <f>ESM_Name</f>
        <v>ENVIRONMENTAL SURCHARGE MECHANISM RIDER (ESM)</v>
      </c>
      <c r="F33" s="147"/>
      <c r="G33" s="1"/>
      <c r="H33" s="172"/>
      <c r="I33" s="147"/>
      <c r="J33" s="187">
        <f>PRO_ESM_NONRES</f>
        <v>5.3681872802409589E-3</v>
      </c>
      <c r="K33" s="185"/>
      <c r="L33" s="106">
        <f>ROUND((R29-(PRO_BASE_FUEL*H29)+R32+R35)*J33,0)</f>
        <v>258</v>
      </c>
      <c r="M33" s="106"/>
      <c r="N33" s="154">
        <f>ROUND((L33/L$38)*100,1)</f>
        <v>0.4</v>
      </c>
      <c r="O33" s="175"/>
      <c r="P33" s="147"/>
      <c r="Q33" s="106"/>
      <c r="R33" s="106">
        <f>L33+P33</f>
        <v>258</v>
      </c>
      <c r="AA33" s="99"/>
      <c r="AB33" s="99"/>
    </row>
    <row r="34" spans="1:40" x14ac:dyDescent="0.3">
      <c r="A34" s="98">
        <v>10</v>
      </c>
      <c r="C34" s="176" t="str">
        <f>FAC_Name</f>
        <v>FUEL ADJUSTMENT CLAUSE (FAC)</v>
      </c>
      <c r="F34" s="147"/>
      <c r="G34" s="1"/>
      <c r="H34" s="172"/>
      <c r="I34" s="147"/>
      <c r="J34" s="218">
        <f>PRO_FAC</f>
        <v>3.4872127999999998E-3</v>
      </c>
      <c r="K34" s="185"/>
      <c r="L34" s="106"/>
      <c r="M34" s="106"/>
      <c r="N34" s="154"/>
      <c r="O34" s="175"/>
      <c r="P34" s="147">
        <f>ROUND(H29*PRO_FAC,0)</f>
        <v>1137</v>
      </c>
      <c r="Q34" s="106"/>
      <c r="R34" s="106">
        <f>L34+P34</f>
        <v>1137</v>
      </c>
      <c r="AA34" s="99"/>
      <c r="AB34" s="99"/>
    </row>
    <row r="35" spans="1:40" x14ac:dyDescent="0.3">
      <c r="A35" s="98">
        <v>11</v>
      </c>
      <c r="C35" s="176" t="str">
        <f>PSM_Name</f>
        <v>PROFIT SHARING MECHANISM (PSM)</v>
      </c>
      <c r="F35" s="147"/>
      <c r="G35" s="1"/>
      <c r="H35" s="172"/>
      <c r="I35" s="147"/>
      <c r="J35" s="218">
        <f>PRO_PSM</f>
        <v>2.4750000000000002E-3</v>
      </c>
      <c r="K35" s="185"/>
      <c r="L35" s="117">
        <f>ROUND(H29*PRO_PSM,0)</f>
        <v>807</v>
      </c>
      <c r="M35" s="106"/>
      <c r="N35" s="156">
        <f>ROUND((L35/L$38)*100,1)</f>
        <v>1.4</v>
      </c>
      <c r="O35" s="175"/>
      <c r="P35" s="177"/>
      <c r="Q35" s="106"/>
      <c r="R35" s="117">
        <f>L35+P35</f>
        <v>807</v>
      </c>
      <c r="AA35" s="99"/>
      <c r="AB35" s="99"/>
    </row>
    <row r="36" spans="1:40" ht="20.100000000000001" customHeight="1" x14ac:dyDescent="0.3">
      <c r="A36" s="98">
        <v>12</v>
      </c>
      <c r="C36" s="124" t="s">
        <v>433</v>
      </c>
      <c r="F36" s="177"/>
      <c r="G36" s="1"/>
      <c r="H36" s="183"/>
      <c r="I36" s="147"/>
      <c r="J36" s="186"/>
      <c r="K36" s="185"/>
      <c r="L36" s="112">
        <f>SUM(L32:L35)</f>
        <v>2207</v>
      </c>
      <c r="M36" s="106"/>
      <c r="N36" s="158">
        <f>ROUND((L36/L$38)*100,1)</f>
        <v>3.7</v>
      </c>
      <c r="O36" s="175"/>
      <c r="P36" s="246">
        <f>SUM(P32:P35)</f>
        <v>1137</v>
      </c>
      <c r="Q36" s="106"/>
      <c r="R36" s="112">
        <f>SUM(R32:R35)</f>
        <v>3344</v>
      </c>
      <c r="AA36" s="99"/>
      <c r="AB36" s="99"/>
    </row>
    <row r="37" spans="1:40" x14ac:dyDescent="0.3">
      <c r="C37" s="124"/>
      <c r="F37" s="147"/>
      <c r="G37" s="1"/>
      <c r="H37" s="172"/>
      <c r="I37" s="147"/>
      <c r="J37" s="186"/>
      <c r="K37" s="185"/>
      <c r="L37" s="106"/>
      <c r="M37" s="106"/>
      <c r="N37" s="175"/>
      <c r="O37" s="175"/>
      <c r="P37" s="147"/>
      <c r="Q37" s="106"/>
      <c r="R37" s="106"/>
      <c r="AA37" s="99"/>
      <c r="AB37" s="99"/>
    </row>
    <row r="38" spans="1:40" ht="20.100000000000001" customHeight="1" thickBot="1" x14ac:dyDescent="0.35">
      <c r="A38" s="98">
        <v>13</v>
      </c>
      <c r="C38" s="124" t="s">
        <v>446</v>
      </c>
      <c r="E38" s="99"/>
      <c r="F38" s="120">
        <f>F23+F25</f>
        <v>165</v>
      </c>
      <c r="G38" s="1"/>
      <c r="H38" s="120">
        <f>H28</f>
        <v>326050</v>
      </c>
      <c r="I38" s="106"/>
      <c r="J38" s="136"/>
      <c r="K38" s="136"/>
      <c r="L38" s="120">
        <f>L29+L36</f>
        <v>59343</v>
      </c>
      <c r="M38" s="106"/>
      <c r="N38" s="197">
        <v>100</v>
      </c>
      <c r="O38" s="175"/>
      <c r="P38" s="120">
        <f>P36+P29</f>
        <v>1137</v>
      </c>
      <c r="Q38" s="147"/>
      <c r="R38" s="120">
        <f>R29+R36</f>
        <v>60480</v>
      </c>
    </row>
    <row r="39" spans="1:40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06"/>
    </row>
    <row r="40" spans="1:40" x14ac:dyDescent="0.3">
      <c r="F40"/>
      <c r="G40"/>
      <c r="H40"/>
      <c r="I40"/>
      <c r="J40"/>
      <c r="K40" s="2"/>
      <c r="L40" s="2"/>
      <c r="M40" s="2"/>
      <c r="N40" s="2"/>
      <c r="O40" s="2"/>
      <c r="P40" s="2"/>
      <c r="Q40" s="2"/>
      <c r="R40" s="2"/>
      <c r="Y40" s="102"/>
      <c r="Z40" s="102"/>
      <c r="AA40" s="102"/>
      <c r="AB40" s="102"/>
      <c r="AC40" s="102"/>
      <c r="AD40" s="102"/>
      <c r="AE40" s="102"/>
      <c r="AF40" s="102"/>
      <c r="AG40" s="151"/>
      <c r="AH40" s="102"/>
      <c r="AI40" s="102"/>
      <c r="AJ40" s="102"/>
      <c r="AK40" s="151"/>
      <c r="AL40" s="102"/>
      <c r="AM40" s="102"/>
      <c r="AN40" s="102"/>
    </row>
    <row r="41" spans="1:40" x14ac:dyDescent="0.3">
      <c r="A41" s="98">
        <v>14</v>
      </c>
      <c r="C41" s="124" t="s">
        <v>356</v>
      </c>
      <c r="D41" s="124" t="s">
        <v>152</v>
      </c>
      <c r="E41" s="99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T41" s="99"/>
      <c r="U41" s="99"/>
    </row>
    <row r="42" spans="1:40" x14ac:dyDescent="0.3"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T42" s="99"/>
    </row>
    <row r="43" spans="1:40" x14ac:dyDescent="0.3">
      <c r="A43" s="98">
        <v>15</v>
      </c>
      <c r="C43" s="116" t="s">
        <v>198</v>
      </c>
      <c r="F43" s="172">
        <f>'[8]Forecast BILLS'!$D$69</f>
        <v>282</v>
      </c>
      <c r="G43" s="1"/>
      <c r="H43" s="172"/>
      <c r="I43" s="182"/>
      <c r="J43" s="181">
        <f>INPUT!D104</f>
        <v>4.37</v>
      </c>
      <c r="K43" s="180"/>
      <c r="L43" s="106">
        <f>ROUND(F43*J43,0)</f>
        <v>1232</v>
      </c>
      <c r="M43" s="106"/>
      <c r="N43" s="175">
        <f>ROUND((L43/L$57)*100,1)</f>
        <v>0.1</v>
      </c>
      <c r="O43" s="1"/>
      <c r="P43" s="147"/>
      <c r="Q43" s="1"/>
      <c r="R43" s="106">
        <f>L43+P43</f>
        <v>1232</v>
      </c>
    </row>
    <row r="44" spans="1:40" x14ac:dyDescent="0.3">
      <c r="C44" s="99"/>
      <c r="F44" s="172"/>
      <c r="G44" s="1"/>
      <c r="H44" s="220"/>
      <c r="I44" s="182"/>
      <c r="J44" s="181"/>
      <c r="K44" s="180"/>
      <c r="L44" s="106"/>
      <c r="M44" s="106"/>
      <c r="N44" s="1"/>
      <c r="O44" s="1"/>
      <c r="P44" s="1"/>
      <c r="Q44" s="1"/>
      <c r="R44" s="106"/>
    </row>
    <row r="45" spans="1:40" x14ac:dyDescent="0.3">
      <c r="A45" s="98">
        <v>16</v>
      </c>
      <c r="C45" s="98" t="s">
        <v>372</v>
      </c>
      <c r="F45" s="172"/>
      <c r="G45" s="1"/>
      <c r="H45" s="220"/>
      <c r="I45" s="182"/>
      <c r="J45" s="220"/>
      <c r="K45" s="182"/>
      <c r="L45" s="1"/>
      <c r="M45" s="1"/>
      <c r="N45" s="1"/>
      <c r="O45" s="1"/>
      <c r="P45" s="1"/>
      <c r="Q45" s="1"/>
      <c r="R45" s="106"/>
      <c r="S45" s="110"/>
      <c r="T45" s="99"/>
      <c r="V45" s="110"/>
      <c r="Y45" s="110"/>
      <c r="Z45" s="181"/>
      <c r="AA45" s="110"/>
      <c r="AB45" s="110"/>
      <c r="AC45" s="141"/>
      <c r="AD45" s="141"/>
      <c r="AE45" s="110"/>
      <c r="AF45" s="110"/>
      <c r="AH45" s="141"/>
      <c r="AI45" s="110"/>
      <c r="AJ45" s="110"/>
      <c r="AL45" s="110"/>
      <c r="AM45" s="141"/>
      <c r="AN45" s="141"/>
    </row>
    <row r="46" spans="1:40" x14ac:dyDescent="0.3">
      <c r="A46" s="98">
        <v>17</v>
      </c>
      <c r="C46" s="116" t="s">
        <v>199</v>
      </c>
      <c r="F46" s="172"/>
      <c r="G46" s="1"/>
      <c r="H46" s="172">
        <f>'[8]Forecast KWH'!$B$68</f>
        <v>12165</v>
      </c>
      <c r="I46" s="182"/>
      <c r="J46" s="184">
        <f>INPUT!D106</f>
        <v>0.13300199999999998</v>
      </c>
      <c r="K46" s="182"/>
      <c r="L46" s="106">
        <f>ROUND((H46*J46),0)</f>
        <v>1618</v>
      </c>
      <c r="M46" s="1"/>
      <c r="N46" s="175">
        <f>ROUND((L46/L$57)*100,1)</f>
        <v>0.2</v>
      </c>
      <c r="O46" s="1"/>
      <c r="P46" s="147"/>
      <c r="Q46" s="1"/>
      <c r="R46" s="106">
        <f>L46+P46</f>
        <v>1618</v>
      </c>
      <c r="S46" s="110"/>
      <c r="T46" s="99"/>
      <c r="V46" s="110"/>
      <c r="Y46" s="110"/>
      <c r="Z46" s="181"/>
      <c r="AA46" s="110"/>
      <c r="AB46" s="110"/>
      <c r="AC46" s="141"/>
      <c r="AD46" s="141"/>
      <c r="AE46" s="110"/>
      <c r="AF46" s="110"/>
      <c r="AH46" s="141"/>
      <c r="AI46" s="110"/>
      <c r="AJ46" s="110"/>
      <c r="AL46" s="110"/>
      <c r="AM46" s="141"/>
      <c r="AN46" s="141"/>
    </row>
    <row r="47" spans="1:40" x14ac:dyDescent="0.3">
      <c r="A47" s="98">
        <v>18</v>
      </c>
      <c r="C47" s="116" t="s">
        <v>200</v>
      </c>
      <c r="F47" s="183"/>
      <c r="G47" s="1"/>
      <c r="H47" s="183">
        <f>'[8]Forecast KWH'!$I$68</f>
        <v>6176690.3929999992</v>
      </c>
      <c r="I47" s="147"/>
      <c r="J47" s="184">
        <f>INPUT!D107</f>
        <v>0.15163599999999999</v>
      </c>
      <c r="K47" s="185"/>
      <c r="L47" s="117">
        <f>ROUND((H47*J47),0)</f>
        <v>936609</v>
      </c>
      <c r="M47" s="106"/>
      <c r="N47" s="236">
        <f>ROUND((L47/L$57)*100,1)</f>
        <v>95.5</v>
      </c>
      <c r="O47" s="175"/>
      <c r="P47" s="177"/>
      <c r="Q47" s="147"/>
      <c r="R47" s="117">
        <f>L47+P47</f>
        <v>936609</v>
      </c>
      <c r="S47" s="110"/>
      <c r="V47" s="192"/>
      <c r="Y47" s="110"/>
      <c r="Z47" s="172"/>
      <c r="AA47" s="110"/>
      <c r="AB47" s="110"/>
      <c r="AC47" s="141"/>
      <c r="AD47" s="141"/>
      <c r="AE47" s="110"/>
      <c r="AF47" s="110"/>
      <c r="AI47" s="110"/>
      <c r="AJ47" s="110"/>
      <c r="AL47" s="110"/>
    </row>
    <row r="48" spans="1:40" ht="20.100000000000001" customHeight="1" x14ac:dyDescent="0.3">
      <c r="A48" s="98">
        <v>19</v>
      </c>
      <c r="C48" s="169" t="s">
        <v>444</v>
      </c>
      <c r="F48" s="246">
        <f>SUM(F43:F47)</f>
        <v>282</v>
      </c>
      <c r="G48" s="1"/>
      <c r="H48" s="246">
        <f>SUM(H46:H47)</f>
        <v>6188855.3929999992</v>
      </c>
      <c r="I48" s="147"/>
      <c r="J48" s="184"/>
      <c r="K48" s="185"/>
      <c r="L48" s="112">
        <f>SUM(L43:L47)</f>
        <v>939459</v>
      </c>
      <c r="M48" s="106"/>
      <c r="N48" s="193">
        <f>ROUND((L48/L$57)*100,1)</f>
        <v>95.8</v>
      </c>
      <c r="O48" s="175"/>
      <c r="P48" s="246"/>
      <c r="Q48" s="147"/>
      <c r="R48" s="112">
        <f>SUM(R43:R47)</f>
        <v>939459</v>
      </c>
      <c r="S48" s="110"/>
      <c r="V48" s="192"/>
      <c r="Y48" s="110"/>
      <c r="Z48" s="172"/>
      <c r="AA48" s="110"/>
      <c r="AB48" s="110"/>
      <c r="AC48" s="141"/>
      <c r="AD48" s="141"/>
      <c r="AE48" s="110"/>
      <c r="AF48" s="110"/>
      <c r="AI48" s="110"/>
      <c r="AJ48" s="110"/>
      <c r="AL48" s="110"/>
    </row>
    <row r="49" spans="1:40" x14ac:dyDescent="0.3">
      <c r="C49" s="99"/>
      <c r="F49" s="172"/>
      <c r="G49" s="1"/>
      <c r="H49" s="172"/>
      <c r="I49" s="147"/>
      <c r="J49" s="184"/>
      <c r="K49" s="185"/>
      <c r="L49" s="106"/>
      <c r="M49" s="106"/>
      <c r="N49" s="175"/>
      <c r="O49" s="175"/>
      <c r="P49" s="147"/>
      <c r="Q49" s="147"/>
      <c r="R49" s="106"/>
      <c r="S49" s="110"/>
      <c r="V49" s="192"/>
      <c r="Y49" s="110"/>
      <c r="Z49" s="172"/>
      <c r="AA49" s="110"/>
      <c r="AB49" s="110"/>
      <c r="AC49" s="141"/>
      <c r="AD49" s="141"/>
      <c r="AE49" s="110"/>
      <c r="AF49" s="110"/>
      <c r="AI49" s="110"/>
      <c r="AJ49" s="110"/>
      <c r="AL49" s="110"/>
    </row>
    <row r="50" spans="1:40" x14ac:dyDescent="0.3">
      <c r="A50" s="98">
        <v>20</v>
      </c>
      <c r="C50" s="124" t="s">
        <v>428</v>
      </c>
      <c r="F50" s="172"/>
      <c r="G50" s="1"/>
      <c r="H50" s="172"/>
      <c r="I50" s="147"/>
      <c r="J50" s="184"/>
      <c r="K50" s="185"/>
      <c r="L50" s="106"/>
      <c r="M50" s="106"/>
      <c r="N50" s="175"/>
      <c r="O50" s="175"/>
      <c r="P50" s="147"/>
      <c r="Q50" s="147"/>
      <c r="R50" s="106"/>
      <c r="S50" s="110"/>
      <c r="V50" s="192"/>
      <c r="Y50" s="110"/>
      <c r="Z50" s="172"/>
      <c r="AA50" s="110"/>
      <c r="AB50" s="110"/>
      <c r="AC50" s="141"/>
      <c r="AD50" s="141"/>
      <c r="AE50" s="110"/>
      <c r="AF50" s="110"/>
      <c r="AI50" s="110"/>
      <c r="AJ50" s="110"/>
      <c r="AL50" s="110"/>
    </row>
    <row r="51" spans="1:40" x14ac:dyDescent="0.3">
      <c r="A51" s="98">
        <v>21</v>
      </c>
      <c r="C51" s="176" t="str">
        <f>DSMR_Name</f>
        <v>DEMAND SIDE MANAGEMENT RIDER (DSMR)</v>
      </c>
      <c r="F51" s="172"/>
      <c r="G51" s="1"/>
      <c r="H51" s="172"/>
      <c r="I51" s="147"/>
      <c r="J51" s="218">
        <f>PRO_DSM_DIST</f>
        <v>3.503E-3</v>
      </c>
      <c r="K51" s="185"/>
      <c r="L51" s="106">
        <f>ROUND($H$48*J51,0)</f>
        <v>21680</v>
      </c>
      <c r="M51" s="106"/>
      <c r="N51" s="154">
        <f>ROUND((L51/L$57)*100,1)-0.1</f>
        <v>2.1</v>
      </c>
      <c r="O51" s="175"/>
      <c r="P51" s="147"/>
      <c r="Q51" s="147"/>
      <c r="R51" s="106">
        <f>L51+P51</f>
        <v>21680</v>
      </c>
      <c r="S51" s="110"/>
      <c r="V51" s="192"/>
      <c r="Y51" s="110"/>
      <c r="Z51" s="172"/>
      <c r="AA51" s="110"/>
      <c r="AB51" s="110"/>
      <c r="AC51" s="141"/>
      <c r="AD51" s="141"/>
      <c r="AE51" s="110"/>
      <c r="AF51" s="110"/>
      <c r="AI51" s="110"/>
      <c r="AJ51" s="110"/>
      <c r="AL51" s="110"/>
    </row>
    <row r="52" spans="1:40" x14ac:dyDescent="0.3">
      <c r="A52" s="98">
        <v>22</v>
      </c>
      <c r="C52" s="176" t="str">
        <f>ESM_Name</f>
        <v>ENVIRONMENTAL SURCHARGE MECHANISM RIDER (ESM)</v>
      </c>
      <c r="F52" s="172"/>
      <c r="G52" s="1"/>
      <c r="H52" s="172"/>
      <c r="I52" s="147"/>
      <c r="J52" s="187">
        <f>PRO_ESM_NONRES</f>
        <v>5.3681872802409589E-3</v>
      </c>
      <c r="K52" s="185"/>
      <c r="L52" s="106">
        <f>ROUND((R48-(PRO_BASE_FUEL*H48)+R51+R54)*J52,0)</f>
        <v>4120</v>
      </c>
      <c r="M52" s="106"/>
      <c r="N52" s="154">
        <f>ROUND((L52/L$57)*100,1)</f>
        <v>0.4</v>
      </c>
      <c r="O52" s="175"/>
      <c r="P52" s="147"/>
      <c r="Q52" s="147"/>
      <c r="R52" s="106">
        <f>L52+P52</f>
        <v>4120</v>
      </c>
      <c r="S52" s="110"/>
      <c r="V52" s="192"/>
      <c r="Y52" s="110"/>
      <c r="Z52" s="172"/>
      <c r="AA52" s="110"/>
      <c r="AB52" s="110"/>
      <c r="AC52" s="141"/>
      <c r="AD52" s="141"/>
      <c r="AE52" s="110"/>
      <c r="AF52" s="110"/>
      <c r="AI52" s="110"/>
      <c r="AJ52" s="110"/>
      <c r="AL52" s="110"/>
    </row>
    <row r="53" spans="1:40" x14ac:dyDescent="0.3">
      <c r="A53" s="98">
        <v>23</v>
      </c>
      <c r="C53" s="176" t="str">
        <f>FAC_Name</f>
        <v>FUEL ADJUSTMENT CLAUSE (FAC)</v>
      </c>
      <c r="F53" s="172"/>
      <c r="G53" s="1"/>
      <c r="H53" s="172"/>
      <c r="I53" s="147"/>
      <c r="J53" s="218">
        <f>PRO_FAC</f>
        <v>3.4872127999999998E-3</v>
      </c>
      <c r="K53" s="185"/>
      <c r="L53" s="106"/>
      <c r="M53" s="106"/>
      <c r="N53" s="154"/>
      <c r="O53" s="175"/>
      <c r="P53" s="147">
        <f>ROUND(H48*PRO_FAC,0)</f>
        <v>21582</v>
      </c>
      <c r="Q53" s="147"/>
      <c r="R53" s="106">
        <f>L53+P53</f>
        <v>21582</v>
      </c>
      <c r="S53" s="110"/>
      <c r="V53" s="192"/>
      <c r="Y53" s="110"/>
      <c r="Z53" s="172"/>
      <c r="AA53" s="110"/>
      <c r="AB53" s="110"/>
      <c r="AC53" s="141"/>
      <c r="AD53" s="141"/>
      <c r="AE53" s="110"/>
      <c r="AF53" s="110"/>
      <c r="AI53" s="110"/>
      <c r="AJ53" s="110"/>
      <c r="AL53" s="110"/>
    </row>
    <row r="54" spans="1:40" x14ac:dyDescent="0.3">
      <c r="A54" s="98">
        <v>24</v>
      </c>
      <c r="C54" s="176" t="str">
        <f>PSM_Name</f>
        <v>PROFIT SHARING MECHANISM (PSM)</v>
      </c>
      <c r="F54" s="172"/>
      <c r="G54" s="1"/>
      <c r="H54" s="172"/>
      <c r="I54" s="147"/>
      <c r="J54" s="218">
        <f>PRO_PSM</f>
        <v>2.4750000000000002E-3</v>
      </c>
      <c r="K54" s="185"/>
      <c r="L54" s="106">
        <f>ROUND($H$48*J54,0)</f>
        <v>15317</v>
      </c>
      <c r="M54" s="106"/>
      <c r="N54" s="156">
        <f>ROUND((L54/L$57)*100,1)</f>
        <v>1.6</v>
      </c>
      <c r="O54" s="175"/>
      <c r="P54" s="177"/>
      <c r="Q54" s="147"/>
      <c r="R54" s="117">
        <f>L54+P54</f>
        <v>15317</v>
      </c>
      <c r="S54" s="110"/>
      <c r="V54" s="192"/>
      <c r="Y54" s="110"/>
      <c r="Z54" s="172"/>
      <c r="AA54" s="110"/>
      <c r="AB54" s="110"/>
      <c r="AC54" s="141"/>
      <c r="AD54" s="141"/>
      <c r="AE54" s="110"/>
      <c r="AF54" s="110"/>
      <c r="AI54" s="110"/>
      <c r="AJ54" s="110"/>
      <c r="AL54" s="110"/>
    </row>
    <row r="55" spans="1:40" ht="20.100000000000001" customHeight="1" x14ac:dyDescent="0.3">
      <c r="A55" s="98">
        <v>25</v>
      </c>
      <c r="C55" s="124" t="s">
        <v>433</v>
      </c>
      <c r="F55" s="183"/>
      <c r="G55" s="1"/>
      <c r="H55" s="183"/>
      <c r="I55" s="147"/>
      <c r="J55" s="186"/>
      <c r="K55" s="185"/>
      <c r="L55" s="112">
        <f>SUM(L51:L54)</f>
        <v>41117</v>
      </c>
      <c r="M55" s="106"/>
      <c r="N55" s="158">
        <f>ROUND((L55/L$57)*100,1)</f>
        <v>4.2</v>
      </c>
      <c r="O55" s="175"/>
      <c r="P55" s="112">
        <f>SUM(P51:P54)</f>
        <v>21582</v>
      </c>
      <c r="Q55" s="147"/>
      <c r="R55" s="112">
        <f>SUM(R51:R54)</f>
        <v>62699</v>
      </c>
      <c r="S55" s="110"/>
      <c r="V55" s="192"/>
      <c r="Y55" s="110"/>
      <c r="Z55" s="172"/>
      <c r="AA55" s="110"/>
      <c r="AB55" s="110"/>
      <c r="AC55" s="141"/>
      <c r="AD55" s="141"/>
      <c r="AE55" s="110"/>
      <c r="AF55" s="110"/>
      <c r="AI55" s="110"/>
      <c r="AJ55" s="110"/>
      <c r="AL55" s="110"/>
    </row>
    <row r="56" spans="1:40" x14ac:dyDescent="0.3">
      <c r="C56" s="116"/>
      <c r="F56" s="172"/>
      <c r="G56" s="1"/>
      <c r="H56" s="172"/>
      <c r="I56" s="147"/>
      <c r="J56" s="186"/>
      <c r="K56" s="185"/>
      <c r="L56" s="106"/>
      <c r="M56" s="106"/>
      <c r="N56" s="175"/>
      <c r="O56" s="175"/>
      <c r="P56" s="147"/>
      <c r="Q56" s="147"/>
      <c r="R56" s="106"/>
      <c r="S56" s="110"/>
      <c r="V56" s="192"/>
      <c r="Y56" s="110"/>
      <c r="Z56" s="172"/>
      <c r="AA56" s="110"/>
      <c r="AB56" s="110"/>
      <c r="AC56" s="141"/>
      <c r="AD56" s="141"/>
      <c r="AE56" s="110"/>
      <c r="AF56" s="110"/>
      <c r="AI56" s="110"/>
      <c r="AJ56" s="110"/>
      <c r="AL56" s="110"/>
    </row>
    <row r="57" spans="1:40" ht="20.100000000000001" customHeight="1" thickBot="1" x14ac:dyDescent="0.35">
      <c r="A57" s="98">
        <v>26</v>
      </c>
      <c r="C57" s="124" t="s">
        <v>445</v>
      </c>
      <c r="E57" s="99"/>
      <c r="F57" s="120">
        <f>SUM(F43:F47)</f>
        <v>282</v>
      </c>
      <c r="G57" s="1"/>
      <c r="H57" s="120">
        <f>SUM(H43:H47)</f>
        <v>6188855.3929999992</v>
      </c>
      <c r="I57" s="106"/>
      <c r="J57" s="136"/>
      <c r="K57" s="136"/>
      <c r="L57" s="120">
        <f>L48+L55</f>
        <v>980576</v>
      </c>
      <c r="M57" s="106"/>
      <c r="N57" s="197">
        <v>100</v>
      </c>
      <c r="O57" s="175"/>
      <c r="P57" s="120">
        <f>P48+P55</f>
        <v>21582</v>
      </c>
      <c r="Q57" s="106"/>
      <c r="R57" s="120">
        <f>R48+R55</f>
        <v>1002158</v>
      </c>
      <c r="S57" s="110"/>
      <c r="V57" s="192"/>
      <c r="Y57" s="192"/>
      <c r="Z57" s="217"/>
      <c r="AA57" s="192"/>
      <c r="AB57" s="192"/>
      <c r="AC57" s="192"/>
      <c r="AD57" s="192"/>
      <c r="AE57" s="192"/>
      <c r="AF57" s="192"/>
      <c r="AI57" s="192"/>
      <c r="AJ57" s="192"/>
      <c r="AK57" s="194"/>
      <c r="AL57" s="192"/>
      <c r="AM57" s="141"/>
      <c r="AN57" s="141"/>
    </row>
    <row r="58" spans="1:40" ht="16.2" thickTop="1" x14ac:dyDescent="0.3"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06"/>
      <c r="S58" s="110"/>
      <c r="V58" s="172"/>
      <c r="Y58" s="172"/>
      <c r="Z58" s="217"/>
      <c r="AA58" s="110"/>
      <c r="AB58" s="110"/>
      <c r="AC58" s="141"/>
      <c r="AD58" s="141"/>
      <c r="AE58" s="110"/>
      <c r="AF58" s="110"/>
      <c r="AI58" s="110"/>
      <c r="AJ58" s="110"/>
      <c r="AL58" s="110"/>
      <c r="AM58" s="141"/>
      <c r="AN58" s="141"/>
    </row>
    <row r="59" spans="1:40" x14ac:dyDescent="0.3">
      <c r="C59" s="178" t="s">
        <v>59</v>
      </c>
      <c r="F59" s="110"/>
      <c r="H59" s="110"/>
      <c r="I59" s="110"/>
      <c r="J59" s="198"/>
      <c r="K59" s="198"/>
      <c r="L59" s="110"/>
      <c r="M59" s="110"/>
      <c r="N59" s="110"/>
      <c r="O59" s="110"/>
      <c r="P59" s="110"/>
      <c r="Q59" s="110"/>
      <c r="R59" s="110"/>
    </row>
    <row r="60" spans="1:40" x14ac:dyDescent="0.3">
      <c r="C60" s="178" t="str">
        <f>"(2) REFLECTS FUEL COMPONENT OF "&amp;TEXT(PRO_FAC,"$0.000000;($0.000000)")&amp;"  PER KWH."</f>
        <v>(2) REFLECTS FUEL COMPONENT OF $0.003487  PER KWH.</v>
      </c>
      <c r="F60" s="110"/>
      <c r="H60" s="110"/>
      <c r="I60" s="110"/>
      <c r="J60" s="198"/>
      <c r="K60" s="198"/>
      <c r="L60" s="110"/>
      <c r="M60" s="110"/>
      <c r="N60" s="110"/>
      <c r="O60" s="110"/>
      <c r="P60" s="110"/>
      <c r="Q60" s="110"/>
      <c r="R60" s="110"/>
    </row>
    <row r="61" spans="1:40" x14ac:dyDescent="0.3">
      <c r="C61" s="178" t="str">
        <f>"(3) REFLECTS FUEL COST RECOVERY INCLUDED IN BASE RATES OF "&amp;TEXT(PRO_BASE_FUEL,"$0.000000;($0.000000)")&amp;"  PER KWH."</f>
        <v>(3) REFLECTS FUEL COST RECOVERY INCLUDED IN BASE RATES OF $0.033780  PER KWH.</v>
      </c>
      <c r="F61" s="110"/>
      <c r="H61" s="110"/>
      <c r="I61" s="110"/>
      <c r="J61" s="198"/>
      <c r="K61" s="198"/>
      <c r="L61" s="110"/>
      <c r="M61" s="110"/>
      <c r="N61" s="110"/>
      <c r="O61" s="110"/>
      <c r="P61" s="110"/>
      <c r="Q61" s="110"/>
      <c r="R61" s="110"/>
    </row>
    <row r="62" spans="1:40" x14ac:dyDescent="0.3">
      <c r="C62" s="248" t="s">
        <v>387</v>
      </c>
    </row>
    <row r="63" spans="1:40" x14ac:dyDescent="0.3">
      <c r="A63" s="102"/>
      <c r="C63" s="102"/>
      <c r="D63" s="102"/>
      <c r="E63" s="102"/>
      <c r="F63" s="102"/>
      <c r="J63" s="102"/>
      <c r="K63" s="102"/>
      <c r="L63" s="102"/>
      <c r="M63" s="102"/>
      <c r="N63" s="102"/>
      <c r="O63" s="102"/>
      <c r="P63" s="102"/>
      <c r="Q63" s="102"/>
      <c r="R63" s="102"/>
    </row>
    <row r="64" spans="1:40" x14ac:dyDescent="0.3">
      <c r="A64" s="102"/>
      <c r="C64" s="102"/>
      <c r="D64" s="102"/>
      <c r="E64" s="102"/>
      <c r="F64"/>
      <c r="G64"/>
      <c r="H64"/>
      <c r="J64" s="102"/>
      <c r="K64" s="102"/>
      <c r="L64" s="102"/>
      <c r="M64" s="102"/>
      <c r="N64" s="102"/>
      <c r="O64" s="102"/>
      <c r="P64" s="102"/>
      <c r="Q64" s="102"/>
      <c r="R64" s="102"/>
    </row>
    <row r="65" spans="1:76" x14ac:dyDescent="0.3">
      <c r="A65" s="102"/>
      <c r="C65" s="102"/>
      <c r="D65" s="102"/>
      <c r="E65" s="102"/>
      <c r="F65"/>
      <c r="G65"/>
      <c r="H65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T65" s="97" t="str">
        <f>NAME</f>
        <v>DUKE ENERGY KENTUCKY, INC.</v>
      </c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149"/>
      <c r="AH65" s="97"/>
      <c r="AI65" s="97"/>
      <c r="AJ65" s="97"/>
      <c r="AK65" s="149"/>
      <c r="AL65" s="97"/>
      <c r="AM65" s="97"/>
      <c r="AN65" s="97"/>
      <c r="AO65" s="97"/>
      <c r="AP65" s="97"/>
      <c r="AQ65" s="149"/>
    </row>
    <row r="66" spans="1:76" x14ac:dyDescent="0.3">
      <c r="A66" s="102"/>
      <c r="C66" s="102"/>
      <c r="D66" s="102"/>
      <c r="E66" s="102"/>
      <c r="F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T66" s="97" t="str">
        <f>CASE_NO</f>
        <v>CASE NO.   2024-00354</v>
      </c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149"/>
      <c r="AH66" s="97"/>
      <c r="AI66" s="97"/>
      <c r="AJ66" s="97"/>
      <c r="AK66" s="149"/>
      <c r="AL66" s="97"/>
      <c r="AM66" s="97"/>
      <c r="AN66" s="97"/>
      <c r="AO66" s="97"/>
      <c r="AP66" s="97"/>
      <c r="AQ66" s="149"/>
    </row>
    <row r="67" spans="1:76" x14ac:dyDescent="0.3">
      <c r="C67" s="102"/>
      <c r="D67" s="102"/>
      <c r="E67" s="102"/>
      <c r="F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T67" s="97" t="str">
        <f>TITLE</f>
        <v>ANNUALIZED BASE YEAR REVENUES AT PROPOSED VS. MOST CURRENT RATES</v>
      </c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149"/>
      <c r="AH67" s="97"/>
      <c r="AI67" s="97"/>
      <c r="AJ67" s="97"/>
      <c r="AK67" s="149"/>
      <c r="AL67" s="97"/>
      <c r="AM67" s="97"/>
      <c r="AN67" s="97"/>
      <c r="AO67" s="97"/>
      <c r="AP67" s="97"/>
      <c r="AQ67" s="149"/>
    </row>
    <row r="68" spans="1:76" x14ac:dyDescent="0.3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T68" s="97" t="str">
        <f>DATE</f>
        <v>FOR THE TWELVE MONTHS ENDED February 28, 2025</v>
      </c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49"/>
      <c r="AH68" s="97"/>
      <c r="AI68" s="97"/>
      <c r="AJ68" s="97"/>
      <c r="AK68" s="149"/>
      <c r="AL68" s="97"/>
      <c r="AM68" s="97"/>
      <c r="AN68" s="97"/>
      <c r="AO68" s="97"/>
      <c r="AP68" s="97"/>
      <c r="AQ68" s="149"/>
    </row>
    <row r="69" spans="1:76" x14ac:dyDescent="0.3"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T69" s="97" t="str">
        <f>SERVICE</f>
        <v>(ELECTRIC SERVICE)</v>
      </c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149"/>
      <c r="AH69" s="97"/>
      <c r="AI69" s="97"/>
      <c r="AJ69" s="97"/>
      <c r="AK69" s="149"/>
      <c r="AL69" s="97"/>
      <c r="AM69" s="97"/>
      <c r="AN69" s="97"/>
      <c r="AO69" s="97"/>
      <c r="AP69" s="97"/>
      <c r="AQ69" s="149"/>
    </row>
    <row r="70" spans="1:76" x14ac:dyDescent="0.3">
      <c r="C70" s="99"/>
      <c r="D70" s="99"/>
      <c r="E70" s="99"/>
      <c r="T70" s="98" t="str">
        <f>DATA_PERIOD</f>
        <v>DATA: __X__ BASE PERIOD   ____FORECASTED PERIOD</v>
      </c>
      <c r="AO70" s="99" t="s">
        <v>157</v>
      </c>
      <c r="AP70" s="99"/>
    </row>
    <row r="71" spans="1:76" x14ac:dyDescent="0.3">
      <c r="D71" s="99"/>
      <c r="E71" s="99"/>
      <c r="T71" s="98" t="str">
        <f>TYPE</f>
        <v>TYPE OF FILING: _X_ ORIGINAL   ___UPDATED  ___ REVISED</v>
      </c>
      <c r="AO71" s="116" t="str">
        <f>"PAGE 7 OF "&amp;TEXT(Page_Num_2.2,"00")</f>
        <v>PAGE 7 OF 24</v>
      </c>
      <c r="AP71" s="99"/>
    </row>
    <row r="72" spans="1:76" x14ac:dyDescent="0.3">
      <c r="T72" s="99" t="s">
        <v>170</v>
      </c>
      <c r="AO72" s="99" t="s">
        <v>3</v>
      </c>
      <c r="AP72" s="99"/>
    </row>
    <row r="73" spans="1:76" x14ac:dyDescent="0.3">
      <c r="C73" s="99"/>
      <c r="T73" s="124" t="str">
        <f>TIME</f>
        <v>6 Months Actual and 6 Months Projected with Riders</v>
      </c>
      <c r="AO73" s="98" t="str">
        <f>WIT</f>
        <v>B. L. Sailers</v>
      </c>
    </row>
    <row r="74" spans="1:76" x14ac:dyDescent="0.3">
      <c r="C74" s="99"/>
      <c r="T74" s="124" t="str">
        <f>INPUT!B5</f>
        <v>6 Months Actual Ending August 31, 2024</v>
      </c>
    </row>
    <row r="75" spans="1:76" x14ac:dyDescent="0.3">
      <c r="C75" s="99"/>
      <c r="F75" s="172"/>
      <c r="H75" s="172"/>
      <c r="I75" s="172"/>
      <c r="J75" s="181"/>
      <c r="K75" s="181"/>
      <c r="L75" s="110"/>
      <c r="M75" s="110"/>
      <c r="N75" s="141"/>
      <c r="O75" s="141"/>
      <c r="R75" s="110"/>
      <c r="T75" s="97" t="s">
        <v>130</v>
      </c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149"/>
      <c r="AH75" s="97"/>
      <c r="AI75" s="97"/>
      <c r="AJ75" s="97"/>
      <c r="AK75" s="149"/>
      <c r="AL75" s="97"/>
      <c r="AM75" s="97"/>
      <c r="AN75" s="97"/>
      <c r="AO75" s="97"/>
      <c r="AP75" s="97"/>
      <c r="AQ75" s="149"/>
    </row>
    <row r="76" spans="1:76" x14ac:dyDescent="0.3">
      <c r="C76" s="99"/>
      <c r="F76" s="172"/>
      <c r="H76" s="172"/>
      <c r="I76" s="172"/>
      <c r="J76" s="181"/>
      <c r="K76" s="181"/>
      <c r="L76" s="110"/>
      <c r="M76" s="110"/>
      <c r="N76" s="141"/>
      <c r="O76" s="141"/>
      <c r="R76" s="110"/>
      <c r="T76" s="100"/>
      <c r="U76" s="100"/>
      <c r="V76" s="100"/>
      <c r="W76" s="100"/>
      <c r="X76" s="100"/>
      <c r="Y76" s="100"/>
      <c r="Z76" s="100"/>
      <c r="AA76" s="100"/>
      <c r="AB76" s="100"/>
      <c r="AC76" s="100"/>
      <c r="AD76" s="100"/>
      <c r="AE76" s="100"/>
      <c r="AF76" s="100"/>
      <c r="AG76" s="150"/>
      <c r="AH76" s="100"/>
      <c r="AI76" s="100"/>
      <c r="AJ76" s="100"/>
      <c r="AK76" s="150"/>
      <c r="AL76" s="100"/>
      <c r="AM76" s="100"/>
      <c r="AN76" s="100"/>
      <c r="AO76" s="100"/>
      <c r="AP76" s="100"/>
      <c r="AQ76" s="150"/>
    </row>
    <row r="77" spans="1:76" ht="18" customHeight="1" x14ac:dyDescent="0.3">
      <c r="F77" s="192"/>
      <c r="H77" s="110"/>
      <c r="I77" s="110"/>
      <c r="J77" s="217"/>
      <c r="K77" s="217"/>
      <c r="L77" s="192"/>
      <c r="M77" s="192"/>
      <c r="N77" s="192"/>
      <c r="O77" s="192"/>
      <c r="P77" s="192"/>
      <c r="Q77" s="192"/>
      <c r="R77" s="192"/>
      <c r="AE77" s="102" t="s">
        <v>8</v>
      </c>
      <c r="AF77" s="102"/>
      <c r="AG77" s="151" t="s">
        <v>7</v>
      </c>
      <c r="AH77" s="102"/>
      <c r="AI77" s="102" t="s">
        <v>9</v>
      </c>
      <c r="AJ77" s="102"/>
      <c r="AK77" s="151" t="s">
        <v>10</v>
      </c>
      <c r="AL77" s="102"/>
      <c r="AO77" s="102" t="s">
        <v>8</v>
      </c>
      <c r="AP77" s="102"/>
      <c r="AQ77" s="151" t="s">
        <v>11</v>
      </c>
    </row>
    <row r="78" spans="1:76" x14ac:dyDescent="0.3">
      <c r="C78" s="99"/>
      <c r="F78" s="110"/>
      <c r="H78" s="110"/>
      <c r="I78" s="110"/>
      <c r="J78" s="217"/>
      <c r="K78" s="217"/>
      <c r="L78" s="110"/>
      <c r="M78" s="110"/>
      <c r="N78" s="141"/>
      <c r="O78" s="141"/>
      <c r="P78" s="110"/>
      <c r="Q78" s="110"/>
      <c r="R78" s="110"/>
      <c r="AC78" s="102" t="s">
        <v>14</v>
      </c>
      <c r="AD78" s="102"/>
      <c r="AE78" s="102" t="s">
        <v>12</v>
      </c>
      <c r="AF78" s="102"/>
      <c r="AG78" s="151" t="s">
        <v>13</v>
      </c>
      <c r="AH78" s="102"/>
      <c r="AI78" s="102" t="s">
        <v>15</v>
      </c>
      <c r="AJ78" s="102"/>
      <c r="AK78" s="151" t="s">
        <v>16</v>
      </c>
      <c r="AL78" s="102"/>
      <c r="AO78" s="102" t="s">
        <v>11</v>
      </c>
      <c r="AP78" s="102"/>
      <c r="AQ78" s="151" t="s">
        <v>9</v>
      </c>
    </row>
    <row r="79" spans="1:76" x14ac:dyDescent="0.3">
      <c r="F79" s="192"/>
      <c r="H79" s="110"/>
      <c r="I79" s="110"/>
      <c r="J79" s="217"/>
      <c r="K79" s="217"/>
      <c r="L79" s="192"/>
      <c r="M79" s="192"/>
      <c r="N79" s="192"/>
      <c r="O79" s="192"/>
      <c r="P79" s="192"/>
      <c r="Q79" s="192"/>
      <c r="R79" s="192"/>
      <c r="T79" s="102" t="s">
        <v>17</v>
      </c>
      <c r="V79" s="102" t="s">
        <v>18</v>
      </c>
      <c r="W79" s="102" t="s">
        <v>19</v>
      </c>
      <c r="X79" s="102"/>
      <c r="Y79" s="102" t="s">
        <v>20</v>
      </c>
      <c r="AC79" s="102" t="s">
        <v>8</v>
      </c>
      <c r="AD79" s="102"/>
      <c r="AE79" s="102" t="s">
        <v>593</v>
      </c>
      <c r="AF79" s="102"/>
      <c r="AG79" s="151" t="s">
        <v>593</v>
      </c>
      <c r="AH79" s="102"/>
      <c r="AI79" s="103" t="s">
        <v>708</v>
      </c>
      <c r="AJ79" s="102"/>
      <c r="AK79" s="152" t="s">
        <v>708</v>
      </c>
      <c r="AL79" s="102"/>
      <c r="AM79" s="102" t="s">
        <v>593</v>
      </c>
      <c r="AN79" s="102"/>
      <c r="AO79" s="102" t="s">
        <v>9</v>
      </c>
      <c r="AP79" s="102"/>
      <c r="AQ79" s="151" t="s">
        <v>21</v>
      </c>
      <c r="AS79" s="110"/>
      <c r="AT79" s="110"/>
      <c r="AU79" s="226"/>
    </row>
    <row r="80" spans="1:76" x14ac:dyDescent="0.3">
      <c r="F80" s="110"/>
      <c r="H80" s="110"/>
      <c r="I80" s="110"/>
      <c r="J80" s="217"/>
      <c r="K80" s="217"/>
      <c r="L80" s="110"/>
      <c r="M80" s="110"/>
      <c r="N80" s="141"/>
      <c r="O80" s="141"/>
      <c r="P80" s="110"/>
      <c r="Q80" s="110"/>
      <c r="R80" s="110"/>
      <c r="T80" s="102" t="s">
        <v>22</v>
      </c>
      <c r="V80" s="102" t="s">
        <v>23</v>
      </c>
      <c r="W80" s="102" t="s">
        <v>24</v>
      </c>
      <c r="X80" s="102"/>
      <c r="Y80" s="102" t="s">
        <v>25</v>
      </c>
      <c r="AA80" s="102" t="s">
        <v>26</v>
      </c>
      <c r="AB80" s="102"/>
      <c r="AC80" s="102" t="s">
        <v>27</v>
      </c>
      <c r="AD80" s="102"/>
      <c r="AE80" s="102" t="s">
        <v>9</v>
      </c>
      <c r="AF80" s="102"/>
      <c r="AG80" s="151" t="s">
        <v>9</v>
      </c>
      <c r="AH80" s="102"/>
      <c r="AI80" s="131" t="s">
        <v>29</v>
      </c>
      <c r="AJ80" s="131"/>
      <c r="AK80" s="165" t="s">
        <v>30</v>
      </c>
      <c r="AL80" s="102"/>
      <c r="AM80" s="102" t="s">
        <v>323</v>
      </c>
      <c r="AN80" s="102"/>
      <c r="AO80" s="131" t="s">
        <v>31</v>
      </c>
      <c r="AP80" s="131"/>
      <c r="AQ80" s="165" t="s">
        <v>32</v>
      </c>
      <c r="AS80" s="110"/>
      <c r="AT80" s="110"/>
      <c r="AU80" s="141"/>
      <c r="BX80" s="220"/>
    </row>
    <row r="81" spans="1:47" x14ac:dyDescent="0.3">
      <c r="C81" s="99"/>
      <c r="F81" s="172"/>
      <c r="H81" s="172"/>
      <c r="I81" s="172"/>
      <c r="J81" s="181"/>
      <c r="K81" s="181"/>
      <c r="L81" s="110"/>
      <c r="M81" s="110"/>
      <c r="N81" s="141"/>
      <c r="O81" s="141"/>
      <c r="P81" s="110"/>
      <c r="Q81" s="110"/>
      <c r="R81" s="110"/>
      <c r="V81" s="131" t="s">
        <v>33</v>
      </c>
      <c r="W81" s="131" t="s">
        <v>34</v>
      </c>
      <c r="X81" s="131"/>
      <c r="Y81" s="131" t="s">
        <v>35</v>
      </c>
      <c r="Z81" s="134"/>
      <c r="AA81" s="131" t="s">
        <v>36</v>
      </c>
      <c r="AB81" s="131"/>
      <c r="AC81" s="131" t="s">
        <v>42</v>
      </c>
      <c r="AD81" s="131"/>
      <c r="AE81" s="131" t="s">
        <v>43</v>
      </c>
      <c r="AF81" s="131"/>
      <c r="AG81" s="165" t="s">
        <v>44</v>
      </c>
      <c r="AH81" s="131"/>
      <c r="AI81" s="131" t="s">
        <v>45</v>
      </c>
      <c r="AJ81" s="131"/>
      <c r="AK81" s="165" t="s">
        <v>46</v>
      </c>
      <c r="AL81" s="131"/>
      <c r="AM81" s="131" t="s">
        <v>40</v>
      </c>
      <c r="AN81" s="131"/>
      <c r="AO81" s="131" t="s">
        <v>47</v>
      </c>
      <c r="AP81" s="131"/>
      <c r="AQ81" s="165" t="s">
        <v>48</v>
      </c>
      <c r="AS81" s="110"/>
      <c r="AT81" s="110"/>
      <c r="AU81" s="141"/>
    </row>
    <row r="82" spans="1:47" x14ac:dyDescent="0.3">
      <c r="F82" s="110"/>
      <c r="H82" s="192"/>
      <c r="I82" s="192"/>
      <c r="J82" s="217"/>
      <c r="K82" s="217"/>
      <c r="L82" s="192"/>
      <c r="M82" s="192"/>
      <c r="N82" s="192"/>
      <c r="O82" s="192"/>
      <c r="P82" s="192"/>
      <c r="Q82" s="192"/>
      <c r="R82" s="192"/>
      <c r="T82" s="100"/>
      <c r="U82" s="100"/>
      <c r="V82" s="100"/>
      <c r="W82" s="100"/>
      <c r="X82" s="100"/>
      <c r="Y82" s="100"/>
      <c r="Z82" s="100"/>
      <c r="AA82" s="100"/>
      <c r="AB82" s="100"/>
      <c r="AC82" s="100"/>
      <c r="AD82" s="100"/>
      <c r="AE82" s="100"/>
      <c r="AF82" s="100"/>
      <c r="AG82" s="150"/>
      <c r="AH82" s="100"/>
      <c r="AI82" s="100"/>
      <c r="AJ82" s="100"/>
      <c r="AK82" s="150"/>
      <c r="AL82" s="100"/>
      <c r="AM82" s="100"/>
      <c r="AN82" s="100"/>
      <c r="AO82" s="100"/>
      <c r="AP82" s="100"/>
      <c r="AQ82" s="150"/>
      <c r="AS82" s="110"/>
      <c r="AT82" s="110"/>
      <c r="AU82" s="141"/>
    </row>
    <row r="83" spans="1:47" ht="17.100000000000001" customHeight="1" x14ac:dyDescent="0.3">
      <c r="C83" s="99"/>
      <c r="F83" s="110"/>
      <c r="H83" s="110"/>
      <c r="I83" s="110"/>
      <c r="J83" s="198"/>
      <c r="K83" s="198"/>
      <c r="L83" s="110"/>
      <c r="M83" s="110"/>
      <c r="N83" s="141"/>
      <c r="O83" s="141"/>
      <c r="P83" s="110"/>
      <c r="Q83" s="110"/>
      <c r="R83" s="110"/>
      <c r="AA83" s="166" t="s">
        <v>49</v>
      </c>
      <c r="AB83" s="166"/>
      <c r="AC83" s="167" t="s">
        <v>312</v>
      </c>
      <c r="AD83" s="166"/>
      <c r="AE83" s="166" t="s">
        <v>50</v>
      </c>
      <c r="AF83" s="166"/>
      <c r="AG83" s="168" t="s">
        <v>51</v>
      </c>
      <c r="AH83" s="166"/>
      <c r="AI83" s="166" t="s">
        <v>50</v>
      </c>
      <c r="AJ83" s="166"/>
      <c r="AK83" s="168" t="s">
        <v>51</v>
      </c>
      <c r="AL83" s="166"/>
      <c r="AM83" s="166" t="s">
        <v>50</v>
      </c>
      <c r="AN83" s="166"/>
      <c r="AO83" s="166" t="s">
        <v>50</v>
      </c>
      <c r="AP83" s="166"/>
      <c r="AQ83" s="168" t="s">
        <v>51</v>
      </c>
      <c r="AS83" s="110"/>
      <c r="AT83" s="110"/>
      <c r="AU83" s="226"/>
    </row>
    <row r="84" spans="1:47" x14ac:dyDescent="0.3">
      <c r="T84" s="98">
        <v>1</v>
      </c>
      <c r="V84" s="124" t="s">
        <v>95</v>
      </c>
      <c r="W84" s="124" t="s">
        <v>388</v>
      </c>
      <c r="X84" s="99"/>
      <c r="Y84" s="1"/>
      <c r="Z84" s="1"/>
      <c r="AA84" s="106"/>
      <c r="AB84" s="106"/>
      <c r="AC84" s="136"/>
      <c r="AD84" s="136"/>
      <c r="AE84" s="106"/>
      <c r="AF84" s="106"/>
      <c r="AG84" s="154"/>
      <c r="AH84" s="175"/>
      <c r="AI84" s="1"/>
      <c r="AJ84" s="1"/>
      <c r="AK84" s="154"/>
      <c r="AL84" s="1"/>
      <c r="AM84" s="1"/>
      <c r="AN84" s="1"/>
      <c r="AO84" s="1"/>
      <c r="AP84" s="1"/>
      <c r="AQ84" s="154"/>
      <c r="AR84" s="172"/>
    </row>
    <row r="85" spans="1:47" x14ac:dyDescent="0.3">
      <c r="L85" s="99"/>
      <c r="M85" s="99"/>
      <c r="Y85" s="1"/>
      <c r="Z85" s="1"/>
      <c r="AA85" s="106"/>
      <c r="AB85" s="106"/>
      <c r="AC85" s="136"/>
      <c r="AD85" s="136"/>
      <c r="AE85" s="106"/>
      <c r="AF85" s="106"/>
      <c r="AG85" s="154"/>
      <c r="AH85" s="175"/>
      <c r="AI85" s="1"/>
      <c r="AJ85" s="1"/>
      <c r="AK85" s="154"/>
      <c r="AL85" s="1"/>
      <c r="AM85" s="1"/>
      <c r="AN85" s="1"/>
      <c r="AO85" s="1"/>
      <c r="AP85" s="1"/>
      <c r="AQ85" s="154"/>
      <c r="AR85" s="172"/>
    </row>
    <row r="86" spans="1:47" ht="15.9" customHeight="1" x14ac:dyDescent="0.3">
      <c r="R86" s="99"/>
      <c r="T86" s="98">
        <v>2</v>
      </c>
      <c r="V86" s="116" t="s">
        <v>412</v>
      </c>
      <c r="Y86" s="106">
        <f>F23</f>
        <v>0</v>
      </c>
      <c r="Z86" s="1"/>
      <c r="AA86" s="106"/>
      <c r="AB86" s="106"/>
      <c r="AC86" s="247"/>
      <c r="AD86" s="247"/>
      <c r="AE86" s="106">
        <f>L23</f>
        <v>0</v>
      </c>
      <c r="AF86" s="106"/>
      <c r="AG86" s="154">
        <f>ROUND((AE86/AE$101)*100,1)</f>
        <v>0</v>
      </c>
      <c r="AH86" s="175"/>
      <c r="AI86" s="106">
        <f>L23-AE86</f>
        <v>0</v>
      </c>
      <c r="AJ86" s="106"/>
      <c r="AK86" s="154">
        <v>0</v>
      </c>
      <c r="AL86" s="138"/>
      <c r="AM86" s="106"/>
      <c r="AN86" s="106"/>
      <c r="AO86" s="106">
        <f>AE86+AM86</f>
        <v>0</v>
      </c>
      <c r="AP86" s="106"/>
      <c r="AQ86" s="159" t="str">
        <f>IF(AO86=0,"0.0 ",ROUND((AI86/AO86)*100,1))</f>
        <v xml:space="preserve">0.0 </v>
      </c>
      <c r="AR86" s="172"/>
    </row>
    <row r="87" spans="1:47" x14ac:dyDescent="0.3">
      <c r="R87" s="99"/>
      <c r="Y87" s="106"/>
      <c r="Z87" s="1"/>
      <c r="AA87" s="1"/>
      <c r="AB87" s="1"/>
      <c r="AC87" s="182"/>
      <c r="AD87" s="182"/>
      <c r="AE87" s="1"/>
      <c r="AF87" s="1"/>
      <c r="AG87" s="154"/>
      <c r="AH87" s="1"/>
      <c r="AI87" s="1"/>
      <c r="AJ87" s="1"/>
      <c r="AK87" s="154"/>
      <c r="AL87" s="1"/>
      <c r="AM87" s="1"/>
      <c r="AN87" s="1"/>
      <c r="AO87" s="1"/>
      <c r="AP87" s="1"/>
      <c r="AQ87" s="154"/>
      <c r="AR87" s="110"/>
    </row>
    <row r="88" spans="1:47" x14ac:dyDescent="0.3">
      <c r="A88" s="99"/>
      <c r="R88" s="99"/>
      <c r="T88" s="98">
        <v>3</v>
      </c>
      <c r="V88" s="116" t="s">
        <v>62</v>
      </c>
      <c r="Y88" s="106">
        <f>F25</f>
        <v>165</v>
      </c>
      <c r="Z88" s="1"/>
      <c r="AA88" s="106"/>
      <c r="AB88" s="106"/>
      <c r="AC88" s="181">
        <f>INPUT!C96</f>
        <v>15</v>
      </c>
      <c r="AD88" s="180"/>
      <c r="AE88" s="106">
        <f>ROUND(Y88*AC88,0)</f>
        <v>2475</v>
      </c>
      <c r="AF88" s="106"/>
      <c r="AG88" s="154">
        <f>ROUND((AE88/AE$101)*100,1)</f>
        <v>4.8</v>
      </c>
      <c r="AH88" s="175"/>
      <c r="AI88" s="106">
        <f>L25-AE88</f>
        <v>0</v>
      </c>
      <c r="AJ88" s="106"/>
      <c r="AK88" s="154">
        <f>ROUND((AI88/AE88)*100,1)</f>
        <v>0</v>
      </c>
      <c r="AL88" s="138"/>
      <c r="AM88" s="106"/>
      <c r="AN88" s="106"/>
      <c r="AO88" s="106">
        <f>AE88+AM88</f>
        <v>2475</v>
      </c>
      <c r="AP88" s="106"/>
      <c r="AQ88" s="159">
        <f>IF(AO88=0,"0.0 ",ROUND((AI88/AO88)*100,1))</f>
        <v>0</v>
      </c>
      <c r="AR88" s="110"/>
    </row>
    <row r="89" spans="1:47" x14ac:dyDescent="0.3">
      <c r="L89" s="99"/>
      <c r="M89" s="99"/>
      <c r="Y89" s="106"/>
      <c r="Z89" s="1"/>
      <c r="AA89" s="1"/>
      <c r="AB89" s="1"/>
      <c r="AC89" s="220"/>
      <c r="AD89" s="182"/>
      <c r="AE89" s="1"/>
      <c r="AF89" s="1"/>
      <c r="AG89" s="154"/>
      <c r="AH89" s="1"/>
      <c r="AI89" s="1"/>
      <c r="AJ89" s="1"/>
      <c r="AK89" s="154"/>
      <c r="AL89" s="1"/>
      <c r="AM89" s="1"/>
      <c r="AN89" s="1"/>
      <c r="AO89" s="1"/>
      <c r="AP89" s="1"/>
      <c r="AQ89" s="154"/>
      <c r="AR89" s="110"/>
    </row>
    <row r="90" spans="1:47" x14ac:dyDescent="0.3">
      <c r="L90" s="99"/>
      <c r="M90" s="99"/>
      <c r="T90" s="98">
        <v>4</v>
      </c>
      <c r="V90" s="98" t="s">
        <v>371</v>
      </c>
      <c r="Y90" s="106"/>
      <c r="Z90" s="1"/>
      <c r="AA90" s="1"/>
      <c r="AB90" s="1"/>
      <c r="AC90" s="220"/>
      <c r="AD90" s="182"/>
      <c r="AE90" s="1"/>
      <c r="AF90" s="1"/>
      <c r="AG90" s="154"/>
      <c r="AH90" s="1"/>
      <c r="AI90" s="1"/>
      <c r="AJ90" s="1"/>
      <c r="AK90" s="154"/>
      <c r="AL90" s="1"/>
      <c r="AM90" s="1"/>
      <c r="AN90" s="1"/>
      <c r="AO90" s="1"/>
      <c r="AP90" s="1"/>
      <c r="AQ90" s="154"/>
      <c r="AR90" s="110"/>
    </row>
    <row r="91" spans="1:47" x14ac:dyDescent="0.3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T91" s="98">
        <v>5</v>
      </c>
      <c r="V91" s="116" t="s">
        <v>85</v>
      </c>
      <c r="Y91" s="117"/>
      <c r="Z91" s="1"/>
      <c r="AA91" s="117">
        <f>H28</f>
        <v>326050</v>
      </c>
      <c r="AB91" s="106"/>
      <c r="AC91" s="184">
        <f>INPUT!C98</f>
        <v>0.14451900000000001</v>
      </c>
      <c r="AD91" s="188"/>
      <c r="AE91" s="117">
        <f>ROUND((AA91*AC91),0)</f>
        <v>47120</v>
      </c>
      <c r="AF91" s="106"/>
      <c r="AG91" s="156">
        <f>ROUND((AE91/AE$101)*100,1)-0.1</f>
        <v>90.9</v>
      </c>
      <c r="AH91" s="175"/>
      <c r="AI91" s="117">
        <f>L28-AE91</f>
        <v>7541</v>
      </c>
      <c r="AJ91" s="106"/>
      <c r="AK91" s="156">
        <f>ROUND((AI91/AE91)*100,1)</f>
        <v>16</v>
      </c>
      <c r="AL91" s="138"/>
      <c r="AM91" s="177"/>
      <c r="AN91" s="106"/>
      <c r="AO91" s="117">
        <f>AE91+AM91</f>
        <v>47120</v>
      </c>
      <c r="AP91" s="106"/>
      <c r="AQ91" s="200">
        <f>IF(AO91=0,"0.0 ",ROUND((AI91/AO91)*100,1))</f>
        <v>16</v>
      </c>
    </row>
    <row r="92" spans="1:47" ht="20.100000000000001" customHeight="1" x14ac:dyDescent="0.3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T92" s="98">
        <v>6</v>
      </c>
      <c r="V92" s="169" t="s">
        <v>443</v>
      </c>
      <c r="Y92" s="112">
        <f>Y88</f>
        <v>165</v>
      </c>
      <c r="Z92" s="1"/>
      <c r="AA92" s="112">
        <f>AA91</f>
        <v>326050</v>
      </c>
      <c r="AB92" s="106"/>
      <c r="AC92" s="184"/>
      <c r="AD92" s="188"/>
      <c r="AE92" s="112">
        <f>SUM(AE86:AE91)</f>
        <v>49595</v>
      </c>
      <c r="AF92" s="106"/>
      <c r="AG92" s="158">
        <f>ROUND((AE92/AE$101)*100,1)</f>
        <v>95.7</v>
      </c>
      <c r="AH92" s="175"/>
      <c r="AI92" s="112">
        <f>SUM(AI86:AI91)</f>
        <v>7541</v>
      </c>
      <c r="AJ92" s="106"/>
      <c r="AK92" s="158">
        <f>ROUND((AI92/AE92)*100,1)</f>
        <v>15.2</v>
      </c>
      <c r="AL92" s="138"/>
      <c r="AM92" s="246"/>
      <c r="AN92" s="106"/>
      <c r="AO92" s="112">
        <f>SUM(AO86:AO91)</f>
        <v>49595</v>
      </c>
      <c r="AP92" s="106"/>
      <c r="AQ92" s="201">
        <f>IF(AO92=0,"0.0 ",ROUND((AI92/AO92)*100,1))</f>
        <v>15.2</v>
      </c>
    </row>
    <row r="93" spans="1:47" x14ac:dyDescent="0.3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V93" s="99"/>
      <c r="Y93" s="106"/>
      <c r="Z93" s="1"/>
      <c r="AA93" s="106"/>
      <c r="AB93" s="106"/>
      <c r="AC93" s="184"/>
      <c r="AD93" s="188"/>
      <c r="AE93" s="106"/>
      <c r="AF93" s="106"/>
      <c r="AG93" s="154"/>
      <c r="AH93" s="175"/>
      <c r="AI93" s="106"/>
      <c r="AJ93" s="106"/>
      <c r="AK93" s="154"/>
      <c r="AL93" s="138"/>
      <c r="AM93" s="147"/>
      <c r="AN93" s="106"/>
      <c r="AO93" s="106"/>
      <c r="AP93" s="106"/>
      <c r="AQ93" s="159"/>
    </row>
    <row r="94" spans="1:47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T94" s="98">
        <v>7</v>
      </c>
      <c r="V94" s="124" t="s">
        <v>428</v>
      </c>
      <c r="Y94" s="106"/>
      <c r="Z94" s="1"/>
      <c r="AA94" s="106"/>
      <c r="AB94" s="106"/>
      <c r="AC94" s="184"/>
      <c r="AD94" s="188"/>
      <c r="AE94" s="106"/>
      <c r="AF94" s="106"/>
      <c r="AG94" s="154"/>
      <c r="AH94" s="175"/>
      <c r="AI94" s="106"/>
      <c r="AJ94" s="106"/>
      <c r="AK94" s="154"/>
      <c r="AL94" s="138"/>
      <c r="AM94" s="147"/>
      <c r="AN94" s="106"/>
      <c r="AO94" s="106"/>
      <c r="AP94" s="106"/>
      <c r="AQ94" s="159"/>
    </row>
    <row r="95" spans="1:47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T95" s="98">
        <f>A32</f>
        <v>8</v>
      </c>
      <c r="V95" s="176" t="str">
        <f>C32</f>
        <v>DEMAND SIDE MANAGEMENT RIDER (DSMR)</v>
      </c>
      <c r="Y95" s="106"/>
      <c r="Z95" s="1"/>
      <c r="AA95" s="106"/>
      <c r="AB95" s="106"/>
      <c r="AC95" s="218">
        <f>DSM_DIST</f>
        <v>3.503E-3</v>
      </c>
      <c r="AD95" s="188"/>
      <c r="AE95" s="106">
        <f>ROUND(AA92*AC95,0)</f>
        <v>1142</v>
      </c>
      <c r="AF95" s="106"/>
      <c r="AG95" s="154">
        <f>ROUND((AE95/AE$101)*100,1)</f>
        <v>2.2000000000000002</v>
      </c>
      <c r="AH95" s="175"/>
      <c r="AI95" s="106">
        <f>L32-AE95</f>
        <v>0</v>
      </c>
      <c r="AJ95" s="106"/>
      <c r="AK95" s="154">
        <f>ROUND((AI95/AE95)*100,1)</f>
        <v>0</v>
      </c>
      <c r="AL95" s="138"/>
      <c r="AM95" s="147"/>
      <c r="AN95" s="106"/>
      <c r="AO95" s="106">
        <f>AE95+AM95</f>
        <v>1142</v>
      </c>
      <c r="AP95" s="106"/>
      <c r="AQ95" s="159">
        <f>IF(AO95=0,"0.0 ",ROUND((AI95/AO95)*100,1))</f>
        <v>0</v>
      </c>
    </row>
    <row r="96" spans="1:47" x14ac:dyDescent="0.3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T96" s="98">
        <f>A33</f>
        <v>9</v>
      </c>
      <c r="V96" s="176" t="str">
        <f>C33</f>
        <v>ENVIRONMENTAL SURCHARGE MECHANISM RIDER (ESM)</v>
      </c>
      <c r="Y96" s="106"/>
      <c r="Z96" s="1"/>
      <c r="AA96" s="106"/>
      <c r="AB96" s="106"/>
      <c r="AC96" s="223">
        <f>CUR_ESM_NonRes</f>
        <v>6.3863133253205971E-3</v>
      </c>
      <c r="AD96" s="188"/>
      <c r="AE96" s="106">
        <f>ROUND((AO92-(CUR_BASE_FUEL*AA92)+AO95+AO98)*AC96,0)</f>
        <v>259</v>
      </c>
      <c r="AF96" s="106"/>
      <c r="AG96" s="154">
        <f>ROUND((AE96/AE$101)*100,1)</f>
        <v>0.5</v>
      </c>
      <c r="AH96" s="175"/>
      <c r="AI96" s="106">
        <f>L33-AE96</f>
        <v>-1</v>
      </c>
      <c r="AJ96" s="106"/>
      <c r="AK96" s="159">
        <f>IF(AE96=0,0,ROUND((AI96/AE96)*100,1))</f>
        <v>-0.4</v>
      </c>
      <c r="AL96" s="138"/>
      <c r="AM96" s="147"/>
      <c r="AN96" s="106"/>
      <c r="AO96" s="106">
        <f>AE96+AM96</f>
        <v>259</v>
      </c>
      <c r="AP96" s="106"/>
      <c r="AQ96" s="159">
        <f>IF(AO96=0,"0.0 ",ROUND((AI96/AO96)*100,1))</f>
        <v>-0.4</v>
      </c>
    </row>
    <row r="97" spans="1:47" x14ac:dyDescent="0.3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T97" s="98">
        <f>A34</f>
        <v>10</v>
      </c>
      <c r="V97" s="176" t="str">
        <f>C34</f>
        <v>FUEL ADJUSTMENT CLAUSE (FAC)</v>
      </c>
      <c r="Y97" s="106"/>
      <c r="Z97" s="1"/>
      <c r="AA97" s="106"/>
      <c r="AB97" s="106"/>
      <c r="AC97" s="218">
        <f>CUR_FAC</f>
        <v>3.4872127999999998E-3</v>
      </c>
      <c r="AD97" s="188"/>
      <c r="AE97" s="106"/>
      <c r="AF97" s="106"/>
      <c r="AG97" s="154"/>
      <c r="AH97" s="175"/>
      <c r="AI97" s="106"/>
      <c r="AJ97" s="106"/>
      <c r="AK97" s="154"/>
      <c r="AL97" s="138"/>
      <c r="AM97" s="147">
        <f>ROUND(AA92*CUR_FAC,0)</f>
        <v>1137</v>
      </c>
      <c r="AN97" s="106"/>
      <c r="AO97" s="106">
        <f>AE97+AM97</f>
        <v>1137</v>
      </c>
      <c r="AP97" s="106"/>
      <c r="AQ97" s="159">
        <f>IF(AO97=0,0,ROUND(((R34-AO97)/AO97)*100,1))</f>
        <v>0</v>
      </c>
    </row>
    <row r="98" spans="1:47" x14ac:dyDescent="0.3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T98" s="98">
        <f>A35</f>
        <v>11</v>
      </c>
      <c r="V98" s="176" t="str">
        <f>C35</f>
        <v>PROFIT SHARING MECHANISM (PSM)</v>
      </c>
      <c r="Y98" s="106"/>
      <c r="Z98" s="1"/>
      <c r="AA98" s="106"/>
      <c r="AB98" s="106"/>
      <c r="AC98" s="218">
        <f>RS_PSM</f>
        <v>2.4750000000000002E-3</v>
      </c>
      <c r="AD98" s="188"/>
      <c r="AE98" s="117">
        <f>ROUND(AA92*AC98,0)</f>
        <v>807</v>
      </c>
      <c r="AF98" s="106"/>
      <c r="AG98" s="156">
        <f>ROUND((AE98/AE$101)*100,1)</f>
        <v>1.6</v>
      </c>
      <c r="AH98" s="175"/>
      <c r="AI98" s="106">
        <f>L35-AE98</f>
        <v>0</v>
      </c>
      <c r="AJ98" s="106"/>
      <c r="AK98" s="156">
        <f>ROUND((AI98/AE98)*100,1)</f>
        <v>0</v>
      </c>
      <c r="AL98" s="138"/>
      <c r="AM98" s="177"/>
      <c r="AN98" s="106"/>
      <c r="AO98" s="117">
        <f>AE98+AM98</f>
        <v>807</v>
      </c>
      <c r="AP98" s="106"/>
      <c r="AQ98" s="200">
        <f>IF(AO98=0,"0.0 ",ROUND((AI98/AO98)*100,1))</f>
        <v>0</v>
      </c>
    </row>
    <row r="99" spans="1:47" ht="20.100000000000001" customHeight="1" x14ac:dyDescent="0.3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T99" s="98">
        <f>A36</f>
        <v>12</v>
      </c>
      <c r="V99" s="124" t="s">
        <v>433</v>
      </c>
      <c r="Y99" s="117"/>
      <c r="Z99" s="1"/>
      <c r="AA99" s="117"/>
      <c r="AB99" s="106"/>
      <c r="AC99" s="186"/>
      <c r="AD99" s="188"/>
      <c r="AE99" s="112">
        <f>SUM(AE95:AE98)</f>
        <v>2208</v>
      </c>
      <c r="AF99" s="106"/>
      <c r="AG99" s="158">
        <f>ROUND((AE99/AE$101)*100,1)</f>
        <v>4.3</v>
      </c>
      <c r="AH99" s="175"/>
      <c r="AI99" s="112">
        <f>SUM(AI95:AI98)</f>
        <v>-1</v>
      </c>
      <c r="AJ99" s="106"/>
      <c r="AK99" s="158">
        <f>ROUND((AI99/AE99)*100,1)</f>
        <v>0</v>
      </c>
      <c r="AL99" s="138"/>
      <c r="AM99" s="112">
        <f>SUM(AM95:AM98)</f>
        <v>1137</v>
      </c>
      <c r="AN99" s="106"/>
      <c r="AO99" s="112">
        <f>SUM(AO95:AO98)</f>
        <v>3345</v>
      </c>
      <c r="AP99" s="106"/>
      <c r="AQ99" s="201">
        <f>IF(AO99=0,"0.0 ",ROUND((AI99/AO99)*100,1))</f>
        <v>0</v>
      </c>
    </row>
    <row r="100" spans="1:47" x14ac:dyDescent="0.3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V100" s="116"/>
      <c r="Y100" s="106"/>
      <c r="Z100" s="1"/>
      <c r="AA100" s="106"/>
      <c r="AB100" s="106"/>
      <c r="AC100" s="186"/>
      <c r="AD100" s="188"/>
      <c r="AE100" s="106"/>
      <c r="AF100" s="106"/>
      <c r="AG100" s="154"/>
      <c r="AH100" s="175"/>
      <c r="AI100" s="106"/>
      <c r="AJ100" s="106"/>
      <c r="AK100" s="154"/>
      <c r="AL100" s="138"/>
      <c r="AM100" s="147"/>
      <c r="AN100" s="106"/>
      <c r="AO100" s="106"/>
      <c r="AP100" s="106"/>
      <c r="AQ100" s="159"/>
    </row>
    <row r="101" spans="1:47" ht="20.100000000000001" customHeight="1" thickBot="1" x14ac:dyDescent="0.35">
      <c r="L101" s="102"/>
      <c r="M101" s="102"/>
      <c r="N101" s="102"/>
      <c r="O101" s="102"/>
      <c r="R101" s="102"/>
      <c r="T101" s="98">
        <f>A38</f>
        <v>13</v>
      </c>
      <c r="V101" s="124" t="s">
        <v>446</v>
      </c>
      <c r="X101" s="99"/>
      <c r="Y101" s="120">
        <f>F38</f>
        <v>165</v>
      </c>
      <c r="Z101" s="1"/>
      <c r="AA101" s="120">
        <f>H38</f>
        <v>326050</v>
      </c>
      <c r="AB101" s="106"/>
      <c r="AC101" s="136"/>
      <c r="AD101" s="136"/>
      <c r="AE101" s="120">
        <f>AE92+AE99</f>
        <v>51803</v>
      </c>
      <c r="AF101" s="106"/>
      <c r="AG101" s="162">
        <v>100</v>
      </c>
      <c r="AH101" s="175"/>
      <c r="AI101" s="120">
        <f>AI92+AI99</f>
        <v>7540</v>
      </c>
      <c r="AJ101" s="106"/>
      <c r="AK101" s="162">
        <f>ROUND((AI101/AE101)*100,1)</f>
        <v>14.6</v>
      </c>
      <c r="AL101" s="138"/>
      <c r="AM101" s="249">
        <f>AM99+AM92</f>
        <v>1137</v>
      </c>
      <c r="AN101" s="147"/>
      <c r="AO101" s="120">
        <f>AO99+AO92</f>
        <v>52940</v>
      </c>
      <c r="AP101" s="106"/>
      <c r="AQ101" s="206">
        <f>IF(AO101=0,"0.0 ",ROUND((AI101/AO101)*100,1))</f>
        <v>14.2</v>
      </c>
    </row>
    <row r="102" spans="1:47" ht="16.2" thickTop="1" x14ac:dyDescent="0.3">
      <c r="C102" s="99"/>
      <c r="F102" s="110"/>
      <c r="H102" s="110"/>
      <c r="I102" s="110"/>
      <c r="J102" s="198"/>
      <c r="K102" s="198"/>
      <c r="L102" s="110"/>
      <c r="M102" s="110"/>
      <c r="N102" s="141"/>
      <c r="O102" s="141"/>
      <c r="P102" s="110"/>
      <c r="Q102" s="110"/>
      <c r="R102" s="110"/>
      <c r="Y102" s="1"/>
      <c r="Z102" s="1"/>
      <c r="AA102" s="2"/>
      <c r="AB102" s="2"/>
      <c r="AC102" s="250"/>
      <c r="AD102" s="2"/>
      <c r="AE102" s="2"/>
      <c r="AF102" s="2"/>
      <c r="AG102" s="251"/>
      <c r="AH102" s="2"/>
      <c r="AI102" s="2"/>
      <c r="AJ102" s="2"/>
      <c r="AK102" s="251"/>
      <c r="AL102" s="2"/>
      <c r="AM102" s="2"/>
      <c r="AN102" s="2"/>
      <c r="AO102" s="2"/>
      <c r="AP102" s="2"/>
      <c r="AQ102" s="251"/>
      <c r="AS102" s="110"/>
      <c r="AT102" s="110"/>
      <c r="AU102" s="226"/>
    </row>
    <row r="103" spans="1:47" x14ac:dyDescent="0.3">
      <c r="C103" s="99"/>
      <c r="F103" s="110"/>
      <c r="H103" s="110"/>
      <c r="I103" s="110"/>
      <c r="J103" s="198"/>
      <c r="K103" s="198"/>
      <c r="L103" s="110"/>
      <c r="M103" s="110"/>
      <c r="N103" s="141"/>
      <c r="O103" s="141"/>
      <c r="P103" s="110"/>
      <c r="Q103" s="110"/>
      <c r="R103" s="110"/>
      <c r="Y103" s="252"/>
      <c r="Z103" s="252"/>
      <c r="AA103" s="252"/>
      <c r="AB103" s="2"/>
      <c r="AC103" s="2"/>
      <c r="AD103" s="2"/>
      <c r="AE103" s="2"/>
      <c r="AF103" s="2"/>
      <c r="AG103" s="251"/>
      <c r="AH103" s="2"/>
      <c r="AI103" s="2"/>
      <c r="AJ103" s="2"/>
      <c r="AK103" s="251"/>
      <c r="AL103" s="2"/>
      <c r="AM103" s="2"/>
      <c r="AN103" s="2"/>
      <c r="AO103" s="2"/>
      <c r="AP103" s="2"/>
      <c r="AQ103" s="251"/>
      <c r="AS103" s="110"/>
      <c r="AT103" s="110"/>
      <c r="AU103" s="226"/>
    </row>
    <row r="104" spans="1:47" x14ac:dyDescent="0.3">
      <c r="C104" s="99"/>
      <c r="F104" s="172"/>
      <c r="H104" s="172"/>
      <c r="I104" s="172"/>
      <c r="J104" s="222"/>
      <c r="K104" s="222"/>
      <c r="L104" s="110"/>
      <c r="M104" s="110"/>
      <c r="N104" s="141"/>
      <c r="O104" s="141"/>
      <c r="P104" s="172"/>
      <c r="Q104" s="172"/>
      <c r="R104" s="110"/>
      <c r="T104" s="98">
        <f>A41</f>
        <v>14</v>
      </c>
      <c r="V104" s="124" t="s">
        <v>356</v>
      </c>
      <c r="W104" s="124" t="s">
        <v>152</v>
      </c>
      <c r="X104" s="99"/>
      <c r="Y104" s="1"/>
      <c r="Z104" s="1"/>
      <c r="AA104" s="1"/>
      <c r="AB104" s="1"/>
      <c r="AC104" s="1"/>
      <c r="AD104" s="1"/>
      <c r="AE104" s="1"/>
      <c r="AF104" s="1"/>
      <c r="AG104" s="154"/>
      <c r="AH104" s="1"/>
      <c r="AI104" s="1"/>
      <c r="AJ104" s="1"/>
      <c r="AK104" s="154"/>
      <c r="AL104" s="1"/>
      <c r="AM104" s="1"/>
      <c r="AN104" s="1"/>
      <c r="AO104" s="1"/>
      <c r="AP104" s="1"/>
      <c r="AQ104" s="154"/>
      <c r="AS104" s="110"/>
      <c r="AT104" s="110"/>
      <c r="AU104" s="141"/>
    </row>
    <row r="105" spans="1:47" x14ac:dyDescent="0.3">
      <c r="C105" s="99"/>
      <c r="H105" s="172"/>
      <c r="I105" s="172"/>
      <c r="J105" s="222"/>
      <c r="K105" s="222"/>
      <c r="L105" s="110"/>
      <c r="M105" s="110"/>
      <c r="N105" s="141"/>
      <c r="O105" s="141"/>
      <c r="P105" s="172"/>
      <c r="Q105" s="172"/>
      <c r="R105" s="110"/>
      <c r="Y105" s="1"/>
      <c r="Z105" s="1"/>
      <c r="AA105" s="1"/>
      <c r="AB105" s="1"/>
      <c r="AC105" s="1"/>
      <c r="AD105" s="1"/>
      <c r="AE105" s="1"/>
      <c r="AF105" s="1"/>
      <c r="AG105" s="154"/>
      <c r="AH105" s="1"/>
      <c r="AI105" s="1"/>
      <c r="AJ105" s="1"/>
      <c r="AK105" s="154"/>
      <c r="AL105" s="1"/>
      <c r="AM105" s="1"/>
      <c r="AN105" s="1"/>
      <c r="AO105" s="1"/>
      <c r="AP105" s="1"/>
      <c r="AQ105" s="154"/>
      <c r="AS105" s="110"/>
      <c r="AT105" s="110"/>
      <c r="AU105" s="141"/>
    </row>
    <row r="106" spans="1:47" x14ac:dyDescent="0.3">
      <c r="C106" s="99"/>
      <c r="F106" s="110"/>
      <c r="H106" s="110"/>
      <c r="I106" s="110"/>
      <c r="J106" s="198"/>
      <c r="K106" s="198"/>
      <c r="L106" s="110"/>
      <c r="M106" s="110"/>
      <c r="N106" s="141"/>
      <c r="O106" s="141"/>
      <c r="P106" s="110"/>
      <c r="Q106" s="110"/>
      <c r="R106" s="110"/>
      <c r="T106" s="98">
        <f>A43</f>
        <v>15</v>
      </c>
      <c r="V106" s="116" t="s">
        <v>198</v>
      </c>
      <c r="Y106" s="106">
        <f>F43</f>
        <v>282</v>
      </c>
      <c r="Z106" s="1"/>
      <c r="AA106" s="106"/>
      <c r="AB106" s="1"/>
      <c r="AC106" s="181">
        <f>INPUT!C104</f>
        <v>3.79</v>
      </c>
      <c r="AD106" s="180"/>
      <c r="AE106" s="106">
        <f>ROUND(Y106*AC106,0)</f>
        <v>1069</v>
      </c>
      <c r="AF106" s="106"/>
      <c r="AG106" s="154">
        <f>ROUND((AE106/AE$120)*100,1)</f>
        <v>0.1</v>
      </c>
      <c r="AH106" s="1"/>
      <c r="AI106" s="106">
        <f>L43-AE106</f>
        <v>163</v>
      </c>
      <c r="AJ106" s="106"/>
      <c r="AK106" s="159">
        <f>IF(AE106=0,"0.0 ",ROUND((AI106/AE106)*100,1))</f>
        <v>15.2</v>
      </c>
      <c r="AL106" s="221"/>
      <c r="AM106" s="147"/>
      <c r="AN106" s="106"/>
      <c r="AO106" s="106">
        <f>AE106+AM106</f>
        <v>1069</v>
      </c>
      <c r="AP106" s="106"/>
      <c r="AQ106" s="159">
        <f>IF(AO106=0,"0.0 ",ROUND((AI106/AO106)*100,1))</f>
        <v>15.2</v>
      </c>
      <c r="AS106" s="110"/>
      <c r="AT106" s="110"/>
      <c r="AU106" s="141"/>
    </row>
    <row r="107" spans="1:47" x14ac:dyDescent="0.3">
      <c r="F107" s="192"/>
      <c r="H107" s="192"/>
      <c r="I107" s="192"/>
      <c r="J107" s="217"/>
      <c r="K107" s="217"/>
      <c r="L107" s="192"/>
      <c r="M107" s="192"/>
      <c r="N107" s="192"/>
      <c r="O107" s="192"/>
      <c r="P107" s="192"/>
      <c r="Q107" s="192"/>
      <c r="R107" s="192"/>
      <c r="Y107" s="106"/>
      <c r="Z107" s="1"/>
      <c r="AA107" s="1"/>
      <c r="AB107" s="1"/>
      <c r="AC107" s="220"/>
      <c r="AD107" s="182"/>
      <c r="AE107" s="1"/>
      <c r="AF107" s="1"/>
      <c r="AG107" s="154"/>
      <c r="AH107" s="1"/>
      <c r="AI107" s="1"/>
      <c r="AJ107" s="1"/>
      <c r="AK107" s="154"/>
      <c r="AL107" s="1"/>
      <c r="AM107" s="1"/>
      <c r="AN107" s="1"/>
      <c r="AO107" s="1"/>
      <c r="AP107" s="1"/>
      <c r="AQ107" s="154"/>
      <c r="AS107" s="110"/>
      <c r="AT107" s="110"/>
      <c r="AU107" s="141"/>
    </row>
    <row r="108" spans="1:47" x14ac:dyDescent="0.3">
      <c r="F108" s="192"/>
      <c r="H108" s="192"/>
      <c r="I108" s="192"/>
      <c r="J108" s="217"/>
      <c r="K108" s="217"/>
      <c r="L108" s="192"/>
      <c r="M108" s="192"/>
      <c r="N108" s="192"/>
      <c r="O108" s="192"/>
      <c r="P108" s="192"/>
      <c r="Q108" s="192"/>
      <c r="R108" s="192"/>
      <c r="T108" s="98">
        <f>A45</f>
        <v>16</v>
      </c>
      <c r="V108" s="98" t="s">
        <v>372</v>
      </c>
      <c r="Y108" s="106"/>
      <c r="Z108" s="1"/>
      <c r="AA108" s="1"/>
      <c r="AB108" s="1"/>
      <c r="AC108" s="220"/>
      <c r="AD108" s="182"/>
      <c r="AE108" s="1"/>
      <c r="AF108" s="1"/>
      <c r="AG108" s="154"/>
      <c r="AH108" s="1"/>
      <c r="AI108" s="1"/>
      <c r="AJ108" s="1"/>
      <c r="AK108" s="154"/>
      <c r="AL108" s="1"/>
      <c r="AM108" s="1"/>
      <c r="AN108" s="1"/>
      <c r="AO108" s="1"/>
      <c r="AP108" s="1"/>
      <c r="AQ108" s="154"/>
      <c r="AS108" s="110"/>
      <c r="AT108" s="110"/>
      <c r="AU108" s="141"/>
    </row>
    <row r="109" spans="1:47" x14ac:dyDescent="0.3">
      <c r="F109" s="192"/>
      <c r="H109" s="192"/>
      <c r="I109" s="192"/>
      <c r="J109" s="217"/>
      <c r="K109" s="217"/>
      <c r="L109" s="192"/>
      <c r="M109" s="192"/>
      <c r="N109" s="192"/>
      <c r="O109" s="192"/>
      <c r="P109" s="192"/>
      <c r="Q109" s="192"/>
      <c r="R109" s="192"/>
      <c r="T109" s="98">
        <f>A46</f>
        <v>17</v>
      </c>
      <c r="V109" s="116" t="s">
        <v>199</v>
      </c>
      <c r="Y109" s="106"/>
      <c r="Z109" s="1"/>
      <c r="AA109" s="106">
        <f>H46</f>
        <v>12165</v>
      </c>
      <c r="AB109" s="1"/>
      <c r="AC109" s="184">
        <f>INPUT!C106</f>
        <v>0.115594</v>
      </c>
      <c r="AD109" s="182"/>
      <c r="AE109" s="106">
        <f>ROUND((AA109*AC109),0)</f>
        <v>1406</v>
      </c>
      <c r="AF109" s="1"/>
      <c r="AG109" s="154">
        <f>ROUND((AE109/AE$120)*100,1)</f>
        <v>0.2</v>
      </c>
      <c r="AH109" s="1"/>
      <c r="AI109" s="106">
        <f>L46-AE109</f>
        <v>212</v>
      </c>
      <c r="AJ109" s="1"/>
      <c r="AK109" s="159">
        <f>IF(AE109=0,"0.0 ",ROUND((AI109/AE109)*100,1))</f>
        <v>15.1</v>
      </c>
      <c r="AL109" s="1"/>
      <c r="AM109" s="147"/>
      <c r="AN109" s="1"/>
      <c r="AO109" s="106">
        <f>AE109+AM109</f>
        <v>1406</v>
      </c>
      <c r="AP109" s="1"/>
      <c r="AQ109" s="159">
        <f>IF(AO109=0,"0.0 ",ROUND((AI109/AO109)*100,1))</f>
        <v>15.1</v>
      </c>
      <c r="AS109" s="110"/>
      <c r="AT109" s="110"/>
      <c r="AU109" s="141"/>
    </row>
    <row r="110" spans="1:47" x14ac:dyDescent="0.3">
      <c r="C110" s="99"/>
      <c r="F110" s="110"/>
      <c r="H110" s="110"/>
      <c r="I110" s="110"/>
      <c r="J110" s="198"/>
      <c r="K110" s="198"/>
      <c r="L110" s="110"/>
      <c r="M110" s="110"/>
      <c r="N110" s="141"/>
      <c r="O110" s="141"/>
      <c r="P110" s="110"/>
      <c r="Q110" s="110"/>
      <c r="R110" s="110"/>
      <c r="T110" s="98">
        <f>A47</f>
        <v>18</v>
      </c>
      <c r="V110" s="116" t="s">
        <v>200</v>
      </c>
      <c r="Y110" s="117"/>
      <c r="Z110" s="1"/>
      <c r="AA110" s="117">
        <f>H47</f>
        <v>6176690.3929999992</v>
      </c>
      <c r="AB110" s="106"/>
      <c r="AC110" s="184">
        <f>INPUT!C107</f>
        <v>0.13156599999999999</v>
      </c>
      <c r="AD110" s="188"/>
      <c r="AE110" s="117">
        <f>ROUND((AA110*AC110),0)</f>
        <v>812642</v>
      </c>
      <c r="AF110" s="106"/>
      <c r="AG110" s="156">
        <f>ROUND((AE110/AE$120)*100,1)</f>
        <v>94.9</v>
      </c>
      <c r="AH110" s="175"/>
      <c r="AI110" s="117">
        <f>L47-AE110</f>
        <v>123967</v>
      </c>
      <c r="AJ110" s="106"/>
      <c r="AK110" s="200">
        <f>IF(AE110=0,"0.0 ",ROUND((AI110/AE110)*100,1))</f>
        <v>15.3</v>
      </c>
      <c r="AL110" s="138"/>
      <c r="AM110" s="177"/>
      <c r="AN110" s="147"/>
      <c r="AO110" s="117">
        <f>AE110+AM110</f>
        <v>812642</v>
      </c>
      <c r="AP110" s="106"/>
      <c r="AQ110" s="200">
        <f>IF(AO110=0,"0.0 ",ROUND((AI110/AO110)*100,1))</f>
        <v>15.3</v>
      </c>
      <c r="AS110" s="110"/>
      <c r="AT110" s="110"/>
      <c r="AU110" s="141"/>
    </row>
    <row r="111" spans="1:47" ht="20.100000000000001" customHeight="1" x14ac:dyDescent="0.3">
      <c r="C111" s="99"/>
      <c r="F111" s="110"/>
      <c r="H111" s="110"/>
      <c r="I111" s="110"/>
      <c r="J111" s="198"/>
      <c r="K111" s="198"/>
      <c r="L111" s="110"/>
      <c r="M111" s="110"/>
      <c r="N111" s="141"/>
      <c r="O111" s="141"/>
      <c r="P111" s="110"/>
      <c r="Q111" s="110"/>
      <c r="R111" s="110"/>
      <c r="T111" s="98">
        <f>A48</f>
        <v>19</v>
      </c>
      <c r="V111" s="169" t="s">
        <v>444</v>
      </c>
      <c r="Y111" s="112">
        <f>SUM(Y106:Y110)</f>
        <v>282</v>
      </c>
      <c r="Z111" s="1"/>
      <c r="AA111" s="112">
        <f>SUM(AA106:AA110)</f>
        <v>6188855.3929999992</v>
      </c>
      <c r="AB111" s="106"/>
      <c r="AC111" s="184"/>
      <c r="AD111" s="188"/>
      <c r="AE111" s="112">
        <f>SUM(AE106:AE110)</f>
        <v>815117</v>
      </c>
      <c r="AF111" s="106"/>
      <c r="AG111" s="158">
        <f>ROUND((AE111/AE$120)*100,1)</f>
        <v>95.2</v>
      </c>
      <c r="AH111" s="175"/>
      <c r="AI111" s="112">
        <f>SUM(AI106:AI110)</f>
        <v>124342</v>
      </c>
      <c r="AJ111" s="106"/>
      <c r="AK111" s="201">
        <f>IF(AE111=0,"0.0 ",ROUND((AI111/AE111)*100,1))</f>
        <v>15.3</v>
      </c>
      <c r="AL111" s="138"/>
      <c r="AM111" s="246"/>
      <c r="AN111" s="147"/>
      <c r="AO111" s="112">
        <f>SUM(AO106:AO110)</f>
        <v>815117</v>
      </c>
      <c r="AP111" s="106"/>
      <c r="AQ111" s="201">
        <f>IF(AO111=0,"0.0 ",ROUND((AI111/AO111)*100,1))</f>
        <v>15.3</v>
      </c>
      <c r="AS111" s="110"/>
      <c r="AT111" s="110"/>
      <c r="AU111" s="141"/>
    </row>
    <row r="112" spans="1:47" x14ac:dyDescent="0.3">
      <c r="C112" s="99"/>
      <c r="F112" s="110"/>
      <c r="H112" s="110"/>
      <c r="I112" s="110"/>
      <c r="J112" s="198"/>
      <c r="K112" s="198"/>
      <c r="L112" s="110"/>
      <c r="M112" s="110"/>
      <c r="N112" s="141"/>
      <c r="O112" s="141"/>
      <c r="P112" s="110"/>
      <c r="Q112" s="110"/>
      <c r="R112" s="110"/>
      <c r="V112" s="99"/>
      <c r="Y112" s="106"/>
      <c r="Z112" s="1"/>
      <c r="AA112" s="106"/>
      <c r="AB112" s="106"/>
      <c r="AC112" s="184"/>
      <c r="AD112" s="188"/>
      <c r="AE112" s="106"/>
      <c r="AF112" s="106"/>
      <c r="AG112" s="154"/>
      <c r="AH112" s="175"/>
      <c r="AI112" s="106"/>
      <c r="AJ112" s="106"/>
      <c r="AK112" s="159"/>
      <c r="AL112" s="138"/>
      <c r="AM112" s="147"/>
      <c r="AN112" s="147"/>
      <c r="AO112" s="106"/>
      <c r="AP112" s="106"/>
      <c r="AQ112" s="159"/>
      <c r="AS112" s="110"/>
      <c r="AT112" s="110"/>
      <c r="AU112" s="141"/>
    </row>
    <row r="113" spans="1:47" x14ac:dyDescent="0.3">
      <c r="C113" s="99"/>
      <c r="F113" s="110"/>
      <c r="H113" s="110"/>
      <c r="I113" s="110"/>
      <c r="J113" s="198"/>
      <c r="K113" s="198"/>
      <c r="L113" s="110"/>
      <c r="M113" s="110"/>
      <c r="N113" s="141"/>
      <c r="O113" s="141"/>
      <c r="P113" s="110"/>
      <c r="Q113" s="110"/>
      <c r="R113" s="110"/>
      <c r="T113" s="98">
        <f t="shared" ref="T113:T118" si="0">A50</f>
        <v>20</v>
      </c>
      <c r="V113" s="124" t="s">
        <v>428</v>
      </c>
      <c r="Y113" s="106"/>
      <c r="Z113" s="1"/>
      <c r="AA113" s="106"/>
      <c r="AB113" s="106"/>
      <c r="AC113" s="184"/>
      <c r="AD113" s="188"/>
      <c r="AE113" s="106"/>
      <c r="AF113" s="106"/>
      <c r="AG113" s="154"/>
      <c r="AH113" s="175"/>
      <c r="AI113" s="106"/>
      <c r="AJ113" s="106"/>
      <c r="AK113" s="159"/>
      <c r="AL113" s="138"/>
      <c r="AM113" s="147"/>
      <c r="AN113" s="147"/>
      <c r="AO113" s="106"/>
      <c r="AP113" s="106"/>
      <c r="AQ113" s="159"/>
      <c r="AS113" s="110"/>
      <c r="AT113" s="110"/>
      <c r="AU113" s="141"/>
    </row>
    <row r="114" spans="1:47" x14ac:dyDescent="0.3">
      <c r="C114" s="99"/>
      <c r="F114" s="110"/>
      <c r="H114" s="110"/>
      <c r="I114" s="110"/>
      <c r="J114" s="198"/>
      <c r="K114" s="198"/>
      <c r="L114" s="110"/>
      <c r="M114" s="110"/>
      <c r="N114" s="141"/>
      <c r="O114" s="141"/>
      <c r="P114" s="110"/>
      <c r="Q114" s="110"/>
      <c r="R114" s="110"/>
      <c r="T114" s="98">
        <f t="shared" si="0"/>
        <v>21</v>
      </c>
      <c r="V114" s="176" t="str">
        <f>C51</f>
        <v>DEMAND SIDE MANAGEMENT RIDER (DSMR)</v>
      </c>
      <c r="Y114" s="106"/>
      <c r="Z114" s="1"/>
      <c r="AA114" s="106"/>
      <c r="AB114" s="106"/>
      <c r="AC114" s="218">
        <f>DSM_DIST</f>
        <v>3.503E-3</v>
      </c>
      <c r="AD114" s="188"/>
      <c r="AE114" s="106">
        <f>ROUND($AA$111*AC114,0)</f>
        <v>21680</v>
      </c>
      <c r="AF114" s="106"/>
      <c r="AG114" s="154">
        <f>ROUND((AE114/AE$120)*100,1)</f>
        <v>2.5</v>
      </c>
      <c r="AH114" s="175"/>
      <c r="AI114" s="106">
        <f>L51-AE114</f>
        <v>0</v>
      </c>
      <c r="AJ114" s="106"/>
      <c r="AK114" s="159">
        <f>IF(AE114=0,"0.0 ",ROUND((AI114/AE114)*100,1))</f>
        <v>0</v>
      </c>
      <c r="AL114" s="138"/>
      <c r="AM114" s="147"/>
      <c r="AN114" s="147"/>
      <c r="AO114" s="106">
        <f>AE114+AM114</f>
        <v>21680</v>
      </c>
      <c r="AP114" s="106"/>
      <c r="AQ114" s="159">
        <f>IF(AO114=0,"0.0 ",ROUND((AI114/AO114)*100,1))</f>
        <v>0</v>
      </c>
      <c r="AS114" s="110"/>
      <c r="AT114" s="110"/>
      <c r="AU114" s="141"/>
    </row>
    <row r="115" spans="1:47" x14ac:dyDescent="0.3">
      <c r="C115" s="99"/>
      <c r="F115" s="110"/>
      <c r="H115" s="110"/>
      <c r="I115" s="110"/>
      <c r="J115" s="198"/>
      <c r="K115" s="198"/>
      <c r="L115" s="110"/>
      <c r="M115" s="110"/>
      <c r="N115" s="141"/>
      <c r="O115" s="141"/>
      <c r="P115" s="110"/>
      <c r="Q115" s="110"/>
      <c r="R115" s="110"/>
      <c r="T115" s="98">
        <f t="shared" si="0"/>
        <v>22</v>
      </c>
      <c r="V115" s="176" t="str">
        <f>C52</f>
        <v>ENVIRONMENTAL SURCHARGE MECHANISM RIDER (ESM)</v>
      </c>
      <c r="Y115" s="106"/>
      <c r="Z115" s="1"/>
      <c r="AA115" s="106"/>
      <c r="AB115" s="106"/>
      <c r="AC115" s="223">
        <f>CUR_ESM_NonRes</f>
        <v>6.3863133253205971E-3</v>
      </c>
      <c r="AD115" s="188"/>
      <c r="AE115" s="106">
        <f>ROUND((AO111-(CUR_BASE_FUEL*AA111)+AO114+AO117)*AC115,0)</f>
        <v>4107</v>
      </c>
      <c r="AF115" s="106"/>
      <c r="AG115" s="154">
        <f>ROUND((AE115/AE$120)*100,1)</f>
        <v>0.5</v>
      </c>
      <c r="AH115" s="175"/>
      <c r="AI115" s="106">
        <f>L52-AE115</f>
        <v>13</v>
      </c>
      <c r="AJ115" s="106"/>
      <c r="AK115" s="159">
        <f>IF(AE115=0,"0.0 ",ROUND((AI115/AE115)*100,1))</f>
        <v>0.3</v>
      </c>
      <c r="AL115" s="138"/>
      <c r="AM115" s="147"/>
      <c r="AN115" s="147"/>
      <c r="AO115" s="106">
        <f>AE115+AM115</f>
        <v>4107</v>
      </c>
      <c r="AP115" s="106"/>
      <c r="AQ115" s="159">
        <f>IF(AO115=0,"0.0 ",ROUND((AI115/AO115)*100,1))</f>
        <v>0.3</v>
      </c>
      <c r="AS115" s="110"/>
      <c r="AT115" s="110"/>
      <c r="AU115" s="141"/>
    </row>
    <row r="116" spans="1:47" x14ac:dyDescent="0.3">
      <c r="C116" s="99"/>
      <c r="F116" s="110"/>
      <c r="H116" s="110"/>
      <c r="I116" s="110"/>
      <c r="J116" s="198"/>
      <c r="K116" s="198"/>
      <c r="L116" s="110"/>
      <c r="M116" s="110"/>
      <c r="N116" s="141"/>
      <c r="O116" s="141"/>
      <c r="P116" s="110"/>
      <c r="Q116" s="110"/>
      <c r="R116" s="110"/>
      <c r="T116" s="98">
        <f t="shared" si="0"/>
        <v>23</v>
      </c>
      <c r="V116" s="176" t="str">
        <f>C53</f>
        <v>FUEL ADJUSTMENT CLAUSE (FAC)</v>
      </c>
      <c r="Y116" s="106"/>
      <c r="Z116" s="1"/>
      <c r="AA116" s="106"/>
      <c r="AB116" s="106"/>
      <c r="AC116" s="218">
        <f>CUR_FAC</f>
        <v>3.4872127999999998E-3</v>
      </c>
      <c r="AD116" s="188"/>
      <c r="AE116" s="106"/>
      <c r="AF116" s="106"/>
      <c r="AG116" s="154"/>
      <c r="AH116" s="175"/>
      <c r="AI116" s="106"/>
      <c r="AJ116" s="106"/>
      <c r="AK116" s="159"/>
      <c r="AL116" s="138"/>
      <c r="AM116" s="147">
        <f>ROUND(AA111*CUR_FAC,0)</f>
        <v>21582</v>
      </c>
      <c r="AN116" s="147"/>
      <c r="AO116" s="106">
        <f>AE116+AM116</f>
        <v>21582</v>
      </c>
      <c r="AP116" s="106"/>
      <c r="AQ116" s="159">
        <f>IF(AO116=0,0,ROUND(((R53-AO116)/AO116)*100,1))</f>
        <v>0</v>
      </c>
      <c r="AS116" s="110"/>
      <c r="AT116" s="110"/>
      <c r="AU116" s="141"/>
    </row>
    <row r="117" spans="1:47" x14ac:dyDescent="0.3">
      <c r="C117" s="99"/>
      <c r="F117" s="110"/>
      <c r="H117" s="110"/>
      <c r="I117" s="110"/>
      <c r="J117" s="198"/>
      <c r="K117" s="198"/>
      <c r="L117" s="110"/>
      <c r="M117" s="110"/>
      <c r="N117" s="141"/>
      <c r="O117" s="141"/>
      <c r="P117" s="110"/>
      <c r="Q117" s="110"/>
      <c r="R117" s="110"/>
      <c r="T117" s="98">
        <f t="shared" si="0"/>
        <v>24</v>
      </c>
      <c r="V117" s="176" t="str">
        <f>C54</f>
        <v>PROFIT SHARING MECHANISM (PSM)</v>
      </c>
      <c r="Y117" s="106"/>
      <c r="Z117" s="1"/>
      <c r="AA117" s="106"/>
      <c r="AB117" s="106"/>
      <c r="AC117" s="218">
        <f>RS_PSM</f>
        <v>2.4750000000000002E-3</v>
      </c>
      <c r="AD117" s="188"/>
      <c r="AE117" s="117">
        <f>ROUND(AA111*RS_PSM,0)</f>
        <v>15317</v>
      </c>
      <c r="AF117" s="106"/>
      <c r="AG117" s="156">
        <f>ROUND((AE117/AE$120)*100,1)</f>
        <v>1.8</v>
      </c>
      <c r="AH117" s="175"/>
      <c r="AI117" s="117">
        <f>L54-AE117</f>
        <v>0</v>
      </c>
      <c r="AJ117" s="106"/>
      <c r="AK117" s="200">
        <f>IF(AE117=0,"0.0 ",ROUND((AI117/AE117)*100,1))</f>
        <v>0</v>
      </c>
      <c r="AL117" s="138"/>
      <c r="AM117" s="177"/>
      <c r="AN117" s="147"/>
      <c r="AO117" s="117">
        <f>AE117+AM117</f>
        <v>15317</v>
      </c>
      <c r="AP117" s="106"/>
      <c r="AQ117" s="200">
        <f>IF(AO117=0,"0.0 ",ROUND((AI117/AO117)*100,1))</f>
        <v>0</v>
      </c>
      <c r="AS117" s="110"/>
      <c r="AT117" s="110"/>
      <c r="AU117" s="141"/>
    </row>
    <row r="118" spans="1:47" x14ac:dyDescent="0.3">
      <c r="C118" s="99"/>
      <c r="F118" s="110"/>
      <c r="H118" s="110"/>
      <c r="I118" s="110"/>
      <c r="J118" s="198"/>
      <c r="K118" s="198"/>
      <c r="L118" s="110"/>
      <c r="M118" s="110"/>
      <c r="N118" s="141"/>
      <c r="O118" s="141"/>
      <c r="P118" s="110"/>
      <c r="Q118" s="110"/>
      <c r="R118" s="110"/>
      <c r="T118" s="98">
        <f t="shared" si="0"/>
        <v>25</v>
      </c>
      <c r="V118" s="124" t="s">
        <v>433</v>
      </c>
      <c r="Y118" s="117"/>
      <c r="Z118" s="1"/>
      <c r="AA118" s="117"/>
      <c r="AB118" s="106"/>
      <c r="AC118" s="186"/>
      <c r="AD118" s="188"/>
      <c r="AE118" s="112">
        <f>SUM(AE114:AE117)</f>
        <v>41104</v>
      </c>
      <c r="AF118" s="106"/>
      <c r="AG118" s="158">
        <f>ROUND((AE118/AE$120)*100,1)</f>
        <v>4.8</v>
      </c>
      <c r="AH118" s="175"/>
      <c r="AI118" s="112">
        <f>SUM(AI114:AI117)</f>
        <v>13</v>
      </c>
      <c r="AJ118" s="106"/>
      <c r="AK118" s="201">
        <f>IF(AE118=0,"0.0 ",ROUND((AI118/AE118)*100,1))</f>
        <v>0</v>
      </c>
      <c r="AL118" s="138"/>
      <c r="AM118" s="246">
        <f>SUM(AM114:AM117)</f>
        <v>21582</v>
      </c>
      <c r="AN118" s="147"/>
      <c r="AO118" s="112">
        <f>SUM(AO114:AO117)</f>
        <v>62686</v>
      </c>
      <c r="AP118" s="106"/>
      <c r="AQ118" s="201">
        <f>IF(AO118=0,"0.0 ",ROUND((AI118/AO118)*100,1))</f>
        <v>0</v>
      </c>
      <c r="AS118" s="110"/>
      <c r="AT118" s="110"/>
      <c r="AU118" s="141"/>
    </row>
    <row r="119" spans="1:47" x14ac:dyDescent="0.3">
      <c r="C119" s="99"/>
      <c r="F119" s="110"/>
      <c r="H119" s="110"/>
      <c r="I119" s="110"/>
      <c r="J119" s="198"/>
      <c r="K119" s="198"/>
      <c r="L119" s="110"/>
      <c r="M119" s="110"/>
      <c r="N119" s="141"/>
      <c r="O119" s="141"/>
      <c r="P119" s="110"/>
      <c r="Q119" s="110"/>
      <c r="R119" s="110"/>
      <c r="V119" s="116"/>
      <c r="Y119" s="106"/>
      <c r="Z119" s="1"/>
      <c r="AA119" s="106"/>
      <c r="AB119" s="106"/>
      <c r="AC119" s="186"/>
      <c r="AD119" s="188"/>
      <c r="AE119" s="106"/>
      <c r="AF119" s="106"/>
      <c r="AG119" s="154"/>
      <c r="AH119" s="175"/>
      <c r="AI119" s="106"/>
      <c r="AJ119" s="106"/>
      <c r="AK119" s="159"/>
      <c r="AL119" s="138"/>
      <c r="AM119" s="147"/>
      <c r="AN119" s="147"/>
      <c r="AO119" s="106"/>
      <c r="AP119" s="106"/>
      <c r="AQ119" s="159"/>
      <c r="AS119" s="110"/>
      <c r="AT119" s="110"/>
      <c r="AU119" s="141"/>
    </row>
    <row r="120" spans="1:47" ht="24.75" customHeight="1" thickBot="1" x14ac:dyDescent="0.35">
      <c r="A120" s="99"/>
      <c r="F120" s="110"/>
      <c r="H120" s="110"/>
      <c r="I120" s="110"/>
      <c r="J120" s="198"/>
      <c r="K120" s="198"/>
      <c r="L120" s="110"/>
      <c r="M120" s="110"/>
      <c r="N120" s="110"/>
      <c r="O120" s="110"/>
      <c r="P120" s="110"/>
      <c r="Q120" s="110"/>
      <c r="R120" s="110"/>
      <c r="T120" s="98">
        <f>A57</f>
        <v>26</v>
      </c>
      <c r="V120" s="124" t="s">
        <v>445</v>
      </c>
      <c r="X120" s="99"/>
      <c r="Y120" s="120">
        <f>F57</f>
        <v>282</v>
      </c>
      <c r="Z120" s="1"/>
      <c r="AA120" s="120">
        <f>H57</f>
        <v>6188855.3929999992</v>
      </c>
      <c r="AB120" s="106"/>
      <c r="AC120" s="136"/>
      <c r="AD120" s="136"/>
      <c r="AE120" s="120">
        <f>AE111+AE118</f>
        <v>856221</v>
      </c>
      <c r="AF120" s="106"/>
      <c r="AG120" s="162">
        <v>100</v>
      </c>
      <c r="AH120" s="175"/>
      <c r="AI120" s="120">
        <f>AI111+AI118</f>
        <v>124355</v>
      </c>
      <c r="AJ120" s="106"/>
      <c r="AK120" s="206">
        <f>IF(AE120=0,"0.0 ",ROUND((AI120/AE120)*100,1))</f>
        <v>14.5</v>
      </c>
      <c r="AL120" s="138"/>
      <c r="AM120" s="120">
        <f>AM111+AM118</f>
        <v>21582</v>
      </c>
      <c r="AN120" s="106"/>
      <c r="AO120" s="120">
        <f>AO111+AO118</f>
        <v>877803</v>
      </c>
      <c r="AP120" s="106"/>
      <c r="AQ120" s="206">
        <f>IF(AO120=0,"0.0 ",ROUND((AI120/AO120)*100,1))</f>
        <v>14.2</v>
      </c>
      <c r="AR120" s="110"/>
      <c r="AS120" s="110"/>
      <c r="AT120" s="110"/>
      <c r="AU120" s="141"/>
    </row>
    <row r="121" spans="1:47" ht="16.2" thickTop="1" x14ac:dyDescent="0.3">
      <c r="L121" s="110"/>
      <c r="M121" s="110"/>
      <c r="N121" s="110"/>
      <c r="O121" s="110"/>
      <c r="P121" s="110"/>
      <c r="Q121" s="110"/>
      <c r="R121" s="110"/>
      <c r="Y121" s="1"/>
      <c r="Z121" s="1"/>
      <c r="AA121" s="1"/>
      <c r="AB121" s="1"/>
      <c r="AC121" s="1"/>
      <c r="AD121" s="1"/>
      <c r="AE121" s="1"/>
      <c r="AF121" s="1"/>
      <c r="AG121" s="154"/>
      <c r="AH121" s="1"/>
      <c r="AI121" s="1"/>
      <c r="AJ121" s="1"/>
      <c r="AK121" s="154"/>
      <c r="AL121" s="1"/>
      <c r="AM121" s="1"/>
      <c r="AN121" s="1"/>
      <c r="AO121" s="1"/>
      <c r="AP121" s="1"/>
      <c r="AQ121" s="154"/>
      <c r="AR121" s="110"/>
      <c r="AS121" s="110"/>
      <c r="AT121" s="110"/>
      <c r="AU121" s="141"/>
    </row>
    <row r="122" spans="1:47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V122" s="178" t="s">
        <v>59</v>
      </c>
      <c r="Y122" s="110"/>
      <c r="AA122" s="110"/>
      <c r="AB122" s="110"/>
      <c r="AC122" s="198"/>
      <c r="AD122" s="198"/>
      <c r="AE122" s="110"/>
      <c r="AF122" s="110"/>
      <c r="AH122" s="110"/>
    </row>
    <row r="123" spans="1:47" x14ac:dyDescent="0.3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V123" s="178" t="str">
        <f>"(2) REFLECTS FUEL COMPONENT OF "&amp;TEXT(CUR_FAC,"$0.000000;($0.000000)")&amp;"  PER KWH."</f>
        <v>(2) REFLECTS FUEL COMPONENT OF $0.003487  PER KWH.</v>
      </c>
      <c r="Y123" s="110"/>
      <c r="AA123" s="110"/>
      <c r="AB123" s="110"/>
      <c r="AC123" s="198"/>
      <c r="AD123" s="198"/>
      <c r="AE123" s="110"/>
      <c r="AF123" s="110"/>
      <c r="AH123" s="110"/>
    </row>
    <row r="124" spans="1:47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V124" s="178" t="str">
        <f>"(3) REFLECTS FUEL COST RECOVERY INCLUDED IN BASE RATES OF "&amp;TEXT(CUR_BASE_FUEL,"$0.000000;($0.000000)")&amp;"  PER KWH."</f>
        <v>(3) REFLECTS FUEL COST RECOVERY INCLUDED IN BASE RATES OF $0.033780  PER KWH.</v>
      </c>
      <c r="Y124" s="110"/>
      <c r="AA124" s="110"/>
      <c r="AB124" s="110"/>
      <c r="AC124" s="198"/>
      <c r="AD124" s="198"/>
      <c r="AE124" s="110"/>
      <c r="AF124" s="110"/>
      <c r="AH124" s="110"/>
    </row>
    <row r="125" spans="1:47" x14ac:dyDescent="0.3"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V125" s="248" t="s">
        <v>387</v>
      </c>
    </row>
    <row r="126" spans="1:47" x14ac:dyDescent="0.3">
      <c r="C126" s="99"/>
      <c r="D126" s="99"/>
      <c r="E126" s="99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91"/>
      <c r="AH126" s="101"/>
      <c r="AI126" s="101"/>
      <c r="AJ126" s="101"/>
      <c r="AK126" s="191"/>
      <c r="AL126" s="101"/>
      <c r="AM126" s="101"/>
      <c r="AN126" s="101"/>
    </row>
    <row r="127" spans="1:47" x14ac:dyDescent="0.3">
      <c r="C127" s="99"/>
      <c r="AA127" s="102"/>
      <c r="AB127" s="102"/>
      <c r="AC127" s="102"/>
      <c r="AD127" s="102"/>
      <c r="AE127" s="102"/>
      <c r="AF127" s="102"/>
      <c r="AG127" s="151"/>
      <c r="AH127" s="102"/>
      <c r="AK127" s="151"/>
      <c r="AL127" s="102"/>
      <c r="AM127" s="102"/>
      <c r="AN127" s="102"/>
    </row>
    <row r="128" spans="1:47" x14ac:dyDescent="0.3">
      <c r="Z128" s="102"/>
      <c r="AA128" s="102"/>
      <c r="AB128" s="102"/>
      <c r="AC128" s="102"/>
      <c r="AD128" s="102"/>
      <c r="AE128" s="102"/>
      <c r="AF128" s="102"/>
      <c r="AG128" s="151"/>
      <c r="AH128" s="102"/>
      <c r="AK128" s="151"/>
      <c r="AL128" s="102"/>
      <c r="AM128" s="102"/>
      <c r="AN128" s="102"/>
    </row>
    <row r="129" spans="3:40" x14ac:dyDescent="0.3">
      <c r="C129" s="99"/>
      <c r="T129" s="102"/>
      <c r="U129" s="102"/>
      <c r="V129" s="102"/>
      <c r="Z129" s="102"/>
      <c r="AA129" s="102"/>
      <c r="AB129" s="102"/>
      <c r="AC129" s="102"/>
      <c r="AD129" s="102"/>
      <c r="AE129" s="102"/>
      <c r="AF129" s="102"/>
      <c r="AG129" s="151"/>
      <c r="AH129" s="102"/>
      <c r="AI129" s="102"/>
      <c r="AJ129" s="102"/>
      <c r="AK129" s="151"/>
      <c r="AL129" s="102"/>
      <c r="AM129" s="102"/>
      <c r="AN129" s="102"/>
    </row>
    <row r="130" spans="3:40" x14ac:dyDescent="0.3">
      <c r="C130" s="99"/>
      <c r="F130" s="172"/>
      <c r="H130" s="172"/>
      <c r="I130" s="172"/>
      <c r="J130" s="181"/>
      <c r="K130" s="181"/>
      <c r="L130" s="110"/>
      <c r="M130" s="110"/>
      <c r="N130" s="141"/>
      <c r="O130" s="141"/>
      <c r="R130" s="110"/>
      <c r="T130" s="102"/>
      <c r="U130" s="102"/>
      <c r="V130" s="102"/>
      <c r="Y130" s="102"/>
      <c r="Z130" s="102"/>
      <c r="AA130" s="102"/>
      <c r="AB130" s="102"/>
      <c r="AC130" s="102"/>
      <c r="AD130" s="102"/>
      <c r="AE130" s="102"/>
      <c r="AF130" s="102"/>
      <c r="AG130" s="151"/>
      <c r="AH130" s="102"/>
      <c r="AI130" s="102"/>
      <c r="AJ130" s="102"/>
      <c r="AK130" s="151"/>
      <c r="AL130" s="102"/>
      <c r="AM130" s="102"/>
      <c r="AN130" s="102"/>
    </row>
    <row r="131" spans="3:40" x14ac:dyDescent="0.3">
      <c r="C131" s="99"/>
      <c r="F131" s="172"/>
      <c r="H131" s="172"/>
      <c r="I131" s="172"/>
      <c r="J131" s="181"/>
      <c r="K131" s="181"/>
      <c r="L131" s="110"/>
      <c r="M131" s="110"/>
      <c r="N131" s="141"/>
      <c r="O131" s="141"/>
      <c r="R131" s="110"/>
      <c r="T131" s="102"/>
      <c r="U131" s="102"/>
      <c r="V131" s="102"/>
      <c r="Y131" s="102"/>
      <c r="Z131" s="102"/>
      <c r="AA131" s="102"/>
      <c r="AB131" s="102"/>
      <c r="AC131" s="102"/>
      <c r="AD131" s="102"/>
      <c r="AE131" s="102"/>
      <c r="AF131" s="102"/>
      <c r="AG131" s="151"/>
      <c r="AH131" s="102"/>
      <c r="AI131" s="102"/>
      <c r="AJ131" s="102"/>
      <c r="AK131" s="151"/>
      <c r="AL131" s="102"/>
      <c r="AM131" s="102"/>
      <c r="AN131" s="102"/>
    </row>
    <row r="132" spans="3:40" x14ac:dyDescent="0.3">
      <c r="C132" s="99"/>
      <c r="F132" s="172"/>
      <c r="H132" s="172"/>
      <c r="I132" s="172"/>
      <c r="J132" s="181"/>
      <c r="K132" s="181"/>
      <c r="L132" s="110"/>
      <c r="M132" s="110"/>
      <c r="N132" s="141"/>
      <c r="O132" s="141"/>
      <c r="R132" s="110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91"/>
      <c r="AH132" s="101"/>
      <c r="AI132" s="101"/>
      <c r="AJ132" s="101"/>
      <c r="AK132" s="191"/>
      <c r="AL132" s="101"/>
      <c r="AM132" s="101"/>
      <c r="AN132" s="101"/>
    </row>
    <row r="133" spans="3:40" x14ac:dyDescent="0.3">
      <c r="F133" s="192"/>
      <c r="H133" s="110"/>
      <c r="I133" s="110"/>
      <c r="J133" s="217"/>
      <c r="K133" s="217"/>
      <c r="L133" s="192"/>
      <c r="M133" s="192"/>
      <c r="N133" s="192"/>
      <c r="O133" s="192"/>
      <c r="P133" s="192"/>
      <c r="Q133" s="192"/>
      <c r="R133" s="192"/>
      <c r="Y133" s="102"/>
      <c r="Z133" s="102"/>
      <c r="AA133" s="102"/>
      <c r="AB133" s="102"/>
      <c r="AC133" s="102"/>
      <c r="AD133" s="102"/>
      <c r="AE133" s="102"/>
      <c r="AF133" s="102"/>
      <c r="AG133" s="151"/>
      <c r="AH133" s="102"/>
      <c r="AI133" s="102"/>
      <c r="AJ133" s="102"/>
      <c r="AK133" s="151"/>
      <c r="AL133" s="102"/>
      <c r="AM133" s="102"/>
      <c r="AN133" s="102"/>
    </row>
    <row r="134" spans="3:40" x14ac:dyDescent="0.3">
      <c r="C134" s="99"/>
      <c r="F134" s="110"/>
      <c r="H134" s="110"/>
      <c r="I134" s="110"/>
      <c r="J134" s="217"/>
      <c r="K134" s="217"/>
      <c r="L134" s="110"/>
      <c r="M134" s="110"/>
      <c r="N134" s="141"/>
      <c r="O134" s="141"/>
      <c r="P134" s="110"/>
      <c r="Q134" s="110"/>
      <c r="R134" s="110"/>
      <c r="T134" s="99"/>
      <c r="U134" s="99"/>
    </row>
    <row r="135" spans="3:40" x14ac:dyDescent="0.3">
      <c r="F135" s="192"/>
      <c r="H135" s="110"/>
      <c r="I135" s="110"/>
      <c r="J135" s="217"/>
      <c r="K135" s="217"/>
      <c r="L135" s="192"/>
      <c r="M135" s="192"/>
      <c r="N135" s="192"/>
      <c r="O135" s="192"/>
      <c r="P135" s="192"/>
      <c r="Q135" s="192"/>
      <c r="R135" s="192"/>
      <c r="T135" s="99"/>
    </row>
    <row r="136" spans="3:40" x14ac:dyDescent="0.3">
      <c r="C136" s="99"/>
      <c r="F136" s="172"/>
      <c r="H136" s="172"/>
      <c r="I136" s="172"/>
      <c r="J136" s="227"/>
      <c r="K136" s="227"/>
      <c r="L136" s="110"/>
      <c r="M136" s="110"/>
      <c r="N136" s="141"/>
      <c r="O136" s="141"/>
      <c r="P136" s="110"/>
      <c r="Q136" s="110"/>
      <c r="R136" s="110"/>
      <c r="S136" s="110"/>
    </row>
    <row r="137" spans="3:40" x14ac:dyDescent="0.3">
      <c r="C137" s="99"/>
      <c r="F137" s="172"/>
      <c r="H137" s="172"/>
      <c r="I137" s="172"/>
      <c r="J137" s="181"/>
      <c r="K137" s="181"/>
      <c r="L137" s="110"/>
      <c r="M137" s="110"/>
      <c r="N137" s="141"/>
      <c r="O137" s="141"/>
      <c r="P137" s="110"/>
      <c r="Q137" s="110"/>
      <c r="R137" s="110"/>
      <c r="T137" s="99"/>
    </row>
    <row r="138" spans="3:40" x14ac:dyDescent="0.3">
      <c r="C138" s="99"/>
      <c r="F138" s="172"/>
      <c r="H138" s="172"/>
      <c r="I138" s="172"/>
      <c r="J138" s="181"/>
      <c r="K138" s="181"/>
      <c r="L138" s="110"/>
      <c r="M138" s="110"/>
      <c r="N138" s="141"/>
      <c r="O138" s="141"/>
      <c r="P138" s="110"/>
      <c r="Q138" s="110"/>
      <c r="R138" s="110"/>
      <c r="T138" s="99"/>
      <c r="V138" s="110"/>
      <c r="Y138" s="172"/>
      <c r="Z138" s="181"/>
      <c r="AA138" s="110"/>
      <c r="AB138" s="110"/>
      <c r="AC138" s="141"/>
      <c r="AD138" s="141"/>
      <c r="AE138" s="110"/>
      <c r="AF138" s="110"/>
      <c r="AG138" s="224"/>
      <c r="AH138" s="225"/>
      <c r="AL138" s="110"/>
      <c r="AM138" s="226"/>
      <c r="AN138" s="226"/>
    </row>
    <row r="139" spans="3:40" x14ac:dyDescent="0.3">
      <c r="F139" s="110"/>
      <c r="H139" s="192"/>
      <c r="I139" s="192"/>
      <c r="J139" s="217"/>
      <c r="K139" s="217"/>
      <c r="L139" s="192"/>
      <c r="M139" s="192"/>
      <c r="N139" s="192"/>
      <c r="O139" s="192"/>
      <c r="P139" s="192"/>
      <c r="Q139" s="192"/>
      <c r="R139" s="192"/>
      <c r="T139" s="99"/>
      <c r="V139" s="110"/>
      <c r="Y139" s="172"/>
      <c r="Z139" s="181"/>
      <c r="AA139" s="110"/>
      <c r="AB139" s="110"/>
      <c r="AC139" s="141"/>
      <c r="AD139" s="141"/>
      <c r="AE139" s="110"/>
      <c r="AF139" s="110"/>
      <c r="AH139" s="207"/>
      <c r="AL139" s="110"/>
      <c r="AM139" s="141"/>
      <c r="AN139" s="141"/>
    </row>
    <row r="140" spans="3:40" x14ac:dyDescent="0.3">
      <c r="C140" s="99"/>
      <c r="F140" s="110"/>
      <c r="H140" s="110"/>
      <c r="I140" s="110"/>
      <c r="J140" s="217"/>
      <c r="K140" s="217"/>
      <c r="L140" s="110"/>
      <c r="M140" s="110"/>
      <c r="N140" s="141"/>
      <c r="O140" s="141"/>
      <c r="P140" s="110"/>
      <c r="Q140" s="110"/>
      <c r="R140" s="110"/>
      <c r="T140" s="99"/>
      <c r="V140" s="110"/>
      <c r="Y140" s="172"/>
      <c r="Z140" s="181"/>
      <c r="AA140" s="110"/>
      <c r="AB140" s="110"/>
      <c r="AC140" s="141"/>
      <c r="AD140" s="141"/>
      <c r="AE140" s="110"/>
      <c r="AF140" s="110"/>
      <c r="AH140" s="207"/>
      <c r="AL140" s="110"/>
      <c r="AM140" s="141"/>
      <c r="AN140" s="141"/>
    </row>
    <row r="141" spans="3:40" x14ac:dyDescent="0.3">
      <c r="F141" s="110"/>
      <c r="H141" s="192"/>
      <c r="I141" s="192"/>
      <c r="J141" s="217"/>
      <c r="K141" s="217"/>
      <c r="L141" s="192"/>
      <c r="M141" s="192"/>
      <c r="N141" s="192"/>
      <c r="O141" s="192"/>
      <c r="P141" s="192"/>
      <c r="Q141" s="192"/>
      <c r="R141" s="192"/>
      <c r="V141" s="192"/>
      <c r="Y141" s="110"/>
      <c r="Z141" s="217"/>
      <c r="AA141" s="192"/>
      <c r="AB141" s="192"/>
      <c r="AC141" s="192"/>
      <c r="AD141" s="192"/>
      <c r="AE141" s="192"/>
      <c r="AF141" s="192"/>
      <c r="AI141" s="192"/>
      <c r="AJ141" s="192"/>
      <c r="AK141" s="194"/>
      <c r="AL141" s="192"/>
      <c r="AM141" s="141"/>
      <c r="AN141" s="141"/>
    </row>
    <row r="142" spans="3:40" x14ac:dyDescent="0.3">
      <c r="C142" s="99"/>
      <c r="F142" s="110"/>
      <c r="H142" s="110"/>
      <c r="I142" s="110"/>
      <c r="J142" s="217"/>
      <c r="K142" s="217"/>
      <c r="L142" s="110"/>
      <c r="M142" s="110"/>
      <c r="N142" s="110"/>
      <c r="O142" s="110"/>
      <c r="P142" s="110"/>
      <c r="Q142" s="110"/>
      <c r="R142" s="110"/>
      <c r="T142" s="99"/>
      <c r="V142" s="110"/>
      <c r="Y142" s="110"/>
      <c r="Z142" s="198"/>
      <c r="AA142" s="110"/>
      <c r="AB142" s="110"/>
      <c r="AC142" s="141"/>
      <c r="AD142" s="141"/>
      <c r="AE142" s="110"/>
      <c r="AF142" s="110"/>
      <c r="AH142" s="207"/>
      <c r="AI142" s="110"/>
      <c r="AJ142" s="110"/>
      <c r="AL142" s="110"/>
      <c r="AM142" s="141"/>
      <c r="AN142" s="141"/>
    </row>
    <row r="143" spans="3:40" x14ac:dyDescent="0.3">
      <c r="C143" s="99"/>
      <c r="F143" s="110"/>
      <c r="H143" s="172"/>
      <c r="I143" s="172"/>
      <c r="J143" s="228"/>
      <c r="K143" s="228"/>
      <c r="L143" s="110"/>
      <c r="M143" s="110"/>
      <c r="N143" s="141"/>
      <c r="O143" s="141"/>
      <c r="P143" s="110"/>
      <c r="Q143" s="110"/>
      <c r="R143" s="110"/>
      <c r="V143" s="192"/>
      <c r="Y143" s="110"/>
      <c r="Z143" s="217"/>
      <c r="AA143" s="192"/>
      <c r="AB143" s="192"/>
      <c r="AC143" s="192"/>
      <c r="AD143" s="192"/>
      <c r="AE143" s="192"/>
      <c r="AF143" s="192"/>
      <c r="AI143" s="192"/>
      <c r="AJ143" s="192"/>
      <c r="AK143" s="194"/>
      <c r="AL143" s="192"/>
      <c r="AM143" s="141"/>
      <c r="AN143" s="141"/>
    </row>
    <row r="144" spans="3:40" x14ac:dyDescent="0.3">
      <c r="C144" s="99"/>
      <c r="H144" s="172"/>
      <c r="I144" s="172"/>
      <c r="J144" s="228"/>
      <c r="K144" s="228"/>
      <c r="L144" s="110"/>
      <c r="M144" s="110"/>
      <c r="N144" s="141"/>
      <c r="O144" s="141"/>
      <c r="P144" s="110"/>
      <c r="Q144" s="110"/>
      <c r="R144" s="110"/>
      <c r="T144" s="99"/>
      <c r="V144" s="172"/>
      <c r="Y144" s="172"/>
      <c r="Z144" s="227"/>
      <c r="AA144" s="110"/>
      <c r="AB144" s="110"/>
      <c r="AC144" s="141"/>
      <c r="AD144" s="141"/>
      <c r="AE144" s="110"/>
      <c r="AF144" s="110"/>
      <c r="AH144" s="141"/>
      <c r="AI144" s="110"/>
      <c r="AJ144" s="110"/>
      <c r="AL144" s="110"/>
      <c r="AM144" s="141"/>
      <c r="AN144" s="141"/>
    </row>
    <row r="145" spans="3:40" x14ac:dyDescent="0.3">
      <c r="F145" s="110"/>
      <c r="H145" s="110"/>
      <c r="I145" s="110"/>
      <c r="J145" s="217"/>
      <c r="K145" s="217"/>
      <c r="L145" s="192"/>
      <c r="M145" s="192"/>
      <c r="N145" s="192"/>
      <c r="O145" s="192"/>
      <c r="P145" s="192"/>
      <c r="Q145" s="192"/>
      <c r="R145" s="192"/>
      <c r="T145" s="99"/>
      <c r="V145" s="172"/>
      <c r="Y145" s="110"/>
      <c r="Z145" s="181"/>
      <c r="AA145" s="110"/>
      <c r="AB145" s="110"/>
      <c r="AC145" s="141"/>
      <c r="AD145" s="141"/>
      <c r="AE145" s="110"/>
      <c r="AF145" s="110"/>
      <c r="AH145" s="207"/>
      <c r="AI145" s="110"/>
      <c r="AJ145" s="110"/>
      <c r="AL145" s="110"/>
      <c r="AM145" s="141"/>
      <c r="AN145" s="141"/>
    </row>
    <row r="146" spans="3:40" x14ac:dyDescent="0.3">
      <c r="C146" s="99"/>
      <c r="F146" s="110"/>
      <c r="H146" s="110"/>
      <c r="I146" s="110"/>
      <c r="J146" s="198"/>
      <c r="K146" s="198"/>
      <c r="L146" s="110"/>
      <c r="M146" s="110"/>
      <c r="N146" s="141"/>
      <c r="O146" s="141"/>
      <c r="P146" s="110"/>
      <c r="Q146" s="110"/>
      <c r="R146" s="110"/>
      <c r="T146" s="99"/>
      <c r="V146" s="172"/>
      <c r="Y146" s="110"/>
      <c r="Z146" s="181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3:40" x14ac:dyDescent="0.3">
      <c r="F147" s="110"/>
      <c r="H147" s="110"/>
      <c r="I147" s="110"/>
      <c r="J147" s="217"/>
      <c r="K147" s="217"/>
      <c r="L147" s="192"/>
      <c r="M147" s="192"/>
      <c r="N147" s="192"/>
      <c r="O147" s="192"/>
      <c r="P147" s="192"/>
      <c r="Q147" s="192"/>
      <c r="R147" s="192"/>
      <c r="V147" s="110"/>
      <c r="Y147" s="192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41"/>
      <c r="AN147" s="141"/>
    </row>
    <row r="148" spans="3:40" x14ac:dyDescent="0.3">
      <c r="C148" s="99"/>
      <c r="F148" s="110"/>
      <c r="H148" s="110"/>
      <c r="I148" s="110"/>
      <c r="J148" s="198"/>
      <c r="K148" s="198"/>
      <c r="L148" s="110"/>
      <c r="M148" s="110"/>
      <c r="N148" s="141"/>
      <c r="O148" s="141"/>
      <c r="P148" s="110"/>
      <c r="Q148" s="110"/>
      <c r="R148" s="110"/>
      <c r="T148" s="99"/>
      <c r="V148" s="110"/>
      <c r="Y148" s="110"/>
      <c r="Z148" s="217"/>
      <c r="AA148" s="110"/>
      <c r="AB148" s="110"/>
      <c r="AC148" s="141"/>
      <c r="AD148" s="141"/>
      <c r="AE148" s="110"/>
      <c r="AF148" s="110"/>
      <c r="AH148" s="207"/>
      <c r="AI148" s="110"/>
      <c r="AJ148" s="110"/>
      <c r="AL148" s="110"/>
      <c r="AM148" s="141"/>
      <c r="AN148" s="141"/>
    </row>
    <row r="149" spans="3:40" x14ac:dyDescent="0.3">
      <c r="C149" s="99"/>
      <c r="F149" s="110"/>
      <c r="H149" s="172"/>
      <c r="I149" s="172"/>
      <c r="J149" s="222"/>
      <c r="K149" s="222"/>
      <c r="L149" s="110"/>
      <c r="M149" s="110"/>
      <c r="N149" s="141"/>
      <c r="O149" s="141"/>
      <c r="P149" s="110"/>
      <c r="Q149" s="110"/>
      <c r="R149" s="110"/>
      <c r="V149" s="110"/>
      <c r="Y149" s="192"/>
      <c r="Z149" s="217"/>
      <c r="AA149" s="192"/>
      <c r="AB149" s="192"/>
      <c r="AC149" s="192"/>
      <c r="AD149" s="192"/>
      <c r="AE149" s="192"/>
      <c r="AF149" s="192"/>
      <c r="AI149" s="192"/>
      <c r="AJ149" s="192"/>
      <c r="AK149" s="194"/>
      <c r="AL149" s="192"/>
      <c r="AM149" s="141"/>
      <c r="AN149" s="141"/>
    </row>
    <row r="150" spans="3:40" x14ac:dyDescent="0.3">
      <c r="F150" s="192"/>
      <c r="H150" s="192"/>
      <c r="I150" s="192"/>
      <c r="J150" s="217"/>
      <c r="K150" s="217"/>
      <c r="L150" s="192"/>
      <c r="M150" s="192"/>
      <c r="N150" s="192"/>
      <c r="O150" s="192"/>
      <c r="P150" s="192"/>
      <c r="Q150" s="192"/>
      <c r="R150" s="192"/>
      <c r="T150" s="99"/>
      <c r="V150" s="110"/>
      <c r="Y150" s="110"/>
      <c r="Z150" s="217"/>
      <c r="AA150" s="110"/>
      <c r="AB150" s="110"/>
      <c r="AC150" s="110"/>
      <c r="AD150" s="110"/>
      <c r="AE150" s="110"/>
      <c r="AF150" s="110"/>
      <c r="AH150" s="207"/>
      <c r="AI150" s="110"/>
      <c r="AJ150" s="110"/>
      <c r="AL150" s="110"/>
      <c r="AM150" s="141"/>
      <c r="AN150" s="141"/>
    </row>
    <row r="151" spans="3:40" x14ac:dyDescent="0.3">
      <c r="C151" s="99"/>
      <c r="F151" s="110"/>
      <c r="H151" s="110"/>
      <c r="I151" s="110"/>
      <c r="J151" s="217"/>
      <c r="K151" s="217"/>
      <c r="L151" s="110"/>
      <c r="M151" s="110"/>
      <c r="N151" s="141"/>
      <c r="O151" s="141"/>
      <c r="P151" s="110"/>
      <c r="Q151" s="110"/>
      <c r="R151" s="110"/>
      <c r="S151" s="110"/>
      <c r="T151" s="99"/>
      <c r="V151" s="110"/>
      <c r="Y151" s="110"/>
      <c r="Z151" s="228"/>
      <c r="AA151" s="110"/>
      <c r="AB151" s="110"/>
      <c r="AC151" s="141"/>
      <c r="AD151" s="141"/>
      <c r="AE151" s="110"/>
      <c r="AF151" s="110"/>
      <c r="AH151" s="207"/>
      <c r="AI151" s="110"/>
      <c r="AJ151" s="110"/>
      <c r="AL151" s="110"/>
      <c r="AM151" s="141"/>
      <c r="AN151" s="141"/>
    </row>
    <row r="152" spans="3:40" x14ac:dyDescent="0.3">
      <c r="F152" s="192"/>
      <c r="H152" s="192"/>
      <c r="I152" s="192"/>
      <c r="J152" s="217"/>
      <c r="K152" s="217"/>
      <c r="L152" s="192"/>
      <c r="M152" s="192"/>
      <c r="N152" s="192"/>
      <c r="O152" s="192"/>
      <c r="P152" s="192"/>
      <c r="Q152" s="192"/>
      <c r="R152" s="192"/>
      <c r="S152" s="110"/>
      <c r="T152" s="99"/>
      <c r="Y152" s="110"/>
      <c r="Z152" s="228"/>
      <c r="AA152" s="110"/>
      <c r="AB152" s="110"/>
      <c r="AC152" s="141"/>
      <c r="AD152" s="141"/>
      <c r="AE152" s="110"/>
      <c r="AF152" s="110"/>
      <c r="AH152" s="207"/>
      <c r="AI152" s="110"/>
      <c r="AJ152" s="110"/>
      <c r="AL152" s="110"/>
      <c r="AM152" s="141"/>
      <c r="AN152" s="141"/>
    </row>
    <row r="153" spans="3:40" x14ac:dyDescent="0.3">
      <c r="C153" s="99"/>
      <c r="F153" s="172"/>
      <c r="H153" s="229"/>
      <c r="I153" s="229"/>
      <c r="J153" s="217"/>
      <c r="K153" s="217"/>
      <c r="L153" s="110"/>
      <c r="M153" s="110"/>
      <c r="N153" s="141"/>
      <c r="O153" s="141"/>
      <c r="P153" s="110"/>
      <c r="Q153" s="110"/>
      <c r="R153" s="110"/>
      <c r="S153" s="110"/>
      <c r="V153" s="110"/>
      <c r="Y153" s="110"/>
      <c r="Z153" s="217"/>
      <c r="AA153" s="192"/>
      <c r="AB153" s="192"/>
      <c r="AC153" s="192"/>
      <c r="AD153" s="192"/>
      <c r="AE153" s="192"/>
      <c r="AF153" s="192"/>
      <c r="AI153" s="192"/>
      <c r="AJ153" s="192"/>
      <c r="AK153" s="194"/>
      <c r="AL153" s="192"/>
      <c r="AM153" s="141"/>
      <c r="AN153" s="141"/>
    </row>
    <row r="154" spans="3:40" x14ac:dyDescent="0.3">
      <c r="T154" s="99"/>
      <c r="V154" s="110"/>
      <c r="Y154" s="110"/>
      <c r="Z154" s="198"/>
      <c r="AA154" s="110"/>
      <c r="AB154" s="110"/>
      <c r="AC154" s="141"/>
      <c r="AD154" s="141"/>
      <c r="AE154" s="110"/>
      <c r="AF154" s="110"/>
      <c r="AH154" s="207"/>
      <c r="AI154" s="110"/>
      <c r="AJ154" s="110"/>
      <c r="AL154" s="110"/>
      <c r="AM154" s="141"/>
      <c r="AN154" s="141"/>
    </row>
    <row r="155" spans="3:40" x14ac:dyDescent="0.3">
      <c r="C155" s="99"/>
      <c r="V155" s="110"/>
      <c r="Y155" s="110"/>
      <c r="Z155" s="217"/>
      <c r="AA155" s="192"/>
      <c r="AB155" s="192"/>
      <c r="AC155" s="192"/>
      <c r="AD155" s="192"/>
      <c r="AE155" s="192"/>
      <c r="AF155" s="192"/>
      <c r="AI155" s="192"/>
      <c r="AJ155" s="192"/>
      <c r="AK155" s="194"/>
      <c r="AL155" s="192"/>
      <c r="AM155" s="141"/>
      <c r="AN155" s="141"/>
    </row>
    <row r="156" spans="3:40" x14ac:dyDescent="0.3">
      <c r="C156" s="99"/>
      <c r="F156" s="172"/>
      <c r="H156" s="172"/>
      <c r="I156" s="172"/>
      <c r="J156" s="181"/>
      <c r="K156" s="181"/>
      <c r="L156" s="110"/>
      <c r="M156" s="110"/>
      <c r="N156" s="141"/>
      <c r="O156" s="141"/>
      <c r="R156" s="110"/>
      <c r="T156" s="99"/>
      <c r="V156" s="110"/>
      <c r="Y156" s="110"/>
      <c r="Z156" s="198"/>
      <c r="AA156" s="110"/>
      <c r="AB156" s="110"/>
      <c r="AC156" s="141"/>
      <c r="AD156" s="141"/>
      <c r="AE156" s="110"/>
      <c r="AF156" s="110"/>
      <c r="AH156" s="207"/>
      <c r="AI156" s="110"/>
      <c r="AJ156" s="110"/>
      <c r="AL156" s="110"/>
      <c r="AM156" s="141"/>
      <c r="AN156" s="141"/>
    </row>
    <row r="157" spans="3:40" x14ac:dyDescent="0.3">
      <c r="C157" s="99"/>
      <c r="F157" s="172"/>
      <c r="H157" s="172"/>
      <c r="I157" s="172"/>
      <c r="J157" s="181"/>
      <c r="K157" s="181"/>
      <c r="L157" s="110"/>
      <c r="M157" s="110"/>
      <c r="N157" s="141"/>
      <c r="O157" s="141"/>
      <c r="R157" s="110"/>
      <c r="T157" s="99"/>
      <c r="V157" s="172"/>
      <c r="Y157" s="110"/>
      <c r="Z157" s="222"/>
      <c r="AA157" s="110"/>
      <c r="AB157" s="110"/>
      <c r="AC157" s="141"/>
      <c r="AD157" s="141"/>
      <c r="AE157" s="110"/>
      <c r="AF157" s="110"/>
      <c r="AH157" s="207"/>
      <c r="AI157" s="110"/>
      <c r="AJ157" s="110"/>
      <c r="AL157" s="110"/>
      <c r="AM157" s="141"/>
      <c r="AN157" s="141"/>
    </row>
    <row r="158" spans="3:40" x14ac:dyDescent="0.3">
      <c r="C158" s="99"/>
      <c r="F158" s="172"/>
      <c r="H158" s="172"/>
      <c r="I158" s="172"/>
      <c r="J158" s="181"/>
      <c r="K158" s="181"/>
      <c r="L158" s="110"/>
      <c r="M158" s="110"/>
      <c r="N158" s="141"/>
      <c r="O158" s="141"/>
      <c r="R158" s="110"/>
      <c r="V158" s="192"/>
      <c r="Y158" s="192"/>
      <c r="Z158" s="217"/>
      <c r="AA158" s="192"/>
      <c r="AB158" s="192"/>
      <c r="AC158" s="192"/>
      <c r="AD158" s="192"/>
      <c r="AE158" s="192"/>
      <c r="AF158" s="192"/>
      <c r="AI158" s="192"/>
      <c r="AJ158" s="192"/>
      <c r="AK158" s="194"/>
      <c r="AL158" s="192"/>
      <c r="AM158" s="141"/>
      <c r="AN158" s="141"/>
    </row>
    <row r="159" spans="3:40" x14ac:dyDescent="0.3">
      <c r="F159" s="192"/>
      <c r="H159" s="110"/>
      <c r="I159" s="110"/>
      <c r="J159" s="217"/>
      <c r="K159" s="217"/>
      <c r="L159" s="192"/>
      <c r="M159" s="192"/>
      <c r="N159" s="192"/>
      <c r="O159" s="192"/>
      <c r="P159" s="192"/>
      <c r="Q159" s="192"/>
      <c r="R159" s="192"/>
      <c r="T159" s="99"/>
      <c r="V159" s="110"/>
      <c r="Y159" s="110"/>
      <c r="Z159" s="217"/>
      <c r="AA159" s="110"/>
      <c r="AB159" s="110"/>
      <c r="AC159" s="141"/>
      <c r="AD159" s="141"/>
      <c r="AE159" s="110"/>
      <c r="AF159" s="110"/>
      <c r="AH159" s="141"/>
      <c r="AI159" s="110"/>
      <c r="AJ159" s="110"/>
      <c r="AL159" s="110"/>
      <c r="AM159" s="141"/>
      <c r="AN159" s="141"/>
    </row>
    <row r="160" spans="3:40" x14ac:dyDescent="0.3">
      <c r="C160" s="99"/>
      <c r="F160" s="110"/>
      <c r="H160" s="110"/>
      <c r="I160" s="110"/>
      <c r="J160" s="217"/>
      <c r="K160" s="217"/>
      <c r="L160" s="110"/>
      <c r="M160" s="110"/>
      <c r="N160" s="141"/>
      <c r="O160" s="141"/>
      <c r="P160" s="110"/>
      <c r="Q160" s="110"/>
      <c r="R160" s="110"/>
      <c r="V160" s="192"/>
      <c r="Y160" s="192"/>
      <c r="Z160" s="217"/>
      <c r="AA160" s="192"/>
      <c r="AB160" s="192"/>
      <c r="AC160" s="192"/>
      <c r="AD160" s="192"/>
      <c r="AE160" s="192"/>
      <c r="AF160" s="192"/>
      <c r="AI160" s="192"/>
      <c r="AJ160" s="192"/>
      <c r="AK160" s="194"/>
      <c r="AL160" s="192"/>
      <c r="AM160" s="141"/>
      <c r="AN160" s="141"/>
    </row>
    <row r="161" spans="3:40" x14ac:dyDescent="0.3">
      <c r="F161" s="192"/>
      <c r="H161" s="110"/>
      <c r="I161" s="110"/>
      <c r="J161" s="217"/>
      <c r="K161" s="217"/>
      <c r="L161" s="192"/>
      <c r="M161" s="192"/>
      <c r="N161" s="192"/>
      <c r="O161" s="192"/>
      <c r="P161" s="192"/>
      <c r="Q161" s="192"/>
      <c r="R161" s="192"/>
      <c r="T161" s="99"/>
      <c r="V161" s="172"/>
      <c r="Y161" s="172"/>
      <c r="Z161" s="217"/>
      <c r="AA161" s="110"/>
      <c r="AB161" s="110"/>
      <c r="AC161" s="141"/>
      <c r="AD161" s="141"/>
      <c r="AE161" s="110"/>
      <c r="AF161" s="110"/>
      <c r="AI161" s="110"/>
      <c r="AJ161" s="110"/>
      <c r="AL161" s="110"/>
      <c r="AM161" s="141"/>
      <c r="AN161" s="141"/>
    </row>
    <row r="162" spans="3:40" x14ac:dyDescent="0.3">
      <c r="C162" s="99"/>
      <c r="F162" s="172"/>
      <c r="H162" s="172"/>
      <c r="I162" s="172"/>
      <c r="J162" s="227"/>
      <c r="K162" s="227"/>
      <c r="L162" s="110"/>
      <c r="M162" s="110"/>
      <c r="N162" s="141"/>
      <c r="O162" s="141"/>
      <c r="P162" s="110"/>
      <c r="Q162" s="110"/>
      <c r="R162" s="110"/>
      <c r="S162" s="110"/>
    </row>
    <row r="163" spans="3:40" x14ac:dyDescent="0.3">
      <c r="C163" s="99"/>
      <c r="F163" s="172"/>
      <c r="H163" s="172"/>
      <c r="I163" s="172"/>
      <c r="J163" s="181"/>
      <c r="K163" s="181"/>
      <c r="L163" s="110"/>
      <c r="M163" s="110"/>
      <c r="N163" s="141"/>
      <c r="O163" s="141"/>
      <c r="P163" s="110"/>
      <c r="Q163" s="110"/>
      <c r="R163" s="110"/>
      <c r="T163" s="99"/>
    </row>
    <row r="164" spans="3:40" x14ac:dyDescent="0.3">
      <c r="C164" s="99"/>
      <c r="F164" s="172"/>
      <c r="H164" s="172"/>
      <c r="I164" s="172"/>
      <c r="J164" s="181"/>
      <c r="K164" s="181"/>
      <c r="L164" s="110"/>
      <c r="M164" s="110"/>
      <c r="N164" s="141"/>
      <c r="O164" s="141"/>
      <c r="P164" s="110"/>
      <c r="Q164" s="110"/>
      <c r="R164" s="110"/>
      <c r="T164" s="99"/>
      <c r="V164" s="110"/>
      <c r="Y164" s="172"/>
      <c r="Z164" s="181"/>
      <c r="AA164" s="110"/>
      <c r="AB164" s="110"/>
      <c r="AC164" s="141"/>
      <c r="AD164" s="141"/>
      <c r="AE164" s="110"/>
      <c r="AF164" s="110"/>
      <c r="AG164" s="224"/>
      <c r="AH164" s="225"/>
      <c r="AL164" s="110"/>
      <c r="AM164" s="226"/>
      <c r="AN164" s="226"/>
    </row>
    <row r="165" spans="3:40" x14ac:dyDescent="0.3">
      <c r="F165" s="110"/>
      <c r="H165" s="192"/>
      <c r="I165" s="192"/>
      <c r="J165" s="217"/>
      <c r="K165" s="217"/>
      <c r="L165" s="192"/>
      <c r="M165" s="192"/>
      <c r="N165" s="192"/>
      <c r="O165" s="192"/>
      <c r="P165" s="192"/>
      <c r="Q165" s="192"/>
      <c r="R165" s="192"/>
      <c r="T165" s="99"/>
      <c r="V165" s="110"/>
      <c r="Y165" s="172"/>
      <c r="Z165" s="181"/>
      <c r="AA165" s="110"/>
      <c r="AB165" s="110"/>
      <c r="AC165" s="141"/>
      <c r="AD165" s="141"/>
      <c r="AE165" s="110"/>
      <c r="AF165" s="110"/>
      <c r="AH165" s="207"/>
      <c r="AL165" s="110"/>
      <c r="AM165" s="141"/>
      <c r="AN165" s="141"/>
    </row>
    <row r="166" spans="3:40" x14ac:dyDescent="0.3">
      <c r="C166" s="99"/>
      <c r="F166" s="110"/>
      <c r="H166" s="110"/>
      <c r="I166" s="110"/>
      <c r="J166" s="217"/>
      <c r="K166" s="217"/>
      <c r="L166" s="110"/>
      <c r="M166" s="110"/>
      <c r="N166" s="141"/>
      <c r="O166" s="141"/>
      <c r="P166" s="110"/>
      <c r="Q166" s="110"/>
      <c r="R166" s="110"/>
      <c r="T166" s="99"/>
      <c r="V166" s="110"/>
      <c r="Y166" s="172"/>
      <c r="Z166" s="181"/>
      <c r="AA166" s="110"/>
      <c r="AB166" s="110"/>
      <c r="AC166" s="141"/>
      <c r="AD166" s="141"/>
      <c r="AE166" s="110"/>
      <c r="AF166" s="110"/>
      <c r="AH166" s="207"/>
      <c r="AL166" s="110"/>
      <c r="AM166" s="141"/>
      <c r="AN166" s="141"/>
    </row>
    <row r="167" spans="3:40" x14ac:dyDescent="0.3">
      <c r="F167" s="110"/>
      <c r="H167" s="192"/>
      <c r="I167" s="192"/>
      <c r="J167" s="217"/>
      <c r="K167" s="217"/>
      <c r="L167" s="192"/>
      <c r="M167" s="192"/>
      <c r="N167" s="192"/>
      <c r="O167" s="192"/>
      <c r="P167" s="192"/>
      <c r="Q167" s="192"/>
      <c r="R167" s="192"/>
      <c r="V167" s="192"/>
      <c r="Y167" s="110"/>
      <c r="Z167" s="217"/>
      <c r="AA167" s="192"/>
      <c r="AB167" s="192"/>
      <c r="AC167" s="192"/>
      <c r="AD167" s="192"/>
      <c r="AE167" s="192"/>
      <c r="AF167" s="192"/>
      <c r="AI167" s="192"/>
      <c r="AJ167" s="192"/>
      <c r="AK167" s="194"/>
      <c r="AL167" s="192"/>
      <c r="AM167" s="141"/>
      <c r="AN167" s="141"/>
    </row>
    <row r="168" spans="3:40" x14ac:dyDescent="0.3">
      <c r="C168" s="99"/>
      <c r="F168" s="110"/>
      <c r="H168" s="110"/>
      <c r="I168" s="110"/>
      <c r="J168" s="217"/>
      <c r="K168" s="217"/>
      <c r="L168" s="110"/>
      <c r="M168" s="110"/>
      <c r="N168" s="110"/>
      <c r="O168" s="110"/>
      <c r="P168" s="110"/>
      <c r="Q168" s="110"/>
      <c r="R168" s="110"/>
      <c r="T168" s="99"/>
      <c r="V168" s="110"/>
      <c r="Y168" s="110"/>
      <c r="Z168" s="217"/>
      <c r="AA168" s="110"/>
      <c r="AB168" s="110"/>
      <c r="AC168" s="141"/>
      <c r="AD168" s="141"/>
      <c r="AE168" s="110"/>
      <c r="AF168" s="110"/>
      <c r="AH168" s="207"/>
      <c r="AI168" s="110"/>
      <c r="AJ168" s="110"/>
      <c r="AL168" s="110"/>
      <c r="AM168" s="141"/>
      <c r="AN168" s="141"/>
    </row>
    <row r="169" spans="3:40" x14ac:dyDescent="0.3">
      <c r="C169" s="99"/>
      <c r="F169" s="110"/>
      <c r="H169" s="172"/>
      <c r="I169" s="172"/>
      <c r="J169" s="228"/>
      <c r="K169" s="228"/>
      <c r="L169" s="110"/>
      <c r="M169" s="110"/>
      <c r="N169" s="141"/>
      <c r="O169" s="141"/>
      <c r="P169" s="110"/>
      <c r="Q169" s="110"/>
      <c r="R169" s="110"/>
      <c r="V169" s="192"/>
      <c r="Y169" s="110"/>
      <c r="Z169" s="217"/>
      <c r="AA169" s="192"/>
      <c r="AB169" s="192"/>
      <c r="AC169" s="192"/>
      <c r="AD169" s="192"/>
      <c r="AE169" s="192"/>
      <c r="AF169" s="192"/>
      <c r="AI169" s="192"/>
      <c r="AJ169" s="192"/>
      <c r="AK169" s="194"/>
      <c r="AL169" s="192"/>
      <c r="AM169" s="141"/>
      <c r="AN169" s="141"/>
    </row>
    <row r="170" spans="3:40" x14ac:dyDescent="0.3">
      <c r="C170" s="99"/>
      <c r="H170" s="172"/>
      <c r="I170" s="172"/>
      <c r="J170" s="228"/>
      <c r="K170" s="228"/>
      <c r="L170" s="110"/>
      <c r="M170" s="110"/>
      <c r="N170" s="141"/>
      <c r="O170" s="141"/>
      <c r="P170" s="110"/>
      <c r="Q170" s="110"/>
      <c r="R170" s="110"/>
      <c r="T170" s="99"/>
      <c r="V170" s="172"/>
      <c r="Y170" s="172"/>
      <c r="Z170" s="227"/>
      <c r="AA170" s="110"/>
      <c r="AB170" s="110"/>
      <c r="AC170" s="141"/>
      <c r="AD170" s="141"/>
      <c r="AE170" s="110"/>
      <c r="AF170" s="110"/>
      <c r="AH170" s="141"/>
      <c r="AI170" s="110"/>
      <c r="AJ170" s="110"/>
      <c r="AL170" s="110"/>
      <c r="AM170" s="141"/>
      <c r="AN170" s="141"/>
    </row>
    <row r="171" spans="3:40" x14ac:dyDescent="0.3">
      <c r="F171" s="110"/>
      <c r="H171" s="110"/>
      <c r="I171" s="110"/>
      <c r="J171" s="217"/>
      <c r="K171" s="217"/>
      <c r="L171" s="192"/>
      <c r="M171" s="192"/>
      <c r="N171" s="192"/>
      <c r="O171" s="192"/>
      <c r="P171" s="192"/>
      <c r="Q171" s="192"/>
      <c r="R171" s="192"/>
      <c r="T171" s="99"/>
      <c r="V171" s="172"/>
      <c r="Y171" s="110"/>
      <c r="Z171" s="181"/>
      <c r="AA171" s="110"/>
      <c r="AB171" s="110"/>
      <c r="AC171" s="141"/>
      <c r="AD171" s="141"/>
      <c r="AE171" s="110"/>
      <c r="AF171" s="110"/>
      <c r="AH171" s="207"/>
      <c r="AI171" s="110"/>
      <c r="AJ171" s="110"/>
      <c r="AL171" s="110"/>
      <c r="AM171" s="141"/>
      <c r="AN171" s="141"/>
    </row>
    <row r="172" spans="3:40" x14ac:dyDescent="0.3">
      <c r="C172" s="99"/>
      <c r="F172" s="110"/>
      <c r="H172" s="110"/>
      <c r="I172" s="110"/>
      <c r="J172" s="198"/>
      <c r="K172" s="198"/>
      <c r="L172" s="110"/>
      <c r="M172" s="110"/>
      <c r="N172" s="141"/>
      <c r="O172" s="141"/>
      <c r="P172" s="110"/>
      <c r="Q172" s="110"/>
      <c r="R172" s="110"/>
      <c r="T172" s="99"/>
      <c r="V172" s="172"/>
      <c r="Y172" s="110"/>
      <c r="Z172" s="181"/>
      <c r="AA172" s="110"/>
      <c r="AB172" s="110"/>
      <c r="AC172" s="141"/>
      <c r="AD172" s="141"/>
      <c r="AE172" s="110"/>
      <c r="AF172" s="110"/>
      <c r="AH172" s="207"/>
      <c r="AI172" s="110"/>
      <c r="AJ172" s="110"/>
      <c r="AL172" s="110"/>
      <c r="AM172" s="141"/>
      <c r="AN172" s="141"/>
    </row>
    <row r="173" spans="3:40" x14ac:dyDescent="0.3">
      <c r="F173" s="110"/>
      <c r="H173" s="110"/>
      <c r="I173" s="110"/>
      <c r="J173" s="217"/>
      <c r="K173" s="217"/>
      <c r="L173" s="192"/>
      <c r="M173" s="192"/>
      <c r="N173" s="192"/>
      <c r="O173" s="192"/>
      <c r="P173" s="192"/>
      <c r="Q173" s="192"/>
      <c r="R173" s="192"/>
      <c r="V173" s="110"/>
      <c r="Y173" s="192"/>
      <c r="Z173" s="217"/>
      <c r="AA173" s="192"/>
      <c r="AB173" s="192"/>
      <c r="AC173" s="192"/>
      <c r="AD173" s="192"/>
      <c r="AE173" s="192"/>
      <c r="AF173" s="192"/>
      <c r="AI173" s="192"/>
      <c r="AJ173" s="192"/>
      <c r="AK173" s="194"/>
      <c r="AL173" s="192"/>
      <c r="AM173" s="141"/>
      <c r="AN173" s="141"/>
    </row>
    <row r="174" spans="3:40" x14ac:dyDescent="0.3">
      <c r="C174" s="99"/>
      <c r="F174" s="110"/>
      <c r="H174" s="110"/>
      <c r="I174" s="110"/>
      <c r="J174" s="198"/>
      <c r="K174" s="198"/>
      <c r="L174" s="110"/>
      <c r="M174" s="110"/>
      <c r="N174" s="141"/>
      <c r="O174" s="141"/>
      <c r="P174" s="110"/>
      <c r="Q174" s="110"/>
      <c r="R174" s="110"/>
      <c r="T174" s="99"/>
      <c r="V174" s="110"/>
      <c r="Y174" s="110"/>
      <c r="Z174" s="217"/>
      <c r="AA174" s="110"/>
      <c r="AB174" s="110"/>
      <c r="AC174" s="141"/>
      <c r="AD174" s="141"/>
      <c r="AE174" s="110"/>
      <c r="AF174" s="110"/>
      <c r="AH174" s="207"/>
      <c r="AI174" s="110"/>
      <c r="AJ174" s="110"/>
      <c r="AL174" s="110"/>
      <c r="AM174" s="141"/>
      <c r="AN174" s="141"/>
    </row>
    <row r="175" spans="3:40" x14ac:dyDescent="0.3">
      <c r="C175" s="99"/>
      <c r="F175" s="172"/>
      <c r="H175" s="172"/>
      <c r="I175" s="172"/>
      <c r="J175" s="222"/>
      <c r="K175" s="222"/>
      <c r="L175" s="110"/>
      <c r="M175" s="110"/>
      <c r="N175" s="141"/>
      <c r="O175" s="141"/>
      <c r="P175" s="110"/>
      <c r="Q175" s="110"/>
      <c r="R175" s="110"/>
      <c r="V175" s="110"/>
      <c r="Y175" s="192"/>
      <c r="Z175" s="217"/>
      <c r="AA175" s="192"/>
      <c r="AB175" s="192"/>
      <c r="AC175" s="192"/>
      <c r="AD175" s="192"/>
      <c r="AE175" s="192"/>
      <c r="AF175" s="192"/>
      <c r="AI175" s="192"/>
      <c r="AJ175" s="192"/>
      <c r="AK175" s="194"/>
      <c r="AL175" s="192"/>
      <c r="AM175" s="141"/>
      <c r="AN175" s="141"/>
    </row>
    <row r="176" spans="3:40" x14ac:dyDescent="0.3">
      <c r="F176" s="192"/>
      <c r="H176" s="192"/>
      <c r="I176" s="192"/>
      <c r="J176" s="217"/>
      <c r="K176" s="217"/>
      <c r="L176" s="192"/>
      <c r="M176" s="192"/>
      <c r="N176" s="192"/>
      <c r="O176" s="192"/>
      <c r="P176" s="192"/>
      <c r="Q176" s="192"/>
      <c r="R176" s="192"/>
      <c r="T176" s="99"/>
      <c r="V176" s="110"/>
      <c r="Y176" s="110"/>
      <c r="Z176" s="217"/>
      <c r="AA176" s="110"/>
      <c r="AB176" s="110"/>
      <c r="AC176" s="110"/>
      <c r="AD176" s="110"/>
      <c r="AE176" s="110"/>
      <c r="AF176" s="110"/>
      <c r="AH176" s="207"/>
      <c r="AI176" s="110"/>
      <c r="AJ176" s="110"/>
      <c r="AL176" s="110"/>
      <c r="AM176" s="141"/>
      <c r="AN176" s="141"/>
    </row>
    <row r="177" spans="1:40" x14ac:dyDescent="0.3">
      <c r="C177" s="99"/>
      <c r="F177" s="110"/>
      <c r="H177" s="110"/>
      <c r="I177" s="110"/>
      <c r="J177" s="217"/>
      <c r="K177" s="217"/>
      <c r="L177" s="110"/>
      <c r="M177" s="110"/>
      <c r="N177" s="141"/>
      <c r="O177" s="141"/>
      <c r="P177" s="110"/>
      <c r="Q177" s="110"/>
      <c r="R177" s="110"/>
      <c r="S177" s="110"/>
      <c r="T177" s="99"/>
      <c r="V177" s="110"/>
      <c r="Y177" s="110"/>
      <c r="Z177" s="228"/>
      <c r="AA177" s="110"/>
      <c r="AB177" s="110"/>
      <c r="AC177" s="141"/>
      <c r="AD177" s="141"/>
      <c r="AE177" s="110"/>
      <c r="AF177" s="110"/>
      <c r="AH177" s="207"/>
      <c r="AI177" s="110"/>
      <c r="AJ177" s="110"/>
      <c r="AL177" s="110"/>
      <c r="AM177" s="141"/>
      <c r="AN177" s="141"/>
    </row>
    <row r="178" spans="1:40" x14ac:dyDescent="0.3">
      <c r="F178" s="192"/>
      <c r="H178" s="192"/>
      <c r="I178" s="192"/>
      <c r="J178" s="217"/>
      <c r="K178" s="217"/>
      <c r="L178" s="192"/>
      <c r="M178" s="192"/>
      <c r="N178" s="192"/>
      <c r="O178" s="192"/>
      <c r="P178" s="192"/>
      <c r="Q178" s="192"/>
      <c r="R178" s="192"/>
      <c r="S178" s="110"/>
      <c r="T178" s="99"/>
      <c r="Y178" s="110"/>
      <c r="Z178" s="228"/>
      <c r="AA178" s="110"/>
      <c r="AB178" s="110"/>
      <c r="AC178" s="141"/>
      <c r="AD178" s="141"/>
      <c r="AE178" s="110"/>
      <c r="AF178" s="110"/>
      <c r="AH178" s="207"/>
      <c r="AI178" s="110"/>
      <c r="AJ178" s="110"/>
      <c r="AL178" s="110"/>
      <c r="AM178" s="141"/>
      <c r="AN178" s="141"/>
    </row>
    <row r="179" spans="1:40" x14ac:dyDescent="0.3">
      <c r="C179" s="99"/>
      <c r="V179" s="110"/>
      <c r="Y179" s="110"/>
      <c r="Z179" s="217"/>
      <c r="AA179" s="192"/>
      <c r="AB179" s="192"/>
      <c r="AC179" s="192"/>
      <c r="AD179" s="192"/>
      <c r="AE179" s="192"/>
      <c r="AF179" s="192"/>
      <c r="AI179" s="192"/>
      <c r="AJ179" s="192"/>
      <c r="AK179" s="194"/>
      <c r="AL179" s="192"/>
      <c r="AM179" s="141"/>
      <c r="AN179" s="141"/>
    </row>
    <row r="180" spans="1:40" x14ac:dyDescent="0.3">
      <c r="C180" s="99"/>
      <c r="F180" s="110"/>
      <c r="H180" s="110"/>
      <c r="I180" s="110"/>
      <c r="L180" s="110"/>
      <c r="M180" s="110"/>
      <c r="N180" s="141"/>
      <c r="O180" s="141"/>
      <c r="P180" s="172"/>
      <c r="Q180" s="172"/>
      <c r="R180" s="110"/>
      <c r="T180" s="99"/>
      <c r="V180" s="110"/>
      <c r="Y180" s="110"/>
      <c r="Z180" s="198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1:40" x14ac:dyDescent="0.3">
      <c r="F181" s="192"/>
      <c r="H181" s="192"/>
      <c r="I181" s="192"/>
      <c r="J181" s="217"/>
      <c r="K181" s="217"/>
      <c r="L181" s="192"/>
      <c r="M181" s="192"/>
      <c r="N181" s="192"/>
      <c r="O181" s="192"/>
      <c r="P181" s="192"/>
      <c r="Q181" s="192"/>
      <c r="R181" s="192"/>
      <c r="V181" s="110"/>
      <c r="Y181" s="110"/>
      <c r="Z181" s="217"/>
      <c r="AA181" s="192"/>
      <c r="AB181" s="192"/>
      <c r="AC181" s="192"/>
      <c r="AD181" s="192"/>
      <c r="AE181" s="192"/>
      <c r="AF181" s="192"/>
      <c r="AI181" s="192"/>
      <c r="AJ181" s="192"/>
      <c r="AK181" s="194"/>
      <c r="AL181" s="192"/>
      <c r="AM181" s="141"/>
      <c r="AN181" s="141"/>
    </row>
    <row r="182" spans="1:40" x14ac:dyDescent="0.3">
      <c r="T182" s="99"/>
      <c r="V182" s="110"/>
      <c r="Y182" s="110"/>
      <c r="Z182" s="198"/>
      <c r="AA182" s="110"/>
      <c r="AB182" s="110"/>
      <c r="AC182" s="141"/>
      <c r="AD182" s="141"/>
      <c r="AE182" s="110"/>
      <c r="AF182" s="110"/>
      <c r="AH182" s="207"/>
      <c r="AI182" s="110"/>
      <c r="AJ182" s="110"/>
      <c r="AL182" s="110"/>
      <c r="AM182" s="141"/>
      <c r="AN182" s="141"/>
    </row>
    <row r="183" spans="1:40" x14ac:dyDescent="0.3">
      <c r="C183" s="99"/>
      <c r="L183" s="110"/>
      <c r="M183" s="110"/>
      <c r="N183" s="110"/>
      <c r="O183" s="110"/>
      <c r="P183" s="110"/>
      <c r="Q183" s="110"/>
      <c r="R183" s="110"/>
      <c r="S183" s="110"/>
      <c r="T183" s="99"/>
      <c r="V183" s="172"/>
      <c r="Y183" s="110"/>
      <c r="Z183" s="222"/>
      <c r="AA183" s="110"/>
      <c r="AB183" s="110"/>
      <c r="AC183" s="141"/>
      <c r="AD183" s="141"/>
      <c r="AE183" s="110"/>
      <c r="AF183" s="110"/>
      <c r="AH183" s="207"/>
      <c r="AI183" s="110"/>
      <c r="AJ183" s="110"/>
      <c r="AL183" s="110"/>
      <c r="AM183" s="141"/>
      <c r="AN183" s="141"/>
    </row>
    <row r="184" spans="1:40" x14ac:dyDescent="0.3">
      <c r="A184" s="99"/>
      <c r="V184" s="192"/>
      <c r="Y184" s="192"/>
      <c r="Z184" s="217"/>
      <c r="AA184" s="192"/>
      <c r="AB184" s="192"/>
      <c r="AC184" s="192"/>
      <c r="AD184" s="192"/>
      <c r="AE184" s="192"/>
      <c r="AF184" s="192"/>
      <c r="AI184" s="192"/>
      <c r="AJ184" s="192"/>
      <c r="AK184" s="194"/>
      <c r="AL184" s="192"/>
      <c r="AM184" s="141"/>
      <c r="AN184" s="141"/>
    </row>
    <row r="185" spans="1:40" x14ac:dyDescent="0.3">
      <c r="T185" s="99"/>
      <c r="V185" s="110"/>
      <c r="Y185" s="110"/>
      <c r="Z185" s="217"/>
      <c r="AA185" s="110"/>
      <c r="AB185" s="110"/>
      <c r="AC185" s="141"/>
      <c r="AD185" s="141"/>
      <c r="AE185" s="110"/>
      <c r="AF185" s="110"/>
      <c r="AH185" s="141"/>
      <c r="AI185" s="110"/>
      <c r="AJ185" s="110"/>
      <c r="AL185" s="110"/>
      <c r="AM185" s="141"/>
      <c r="AN185" s="141"/>
    </row>
    <row r="186" spans="1:40" x14ac:dyDescent="0.3">
      <c r="H186" s="99"/>
      <c r="I186" s="99"/>
      <c r="V186" s="192"/>
      <c r="Y186" s="192"/>
      <c r="Z186" s="217"/>
      <c r="AA186" s="192"/>
      <c r="AB186" s="192"/>
      <c r="AC186" s="192"/>
      <c r="AD186" s="192"/>
      <c r="AE186" s="192"/>
      <c r="AF186" s="192"/>
      <c r="AI186" s="192"/>
      <c r="AJ186" s="192"/>
      <c r="AK186" s="194"/>
      <c r="AL186" s="192"/>
      <c r="AM186" s="141"/>
      <c r="AN186" s="141"/>
    </row>
    <row r="187" spans="1:40" x14ac:dyDescent="0.3">
      <c r="T187" s="99"/>
    </row>
    <row r="188" spans="1:40" x14ac:dyDescent="0.3">
      <c r="L188" s="99"/>
      <c r="M188" s="99"/>
      <c r="AA188" s="99"/>
      <c r="AB188" s="99"/>
    </row>
    <row r="189" spans="1:40" x14ac:dyDescent="0.3">
      <c r="R189" s="99"/>
      <c r="AK189" s="190"/>
      <c r="AL189" s="99"/>
    </row>
    <row r="190" spans="1:40" x14ac:dyDescent="0.3">
      <c r="R190" s="99"/>
      <c r="AK190" s="190"/>
      <c r="AL190" s="99"/>
    </row>
    <row r="191" spans="1:40" x14ac:dyDescent="0.3">
      <c r="A191" s="99"/>
      <c r="R191" s="99"/>
      <c r="AK191" s="190"/>
      <c r="AL191" s="99"/>
    </row>
    <row r="192" spans="1:40" x14ac:dyDescent="0.3">
      <c r="L192" s="99"/>
      <c r="M192" s="99"/>
      <c r="AA192" s="99"/>
      <c r="AB192" s="99"/>
    </row>
    <row r="193" spans="1:40" x14ac:dyDescent="0.3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91"/>
      <c r="AH193" s="101"/>
      <c r="AI193" s="101"/>
      <c r="AJ193" s="101"/>
      <c r="AK193" s="191"/>
      <c r="AL193" s="101"/>
      <c r="AM193" s="101"/>
      <c r="AN193" s="101"/>
    </row>
    <row r="194" spans="1:40" x14ac:dyDescent="0.3">
      <c r="L194" s="102"/>
      <c r="M194" s="102"/>
      <c r="N194" s="102"/>
      <c r="O194" s="102"/>
      <c r="R194" s="102"/>
      <c r="AA194" s="102"/>
      <c r="AB194" s="102"/>
      <c r="AC194" s="102"/>
      <c r="AD194" s="102"/>
      <c r="AE194" s="102"/>
      <c r="AF194" s="102"/>
      <c r="AG194" s="151"/>
      <c r="AH194" s="102"/>
      <c r="AK194" s="151"/>
      <c r="AL194" s="102"/>
      <c r="AM194" s="102"/>
      <c r="AN194" s="102"/>
    </row>
    <row r="195" spans="1:40" x14ac:dyDescent="0.3">
      <c r="L195" s="102"/>
      <c r="M195" s="102"/>
      <c r="N195" s="102"/>
      <c r="O195" s="102"/>
      <c r="R195" s="102"/>
      <c r="Z195" s="102"/>
      <c r="AA195" s="102"/>
      <c r="AB195" s="102"/>
      <c r="AC195" s="102"/>
      <c r="AD195" s="102"/>
      <c r="AE195" s="102"/>
      <c r="AF195" s="102"/>
      <c r="AG195" s="151"/>
      <c r="AH195" s="102"/>
      <c r="AK195" s="151"/>
      <c r="AL195" s="102"/>
      <c r="AM195" s="102"/>
      <c r="AN195" s="102"/>
    </row>
    <row r="196" spans="1:40" x14ac:dyDescent="0.3">
      <c r="A196" s="102"/>
      <c r="C196" s="102"/>
      <c r="D196" s="102"/>
      <c r="E196" s="102"/>
      <c r="F196" s="102"/>
      <c r="J196" s="102"/>
      <c r="K196" s="102"/>
      <c r="L196" s="102"/>
      <c r="M196" s="102"/>
      <c r="N196" s="102"/>
      <c r="O196" s="102"/>
      <c r="P196" s="102"/>
      <c r="Q196" s="102"/>
      <c r="R196" s="102"/>
      <c r="T196" s="102"/>
      <c r="U196" s="102"/>
      <c r="V196" s="102"/>
      <c r="Z196" s="102"/>
      <c r="AA196" s="102"/>
      <c r="AB196" s="102"/>
      <c r="AC196" s="102"/>
      <c r="AD196" s="102"/>
      <c r="AE196" s="102"/>
      <c r="AF196" s="102"/>
      <c r="AG196" s="151"/>
      <c r="AH196" s="102"/>
      <c r="AI196" s="102"/>
      <c r="AJ196" s="102"/>
      <c r="AK196" s="151"/>
      <c r="AL196" s="102"/>
      <c r="AM196" s="102"/>
      <c r="AN196" s="102"/>
    </row>
    <row r="197" spans="1:40" x14ac:dyDescent="0.3">
      <c r="A197" s="102"/>
      <c r="C197" s="102"/>
      <c r="D197" s="102"/>
      <c r="E197" s="102"/>
      <c r="F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T197" s="102"/>
      <c r="U197" s="102"/>
      <c r="V197" s="102"/>
      <c r="Y197" s="102"/>
      <c r="Z197" s="102"/>
      <c r="AA197" s="102"/>
      <c r="AB197" s="102"/>
      <c r="AC197" s="102"/>
      <c r="AD197" s="102"/>
      <c r="AE197" s="102"/>
      <c r="AF197" s="102"/>
      <c r="AG197" s="151"/>
      <c r="AH197" s="102"/>
      <c r="AI197" s="102"/>
      <c r="AJ197" s="102"/>
      <c r="AK197" s="151"/>
      <c r="AL197" s="102"/>
      <c r="AM197" s="102"/>
      <c r="AN197" s="102"/>
    </row>
    <row r="198" spans="1:40" x14ac:dyDescent="0.3">
      <c r="C198" s="102"/>
      <c r="D198" s="102"/>
      <c r="E198" s="102"/>
      <c r="F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T198" s="102"/>
      <c r="U198" s="102"/>
      <c r="V198" s="102"/>
      <c r="Y198" s="102"/>
      <c r="Z198" s="102"/>
      <c r="AA198" s="102"/>
      <c r="AB198" s="102"/>
      <c r="AC198" s="102"/>
      <c r="AD198" s="102"/>
      <c r="AE198" s="102"/>
      <c r="AF198" s="102"/>
      <c r="AG198" s="151"/>
      <c r="AH198" s="102"/>
      <c r="AI198" s="102"/>
      <c r="AJ198" s="102"/>
      <c r="AK198" s="151"/>
      <c r="AL198" s="102"/>
      <c r="AM198" s="102"/>
      <c r="AN198" s="102"/>
    </row>
    <row r="199" spans="1:40" x14ac:dyDescent="0.3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91"/>
      <c r="AH199" s="101"/>
      <c r="AI199" s="101"/>
      <c r="AJ199" s="101"/>
      <c r="AK199" s="191"/>
      <c r="AL199" s="101"/>
      <c r="AM199" s="101"/>
      <c r="AN199" s="101"/>
    </row>
    <row r="200" spans="1:40" x14ac:dyDescent="0.3"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Y200" s="102"/>
      <c r="Z200" s="102"/>
      <c r="AA200" s="102"/>
      <c r="AB200" s="102"/>
      <c r="AC200" s="102"/>
      <c r="AD200" s="102"/>
      <c r="AE200" s="102"/>
      <c r="AF200" s="102"/>
      <c r="AG200" s="151"/>
      <c r="AH200" s="102"/>
      <c r="AI200" s="102"/>
      <c r="AJ200" s="102"/>
      <c r="AK200" s="151"/>
      <c r="AL200" s="102"/>
      <c r="AM200" s="102"/>
      <c r="AN200" s="102"/>
    </row>
    <row r="201" spans="1:40" x14ac:dyDescent="0.3">
      <c r="C201" s="99"/>
      <c r="D201" s="99"/>
      <c r="E201" s="99"/>
      <c r="T201" s="99"/>
      <c r="U201" s="99"/>
    </row>
    <row r="202" spans="1:40" x14ac:dyDescent="0.3">
      <c r="D202" s="99"/>
      <c r="E202" s="99"/>
      <c r="U202" s="99"/>
    </row>
    <row r="204" spans="1:40" x14ac:dyDescent="0.3">
      <c r="C204" s="99"/>
      <c r="F204" s="172"/>
      <c r="H204" s="172"/>
      <c r="I204" s="172"/>
      <c r="J204" s="181"/>
      <c r="K204" s="181"/>
      <c r="L204" s="110"/>
      <c r="M204" s="110"/>
      <c r="N204" s="141"/>
      <c r="O204" s="141"/>
      <c r="R204" s="110"/>
      <c r="T204" s="99"/>
      <c r="V204" s="110"/>
      <c r="Y204" s="172"/>
      <c r="Z204" s="181"/>
      <c r="AA204" s="110"/>
      <c r="AB204" s="110"/>
      <c r="AC204" s="141"/>
      <c r="AD204" s="141"/>
      <c r="AE204" s="110"/>
      <c r="AF204" s="110"/>
      <c r="AG204" s="224"/>
      <c r="AH204" s="225"/>
      <c r="AL204" s="110"/>
      <c r="AM204" s="226"/>
      <c r="AN204" s="226"/>
    </row>
    <row r="205" spans="1:40" x14ac:dyDescent="0.3">
      <c r="C205" s="99"/>
      <c r="F205" s="172"/>
      <c r="H205" s="172"/>
      <c r="I205" s="172"/>
      <c r="J205" s="181"/>
      <c r="K205" s="181"/>
      <c r="L205" s="110"/>
      <c r="M205" s="110"/>
      <c r="N205" s="141"/>
      <c r="O205" s="141"/>
      <c r="R205" s="110"/>
      <c r="T205" s="99"/>
      <c r="V205" s="110"/>
      <c r="Y205" s="172"/>
      <c r="Z205" s="181"/>
      <c r="AA205" s="110"/>
      <c r="AB205" s="110"/>
      <c r="AC205" s="141"/>
      <c r="AD205" s="141"/>
      <c r="AE205" s="110"/>
      <c r="AF205" s="110"/>
      <c r="AH205" s="207"/>
      <c r="AL205" s="110"/>
      <c r="AM205" s="141"/>
      <c r="AN205" s="141"/>
    </row>
    <row r="206" spans="1:40" x14ac:dyDescent="0.3">
      <c r="F206" s="192"/>
      <c r="H206" s="110"/>
      <c r="I206" s="110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10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  <c r="AM206" s="141"/>
      <c r="AN206" s="141"/>
    </row>
    <row r="207" spans="1:40" x14ac:dyDescent="0.3">
      <c r="C207" s="99"/>
      <c r="F207" s="110"/>
      <c r="H207" s="110"/>
      <c r="I207" s="110"/>
      <c r="J207" s="217"/>
      <c r="K207" s="217"/>
      <c r="L207" s="110"/>
      <c r="M207" s="110"/>
      <c r="N207" s="141"/>
      <c r="O207" s="141"/>
      <c r="P207" s="110"/>
      <c r="Q207" s="110"/>
      <c r="R207" s="110"/>
      <c r="T207" s="99"/>
      <c r="V207" s="110"/>
      <c r="Y207" s="110"/>
      <c r="Z207" s="198"/>
      <c r="AA207" s="110"/>
      <c r="AB207" s="110"/>
      <c r="AC207" s="141"/>
      <c r="AD207" s="141"/>
      <c r="AE207" s="110"/>
      <c r="AF207" s="110"/>
      <c r="AH207" s="207"/>
      <c r="AI207" s="110"/>
      <c r="AJ207" s="110"/>
      <c r="AL207" s="110"/>
      <c r="AM207" s="141"/>
      <c r="AN207" s="141"/>
    </row>
    <row r="208" spans="1:40" x14ac:dyDescent="0.3">
      <c r="F208" s="192"/>
      <c r="H208" s="110"/>
      <c r="I208" s="110"/>
      <c r="J208" s="217"/>
      <c r="K208" s="217"/>
      <c r="L208" s="192"/>
      <c r="M208" s="192"/>
      <c r="N208" s="192"/>
      <c r="O208" s="192"/>
      <c r="P208" s="192"/>
      <c r="Q208" s="192"/>
      <c r="R208" s="192"/>
      <c r="V208" s="192"/>
      <c r="Y208" s="110"/>
      <c r="Z208" s="217"/>
      <c r="AA208" s="192"/>
      <c r="AB208" s="192"/>
      <c r="AC208" s="192"/>
      <c r="AD208" s="192"/>
      <c r="AE208" s="192"/>
      <c r="AF208" s="192"/>
      <c r="AI208" s="192"/>
      <c r="AJ208" s="192"/>
      <c r="AK208" s="194"/>
      <c r="AL208" s="192"/>
      <c r="AM208" s="141"/>
      <c r="AN208" s="141"/>
    </row>
    <row r="209" spans="3:40" x14ac:dyDescent="0.3">
      <c r="F209" s="110"/>
      <c r="H209" s="110"/>
      <c r="I209" s="110"/>
      <c r="J209" s="217"/>
      <c r="K209" s="217"/>
      <c r="L209" s="110"/>
      <c r="M209" s="110"/>
      <c r="N209" s="141"/>
      <c r="O209" s="141"/>
      <c r="P209" s="110"/>
      <c r="Q209" s="110"/>
      <c r="R209" s="110"/>
      <c r="V209" s="110"/>
      <c r="Y209" s="110"/>
      <c r="Z209" s="198"/>
      <c r="AA209" s="110"/>
      <c r="AB209" s="110"/>
      <c r="AC209" s="141"/>
      <c r="AD209" s="141"/>
      <c r="AE209" s="110"/>
      <c r="AF209" s="110"/>
      <c r="AH209" s="207"/>
      <c r="AI209" s="110"/>
      <c r="AJ209" s="110"/>
      <c r="AL209" s="110"/>
      <c r="AM209" s="141"/>
      <c r="AN209" s="141"/>
    </row>
    <row r="210" spans="3:40" x14ac:dyDescent="0.3">
      <c r="C210" s="99"/>
      <c r="F210" s="172"/>
      <c r="H210" s="172"/>
      <c r="I210" s="172"/>
      <c r="J210" s="181"/>
      <c r="K210" s="181"/>
      <c r="L210" s="110"/>
      <c r="M210" s="110"/>
      <c r="N210" s="141"/>
      <c r="O210" s="141"/>
      <c r="P210" s="110"/>
      <c r="Q210" s="110"/>
      <c r="R210" s="110"/>
      <c r="T210" s="99"/>
      <c r="V210" s="172"/>
      <c r="Y210" s="110"/>
      <c r="Z210" s="181"/>
      <c r="AA210" s="110"/>
      <c r="AB210" s="110"/>
      <c r="AC210" s="141"/>
      <c r="AD210" s="141"/>
      <c r="AE210" s="110"/>
      <c r="AF210" s="110"/>
      <c r="AG210" s="224"/>
      <c r="AH210" s="225"/>
      <c r="AI210" s="110"/>
      <c r="AJ210" s="110"/>
      <c r="AL210" s="110"/>
      <c r="AM210" s="226"/>
      <c r="AN210" s="226"/>
    </row>
    <row r="211" spans="3:40" x14ac:dyDescent="0.3">
      <c r="C211" s="99"/>
      <c r="F211" s="172"/>
      <c r="H211" s="172"/>
      <c r="I211" s="172"/>
      <c r="J211" s="181"/>
      <c r="K211" s="181"/>
      <c r="L211" s="110"/>
      <c r="M211" s="110"/>
      <c r="N211" s="141"/>
      <c r="O211" s="141"/>
      <c r="P211" s="110"/>
      <c r="Q211" s="110"/>
      <c r="R211" s="110"/>
      <c r="T211" s="99"/>
      <c r="V211" s="172"/>
      <c r="Y211" s="110"/>
      <c r="Z211" s="181"/>
      <c r="AA211" s="110"/>
      <c r="AB211" s="110"/>
      <c r="AC211" s="141"/>
      <c r="AD211" s="141"/>
      <c r="AE211" s="110"/>
      <c r="AF211" s="110"/>
      <c r="AH211" s="207"/>
      <c r="AI211" s="110"/>
      <c r="AJ211" s="110"/>
      <c r="AL211" s="110"/>
      <c r="AM211" s="141"/>
      <c r="AN211" s="141"/>
    </row>
    <row r="212" spans="3:40" x14ac:dyDescent="0.3">
      <c r="F212" s="110"/>
      <c r="H212" s="192"/>
      <c r="I212" s="192"/>
      <c r="J212" s="217"/>
      <c r="K212" s="217"/>
      <c r="L212" s="192"/>
      <c r="M212" s="192"/>
      <c r="N212" s="192"/>
      <c r="O212" s="192"/>
      <c r="P212" s="192"/>
      <c r="Q212" s="192"/>
      <c r="R212" s="192"/>
      <c r="V212" s="110"/>
      <c r="Y212" s="192"/>
      <c r="Z212" s="217"/>
      <c r="AA212" s="192"/>
      <c r="AB212" s="192"/>
      <c r="AC212" s="192"/>
      <c r="AD212" s="192"/>
      <c r="AE212" s="192"/>
      <c r="AF212" s="192"/>
      <c r="AI212" s="192"/>
      <c r="AJ212" s="192"/>
      <c r="AK212" s="194"/>
      <c r="AL212" s="192"/>
      <c r="AM212" s="141"/>
      <c r="AN212" s="141"/>
    </row>
    <row r="213" spans="3:40" x14ac:dyDescent="0.3">
      <c r="C213" s="99"/>
      <c r="F213" s="110"/>
      <c r="H213" s="110"/>
      <c r="I213" s="110"/>
      <c r="J213" s="217"/>
      <c r="K213" s="217"/>
      <c r="L213" s="110"/>
      <c r="M213" s="110"/>
      <c r="N213" s="141"/>
      <c r="O213" s="141"/>
      <c r="P213" s="110"/>
      <c r="Q213" s="110"/>
      <c r="R213" s="110"/>
      <c r="T213" s="99"/>
      <c r="V213" s="110"/>
      <c r="Y213" s="110"/>
      <c r="Z213" s="217"/>
      <c r="AA213" s="110"/>
      <c r="AB213" s="110"/>
      <c r="AC213" s="141"/>
      <c r="AD213" s="141"/>
      <c r="AE213" s="110"/>
      <c r="AF213" s="110"/>
      <c r="AH213" s="207"/>
      <c r="AI213" s="110"/>
      <c r="AJ213" s="110"/>
      <c r="AL213" s="110"/>
      <c r="AM213" s="141"/>
      <c r="AN213" s="141"/>
    </row>
    <row r="214" spans="3:40" x14ac:dyDescent="0.3">
      <c r="F214" s="110"/>
      <c r="H214" s="192"/>
      <c r="I214" s="192"/>
      <c r="J214" s="217"/>
      <c r="K214" s="217"/>
      <c r="L214" s="192"/>
      <c r="M214" s="192"/>
      <c r="N214" s="192"/>
      <c r="O214" s="192"/>
      <c r="P214" s="192"/>
      <c r="Q214" s="192"/>
      <c r="R214" s="192"/>
      <c r="V214" s="110"/>
      <c r="Y214" s="192"/>
      <c r="Z214" s="217"/>
      <c r="AA214" s="192"/>
      <c r="AB214" s="192"/>
      <c r="AC214" s="192"/>
      <c r="AD214" s="192"/>
      <c r="AE214" s="192"/>
      <c r="AF214" s="192"/>
      <c r="AI214" s="192"/>
      <c r="AJ214" s="192"/>
      <c r="AK214" s="194"/>
      <c r="AL214" s="192"/>
      <c r="AM214" s="141"/>
      <c r="AN214" s="141"/>
    </row>
    <row r="215" spans="3:40" x14ac:dyDescent="0.3">
      <c r="F215" s="110"/>
      <c r="H215" s="110"/>
      <c r="I215" s="110"/>
      <c r="J215" s="217"/>
      <c r="K215" s="217"/>
      <c r="L215" s="110"/>
      <c r="M215" s="110"/>
      <c r="N215" s="110"/>
      <c r="O215" s="110"/>
      <c r="P215" s="110"/>
      <c r="Q215" s="110"/>
      <c r="R215" s="110"/>
      <c r="V215" s="110"/>
      <c r="Y215" s="110"/>
      <c r="Z215" s="217"/>
      <c r="AA215" s="110"/>
      <c r="AB215" s="110"/>
      <c r="AC215" s="110"/>
      <c r="AD215" s="110"/>
      <c r="AE215" s="110"/>
      <c r="AF215" s="110"/>
      <c r="AH215" s="207"/>
      <c r="AI215" s="110"/>
      <c r="AJ215" s="110"/>
      <c r="AL215" s="110"/>
      <c r="AM215" s="141"/>
      <c r="AN215" s="141"/>
    </row>
    <row r="216" spans="3:40" x14ac:dyDescent="0.3">
      <c r="C216" s="99"/>
      <c r="F216" s="172"/>
      <c r="H216" s="172"/>
      <c r="I216" s="172"/>
      <c r="J216" s="222"/>
      <c r="K216" s="222"/>
      <c r="L216" s="110"/>
      <c r="M216" s="110"/>
      <c r="N216" s="141"/>
      <c r="O216" s="141"/>
      <c r="P216" s="172"/>
      <c r="Q216" s="172"/>
      <c r="R216" s="110"/>
      <c r="T216" s="99"/>
      <c r="V216" s="172"/>
      <c r="Y216" s="172"/>
      <c r="Z216" s="227"/>
      <c r="AA216" s="110"/>
      <c r="AB216" s="110"/>
      <c r="AC216" s="141"/>
      <c r="AD216" s="141"/>
      <c r="AE216" s="110"/>
      <c r="AF216" s="110"/>
      <c r="AH216" s="207"/>
      <c r="AI216" s="172"/>
      <c r="AJ216" s="172"/>
      <c r="AL216" s="110"/>
      <c r="AM216" s="141"/>
      <c r="AN216" s="141"/>
    </row>
    <row r="217" spans="3:40" x14ac:dyDescent="0.3">
      <c r="C217" s="99"/>
      <c r="F217" s="172"/>
      <c r="H217" s="172"/>
      <c r="I217" s="172"/>
      <c r="J217" s="222"/>
      <c r="K217" s="222"/>
      <c r="L217" s="110"/>
      <c r="M217" s="110"/>
      <c r="N217" s="141"/>
      <c r="O217" s="141"/>
      <c r="P217" s="172"/>
      <c r="Q217" s="172"/>
      <c r="R217" s="110"/>
      <c r="T217" s="99"/>
      <c r="V217" s="172"/>
      <c r="Y217" s="110"/>
      <c r="Z217" s="216"/>
      <c r="AA217" s="110"/>
      <c r="AB217" s="110"/>
      <c r="AC217" s="141"/>
      <c r="AD217" s="141"/>
      <c r="AE217" s="110"/>
      <c r="AF217" s="110"/>
      <c r="AH217" s="207"/>
      <c r="AI217" s="172"/>
      <c r="AJ217" s="172"/>
      <c r="AL217" s="110"/>
      <c r="AM217" s="141"/>
      <c r="AN217" s="141"/>
    </row>
    <row r="218" spans="3:40" x14ac:dyDescent="0.3">
      <c r="C218" s="99"/>
      <c r="F218" s="172"/>
      <c r="H218" s="172"/>
      <c r="I218" s="172"/>
      <c r="J218" s="222"/>
      <c r="K218" s="222"/>
      <c r="L218" s="110"/>
      <c r="M218" s="110"/>
      <c r="N218" s="141"/>
      <c r="O218" s="141"/>
      <c r="P218" s="172"/>
      <c r="Q218" s="172"/>
      <c r="R218" s="110"/>
      <c r="T218" s="99"/>
      <c r="V218" s="172"/>
      <c r="Y218" s="110"/>
      <c r="Z218" s="216"/>
      <c r="AA218" s="110"/>
      <c r="AB218" s="110"/>
      <c r="AC218" s="141"/>
      <c r="AD218" s="141"/>
      <c r="AE218" s="110"/>
      <c r="AF218" s="110"/>
      <c r="AH218" s="207"/>
      <c r="AI218" s="172"/>
      <c r="AJ218" s="172"/>
      <c r="AL218" s="110"/>
      <c r="AM218" s="141"/>
      <c r="AN218" s="141"/>
    </row>
    <row r="219" spans="3:40" x14ac:dyDescent="0.3">
      <c r="F219" s="192"/>
      <c r="H219" s="192"/>
      <c r="I219" s="192"/>
      <c r="J219" s="217"/>
      <c r="K219" s="217"/>
      <c r="L219" s="192"/>
      <c r="M219" s="192"/>
      <c r="N219" s="192"/>
      <c r="O219" s="192"/>
      <c r="P219" s="192"/>
      <c r="Q219" s="192"/>
      <c r="R219" s="192"/>
      <c r="V219" s="192"/>
      <c r="Y219" s="192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  <c r="AM219" s="141"/>
      <c r="AN219" s="141"/>
    </row>
    <row r="220" spans="3:40" x14ac:dyDescent="0.3">
      <c r="C220" s="99"/>
      <c r="F220" s="110"/>
      <c r="H220" s="110"/>
      <c r="I220" s="110"/>
      <c r="J220" s="198"/>
      <c r="K220" s="198"/>
      <c r="L220" s="110"/>
      <c r="M220" s="110"/>
      <c r="N220" s="141"/>
      <c r="O220" s="141"/>
      <c r="P220" s="110"/>
      <c r="Q220" s="110"/>
      <c r="R220" s="110"/>
      <c r="T220" s="99"/>
      <c r="V220" s="110"/>
      <c r="Y220" s="110"/>
      <c r="Z220" s="198"/>
      <c r="AA220" s="110"/>
      <c r="AB220" s="110"/>
      <c r="AC220" s="141"/>
      <c r="AD220" s="141"/>
      <c r="AE220" s="110"/>
      <c r="AF220" s="110"/>
      <c r="AH220" s="207"/>
      <c r="AI220" s="110"/>
      <c r="AJ220" s="110"/>
      <c r="AL220" s="110"/>
      <c r="AM220" s="141"/>
      <c r="AN220" s="141"/>
    </row>
    <row r="221" spans="3:40" x14ac:dyDescent="0.3">
      <c r="F221" s="192"/>
      <c r="H221" s="192"/>
      <c r="I221" s="192"/>
      <c r="J221" s="217"/>
      <c r="K221" s="217"/>
      <c r="L221" s="192"/>
      <c r="M221" s="192"/>
      <c r="N221" s="192"/>
      <c r="O221" s="192"/>
      <c r="P221" s="192"/>
      <c r="Q221" s="192"/>
      <c r="R221" s="192"/>
      <c r="V221" s="192"/>
      <c r="Y221" s="192"/>
      <c r="Z221" s="217"/>
      <c r="AA221" s="192"/>
      <c r="AB221" s="192"/>
      <c r="AC221" s="192"/>
      <c r="AD221" s="192"/>
      <c r="AE221" s="192"/>
      <c r="AF221" s="192"/>
      <c r="AI221" s="192"/>
      <c r="AJ221" s="192"/>
      <c r="AK221" s="194"/>
      <c r="AL221" s="192"/>
      <c r="AM221" s="141"/>
      <c r="AN221" s="141"/>
    </row>
    <row r="222" spans="3:40" x14ac:dyDescent="0.3">
      <c r="C222" s="99"/>
      <c r="F222" s="110"/>
      <c r="H222" s="110"/>
      <c r="I222" s="110"/>
      <c r="J222" s="198"/>
      <c r="K222" s="198"/>
      <c r="L222" s="110"/>
      <c r="M222" s="110"/>
      <c r="N222" s="141"/>
      <c r="O222" s="141"/>
      <c r="P222" s="110"/>
      <c r="Q222" s="110"/>
      <c r="R222" s="110"/>
      <c r="T222" s="99"/>
      <c r="V222" s="110"/>
      <c r="Y222" s="110"/>
      <c r="Z222" s="198"/>
      <c r="AA222" s="110"/>
      <c r="AB222" s="110"/>
      <c r="AC222" s="141"/>
      <c r="AD222" s="141"/>
      <c r="AE222" s="110"/>
      <c r="AF222" s="110"/>
      <c r="AH222" s="207"/>
      <c r="AI222" s="110"/>
      <c r="AJ222" s="110"/>
      <c r="AL222" s="110"/>
      <c r="AM222" s="141"/>
      <c r="AN222" s="141"/>
    </row>
    <row r="223" spans="3:40" x14ac:dyDescent="0.3">
      <c r="C223" s="99"/>
      <c r="F223" s="110"/>
      <c r="H223" s="110"/>
      <c r="I223" s="110"/>
      <c r="J223" s="198"/>
      <c r="K223" s="198"/>
      <c r="L223" s="110"/>
      <c r="M223" s="110"/>
      <c r="N223" s="141"/>
      <c r="O223" s="141"/>
      <c r="P223" s="110"/>
      <c r="Q223" s="110"/>
      <c r="R223" s="110"/>
      <c r="T223" s="99"/>
      <c r="V223" s="110"/>
      <c r="Y223" s="110"/>
      <c r="Z223" s="198"/>
      <c r="AA223" s="110"/>
      <c r="AB223" s="110"/>
      <c r="AC223" s="141"/>
      <c r="AD223" s="141"/>
      <c r="AE223" s="110"/>
      <c r="AF223" s="110"/>
      <c r="AH223" s="207"/>
      <c r="AI223" s="110"/>
      <c r="AJ223" s="110"/>
      <c r="AL223" s="110"/>
      <c r="AM223" s="141"/>
      <c r="AN223" s="141"/>
    </row>
    <row r="224" spans="3:40" x14ac:dyDescent="0.3">
      <c r="F224" s="192"/>
      <c r="H224" s="192"/>
      <c r="I224" s="192"/>
      <c r="J224" s="217"/>
      <c r="K224" s="217"/>
      <c r="L224" s="192"/>
      <c r="M224" s="192"/>
      <c r="N224" s="192"/>
      <c r="O224" s="192"/>
      <c r="P224" s="192"/>
      <c r="Q224" s="192"/>
      <c r="R224" s="192"/>
      <c r="V224" s="192"/>
      <c r="Y224" s="192"/>
      <c r="Z224" s="217"/>
      <c r="AA224" s="192"/>
      <c r="AB224" s="192"/>
      <c r="AC224" s="192"/>
      <c r="AD224" s="192"/>
      <c r="AE224" s="192"/>
      <c r="AF224" s="192"/>
      <c r="AI224" s="192"/>
      <c r="AJ224" s="192"/>
      <c r="AK224" s="194"/>
      <c r="AL224" s="192"/>
      <c r="AM224" s="110"/>
      <c r="AN224" s="110"/>
    </row>
    <row r="225" spans="1:40" x14ac:dyDescent="0.3">
      <c r="F225" s="110"/>
      <c r="H225" s="110"/>
      <c r="I225" s="110"/>
      <c r="J225" s="198"/>
      <c r="K225" s="198"/>
      <c r="L225" s="110"/>
      <c r="M225" s="110"/>
      <c r="N225" s="110"/>
      <c r="O225" s="110"/>
      <c r="P225" s="110"/>
      <c r="Q225" s="110"/>
      <c r="R225" s="110"/>
      <c r="V225" s="110"/>
      <c r="Y225" s="110"/>
      <c r="Z225" s="198"/>
      <c r="AA225" s="110"/>
      <c r="AB225" s="110"/>
      <c r="AC225" s="110"/>
      <c r="AD225" s="110"/>
    </row>
    <row r="226" spans="1:40" x14ac:dyDescent="0.3">
      <c r="C226" s="99"/>
      <c r="F226" s="110"/>
      <c r="H226" s="110"/>
      <c r="I226" s="110"/>
      <c r="J226" s="198"/>
      <c r="K226" s="198"/>
      <c r="L226" s="110"/>
      <c r="M226" s="110"/>
      <c r="N226" s="110"/>
      <c r="O226" s="110"/>
      <c r="P226" s="110"/>
      <c r="Q226" s="110"/>
      <c r="R226" s="110"/>
      <c r="T226" s="99"/>
      <c r="V226" s="110"/>
      <c r="Y226" s="110"/>
      <c r="Z226" s="198"/>
      <c r="AA226" s="110"/>
      <c r="AB226" s="110"/>
      <c r="AC226" s="110"/>
      <c r="AD226" s="110"/>
    </row>
    <row r="227" spans="1:40" x14ac:dyDescent="0.3">
      <c r="A227" s="99"/>
    </row>
    <row r="229" spans="1:40" x14ac:dyDescent="0.3">
      <c r="H229" s="99"/>
      <c r="I229" s="99"/>
      <c r="Y229" s="99"/>
    </row>
    <row r="231" spans="1:40" x14ac:dyDescent="0.3">
      <c r="L231" s="99"/>
      <c r="M231" s="99"/>
      <c r="AA231" s="99"/>
      <c r="AB231" s="99"/>
    </row>
    <row r="232" spans="1:40" x14ac:dyDescent="0.3">
      <c r="R232" s="99"/>
      <c r="AK232" s="190"/>
      <c r="AL232" s="99"/>
    </row>
    <row r="233" spans="1:40" x14ac:dyDescent="0.3">
      <c r="R233" s="99"/>
      <c r="AK233" s="190"/>
      <c r="AL233" s="99"/>
    </row>
    <row r="234" spans="1:40" x14ac:dyDescent="0.3">
      <c r="A234" s="99"/>
      <c r="R234" s="99"/>
      <c r="AK234" s="190"/>
      <c r="AL234" s="99"/>
    </row>
    <row r="235" spans="1:40" x14ac:dyDescent="0.3">
      <c r="L235" s="99"/>
      <c r="M235" s="99"/>
      <c r="AA235" s="99"/>
      <c r="AB235" s="99"/>
    </row>
    <row r="236" spans="1:40" x14ac:dyDescent="0.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91"/>
      <c r="AH236" s="101"/>
      <c r="AI236" s="101"/>
      <c r="AJ236" s="101"/>
      <c r="AK236" s="191"/>
      <c r="AL236" s="101"/>
      <c r="AM236" s="101"/>
      <c r="AN236" s="101"/>
    </row>
    <row r="237" spans="1:40" x14ac:dyDescent="0.3">
      <c r="L237" s="102"/>
      <c r="M237" s="102"/>
      <c r="N237" s="102"/>
      <c r="O237" s="102"/>
      <c r="R237" s="102"/>
      <c r="AA237" s="102"/>
      <c r="AB237" s="102"/>
      <c r="AC237" s="102"/>
      <c r="AD237" s="102"/>
      <c r="AE237" s="102"/>
      <c r="AF237" s="102"/>
      <c r="AG237" s="151"/>
      <c r="AH237" s="102"/>
      <c r="AK237" s="151"/>
      <c r="AL237" s="102"/>
      <c r="AM237" s="102"/>
      <c r="AN237" s="102"/>
    </row>
    <row r="238" spans="1:40" x14ac:dyDescent="0.3">
      <c r="L238" s="102"/>
      <c r="M238" s="102"/>
      <c r="N238" s="102"/>
      <c r="O238" s="102"/>
      <c r="R238" s="102"/>
      <c r="Z238" s="102"/>
      <c r="AA238" s="102"/>
      <c r="AB238" s="102"/>
      <c r="AC238" s="102"/>
      <c r="AD238" s="102"/>
      <c r="AE238" s="102"/>
      <c r="AF238" s="102"/>
      <c r="AG238" s="151"/>
      <c r="AH238" s="102"/>
      <c r="AK238" s="151"/>
      <c r="AL238" s="102"/>
      <c r="AM238" s="102"/>
      <c r="AN238" s="102"/>
    </row>
    <row r="239" spans="1:40" x14ac:dyDescent="0.3">
      <c r="A239" s="102"/>
      <c r="C239" s="102"/>
      <c r="D239" s="102"/>
      <c r="E239" s="102"/>
      <c r="F239" s="102"/>
      <c r="J239" s="102"/>
      <c r="K239" s="102"/>
      <c r="L239" s="102"/>
      <c r="M239" s="102"/>
      <c r="N239" s="102"/>
      <c r="O239" s="102"/>
      <c r="P239" s="102"/>
      <c r="Q239" s="102"/>
      <c r="R239" s="102"/>
      <c r="T239" s="102"/>
      <c r="U239" s="102"/>
      <c r="V239" s="102"/>
      <c r="Z239" s="102"/>
      <c r="AA239" s="102"/>
      <c r="AB239" s="102"/>
      <c r="AC239" s="102"/>
      <c r="AD239" s="102"/>
      <c r="AE239" s="102"/>
      <c r="AF239" s="102"/>
      <c r="AG239" s="151"/>
      <c r="AH239" s="102"/>
      <c r="AI239" s="102"/>
      <c r="AJ239" s="102"/>
      <c r="AK239" s="151"/>
      <c r="AL239" s="102"/>
      <c r="AM239" s="102"/>
      <c r="AN239" s="102"/>
    </row>
    <row r="240" spans="1:40" x14ac:dyDescent="0.3">
      <c r="A240" s="102"/>
      <c r="C240" s="102"/>
      <c r="D240" s="102"/>
      <c r="E240" s="102"/>
      <c r="F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Y240" s="102"/>
      <c r="Z240" s="102"/>
      <c r="AA240" s="102"/>
      <c r="AB240" s="102"/>
      <c r="AC240" s="102"/>
      <c r="AD240" s="102"/>
      <c r="AE240" s="102"/>
      <c r="AF240" s="102"/>
      <c r="AG240" s="151"/>
      <c r="AH240" s="102"/>
      <c r="AI240" s="102"/>
      <c r="AJ240" s="102"/>
      <c r="AK240" s="151"/>
      <c r="AL240" s="102"/>
      <c r="AM240" s="102"/>
      <c r="AN240" s="102"/>
    </row>
    <row r="241" spans="1:40" x14ac:dyDescent="0.3">
      <c r="C241" s="102"/>
      <c r="D241" s="102"/>
      <c r="E241" s="102"/>
      <c r="F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Y241" s="102"/>
      <c r="Z241" s="102"/>
      <c r="AA241" s="102"/>
      <c r="AB241" s="102"/>
      <c r="AC241" s="102"/>
      <c r="AD241" s="102"/>
      <c r="AE241" s="102"/>
      <c r="AF241" s="102"/>
      <c r="AG241" s="151"/>
      <c r="AH241" s="102"/>
      <c r="AI241" s="102"/>
      <c r="AJ241" s="102"/>
      <c r="AK241" s="151"/>
      <c r="AL241" s="102"/>
      <c r="AM241" s="102"/>
      <c r="AN241" s="102"/>
    </row>
    <row r="242" spans="1:40" x14ac:dyDescent="0.3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91"/>
      <c r="AH242" s="101"/>
      <c r="AI242" s="101"/>
      <c r="AJ242" s="101"/>
      <c r="AK242" s="191"/>
      <c r="AL242" s="101"/>
      <c r="AM242" s="101"/>
      <c r="AN242" s="101"/>
    </row>
    <row r="243" spans="1:40" x14ac:dyDescent="0.3"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Y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I243" s="102"/>
      <c r="AJ243" s="102"/>
      <c r="AK243" s="151"/>
      <c r="AL243" s="102"/>
      <c r="AM243" s="102"/>
      <c r="AN243" s="102"/>
    </row>
    <row r="244" spans="1:40" x14ac:dyDescent="0.3">
      <c r="C244" s="99"/>
      <c r="D244" s="99"/>
      <c r="E244" s="99"/>
      <c r="T244" s="99"/>
      <c r="U244" s="99"/>
    </row>
    <row r="246" spans="1:40" x14ac:dyDescent="0.3">
      <c r="C246" s="99"/>
      <c r="F246" s="172"/>
      <c r="H246" s="220"/>
      <c r="I246" s="220"/>
      <c r="J246" s="181"/>
      <c r="K246" s="181"/>
      <c r="L246" s="110"/>
      <c r="M246" s="110"/>
      <c r="R246" s="110"/>
      <c r="T246" s="99"/>
      <c r="V246" s="110"/>
      <c r="Z246" s="181"/>
      <c r="AA246" s="110"/>
      <c r="AB246" s="110"/>
      <c r="AE246" s="110"/>
      <c r="AF246" s="110"/>
      <c r="AG246" s="224"/>
      <c r="AH246" s="225"/>
      <c r="AI246" s="110"/>
      <c r="AJ246" s="110"/>
      <c r="AL246" s="110"/>
      <c r="AM246" s="226"/>
      <c r="AN246" s="226"/>
    </row>
    <row r="247" spans="1:40" x14ac:dyDescent="0.3">
      <c r="F247" s="172"/>
      <c r="H247" s="220"/>
      <c r="I247" s="220"/>
      <c r="J247" s="220"/>
      <c r="K247" s="220"/>
      <c r="R247" s="110"/>
      <c r="V247" s="110"/>
      <c r="Z247" s="220"/>
    </row>
    <row r="248" spans="1:40" x14ac:dyDescent="0.3">
      <c r="C248" s="99"/>
      <c r="F248" s="172"/>
      <c r="H248" s="172"/>
      <c r="I248" s="172"/>
      <c r="J248" s="222"/>
      <c r="K248" s="222"/>
      <c r="L248" s="110"/>
      <c r="M248" s="110"/>
      <c r="N248" s="141"/>
      <c r="O248" s="141"/>
      <c r="P248" s="172"/>
      <c r="Q248" s="172"/>
      <c r="R248" s="110"/>
      <c r="T248" s="99"/>
      <c r="V248" s="110"/>
      <c r="Y248" s="110"/>
      <c r="Z248" s="216"/>
      <c r="AA248" s="110"/>
      <c r="AB248" s="110"/>
      <c r="AC248" s="141"/>
      <c r="AD248" s="141"/>
      <c r="AE248" s="110"/>
      <c r="AF248" s="110"/>
      <c r="AH248" s="207"/>
      <c r="AI248" s="172"/>
      <c r="AJ248" s="172"/>
      <c r="AL248" s="110"/>
      <c r="AM248" s="141"/>
      <c r="AN248" s="141"/>
    </row>
    <row r="249" spans="1:40" x14ac:dyDescent="0.3">
      <c r="F249" s="192"/>
      <c r="H249" s="192"/>
      <c r="I249" s="192"/>
      <c r="J249" s="217"/>
      <c r="K249" s="217"/>
      <c r="L249" s="192"/>
      <c r="M249" s="192"/>
      <c r="N249" s="192"/>
      <c r="O249" s="192"/>
      <c r="P249" s="192"/>
      <c r="Q249" s="192"/>
      <c r="R249" s="192"/>
      <c r="V249" s="192"/>
      <c r="Y249" s="192"/>
      <c r="Z249" s="217"/>
      <c r="AA249" s="192"/>
      <c r="AB249" s="192"/>
      <c r="AC249" s="192"/>
      <c r="AD249" s="192"/>
      <c r="AE249" s="192"/>
      <c r="AF249" s="192"/>
      <c r="AI249" s="192"/>
      <c r="AJ249" s="192"/>
      <c r="AK249" s="194"/>
      <c r="AL249" s="192"/>
    </row>
    <row r="250" spans="1:40" x14ac:dyDescent="0.3">
      <c r="D250" s="99"/>
      <c r="E250" s="99"/>
      <c r="F250" s="110"/>
      <c r="H250" s="110"/>
      <c r="I250" s="110"/>
      <c r="J250" s="198"/>
      <c r="K250" s="198"/>
      <c r="L250" s="110"/>
      <c r="M250" s="110"/>
      <c r="N250" s="141"/>
      <c r="O250" s="141"/>
      <c r="P250" s="110"/>
      <c r="Q250" s="110"/>
      <c r="R250" s="110"/>
      <c r="U250" s="99"/>
      <c r="V250" s="110"/>
      <c r="Y250" s="110"/>
      <c r="Z250" s="198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1:40" x14ac:dyDescent="0.3">
      <c r="F251" s="192"/>
      <c r="H251" s="192"/>
      <c r="I251" s="192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92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</row>
    <row r="252" spans="1:40" x14ac:dyDescent="0.3">
      <c r="R252" s="110"/>
    </row>
    <row r="253" spans="1:40" x14ac:dyDescent="0.3">
      <c r="R253" s="110"/>
    </row>
    <row r="254" spans="1:40" x14ac:dyDescent="0.3">
      <c r="R254" s="110"/>
    </row>
    <row r="255" spans="1:40" x14ac:dyDescent="0.3">
      <c r="C255" s="99"/>
      <c r="D255" s="99"/>
      <c r="E255" s="99"/>
      <c r="H255" s="110"/>
      <c r="I255" s="110"/>
      <c r="J255" s="198"/>
      <c r="K255" s="198"/>
      <c r="L255" s="110"/>
      <c r="M255" s="110"/>
      <c r="N255" s="141"/>
      <c r="O255" s="141"/>
      <c r="P255" s="110"/>
      <c r="Q255" s="110"/>
      <c r="R255" s="110"/>
      <c r="T255" s="99"/>
      <c r="U255" s="99"/>
      <c r="Y255" s="110"/>
      <c r="Z255" s="198"/>
      <c r="AA255" s="110"/>
      <c r="AB255" s="110"/>
      <c r="AC255" s="141"/>
      <c r="AD255" s="141"/>
    </row>
    <row r="256" spans="1:40" x14ac:dyDescent="0.3">
      <c r="H256" s="110"/>
      <c r="I256" s="110"/>
      <c r="J256" s="198"/>
      <c r="K256" s="198"/>
      <c r="L256" s="110"/>
      <c r="M256" s="110"/>
      <c r="N256" s="141"/>
      <c r="O256" s="141"/>
      <c r="P256" s="110"/>
      <c r="Q256" s="110"/>
      <c r="R256" s="110"/>
      <c r="Y256" s="110"/>
      <c r="Z256" s="198"/>
      <c r="AA256" s="110"/>
      <c r="AB256" s="110"/>
      <c r="AC256" s="141"/>
      <c r="AD256" s="141"/>
    </row>
    <row r="257" spans="1:40" x14ac:dyDescent="0.3">
      <c r="C257" s="99"/>
      <c r="F257" s="172"/>
      <c r="H257" s="172"/>
      <c r="I257" s="172"/>
      <c r="J257" s="208"/>
      <c r="K257" s="208"/>
      <c r="L257" s="172"/>
      <c r="M257" s="172"/>
      <c r="N257" s="141"/>
      <c r="O257" s="141"/>
      <c r="P257" s="110"/>
      <c r="Q257" s="110"/>
      <c r="R257" s="110"/>
      <c r="T257" s="99"/>
      <c r="V257" s="110"/>
      <c r="Y257" s="110"/>
      <c r="Z257" s="208"/>
      <c r="AA257" s="110"/>
      <c r="AB257" s="110"/>
      <c r="AC257" s="141"/>
      <c r="AD257" s="141"/>
      <c r="AE257" s="110"/>
      <c r="AF257" s="110"/>
      <c r="AH257" s="207"/>
      <c r="AI257" s="110"/>
      <c r="AJ257" s="110"/>
      <c r="AL257" s="110"/>
      <c r="AM257" s="141"/>
      <c r="AN257" s="141"/>
    </row>
    <row r="258" spans="1:40" x14ac:dyDescent="0.3">
      <c r="F258" s="172"/>
      <c r="H258" s="220"/>
      <c r="I258" s="220"/>
      <c r="J258" s="220"/>
      <c r="K258" s="220"/>
      <c r="R258" s="110"/>
      <c r="V258" s="110"/>
      <c r="Z258" s="220"/>
    </row>
    <row r="259" spans="1:40" x14ac:dyDescent="0.3">
      <c r="C259" s="99"/>
      <c r="F259" s="172"/>
      <c r="H259" s="172"/>
      <c r="I259" s="172"/>
      <c r="J259" s="181"/>
      <c r="K259" s="181"/>
      <c r="L259" s="110"/>
      <c r="M259" s="110"/>
      <c r="N259" s="141"/>
      <c r="O259" s="141"/>
      <c r="P259" s="110"/>
      <c r="Q259" s="110"/>
      <c r="R259" s="110"/>
      <c r="T259" s="99"/>
      <c r="V259" s="110"/>
      <c r="Y259" s="110"/>
      <c r="Z259" s="181"/>
      <c r="AA259" s="110"/>
      <c r="AB259" s="110"/>
      <c r="AC259" s="141"/>
      <c r="AD259" s="141"/>
      <c r="AE259" s="110"/>
      <c r="AF259" s="110"/>
      <c r="AH259" s="207"/>
      <c r="AI259" s="110"/>
      <c r="AJ259" s="110"/>
      <c r="AL259" s="110"/>
      <c r="AM259" s="141"/>
      <c r="AN259" s="141"/>
    </row>
    <row r="260" spans="1:40" x14ac:dyDescent="0.3">
      <c r="F260" s="172"/>
      <c r="H260" s="220"/>
      <c r="I260" s="220"/>
      <c r="J260" s="220"/>
      <c r="K260" s="220"/>
      <c r="R260" s="110"/>
      <c r="V260" s="110"/>
      <c r="Z260" s="220"/>
    </row>
    <row r="261" spans="1:40" x14ac:dyDescent="0.3">
      <c r="C261" s="99"/>
      <c r="F261" s="172"/>
      <c r="H261" s="172"/>
      <c r="I261" s="172"/>
      <c r="J261" s="222"/>
      <c r="K261" s="222"/>
      <c r="L261" s="110"/>
      <c r="M261" s="110"/>
      <c r="N261" s="141"/>
      <c r="O261" s="141"/>
      <c r="P261" s="110"/>
      <c r="Q261" s="110"/>
      <c r="R261" s="110"/>
      <c r="T261" s="99"/>
      <c r="V261" s="110"/>
      <c r="Y261" s="110"/>
      <c r="Z261" s="216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1:40" x14ac:dyDescent="0.3">
      <c r="F262" s="192"/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S262" s="110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</row>
    <row r="263" spans="1:40" x14ac:dyDescent="0.3">
      <c r="D263" s="99"/>
      <c r="E263" s="99"/>
      <c r="F263" s="110"/>
      <c r="H263" s="110"/>
      <c r="I263" s="110"/>
      <c r="J263" s="198"/>
      <c r="K263" s="198"/>
      <c r="L263" s="110"/>
      <c r="M263" s="110"/>
      <c r="N263" s="141"/>
      <c r="O263" s="141"/>
      <c r="P263" s="172"/>
      <c r="Q263" s="172"/>
      <c r="R263" s="110"/>
      <c r="S263" s="110"/>
      <c r="U263" s="99"/>
      <c r="V263" s="110"/>
      <c r="Y263" s="110"/>
      <c r="Z263" s="198"/>
      <c r="AA263" s="110"/>
      <c r="AB263" s="110"/>
      <c r="AC263" s="141"/>
      <c r="AD263" s="141"/>
      <c r="AE263" s="110"/>
      <c r="AF263" s="110"/>
      <c r="AH263" s="207"/>
      <c r="AI263" s="172"/>
      <c r="AJ263" s="172"/>
      <c r="AL263" s="110"/>
      <c r="AM263" s="141"/>
      <c r="AN263" s="141"/>
    </row>
    <row r="264" spans="1:40" x14ac:dyDescent="0.3">
      <c r="F264" s="192"/>
      <c r="H264" s="192"/>
      <c r="I264" s="192"/>
      <c r="J264" s="217"/>
      <c r="K264" s="217"/>
      <c r="L264" s="192"/>
      <c r="M264" s="192"/>
      <c r="N264" s="192"/>
      <c r="O264" s="192"/>
      <c r="P264" s="192"/>
      <c r="Q264" s="192"/>
      <c r="R264" s="192"/>
      <c r="S264" s="110"/>
      <c r="V264" s="192"/>
      <c r="Y264" s="192"/>
      <c r="Z264" s="217"/>
      <c r="AA264" s="192"/>
      <c r="AB264" s="192"/>
      <c r="AC264" s="192"/>
      <c r="AD264" s="192"/>
      <c r="AE264" s="192"/>
      <c r="AF264" s="192"/>
      <c r="AI264" s="192"/>
      <c r="AJ264" s="192"/>
      <c r="AK264" s="194"/>
      <c r="AL264" s="192"/>
    </row>
    <row r="265" spans="1:40" x14ac:dyDescent="0.3">
      <c r="R265" s="110"/>
    </row>
    <row r="266" spans="1:40" x14ac:dyDescent="0.3">
      <c r="F266" s="110"/>
      <c r="H266" s="110"/>
      <c r="I266" s="110"/>
      <c r="J266" s="198"/>
      <c r="K266" s="198"/>
      <c r="L266" s="110"/>
      <c r="M266" s="110"/>
      <c r="N266" s="110"/>
      <c r="O266" s="110"/>
      <c r="P266" s="110"/>
      <c r="Q266" s="110"/>
      <c r="R266" s="110"/>
      <c r="V266" s="110"/>
      <c r="Y266" s="110"/>
      <c r="Z266" s="198"/>
      <c r="AA266" s="110"/>
      <c r="AB266" s="110"/>
      <c r="AC266" s="110"/>
      <c r="AD266" s="110"/>
    </row>
    <row r="267" spans="1:40" x14ac:dyDescent="0.3">
      <c r="C267" s="99"/>
      <c r="F267" s="110"/>
      <c r="H267" s="110"/>
      <c r="I267" s="110"/>
      <c r="J267" s="198"/>
      <c r="K267" s="198"/>
      <c r="L267" s="110"/>
      <c r="M267" s="110"/>
      <c r="N267" s="110"/>
      <c r="O267" s="110"/>
      <c r="P267" s="110"/>
      <c r="Q267" s="110"/>
      <c r="R267" s="110"/>
      <c r="T267" s="99"/>
      <c r="V267" s="110"/>
      <c r="Y267" s="110"/>
      <c r="Z267" s="198"/>
      <c r="AA267" s="110"/>
      <c r="AB267" s="110"/>
      <c r="AC267" s="110"/>
      <c r="AD267" s="110"/>
    </row>
    <row r="268" spans="1:40" x14ac:dyDescent="0.3">
      <c r="C268" s="99"/>
      <c r="T268" s="99"/>
    </row>
    <row r="269" spans="1:40" x14ac:dyDescent="0.3">
      <c r="A269" s="99"/>
    </row>
    <row r="272" spans="1:40" x14ac:dyDescent="0.3">
      <c r="H272" s="99"/>
      <c r="I272" s="99"/>
      <c r="Y272" s="99"/>
    </row>
    <row r="274" spans="1:40" x14ac:dyDescent="0.3">
      <c r="L274" s="99"/>
      <c r="M274" s="99"/>
      <c r="AA274" s="99"/>
      <c r="AB274" s="99"/>
    </row>
    <row r="275" spans="1:40" x14ac:dyDescent="0.3">
      <c r="R275" s="99"/>
      <c r="AK275" s="190"/>
      <c r="AL275" s="99"/>
    </row>
    <row r="276" spans="1:40" x14ac:dyDescent="0.3">
      <c r="R276" s="99"/>
      <c r="AK276" s="190"/>
      <c r="AL276" s="99"/>
    </row>
    <row r="277" spans="1:40" x14ac:dyDescent="0.3">
      <c r="A277" s="99"/>
      <c r="R277" s="99"/>
      <c r="AK277" s="190"/>
      <c r="AL277" s="99"/>
    </row>
    <row r="278" spans="1:40" x14ac:dyDescent="0.3">
      <c r="L278" s="99"/>
      <c r="M278" s="99"/>
      <c r="AA278" s="99"/>
      <c r="AB278" s="99"/>
    </row>
    <row r="279" spans="1:40" x14ac:dyDescent="0.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91"/>
      <c r="AH279" s="101"/>
      <c r="AI279" s="101"/>
      <c r="AJ279" s="101"/>
      <c r="AK279" s="191"/>
      <c r="AL279" s="101"/>
      <c r="AM279" s="101"/>
      <c r="AN279" s="101"/>
    </row>
    <row r="280" spans="1:40" x14ac:dyDescent="0.3">
      <c r="L280" s="102"/>
      <c r="M280" s="102"/>
      <c r="N280" s="102"/>
      <c r="O280" s="102"/>
      <c r="R280" s="102"/>
      <c r="AA280" s="102"/>
      <c r="AB280" s="102"/>
      <c r="AC280" s="102"/>
      <c r="AD280" s="102"/>
      <c r="AE280" s="102"/>
      <c r="AF280" s="102"/>
      <c r="AG280" s="151"/>
      <c r="AH280" s="102"/>
      <c r="AK280" s="151"/>
      <c r="AL280" s="102"/>
      <c r="AM280" s="102"/>
      <c r="AN280" s="102"/>
    </row>
    <row r="281" spans="1:40" x14ac:dyDescent="0.3">
      <c r="L281" s="102"/>
      <c r="M281" s="102"/>
      <c r="N281" s="102"/>
      <c r="O281" s="102"/>
      <c r="R281" s="102"/>
      <c r="Z281" s="102"/>
      <c r="AA281" s="102"/>
      <c r="AB281" s="102"/>
      <c r="AC281" s="102"/>
      <c r="AD281" s="102"/>
      <c r="AE281" s="102"/>
      <c r="AF281" s="102"/>
      <c r="AG281" s="151"/>
      <c r="AH281" s="102"/>
      <c r="AK281" s="151"/>
      <c r="AL281" s="102"/>
      <c r="AM281" s="102"/>
      <c r="AN281" s="102"/>
    </row>
    <row r="282" spans="1:40" x14ac:dyDescent="0.3">
      <c r="A282" s="102"/>
      <c r="C282" s="102"/>
      <c r="D282" s="102"/>
      <c r="E282" s="102"/>
      <c r="F282" s="102"/>
      <c r="J282" s="102"/>
      <c r="K282" s="102"/>
      <c r="L282" s="102"/>
      <c r="M282" s="102"/>
      <c r="N282" s="102"/>
      <c r="O282" s="102"/>
      <c r="P282" s="102"/>
      <c r="Q282" s="102"/>
      <c r="R282" s="102"/>
      <c r="T282" s="102"/>
      <c r="U282" s="102"/>
      <c r="V282" s="102"/>
      <c r="Z282" s="102"/>
      <c r="AA282" s="102"/>
      <c r="AB282" s="102"/>
      <c r="AC282" s="102"/>
      <c r="AD282" s="102"/>
      <c r="AE282" s="102"/>
      <c r="AF282" s="102"/>
      <c r="AG282" s="151"/>
      <c r="AH282" s="102"/>
      <c r="AI282" s="102"/>
      <c r="AJ282" s="102"/>
      <c r="AK282" s="151"/>
      <c r="AL282" s="102"/>
      <c r="AM282" s="102"/>
      <c r="AN282" s="102"/>
    </row>
    <row r="283" spans="1:40" x14ac:dyDescent="0.3">
      <c r="A283" s="102"/>
      <c r="C283" s="102"/>
      <c r="D283" s="102"/>
      <c r="E283" s="102"/>
      <c r="F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T283" s="102"/>
      <c r="U283" s="102"/>
      <c r="V283" s="102"/>
      <c r="Y283" s="102"/>
      <c r="Z283" s="102"/>
      <c r="AA283" s="102"/>
      <c r="AB283" s="102"/>
      <c r="AC283" s="102"/>
      <c r="AD283" s="102"/>
      <c r="AE283" s="102"/>
      <c r="AF283" s="102"/>
      <c r="AG283" s="151"/>
      <c r="AH283" s="102"/>
      <c r="AI283" s="102"/>
      <c r="AJ283" s="102"/>
      <c r="AK283" s="151"/>
      <c r="AL283" s="102"/>
      <c r="AM283" s="102"/>
      <c r="AN283" s="102"/>
    </row>
    <row r="284" spans="1:40" x14ac:dyDescent="0.3">
      <c r="C284" s="102"/>
      <c r="D284" s="102"/>
      <c r="E284" s="102"/>
      <c r="F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T284" s="102"/>
      <c r="U284" s="102"/>
      <c r="V284" s="102"/>
      <c r="Y284" s="102"/>
      <c r="Z284" s="102"/>
      <c r="AA284" s="102"/>
      <c r="AB284" s="102"/>
      <c r="AC284" s="102"/>
      <c r="AD284" s="102"/>
      <c r="AE284" s="102"/>
      <c r="AF284" s="102"/>
      <c r="AG284" s="151"/>
      <c r="AH284" s="102"/>
      <c r="AI284" s="102"/>
      <c r="AJ284" s="102"/>
      <c r="AK284" s="151"/>
      <c r="AL284" s="102"/>
      <c r="AM284" s="102"/>
      <c r="AN284" s="102"/>
    </row>
    <row r="285" spans="1:40" x14ac:dyDescent="0.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91"/>
      <c r="AH285" s="101"/>
      <c r="AI285" s="101"/>
      <c r="AJ285" s="101"/>
      <c r="AK285" s="191"/>
      <c r="AL285" s="101"/>
      <c r="AM285" s="101"/>
      <c r="AN285" s="101"/>
    </row>
    <row r="286" spans="1:40" x14ac:dyDescent="0.3"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Y286" s="102"/>
      <c r="Z286" s="102"/>
      <c r="AA286" s="102"/>
      <c r="AB286" s="102"/>
      <c r="AC286" s="102"/>
      <c r="AD286" s="102"/>
      <c r="AE286" s="102"/>
      <c r="AF286" s="102"/>
      <c r="AG286" s="151"/>
      <c r="AH286" s="102"/>
      <c r="AI286" s="102"/>
      <c r="AJ286" s="102"/>
      <c r="AK286" s="151"/>
      <c r="AL286" s="102"/>
      <c r="AM286" s="102"/>
      <c r="AN286" s="102"/>
    </row>
    <row r="287" spans="1:40" x14ac:dyDescent="0.3">
      <c r="C287" s="99"/>
      <c r="D287" s="99"/>
      <c r="E287" s="99"/>
      <c r="T287" s="99"/>
      <c r="U287" s="99"/>
    </row>
    <row r="288" spans="1:40" x14ac:dyDescent="0.3">
      <c r="D288" s="99"/>
      <c r="E288" s="99"/>
      <c r="U288" s="99"/>
    </row>
    <row r="290" spans="3:40" x14ac:dyDescent="0.3">
      <c r="C290" s="99"/>
      <c r="F290" s="110"/>
      <c r="J290" s="209"/>
      <c r="K290" s="209"/>
      <c r="L290" s="110"/>
      <c r="M290" s="110"/>
      <c r="R290" s="110"/>
      <c r="T290" s="99"/>
      <c r="V290" s="110"/>
      <c r="Z290" s="209"/>
      <c r="AA290" s="110"/>
      <c r="AB290" s="110"/>
      <c r="AL290" s="110"/>
    </row>
    <row r="291" spans="3:40" x14ac:dyDescent="0.3">
      <c r="F291" s="110"/>
      <c r="R291" s="110"/>
      <c r="V291" s="110"/>
      <c r="AL291" s="110"/>
    </row>
    <row r="292" spans="3:40" x14ac:dyDescent="0.3">
      <c r="C292" s="99"/>
      <c r="F292" s="172"/>
      <c r="H292" s="172"/>
      <c r="I292" s="172"/>
      <c r="J292" s="181"/>
      <c r="K292" s="181"/>
      <c r="L292" s="110"/>
      <c r="M292" s="110"/>
      <c r="N292" s="141"/>
      <c r="O292" s="141"/>
      <c r="P292" s="110"/>
      <c r="Q292" s="110"/>
      <c r="R292" s="110"/>
      <c r="T292" s="99"/>
      <c r="V292" s="110"/>
      <c r="Y292" s="110"/>
      <c r="Z292" s="181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C293" s="99"/>
      <c r="F293" s="172"/>
      <c r="H293" s="220"/>
      <c r="I293" s="220"/>
      <c r="J293" s="181"/>
      <c r="K293" s="181"/>
      <c r="L293" s="110"/>
      <c r="M293" s="110"/>
      <c r="N293" s="141"/>
      <c r="O293" s="141"/>
      <c r="P293" s="110"/>
      <c r="Q293" s="110"/>
      <c r="R293" s="110"/>
      <c r="T293" s="99"/>
      <c r="V293" s="110"/>
      <c r="Y293" s="110"/>
      <c r="Z293" s="181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3:40" x14ac:dyDescent="0.3">
      <c r="F294" s="192"/>
      <c r="H294" s="110"/>
      <c r="I294" s="110"/>
      <c r="J294" s="217"/>
      <c r="K294" s="217"/>
      <c r="L294" s="192"/>
      <c r="M294" s="192"/>
      <c r="N294" s="192"/>
      <c r="O294" s="192"/>
      <c r="P294" s="192"/>
      <c r="Q294" s="192"/>
      <c r="R294" s="192"/>
      <c r="V294" s="192"/>
      <c r="Y294" s="110"/>
      <c r="Z294" s="217"/>
      <c r="AA294" s="192"/>
      <c r="AB294" s="192"/>
      <c r="AC294" s="192"/>
      <c r="AD294" s="192"/>
      <c r="AE294" s="192"/>
      <c r="AF294" s="192"/>
      <c r="AI294" s="192"/>
      <c r="AJ294" s="192"/>
      <c r="AK294" s="194"/>
      <c r="AL294" s="192"/>
    </row>
    <row r="295" spans="3:40" x14ac:dyDescent="0.3">
      <c r="C295" s="99"/>
      <c r="F295" s="110"/>
      <c r="H295" s="110"/>
      <c r="I295" s="110"/>
      <c r="J295" s="198"/>
      <c r="K295" s="198"/>
      <c r="L295" s="110"/>
      <c r="M295" s="110"/>
      <c r="N295" s="141"/>
      <c r="O295" s="141"/>
      <c r="P295" s="110"/>
      <c r="Q295" s="110"/>
      <c r="R295" s="110"/>
      <c r="T295" s="99"/>
      <c r="V295" s="110"/>
      <c r="Y295" s="110"/>
      <c r="Z295" s="198"/>
      <c r="AA295" s="110"/>
      <c r="AB295" s="110"/>
      <c r="AC295" s="141"/>
      <c r="AD295" s="141"/>
      <c r="AE295" s="110"/>
      <c r="AF295" s="110"/>
      <c r="AH295" s="207"/>
      <c r="AI295" s="110"/>
      <c r="AJ295" s="110"/>
      <c r="AL295" s="110"/>
      <c r="AM295" s="141"/>
      <c r="AN295" s="141"/>
    </row>
    <row r="296" spans="3:40" x14ac:dyDescent="0.3">
      <c r="F296" s="192"/>
      <c r="H296" s="110"/>
      <c r="I296" s="110"/>
      <c r="J296" s="217"/>
      <c r="K296" s="217"/>
      <c r="L296" s="192"/>
      <c r="M296" s="192"/>
      <c r="N296" s="192"/>
      <c r="O296" s="192"/>
      <c r="P296" s="192"/>
      <c r="Q296" s="192"/>
      <c r="R296" s="192"/>
      <c r="V296" s="192"/>
      <c r="Y296" s="110"/>
      <c r="Z296" s="217"/>
      <c r="AA296" s="192"/>
      <c r="AB296" s="192"/>
      <c r="AC296" s="192"/>
      <c r="AD296" s="192"/>
      <c r="AE296" s="192"/>
      <c r="AF296" s="192"/>
      <c r="AI296" s="192"/>
      <c r="AJ296" s="192"/>
      <c r="AK296" s="194"/>
      <c r="AL296" s="192"/>
    </row>
    <row r="297" spans="3:40" x14ac:dyDescent="0.3">
      <c r="F297" s="110"/>
      <c r="R297" s="110"/>
      <c r="V297" s="110"/>
      <c r="AL297" s="110"/>
    </row>
    <row r="298" spans="3:40" x14ac:dyDescent="0.3">
      <c r="C298" s="99"/>
      <c r="F298" s="110"/>
      <c r="R298" s="110"/>
      <c r="T298" s="99"/>
      <c r="V298" s="110"/>
      <c r="AL298" s="110"/>
    </row>
    <row r="299" spans="3:40" x14ac:dyDescent="0.3">
      <c r="F299" s="110"/>
      <c r="R299" s="110"/>
      <c r="V299" s="110"/>
      <c r="AL299" s="110"/>
    </row>
    <row r="300" spans="3:40" x14ac:dyDescent="0.3">
      <c r="C300" s="99"/>
      <c r="F300" s="110"/>
      <c r="H300" s="172"/>
      <c r="I300" s="172"/>
      <c r="J300" s="222"/>
      <c r="K300" s="222"/>
      <c r="L300" s="110"/>
      <c r="M300" s="110"/>
      <c r="N300" s="141"/>
      <c r="O300" s="141"/>
      <c r="P300" s="172"/>
      <c r="Q300" s="172"/>
      <c r="R300" s="110"/>
      <c r="T300" s="99"/>
      <c r="V300" s="110"/>
      <c r="Y300" s="110"/>
      <c r="Z300" s="216"/>
      <c r="AA300" s="110"/>
      <c r="AB300" s="110"/>
      <c r="AC300" s="141"/>
      <c r="AD300" s="141"/>
      <c r="AE300" s="110"/>
      <c r="AF300" s="110"/>
      <c r="AH300" s="207"/>
      <c r="AI300" s="172"/>
      <c r="AJ300" s="172"/>
      <c r="AL300" s="110"/>
      <c r="AM300" s="141"/>
      <c r="AN300" s="141"/>
    </row>
    <row r="301" spans="3:40" x14ac:dyDescent="0.3">
      <c r="F301" s="192"/>
      <c r="H301" s="192"/>
      <c r="I301" s="192"/>
      <c r="J301" s="217"/>
      <c r="K301" s="217"/>
      <c r="L301" s="192"/>
      <c r="M301" s="192"/>
      <c r="N301" s="192"/>
      <c r="O301" s="192"/>
      <c r="P301" s="192"/>
      <c r="Q301" s="192"/>
      <c r="R301" s="192"/>
      <c r="V301" s="192"/>
      <c r="Y301" s="192"/>
      <c r="Z301" s="217"/>
      <c r="AA301" s="192"/>
      <c r="AB301" s="192"/>
      <c r="AC301" s="192"/>
      <c r="AD301" s="192"/>
      <c r="AE301" s="192"/>
      <c r="AF301" s="192"/>
      <c r="AI301" s="192"/>
      <c r="AJ301" s="192"/>
      <c r="AK301" s="194"/>
      <c r="AL301" s="192"/>
    </row>
    <row r="303" spans="3:40" x14ac:dyDescent="0.3">
      <c r="C303" s="99"/>
      <c r="F303" s="110"/>
      <c r="H303" s="110"/>
      <c r="I303" s="110"/>
      <c r="J303" s="209"/>
      <c r="K303" s="209"/>
      <c r="L303" s="110"/>
      <c r="M303" s="110"/>
      <c r="N303" s="141"/>
      <c r="O303" s="141"/>
      <c r="P303" s="110"/>
      <c r="Q303" s="110"/>
      <c r="R303" s="110"/>
      <c r="T303" s="99"/>
      <c r="V303" s="110"/>
      <c r="Y303" s="110"/>
      <c r="Z303" s="209"/>
      <c r="AA303" s="110"/>
      <c r="AB303" s="110"/>
      <c r="AC303" s="141"/>
      <c r="AD303" s="141"/>
      <c r="AE303" s="110"/>
      <c r="AF303" s="110"/>
      <c r="AH303" s="207"/>
      <c r="AI303" s="110"/>
      <c r="AJ303" s="110"/>
      <c r="AL303" s="110"/>
      <c r="AM303" s="141"/>
      <c r="AN303" s="141"/>
    </row>
    <row r="304" spans="3:40" x14ac:dyDescent="0.3">
      <c r="F304" s="192"/>
      <c r="H304" s="192"/>
      <c r="I304" s="192"/>
      <c r="J304" s="217"/>
      <c r="K304" s="217"/>
      <c r="L304" s="192"/>
      <c r="M304" s="192"/>
      <c r="N304" s="192"/>
      <c r="O304" s="192"/>
      <c r="P304" s="192"/>
      <c r="Q304" s="192"/>
      <c r="R304" s="192"/>
      <c r="V304" s="192"/>
      <c r="Y304" s="192"/>
      <c r="Z304" s="217"/>
      <c r="AA304" s="192"/>
      <c r="AB304" s="192"/>
      <c r="AC304" s="192"/>
      <c r="AD304" s="192"/>
      <c r="AE304" s="192"/>
      <c r="AF304" s="192"/>
      <c r="AI304" s="192"/>
      <c r="AJ304" s="192"/>
      <c r="AK304" s="194"/>
      <c r="AL304" s="192"/>
    </row>
    <row r="305" spans="1:40" x14ac:dyDescent="0.3">
      <c r="R305" s="110"/>
      <c r="AH305" s="110"/>
    </row>
    <row r="306" spans="1:40" x14ac:dyDescent="0.3">
      <c r="F306" s="110"/>
      <c r="H306" s="110"/>
      <c r="I306" s="110"/>
      <c r="J306" s="198"/>
      <c r="K306" s="198"/>
      <c r="L306" s="110"/>
      <c r="M306" s="110"/>
      <c r="N306" s="110"/>
      <c r="O306" s="110"/>
      <c r="P306" s="110"/>
      <c r="Q306" s="110"/>
      <c r="R306" s="110"/>
      <c r="V306" s="110"/>
      <c r="Y306" s="110"/>
      <c r="Z306" s="198"/>
      <c r="AA306" s="110"/>
      <c r="AB306" s="110"/>
      <c r="AC306" s="110"/>
      <c r="AD306" s="110"/>
      <c r="AE306" s="110"/>
      <c r="AF306" s="110"/>
      <c r="AH306" s="110"/>
    </row>
    <row r="307" spans="1:40" x14ac:dyDescent="0.3">
      <c r="C307" s="99"/>
      <c r="F307" s="110"/>
      <c r="H307" s="110"/>
      <c r="I307" s="110"/>
      <c r="J307" s="198"/>
      <c r="K307" s="198"/>
      <c r="L307" s="110"/>
      <c r="M307" s="110"/>
      <c r="N307" s="110"/>
      <c r="O307" s="110"/>
      <c r="P307" s="110"/>
      <c r="Q307" s="110"/>
      <c r="R307" s="110"/>
      <c r="T307" s="99"/>
      <c r="V307" s="110"/>
      <c r="Y307" s="110"/>
      <c r="Z307" s="198"/>
      <c r="AA307" s="110"/>
      <c r="AB307" s="110"/>
      <c r="AC307" s="110"/>
      <c r="AD307" s="110"/>
      <c r="AE307" s="110"/>
      <c r="AF307" s="110"/>
      <c r="AH307" s="110"/>
    </row>
    <row r="308" spans="1:40" x14ac:dyDescent="0.3">
      <c r="A308" s="99"/>
    </row>
    <row r="311" spans="1:40" x14ac:dyDescent="0.3">
      <c r="H311" s="99"/>
      <c r="I311" s="99"/>
      <c r="Y311" s="99"/>
    </row>
    <row r="313" spans="1:40" x14ac:dyDescent="0.3">
      <c r="L313" s="99"/>
      <c r="M313" s="99"/>
      <c r="AA313" s="99"/>
      <c r="AB313" s="99"/>
    </row>
    <row r="314" spans="1:40" x14ac:dyDescent="0.3">
      <c r="R314" s="99"/>
      <c r="AK314" s="190"/>
      <c r="AL314" s="99"/>
    </row>
    <row r="315" spans="1:40" x14ac:dyDescent="0.3">
      <c r="R315" s="99"/>
      <c r="AK315" s="190"/>
      <c r="AL315" s="99"/>
    </row>
    <row r="316" spans="1:40" x14ac:dyDescent="0.3">
      <c r="A316" s="99"/>
      <c r="R316" s="99"/>
      <c r="AK316" s="190"/>
      <c r="AL316" s="99"/>
    </row>
    <row r="317" spans="1:40" x14ac:dyDescent="0.3">
      <c r="L317" s="99"/>
      <c r="M317" s="99"/>
      <c r="AA317" s="99"/>
      <c r="AB317" s="99"/>
    </row>
    <row r="318" spans="1:40" x14ac:dyDescent="0.3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91"/>
      <c r="AH318" s="101"/>
      <c r="AI318" s="101"/>
      <c r="AJ318" s="101"/>
      <c r="AK318" s="191"/>
      <c r="AL318" s="101"/>
      <c r="AM318" s="101"/>
      <c r="AN318" s="101"/>
    </row>
    <row r="319" spans="1:40" x14ac:dyDescent="0.3">
      <c r="L319" s="102"/>
      <c r="M319" s="102"/>
      <c r="N319" s="102"/>
      <c r="O319" s="102"/>
      <c r="R319" s="102"/>
      <c r="AA319" s="102"/>
      <c r="AB319" s="102"/>
      <c r="AC319" s="102"/>
      <c r="AD319" s="102"/>
      <c r="AE319" s="102"/>
      <c r="AF319" s="102"/>
      <c r="AG319" s="151"/>
      <c r="AH319" s="102"/>
      <c r="AK319" s="151"/>
      <c r="AL319" s="102"/>
      <c r="AM319" s="102"/>
      <c r="AN319" s="102"/>
    </row>
    <row r="320" spans="1:40" x14ac:dyDescent="0.3">
      <c r="L320" s="102"/>
      <c r="M320" s="102"/>
      <c r="N320" s="102"/>
      <c r="O320" s="102"/>
      <c r="R320" s="102"/>
      <c r="Z320" s="102"/>
      <c r="AA320" s="102"/>
      <c r="AB320" s="102"/>
      <c r="AC320" s="102"/>
      <c r="AD320" s="102"/>
      <c r="AE320" s="102"/>
      <c r="AF320" s="102"/>
      <c r="AG320" s="151"/>
      <c r="AH320" s="102"/>
      <c r="AK320" s="151"/>
      <c r="AL320" s="102"/>
      <c r="AM320" s="102"/>
      <c r="AN320" s="102"/>
    </row>
    <row r="321" spans="1:40" x14ac:dyDescent="0.3">
      <c r="A321" s="102"/>
      <c r="C321" s="102"/>
      <c r="D321" s="102"/>
      <c r="E321" s="102"/>
      <c r="F321" s="102"/>
      <c r="J321" s="102"/>
      <c r="K321" s="102"/>
      <c r="L321" s="102"/>
      <c r="M321" s="102"/>
      <c r="N321" s="102"/>
      <c r="O321" s="102"/>
      <c r="P321" s="102"/>
      <c r="Q321" s="102"/>
      <c r="R321" s="102"/>
      <c r="T321" s="102"/>
      <c r="U321" s="102"/>
      <c r="V321" s="102"/>
      <c r="Z321" s="102"/>
      <c r="AA321" s="102"/>
      <c r="AB321" s="102"/>
      <c r="AC321" s="102"/>
      <c r="AD321" s="102"/>
      <c r="AE321" s="102"/>
      <c r="AF321" s="102"/>
      <c r="AG321" s="151"/>
      <c r="AH321" s="102"/>
      <c r="AI321" s="102"/>
      <c r="AJ321" s="102"/>
      <c r="AK321" s="151"/>
      <c r="AL321" s="102"/>
      <c r="AM321" s="102"/>
      <c r="AN321" s="102"/>
    </row>
    <row r="322" spans="1:40" x14ac:dyDescent="0.3">
      <c r="A322" s="102"/>
      <c r="C322" s="102"/>
      <c r="D322" s="102"/>
      <c r="E322" s="102"/>
      <c r="F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T322" s="102"/>
      <c r="U322" s="102"/>
      <c r="V322" s="102"/>
      <c r="Y322" s="102"/>
      <c r="Z322" s="102"/>
      <c r="AA322" s="102"/>
      <c r="AB322" s="102"/>
      <c r="AC322" s="102"/>
      <c r="AD322" s="102"/>
      <c r="AE322" s="102"/>
      <c r="AF322" s="102"/>
      <c r="AG322" s="151"/>
      <c r="AH322" s="102"/>
      <c r="AI322" s="102"/>
      <c r="AJ322" s="102"/>
      <c r="AK322" s="151"/>
      <c r="AL322" s="102"/>
      <c r="AM322" s="102"/>
      <c r="AN322" s="102"/>
    </row>
    <row r="323" spans="1:40" x14ac:dyDescent="0.3">
      <c r="C323" s="102"/>
      <c r="D323" s="102"/>
      <c r="E323" s="102"/>
      <c r="F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T323" s="102"/>
      <c r="U323" s="102"/>
      <c r="V323" s="102"/>
      <c r="Y323" s="102"/>
      <c r="Z323" s="102"/>
      <c r="AA323" s="102"/>
      <c r="AB323" s="102"/>
      <c r="AC323" s="102"/>
      <c r="AD323" s="102"/>
      <c r="AE323" s="102"/>
      <c r="AF323" s="102"/>
      <c r="AG323" s="151"/>
      <c r="AH323" s="102"/>
      <c r="AI323" s="102"/>
      <c r="AJ323" s="102"/>
      <c r="AK323" s="151"/>
      <c r="AL323" s="102"/>
      <c r="AM323" s="102"/>
      <c r="AN323" s="102"/>
    </row>
    <row r="324" spans="1:40" x14ac:dyDescent="0.3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91"/>
      <c r="AH324" s="101"/>
      <c r="AI324" s="101"/>
      <c r="AJ324" s="101"/>
      <c r="AK324" s="191"/>
      <c r="AL324" s="101"/>
      <c r="AM324" s="101"/>
      <c r="AN324" s="101"/>
    </row>
    <row r="325" spans="1:40" x14ac:dyDescent="0.3"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Y325" s="102"/>
      <c r="Z325" s="102"/>
      <c r="AA325" s="102"/>
      <c r="AB325" s="102"/>
      <c r="AC325" s="102"/>
      <c r="AD325" s="102"/>
      <c r="AE325" s="102"/>
      <c r="AF325" s="102"/>
      <c r="AG325" s="151"/>
      <c r="AH325" s="102"/>
      <c r="AI325" s="102"/>
      <c r="AJ325" s="102"/>
      <c r="AK325" s="151"/>
      <c r="AL325" s="102"/>
      <c r="AM325" s="102"/>
      <c r="AN325" s="102"/>
    </row>
    <row r="326" spans="1:40" x14ac:dyDescent="0.3">
      <c r="C326" s="99"/>
      <c r="D326" s="99"/>
      <c r="E326" s="99"/>
      <c r="T326" s="99"/>
      <c r="U326" s="99"/>
    </row>
    <row r="327" spans="1:40" x14ac:dyDescent="0.3">
      <c r="C327" s="99"/>
      <c r="T327" s="99"/>
    </row>
    <row r="329" spans="1:40" x14ac:dyDescent="0.3">
      <c r="C329" s="99"/>
      <c r="F329" s="172"/>
      <c r="H329" s="172"/>
      <c r="I329" s="172"/>
      <c r="J329" s="181"/>
      <c r="K329" s="181"/>
      <c r="L329" s="110"/>
      <c r="M329" s="110"/>
      <c r="N329" s="141"/>
      <c r="O329" s="141"/>
      <c r="R329" s="110"/>
      <c r="T329" s="99"/>
      <c r="V329" s="110"/>
      <c r="Y329" s="172"/>
      <c r="Z329" s="181"/>
      <c r="AA329" s="110"/>
      <c r="AB329" s="110"/>
      <c r="AC329" s="141"/>
      <c r="AD329" s="141"/>
      <c r="AE329" s="110"/>
      <c r="AF329" s="110"/>
      <c r="AH329" s="207"/>
      <c r="AL329" s="110"/>
      <c r="AM329" s="141"/>
      <c r="AN329" s="141"/>
    </row>
    <row r="330" spans="1:40" x14ac:dyDescent="0.3">
      <c r="F330" s="192"/>
      <c r="H330" s="110"/>
      <c r="I330" s="110"/>
      <c r="J330" s="217"/>
      <c r="K330" s="217"/>
      <c r="L330" s="192"/>
      <c r="M330" s="192"/>
      <c r="N330" s="192"/>
      <c r="O330" s="192"/>
      <c r="P330" s="192"/>
      <c r="Q330" s="192"/>
      <c r="R330" s="192"/>
      <c r="V330" s="192"/>
      <c r="Y330" s="110"/>
      <c r="Z330" s="217"/>
      <c r="AA330" s="192"/>
      <c r="AB330" s="192"/>
      <c r="AC330" s="192"/>
      <c r="AD330" s="192"/>
      <c r="AE330" s="192"/>
      <c r="AF330" s="192"/>
      <c r="AI330" s="192"/>
      <c r="AJ330" s="192"/>
      <c r="AK330" s="194"/>
      <c r="AL330" s="192"/>
      <c r="AM330" s="141"/>
      <c r="AN330" s="141"/>
    </row>
    <row r="331" spans="1:40" x14ac:dyDescent="0.3">
      <c r="C331" s="99"/>
      <c r="F331" s="172"/>
      <c r="H331" s="172"/>
      <c r="I331" s="172"/>
      <c r="J331" s="227"/>
      <c r="K331" s="227"/>
      <c r="L331" s="110"/>
      <c r="M331" s="110"/>
      <c r="N331" s="141"/>
      <c r="O331" s="141"/>
      <c r="P331" s="110"/>
      <c r="Q331" s="110"/>
      <c r="R331" s="110"/>
      <c r="S331" s="110"/>
      <c r="T331" s="99"/>
      <c r="V331" s="172"/>
      <c r="Y331" s="172"/>
      <c r="Z331" s="227"/>
      <c r="AA331" s="110"/>
      <c r="AB331" s="110"/>
      <c r="AC331" s="141"/>
      <c r="AD331" s="141"/>
      <c r="AE331" s="110"/>
      <c r="AF331" s="110"/>
      <c r="AH331" s="141"/>
      <c r="AI331" s="110"/>
      <c r="AJ331" s="110"/>
      <c r="AL331" s="110"/>
      <c r="AM331" s="141"/>
      <c r="AN331" s="141"/>
    </row>
    <row r="332" spans="1:40" x14ac:dyDescent="0.3">
      <c r="C332" s="99"/>
      <c r="F332" s="172"/>
      <c r="H332" s="172"/>
      <c r="I332" s="172"/>
      <c r="J332" s="181"/>
      <c r="K332" s="181"/>
      <c r="L332" s="110"/>
      <c r="M332" s="110"/>
      <c r="N332" s="141"/>
      <c r="O332" s="141"/>
      <c r="P332" s="110"/>
      <c r="Q332" s="110"/>
      <c r="R332" s="110"/>
      <c r="T332" s="99"/>
      <c r="V332" s="172"/>
      <c r="Y332" s="110"/>
      <c r="Z332" s="181"/>
      <c r="AA332" s="110"/>
      <c r="AB332" s="110"/>
      <c r="AC332" s="141"/>
      <c r="AD332" s="141"/>
      <c r="AE332" s="110"/>
      <c r="AF332" s="110"/>
      <c r="AH332" s="207"/>
      <c r="AI332" s="110"/>
      <c r="AJ332" s="110"/>
      <c r="AL332" s="110"/>
      <c r="AM332" s="141"/>
      <c r="AN332" s="141"/>
    </row>
    <row r="333" spans="1:40" x14ac:dyDescent="0.3">
      <c r="C333" s="99"/>
      <c r="F333" s="172"/>
      <c r="H333" s="172"/>
      <c r="I333" s="172"/>
      <c r="J333" s="181"/>
      <c r="K333" s="181"/>
      <c r="L333" s="110"/>
      <c r="M333" s="110"/>
      <c r="N333" s="141"/>
      <c r="O333" s="141"/>
      <c r="P333" s="110"/>
      <c r="Q333" s="110"/>
      <c r="R333" s="110"/>
      <c r="T333" s="99"/>
      <c r="V333" s="172"/>
      <c r="Y333" s="110"/>
      <c r="Z333" s="181"/>
      <c r="AA333" s="110"/>
      <c r="AB333" s="110"/>
      <c r="AC333" s="141"/>
      <c r="AD333" s="141"/>
      <c r="AE333" s="110"/>
      <c r="AF333" s="110"/>
      <c r="AH333" s="207"/>
      <c r="AI333" s="110"/>
      <c r="AJ333" s="110"/>
      <c r="AL333" s="110"/>
      <c r="AM333" s="141"/>
      <c r="AN333" s="141"/>
    </row>
    <row r="334" spans="1:40" x14ac:dyDescent="0.3">
      <c r="F334" s="192"/>
      <c r="H334" s="192"/>
      <c r="I334" s="192"/>
      <c r="J334" s="217"/>
      <c r="K334" s="217"/>
      <c r="L334" s="192"/>
      <c r="M334" s="192"/>
      <c r="N334" s="192"/>
      <c r="O334" s="192"/>
      <c r="P334" s="192"/>
      <c r="Q334" s="192"/>
      <c r="R334" s="192"/>
      <c r="V334" s="192"/>
      <c r="Y334" s="192"/>
      <c r="Z334" s="217"/>
      <c r="AA334" s="192"/>
      <c r="AB334" s="192"/>
      <c r="AC334" s="192"/>
      <c r="AD334" s="192"/>
      <c r="AE334" s="192"/>
      <c r="AF334" s="192"/>
      <c r="AI334" s="192"/>
      <c r="AJ334" s="192"/>
      <c r="AK334" s="194"/>
      <c r="AL334" s="192"/>
      <c r="AM334" s="141"/>
      <c r="AN334" s="141"/>
    </row>
    <row r="335" spans="1:40" x14ac:dyDescent="0.3">
      <c r="C335" s="99"/>
      <c r="F335" s="110"/>
      <c r="H335" s="110"/>
      <c r="I335" s="110"/>
      <c r="J335" s="198"/>
      <c r="K335" s="198"/>
      <c r="L335" s="110"/>
      <c r="M335" s="110"/>
      <c r="N335" s="141"/>
      <c r="O335" s="141"/>
      <c r="P335" s="110"/>
      <c r="Q335" s="110"/>
      <c r="R335" s="110"/>
      <c r="T335" s="99"/>
      <c r="V335" s="110"/>
      <c r="Y335" s="110"/>
      <c r="Z335" s="198"/>
      <c r="AA335" s="110"/>
      <c r="AB335" s="110"/>
      <c r="AC335" s="141"/>
      <c r="AD335" s="141"/>
      <c r="AE335" s="110"/>
      <c r="AF335" s="110"/>
      <c r="AH335" s="207"/>
      <c r="AI335" s="110"/>
      <c r="AJ335" s="110"/>
      <c r="AL335" s="110"/>
      <c r="AM335" s="141"/>
      <c r="AN335" s="141"/>
    </row>
    <row r="336" spans="1:40" x14ac:dyDescent="0.3">
      <c r="F336" s="192"/>
      <c r="H336" s="192"/>
      <c r="I336" s="192"/>
      <c r="J336" s="217"/>
      <c r="K336" s="217"/>
      <c r="L336" s="192"/>
      <c r="M336" s="192"/>
      <c r="N336" s="192"/>
      <c r="O336" s="192"/>
      <c r="P336" s="192"/>
      <c r="Q336" s="192"/>
      <c r="R336" s="192"/>
      <c r="V336" s="192"/>
      <c r="Y336" s="192"/>
      <c r="Z336" s="217"/>
      <c r="AA336" s="192"/>
      <c r="AB336" s="192"/>
      <c r="AC336" s="192"/>
      <c r="AD336" s="192"/>
      <c r="AE336" s="192"/>
      <c r="AF336" s="192"/>
      <c r="AI336" s="192"/>
      <c r="AJ336" s="192"/>
      <c r="AK336" s="194"/>
      <c r="AL336" s="192"/>
      <c r="AM336" s="141"/>
      <c r="AN336" s="141"/>
    </row>
    <row r="337" spans="3:40" x14ac:dyDescent="0.3">
      <c r="C337" s="99"/>
      <c r="F337" s="110"/>
      <c r="H337" s="110"/>
      <c r="I337" s="110"/>
      <c r="J337" s="198"/>
      <c r="K337" s="198"/>
      <c r="L337" s="110"/>
      <c r="M337" s="110"/>
      <c r="N337" s="141"/>
      <c r="O337" s="141"/>
      <c r="P337" s="110"/>
      <c r="Q337" s="110"/>
      <c r="R337" s="110"/>
      <c r="T337" s="99"/>
      <c r="V337" s="110"/>
      <c r="Y337" s="110"/>
      <c r="Z337" s="198"/>
      <c r="AA337" s="110"/>
      <c r="AB337" s="110"/>
      <c r="AC337" s="141"/>
      <c r="AD337" s="141"/>
      <c r="AE337" s="110"/>
      <c r="AF337" s="110"/>
      <c r="AH337" s="207"/>
      <c r="AI337" s="110"/>
      <c r="AJ337" s="110"/>
      <c r="AL337" s="110"/>
      <c r="AM337" s="141"/>
      <c r="AN337" s="141"/>
    </row>
    <row r="338" spans="3:40" x14ac:dyDescent="0.3">
      <c r="C338" s="99"/>
      <c r="F338" s="110"/>
      <c r="H338" s="172"/>
      <c r="I338" s="172"/>
      <c r="J338" s="222"/>
      <c r="K338" s="222"/>
      <c r="L338" s="110"/>
      <c r="M338" s="110"/>
      <c r="N338" s="141"/>
      <c r="O338" s="141"/>
      <c r="P338" s="110"/>
      <c r="Q338" s="110"/>
      <c r="R338" s="110"/>
      <c r="T338" s="99"/>
      <c r="V338" s="110"/>
      <c r="Y338" s="110"/>
      <c r="Z338" s="216"/>
      <c r="AA338" s="110"/>
      <c r="AB338" s="110"/>
      <c r="AC338" s="141"/>
      <c r="AD338" s="141"/>
      <c r="AE338" s="110"/>
      <c r="AF338" s="110"/>
      <c r="AH338" s="207"/>
      <c r="AI338" s="110"/>
      <c r="AJ338" s="110"/>
      <c r="AL338" s="110"/>
      <c r="AM338" s="141"/>
      <c r="AN338" s="141"/>
    </row>
    <row r="339" spans="3:40" x14ac:dyDescent="0.3">
      <c r="F339" s="192"/>
      <c r="H339" s="192"/>
      <c r="I339" s="192"/>
      <c r="J339" s="217"/>
      <c r="K339" s="217"/>
      <c r="L339" s="192"/>
      <c r="M339" s="192"/>
      <c r="N339" s="192"/>
      <c r="O339" s="192"/>
      <c r="P339" s="192"/>
      <c r="Q339" s="192"/>
      <c r="R339" s="192"/>
      <c r="V339" s="192"/>
      <c r="Y339" s="192"/>
      <c r="Z339" s="217"/>
      <c r="AA339" s="192"/>
      <c r="AB339" s="192"/>
      <c r="AC339" s="192"/>
      <c r="AD339" s="192"/>
      <c r="AE339" s="192"/>
      <c r="AF339" s="192"/>
      <c r="AI339" s="192"/>
      <c r="AJ339" s="192"/>
      <c r="AK339" s="194"/>
      <c r="AL339" s="192"/>
      <c r="AM339" s="141"/>
      <c r="AN339" s="141"/>
    </row>
    <row r="341" spans="3:40" x14ac:dyDescent="0.3">
      <c r="C341" s="99"/>
      <c r="F341" s="110"/>
      <c r="H341" s="110"/>
      <c r="I341" s="110"/>
      <c r="J341" s="217"/>
      <c r="K341" s="217"/>
      <c r="L341" s="110"/>
      <c r="M341" s="110"/>
      <c r="N341" s="141"/>
      <c r="O341" s="141"/>
      <c r="P341" s="110"/>
      <c r="Q341" s="110"/>
      <c r="R341" s="110"/>
      <c r="S341" s="110"/>
      <c r="T341" s="99"/>
      <c r="V341" s="110"/>
      <c r="Y341" s="110"/>
      <c r="Z341" s="217"/>
      <c r="AA341" s="110"/>
      <c r="AB341" s="110"/>
      <c r="AC341" s="141"/>
      <c r="AD341" s="141"/>
      <c r="AE341" s="110"/>
      <c r="AF341" s="110"/>
      <c r="AH341" s="141"/>
      <c r="AI341" s="110"/>
      <c r="AJ341" s="110"/>
      <c r="AL341" s="110"/>
      <c r="AM341" s="141"/>
      <c r="AN341" s="141"/>
    </row>
    <row r="342" spans="3:40" x14ac:dyDescent="0.3">
      <c r="F342" s="192"/>
      <c r="H342" s="192"/>
      <c r="I342" s="192"/>
      <c r="J342" s="217"/>
      <c r="K342" s="217"/>
      <c r="L342" s="192"/>
      <c r="M342" s="192"/>
      <c r="N342" s="192"/>
      <c r="O342" s="192"/>
      <c r="P342" s="192"/>
      <c r="Q342" s="192"/>
      <c r="R342" s="192"/>
      <c r="S342" s="110"/>
      <c r="V342" s="192"/>
      <c r="Y342" s="192"/>
      <c r="Z342" s="217"/>
      <c r="AA342" s="192"/>
      <c r="AB342" s="192"/>
      <c r="AC342" s="192"/>
      <c r="AD342" s="192"/>
      <c r="AE342" s="192"/>
      <c r="AF342" s="192"/>
      <c r="AI342" s="192"/>
      <c r="AJ342" s="192"/>
      <c r="AK342" s="194"/>
      <c r="AL342" s="192"/>
      <c r="AM342" s="141"/>
      <c r="AN342" s="141"/>
    </row>
    <row r="343" spans="3:40" x14ac:dyDescent="0.3">
      <c r="C343" s="99"/>
      <c r="F343" s="172"/>
      <c r="H343" s="172"/>
      <c r="I343" s="172"/>
      <c r="J343" s="217"/>
      <c r="K343" s="217"/>
      <c r="L343" s="110"/>
      <c r="M343" s="110"/>
      <c r="N343" s="141"/>
      <c r="O343" s="141"/>
      <c r="P343" s="110"/>
      <c r="Q343" s="110"/>
      <c r="R343" s="110"/>
      <c r="S343" s="110"/>
      <c r="T343" s="99"/>
      <c r="V343" s="172"/>
      <c r="Y343" s="172"/>
      <c r="Z343" s="217"/>
      <c r="AA343" s="110"/>
      <c r="AB343" s="110"/>
      <c r="AC343" s="141"/>
      <c r="AD343" s="141"/>
      <c r="AE343" s="110"/>
      <c r="AF343" s="110"/>
      <c r="AI343" s="110"/>
      <c r="AJ343" s="110"/>
      <c r="AL343" s="110"/>
      <c r="AM343" s="141"/>
      <c r="AN343" s="141"/>
    </row>
    <row r="345" spans="3:40" x14ac:dyDescent="0.3">
      <c r="C345" s="99"/>
      <c r="F345" s="172"/>
      <c r="H345" s="172"/>
      <c r="I345" s="172"/>
      <c r="J345" s="181"/>
      <c r="K345" s="181"/>
      <c r="L345" s="110"/>
      <c r="M345" s="110"/>
      <c r="N345" s="141"/>
      <c r="O345" s="141"/>
      <c r="R345" s="110"/>
      <c r="T345" s="99"/>
      <c r="V345" s="110"/>
      <c r="Y345" s="172"/>
      <c r="Z345" s="181"/>
      <c r="AA345" s="110"/>
      <c r="AB345" s="110"/>
      <c r="AC345" s="141"/>
      <c r="AD345" s="141"/>
      <c r="AE345" s="110"/>
      <c r="AF345" s="110"/>
      <c r="AH345" s="207"/>
      <c r="AL345" s="110"/>
      <c r="AM345" s="141"/>
      <c r="AN345" s="141"/>
    </row>
    <row r="346" spans="3:40" x14ac:dyDescent="0.3">
      <c r="F346" s="192"/>
      <c r="H346" s="110"/>
      <c r="I346" s="110"/>
      <c r="J346" s="217"/>
      <c r="K346" s="217"/>
      <c r="L346" s="192"/>
      <c r="M346" s="192"/>
      <c r="N346" s="192"/>
      <c r="O346" s="192"/>
      <c r="P346" s="192"/>
      <c r="Q346" s="192"/>
      <c r="R346" s="192"/>
      <c r="V346" s="192"/>
      <c r="Y346" s="110"/>
      <c r="Z346" s="217"/>
      <c r="AA346" s="192"/>
      <c r="AB346" s="192"/>
      <c r="AC346" s="192"/>
      <c r="AD346" s="192"/>
      <c r="AE346" s="192"/>
      <c r="AF346" s="192"/>
      <c r="AI346" s="192"/>
      <c r="AJ346" s="192"/>
      <c r="AK346" s="194"/>
      <c r="AL346" s="192"/>
      <c r="AM346" s="141"/>
      <c r="AN346" s="141"/>
    </row>
    <row r="347" spans="3:40" x14ac:dyDescent="0.3">
      <c r="C347" s="99"/>
      <c r="F347" s="172"/>
      <c r="H347" s="172"/>
      <c r="I347" s="172"/>
      <c r="J347" s="227"/>
      <c r="K347" s="227"/>
      <c r="L347" s="110"/>
      <c r="M347" s="110"/>
      <c r="N347" s="141"/>
      <c r="O347" s="141"/>
      <c r="P347" s="110"/>
      <c r="Q347" s="110"/>
      <c r="R347" s="110"/>
      <c r="S347" s="110"/>
      <c r="T347" s="99"/>
      <c r="V347" s="172"/>
      <c r="Y347" s="172"/>
      <c r="Z347" s="227"/>
      <c r="AA347" s="110"/>
      <c r="AB347" s="110"/>
      <c r="AC347" s="141"/>
      <c r="AD347" s="141"/>
      <c r="AE347" s="110"/>
      <c r="AF347" s="110"/>
      <c r="AH347" s="141"/>
      <c r="AI347" s="110"/>
      <c r="AJ347" s="110"/>
      <c r="AL347" s="110"/>
      <c r="AM347" s="141"/>
      <c r="AN347" s="141"/>
    </row>
    <row r="348" spans="3:40" x14ac:dyDescent="0.3">
      <c r="C348" s="99"/>
      <c r="F348" s="172"/>
      <c r="H348" s="172"/>
      <c r="I348" s="172"/>
      <c r="J348" s="181"/>
      <c r="K348" s="181"/>
      <c r="L348" s="110"/>
      <c r="M348" s="110"/>
      <c r="N348" s="141"/>
      <c r="O348" s="141"/>
      <c r="P348" s="110"/>
      <c r="Q348" s="110"/>
      <c r="R348" s="110"/>
      <c r="T348" s="99"/>
      <c r="V348" s="172"/>
      <c r="Y348" s="110"/>
      <c r="Z348" s="181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C349" s="99"/>
      <c r="F349" s="172"/>
      <c r="H349" s="172"/>
      <c r="I349" s="172"/>
      <c r="J349" s="181"/>
      <c r="K349" s="181"/>
      <c r="L349" s="110"/>
      <c r="M349" s="110"/>
      <c r="N349" s="141"/>
      <c r="O349" s="141"/>
      <c r="P349" s="110"/>
      <c r="Q349" s="110"/>
      <c r="R349" s="110"/>
      <c r="T349" s="99"/>
      <c r="V349" s="172"/>
      <c r="Y349" s="110"/>
      <c r="Z349" s="181"/>
      <c r="AA349" s="110"/>
      <c r="AB349" s="110"/>
      <c r="AC349" s="141"/>
      <c r="AD349" s="141"/>
      <c r="AE349" s="110"/>
      <c r="AF349" s="110"/>
      <c r="AH349" s="207"/>
      <c r="AI349" s="110"/>
      <c r="AJ349" s="110"/>
      <c r="AL349" s="110"/>
      <c r="AM349" s="141"/>
      <c r="AN349" s="141"/>
    </row>
    <row r="350" spans="3:40" x14ac:dyDescent="0.3">
      <c r="F350" s="192"/>
      <c r="H350" s="192"/>
      <c r="I350" s="192"/>
      <c r="J350" s="217"/>
      <c r="K350" s="217"/>
      <c r="L350" s="192"/>
      <c r="M350" s="192"/>
      <c r="N350" s="192"/>
      <c r="O350" s="192"/>
      <c r="P350" s="192"/>
      <c r="Q350" s="192"/>
      <c r="R350" s="192"/>
      <c r="V350" s="192"/>
      <c r="Y350" s="192"/>
      <c r="Z350" s="217"/>
      <c r="AA350" s="192"/>
      <c r="AB350" s="192"/>
      <c r="AC350" s="192"/>
      <c r="AD350" s="192"/>
      <c r="AE350" s="192"/>
      <c r="AF350" s="192"/>
      <c r="AI350" s="192"/>
      <c r="AJ350" s="192"/>
      <c r="AK350" s="194"/>
      <c r="AL350" s="192"/>
      <c r="AM350" s="141"/>
      <c r="AN350" s="141"/>
    </row>
    <row r="351" spans="3:40" x14ac:dyDescent="0.3">
      <c r="C351" s="99"/>
      <c r="F351" s="110"/>
      <c r="H351" s="110"/>
      <c r="I351" s="110"/>
      <c r="J351" s="198"/>
      <c r="K351" s="198"/>
      <c r="L351" s="110"/>
      <c r="M351" s="110"/>
      <c r="N351" s="141"/>
      <c r="O351" s="141"/>
      <c r="P351" s="110"/>
      <c r="Q351" s="110"/>
      <c r="R351" s="110"/>
      <c r="T351" s="99"/>
      <c r="V351" s="110"/>
      <c r="Y351" s="110"/>
      <c r="Z351" s="198"/>
      <c r="AA351" s="110"/>
      <c r="AB351" s="110"/>
      <c r="AC351" s="141"/>
      <c r="AD351" s="141"/>
      <c r="AE351" s="110"/>
      <c r="AF351" s="110"/>
      <c r="AH351" s="207"/>
      <c r="AI351" s="110"/>
      <c r="AJ351" s="110"/>
      <c r="AL351" s="110"/>
      <c r="AM351" s="141"/>
      <c r="AN351" s="141"/>
    </row>
    <row r="352" spans="3:40" x14ac:dyDescent="0.3">
      <c r="F352" s="192"/>
      <c r="H352" s="192"/>
      <c r="I352" s="192"/>
      <c r="J352" s="217"/>
      <c r="K352" s="217"/>
      <c r="L352" s="192"/>
      <c r="M352" s="192"/>
      <c r="N352" s="192"/>
      <c r="O352" s="192"/>
      <c r="P352" s="192"/>
      <c r="Q352" s="192"/>
      <c r="R352" s="192"/>
      <c r="V352" s="192"/>
      <c r="Y352" s="192"/>
      <c r="Z352" s="217"/>
      <c r="AA352" s="192"/>
      <c r="AB352" s="192"/>
      <c r="AC352" s="192"/>
      <c r="AD352" s="192"/>
      <c r="AE352" s="192"/>
      <c r="AF352" s="192"/>
      <c r="AI352" s="192"/>
      <c r="AJ352" s="192"/>
      <c r="AK352" s="194"/>
      <c r="AL352" s="192"/>
      <c r="AM352" s="141"/>
      <c r="AN352" s="141"/>
    </row>
    <row r="353" spans="1:40" x14ac:dyDescent="0.3">
      <c r="C353" s="99"/>
      <c r="F353" s="110"/>
      <c r="H353" s="110"/>
      <c r="I353" s="110"/>
      <c r="J353" s="198"/>
      <c r="K353" s="198"/>
      <c r="L353" s="110"/>
      <c r="M353" s="110"/>
      <c r="N353" s="141"/>
      <c r="O353" s="141"/>
      <c r="P353" s="110"/>
      <c r="Q353" s="110"/>
      <c r="R353" s="110"/>
      <c r="T353" s="99"/>
      <c r="V353" s="110"/>
      <c r="Y353" s="110"/>
      <c r="Z353" s="198"/>
      <c r="AA353" s="110"/>
      <c r="AB353" s="110"/>
      <c r="AC353" s="141"/>
      <c r="AD353" s="141"/>
      <c r="AE353" s="110"/>
      <c r="AF353" s="110"/>
      <c r="AH353" s="207"/>
      <c r="AI353" s="110"/>
      <c r="AJ353" s="110"/>
      <c r="AL353" s="110"/>
      <c r="AM353" s="141"/>
      <c r="AN353" s="141"/>
    </row>
    <row r="354" spans="1:40" x14ac:dyDescent="0.3">
      <c r="C354" s="99"/>
      <c r="F354" s="110"/>
      <c r="H354" s="172"/>
      <c r="I354" s="172"/>
      <c r="J354" s="222"/>
      <c r="K354" s="222"/>
      <c r="L354" s="110"/>
      <c r="M354" s="110"/>
      <c r="N354" s="141"/>
      <c r="O354" s="141"/>
      <c r="P354" s="110"/>
      <c r="Q354" s="110"/>
      <c r="R354" s="110"/>
      <c r="T354" s="99"/>
      <c r="V354" s="110"/>
      <c r="Y354" s="110"/>
      <c r="Z354" s="216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1:40" x14ac:dyDescent="0.3">
      <c r="F355" s="192"/>
      <c r="H355" s="192"/>
      <c r="I355" s="192"/>
      <c r="J355" s="217"/>
      <c r="K355" s="217"/>
      <c r="L355" s="192"/>
      <c r="M355" s="192"/>
      <c r="N355" s="192"/>
      <c r="O355" s="192"/>
      <c r="P355" s="192"/>
      <c r="Q355" s="192"/>
      <c r="R355" s="192"/>
      <c r="V355" s="192"/>
      <c r="Y355" s="192"/>
      <c r="Z355" s="217"/>
      <c r="AA355" s="192"/>
      <c r="AB355" s="192"/>
      <c r="AC355" s="192"/>
      <c r="AD355" s="192"/>
      <c r="AE355" s="192"/>
      <c r="AF355" s="192"/>
      <c r="AI355" s="192"/>
      <c r="AJ355" s="192"/>
      <c r="AK355" s="194"/>
      <c r="AL355" s="192"/>
      <c r="AM355" s="141"/>
      <c r="AN355" s="141"/>
    </row>
    <row r="357" spans="1:40" x14ac:dyDescent="0.3">
      <c r="C357" s="99"/>
      <c r="F357" s="110"/>
      <c r="H357" s="110"/>
      <c r="I357" s="110"/>
      <c r="J357" s="217"/>
      <c r="K357" s="217"/>
      <c r="L357" s="110"/>
      <c r="M357" s="110"/>
      <c r="N357" s="141"/>
      <c r="O357" s="141"/>
      <c r="P357" s="110"/>
      <c r="Q357" s="110"/>
      <c r="R357" s="110"/>
      <c r="S357" s="110"/>
      <c r="T357" s="99"/>
      <c r="V357" s="110"/>
      <c r="Y357" s="110"/>
      <c r="Z357" s="217"/>
      <c r="AA357" s="110"/>
      <c r="AB357" s="110"/>
      <c r="AC357" s="141"/>
      <c r="AD357" s="141"/>
      <c r="AE357" s="110"/>
      <c r="AF357" s="110"/>
      <c r="AH357" s="141"/>
      <c r="AI357" s="110"/>
      <c r="AJ357" s="110"/>
      <c r="AL357" s="110"/>
      <c r="AM357" s="141"/>
      <c r="AN357" s="141"/>
    </row>
    <row r="358" spans="1:40" x14ac:dyDescent="0.3">
      <c r="F358" s="192"/>
      <c r="H358" s="192"/>
      <c r="I358" s="192"/>
      <c r="J358" s="217"/>
      <c r="K358" s="217"/>
      <c r="L358" s="192"/>
      <c r="M358" s="192"/>
      <c r="N358" s="192"/>
      <c r="O358" s="192"/>
      <c r="P358" s="192"/>
      <c r="Q358" s="192"/>
      <c r="R358" s="192"/>
      <c r="S358" s="110"/>
      <c r="V358" s="192"/>
      <c r="Y358" s="192"/>
      <c r="Z358" s="217"/>
      <c r="AA358" s="192"/>
      <c r="AB358" s="192"/>
      <c r="AC358" s="192"/>
      <c r="AD358" s="192"/>
      <c r="AE358" s="192"/>
      <c r="AF358" s="192"/>
      <c r="AI358" s="192"/>
      <c r="AJ358" s="192"/>
      <c r="AK358" s="194"/>
      <c r="AL358" s="192"/>
      <c r="AM358" s="141"/>
      <c r="AN358" s="141"/>
    </row>
    <row r="359" spans="1:40" x14ac:dyDescent="0.3">
      <c r="C359" s="99"/>
      <c r="T359" s="99"/>
    </row>
    <row r="360" spans="1:40" x14ac:dyDescent="0.3">
      <c r="C360" s="99"/>
      <c r="F360" s="110"/>
      <c r="H360" s="110"/>
      <c r="I360" s="110"/>
      <c r="L360" s="110"/>
      <c r="M360" s="110"/>
      <c r="N360" s="141"/>
      <c r="O360" s="141"/>
      <c r="P360" s="172"/>
      <c r="Q360" s="172"/>
      <c r="R360" s="110"/>
      <c r="T360" s="99"/>
      <c r="V360" s="110"/>
      <c r="Y360" s="110"/>
      <c r="AA360" s="110"/>
      <c r="AB360" s="110"/>
      <c r="AC360" s="141"/>
      <c r="AD360" s="141"/>
      <c r="AE360" s="110"/>
      <c r="AF360" s="110"/>
      <c r="AH360" s="141"/>
      <c r="AI360" s="172"/>
      <c r="AJ360" s="172"/>
      <c r="AL360" s="110"/>
      <c r="AM360" s="141"/>
      <c r="AN360" s="141"/>
    </row>
    <row r="361" spans="1:40" x14ac:dyDescent="0.3">
      <c r="F361" s="192"/>
      <c r="H361" s="192"/>
      <c r="I361" s="192"/>
      <c r="J361" s="217"/>
      <c r="K361" s="217"/>
      <c r="L361" s="192"/>
      <c r="M361" s="192"/>
      <c r="N361" s="192"/>
      <c r="O361" s="192"/>
      <c r="P361" s="192"/>
      <c r="Q361" s="192"/>
      <c r="R361" s="192"/>
      <c r="V361" s="192"/>
      <c r="Y361" s="192"/>
      <c r="Z361" s="217"/>
      <c r="AA361" s="192"/>
      <c r="AB361" s="192"/>
      <c r="AC361" s="192"/>
      <c r="AD361" s="192"/>
      <c r="AE361" s="192"/>
      <c r="AF361" s="192"/>
      <c r="AI361" s="192"/>
      <c r="AJ361" s="192"/>
      <c r="AK361" s="194"/>
      <c r="AL361" s="192"/>
    </row>
    <row r="363" spans="1:40" x14ac:dyDescent="0.3">
      <c r="C363" s="99"/>
      <c r="L363" s="110"/>
      <c r="M363" s="110"/>
      <c r="N363" s="110"/>
      <c r="O363" s="110"/>
      <c r="P363" s="110"/>
      <c r="Q363" s="110"/>
      <c r="R363" s="110"/>
      <c r="S363" s="110"/>
      <c r="T363" s="99"/>
      <c r="AA363" s="110"/>
      <c r="AB363" s="110"/>
      <c r="AC363" s="110"/>
      <c r="AD363" s="110"/>
      <c r="AI363" s="110"/>
      <c r="AJ363" s="110"/>
      <c r="AL363" s="110"/>
    </row>
    <row r="364" spans="1:40" x14ac:dyDescent="0.3">
      <c r="A364" s="99"/>
    </row>
    <row r="366" spans="1:40" x14ac:dyDescent="0.3">
      <c r="H366" s="99"/>
      <c r="I366" s="99"/>
      <c r="Y366" s="99"/>
    </row>
    <row r="368" spans="1:40" x14ac:dyDescent="0.3">
      <c r="L368" s="99"/>
      <c r="M368" s="99"/>
      <c r="AA368" s="99"/>
      <c r="AB368" s="99"/>
    </row>
    <row r="369" spans="1:40" x14ac:dyDescent="0.3">
      <c r="R369" s="99"/>
      <c r="AK369" s="190"/>
      <c r="AL369" s="99"/>
    </row>
    <row r="370" spans="1:40" x14ac:dyDescent="0.3">
      <c r="R370" s="99"/>
      <c r="AK370" s="190"/>
      <c r="AL370" s="99"/>
    </row>
    <row r="371" spans="1:40" x14ac:dyDescent="0.3">
      <c r="A371" s="99"/>
      <c r="R371" s="99"/>
      <c r="AK371" s="190"/>
      <c r="AL371" s="99"/>
    </row>
    <row r="372" spans="1:40" x14ac:dyDescent="0.3">
      <c r="L372" s="99"/>
      <c r="M372" s="99"/>
      <c r="AA372" s="99"/>
      <c r="AB372" s="99"/>
    </row>
    <row r="373" spans="1:40" x14ac:dyDescent="0.3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91"/>
      <c r="AH373" s="101"/>
      <c r="AI373" s="101"/>
      <c r="AJ373" s="101"/>
      <c r="AK373" s="191"/>
      <c r="AL373" s="101"/>
      <c r="AM373" s="101"/>
      <c r="AN373" s="101"/>
    </row>
    <row r="374" spans="1:40" x14ac:dyDescent="0.3">
      <c r="L374" s="102"/>
      <c r="M374" s="102"/>
      <c r="N374" s="102"/>
      <c r="O374" s="102"/>
      <c r="R374" s="102"/>
      <c r="AA374" s="102"/>
      <c r="AB374" s="102"/>
      <c r="AC374" s="102"/>
      <c r="AD374" s="102"/>
      <c r="AE374" s="102"/>
      <c r="AF374" s="102"/>
      <c r="AG374" s="151"/>
      <c r="AH374" s="102"/>
      <c r="AK374" s="151"/>
      <c r="AL374" s="102"/>
      <c r="AM374" s="102"/>
      <c r="AN374" s="102"/>
    </row>
    <row r="375" spans="1:40" x14ac:dyDescent="0.3">
      <c r="L375" s="102"/>
      <c r="M375" s="102"/>
      <c r="N375" s="102"/>
      <c r="O375" s="102"/>
      <c r="R375" s="102"/>
      <c r="Z375" s="102"/>
      <c r="AA375" s="102"/>
      <c r="AB375" s="102"/>
      <c r="AC375" s="102"/>
      <c r="AD375" s="102"/>
      <c r="AE375" s="102"/>
      <c r="AF375" s="102"/>
      <c r="AG375" s="151"/>
      <c r="AH375" s="102"/>
      <c r="AK375" s="151"/>
      <c r="AL375" s="102"/>
      <c r="AM375" s="102"/>
      <c r="AN375" s="102"/>
    </row>
    <row r="376" spans="1:40" x14ac:dyDescent="0.3">
      <c r="A376" s="102"/>
      <c r="C376" s="102"/>
      <c r="D376" s="102"/>
      <c r="E376" s="102"/>
      <c r="F376" s="102"/>
      <c r="J376" s="102"/>
      <c r="K376" s="102"/>
      <c r="L376" s="102"/>
      <c r="M376" s="102"/>
      <c r="N376" s="102"/>
      <c r="O376" s="102"/>
      <c r="P376" s="102"/>
      <c r="Q376" s="102"/>
      <c r="R376" s="102"/>
      <c r="T376" s="102"/>
      <c r="U376" s="102"/>
      <c r="V376" s="102"/>
      <c r="Z376" s="102"/>
      <c r="AA376" s="102"/>
      <c r="AB376" s="102"/>
      <c r="AC376" s="102"/>
      <c r="AD376" s="102"/>
      <c r="AE376" s="102"/>
      <c r="AF376" s="102"/>
      <c r="AG376" s="151"/>
      <c r="AH376" s="102"/>
      <c r="AI376" s="102"/>
      <c r="AJ376" s="102"/>
      <c r="AK376" s="151"/>
      <c r="AL376" s="102"/>
      <c r="AM376" s="102"/>
      <c r="AN376" s="102"/>
    </row>
    <row r="377" spans="1:40" x14ac:dyDescent="0.3">
      <c r="A377" s="102"/>
      <c r="C377" s="102"/>
      <c r="D377" s="102"/>
      <c r="E377" s="102"/>
      <c r="F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T377" s="102"/>
      <c r="U377" s="102"/>
      <c r="V377" s="102"/>
      <c r="Y377" s="102"/>
      <c r="Z377" s="102"/>
      <c r="AA377" s="102"/>
      <c r="AB377" s="102"/>
      <c r="AC377" s="102"/>
      <c r="AD377" s="102"/>
      <c r="AE377" s="102"/>
      <c r="AF377" s="102"/>
      <c r="AG377" s="151"/>
      <c r="AH377" s="102"/>
      <c r="AI377" s="102"/>
      <c r="AJ377" s="102"/>
      <c r="AK377" s="151"/>
      <c r="AL377" s="102"/>
      <c r="AM377" s="102"/>
      <c r="AN377" s="102"/>
    </row>
    <row r="378" spans="1:40" x14ac:dyDescent="0.3">
      <c r="C378" s="102"/>
      <c r="D378" s="102"/>
      <c r="E378" s="102"/>
      <c r="F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T378" s="102"/>
      <c r="U378" s="102"/>
      <c r="V378" s="102"/>
      <c r="Y378" s="102"/>
      <c r="Z378" s="102"/>
      <c r="AA378" s="102"/>
      <c r="AB378" s="102"/>
      <c r="AC378" s="102"/>
      <c r="AD378" s="102"/>
      <c r="AE378" s="102"/>
      <c r="AF378" s="102"/>
      <c r="AG378" s="151"/>
      <c r="AH378" s="102"/>
      <c r="AI378" s="102"/>
      <c r="AJ378" s="102"/>
      <c r="AK378" s="151"/>
      <c r="AL378" s="102"/>
      <c r="AM378" s="102"/>
      <c r="AN378" s="102"/>
    </row>
    <row r="379" spans="1:40" x14ac:dyDescent="0.3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91"/>
      <c r="AH379" s="101"/>
      <c r="AI379" s="101"/>
      <c r="AJ379" s="101"/>
      <c r="AK379" s="191"/>
      <c r="AL379" s="101"/>
      <c r="AM379" s="101"/>
      <c r="AN379" s="101"/>
    </row>
    <row r="380" spans="1:40" x14ac:dyDescent="0.3"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Y380" s="102"/>
      <c r="Z380" s="102"/>
      <c r="AA380" s="102"/>
      <c r="AB380" s="102"/>
      <c r="AC380" s="102"/>
      <c r="AD380" s="102"/>
      <c r="AE380" s="102"/>
      <c r="AF380" s="102"/>
      <c r="AG380" s="151"/>
      <c r="AH380" s="102"/>
      <c r="AI380" s="102"/>
      <c r="AJ380" s="102"/>
      <c r="AK380" s="151"/>
      <c r="AL380" s="102"/>
      <c r="AM380" s="102"/>
      <c r="AN380" s="102"/>
    </row>
    <row r="381" spans="1:40" x14ac:dyDescent="0.3">
      <c r="C381" s="99"/>
      <c r="D381" s="99"/>
      <c r="E381" s="99"/>
      <c r="T381" s="99"/>
      <c r="U381" s="99"/>
    </row>
    <row r="382" spans="1:40" x14ac:dyDescent="0.3">
      <c r="D382" s="99"/>
      <c r="E382" s="99"/>
      <c r="U382" s="99"/>
    </row>
    <row r="384" spans="1:40" x14ac:dyDescent="0.3">
      <c r="C384" s="99"/>
      <c r="T384" s="99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72"/>
      <c r="W385" s="110"/>
      <c r="X385" s="110"/>
      <c r="Y385" s="172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10"/>
      <c r="H386" s="110"/>
      <c r="I386" s="110"/>
      <c r="J386" s="217"/>
      <c r="K386" s="217"/>
      <c r="L386" s="110"/>
      <c r="M386" s="110"/>
      <c r="N386" s="141"/>
      <c r="O386" s="141"/>
      <c r="P386" s="110"/>
      <c r="Q386" s="110"/>
      <c r="R386" s="110"/>
      <c r="T386" s="99"/>
      <c r="V386" s="172"/>
      <c r="W386" s="110"/>
      <c r="X386" s="110"/>
      <c r="Y386" s="172"/>
      <c r="Z386" s="217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F387" s="172"/>
      <c r="H387" s="172"/>
      <c r="I387" s="172"/>
      <c r="J387" s="228"/>
      <c r="K387" s="228"/>
      <c r="L387" s="110"/>
      <c r="M387" s="110"/>
      <c r="N387" s="141"/>
      <c r="O387" s="141"/>
      <c r="P387" s="110"/>
      <c r="Q387" s="110"/>
      <c r="R387" s="110"/>
      <c r="T387" s="99"/>
      <c r="V387" s="172"/>
      <c r="W387" s="110"/>
      <c r="X387" s="110"/>
      <c r="Y387" s="172"/>
      <c r="Z387" s="228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3:40" x14ac:dyDescent="0.3">
      <c r="C388" s="99"/>
      <c r="F388" s="172"/>
      <c r="H388" s="172"/>
      <c r="I388" s="172"/>
      <c r="J388" s="228"/>
      <c r="K388" s="228"/>
      <c r="L388" s="110"/>
      <c r="M388" s="110"/>
      <c r="N388" s="141"/>
      <c r="O388" s="141"/>
      <c r="P388" s="110"/>
      <c r="Q388" s="110"/>
      <c r="R388" s="110"/>
      <c r="T388" s="99"/>
      <c r="V388" s="172"/>
      <c r="W388" s="110"/>
      <c r="X388" s="110"/>
      <c r="Y388" s="172"/>
      <c r="Z388" s="228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72"/>
      <c r="W389" s="110"/>
      <c r="X389" s="110"/>
      <c r="Y389" s="172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C390" s="99"/>
      <c r="F390" s="110"/>
      <c r="H390" s="110"/>
      <c r="I390" s="110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72"/>
      <c r="W390" s="110"/>
      <c r="X390" s="110"/>
      <c r="Y390" s="172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10"/>
      <c r="H391" s="110"/>
      <c r="I391" s="110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72"/>
      <c r="W391" s="110"/>
      <c r="X391" s="110"/>
      <c r="Y391" s="172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F392" s="210"/>
      <c r="H392" s="230"/>
      <c r="I392" s="230"/>
      <c r="J392" s="228"/>
      <c r="K392" s="228"/>
      <c r="L392" s="210"/>
      <c r="M392" s="210"/>
      <c r="N392" s="192"/>
      <c r="O392" s="192"/>
      <c r="P392" s="210"/>
      <c r="Q392" s="210"/>
      <c r="R392" s="210"/>
      <c r="V392" s="210"/>
      <c r="W392" s="110"/>
      <c r="X392" s="110"/>
      <c r="Y392" s="210"/>
      <c r="Z392" s="228"/>
      <c r="AA392" s="210"/>
      <c r="AB392" s="210"/>
      <c r="AC392" s="211"/>
      <c r="AD392" s="211"/>
      <c r="AE392" s="210"/>
      <c r="AF392" s="210"/>
      <c r="AH392" s="207"/>
      <c r="AI392" s="210"/>
      <c r="AJ392" s="210"/>
      <c r="AK392" s="191"/>
      <c r="AL392" s="210"/>
      <c r="AM392" s="141"/>
      <c r="AN392" s="141"/>
    </row>
    <row r="393" spans="3:40" x14ac:dyDescent="0.3">
      <c r="C393" s="99"/>
      <c r="F393" s="110"/>
      <c r="H393" s="110"/>
      <c r="I393" s="110"/>
      <c r="J393" s="228"/>
      <c r="K393" s="228"/>
      <c r="L393" s="110"/>
      <c r="M393" s="110"/>
      <c r="N393" s="207"/>
      <c r="O393" s="207"/>
      <c r="P393" s="110"/>
      <c r="Q393" s="110"/>
      <c r="R393" s="110"/>
      <c r="T393" s="102"/>
      <c r="V393" s="110"/>
      <c r="W393" s="110"/>
      <c r="X393" s="110"/>
      <c r="Y393" s="110"/>
      <c r="Z393" s="228"/>
      <c r="AA393" s="110"/>
      <c r="AB393" s="110"/>
      <c r="AC393" s="207"/>
      <c r="AD393" s="207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F394" s="101"/>
      <c r="H394" s="101"/>
      <c r="I394" s="101"/>
      <c r="L394" s="101"/>
      <c r="M394" s="101"/>
      <c r="N394" s="211"/>
      <c r="O394" s="211"/>
      <c r="P394" s="210"/>
      <c r="Q394" s="210"/>
      <c r="R394" s="210"/>
      <c r="V394" s="210"/>
      <c r="Y394" s="210"/>
      <c r="Z394" s="217"/>
      <c r="AA394" s="210"/>
      <c r="AB394" s="210"/>
      <c r="AC394" s="210"/>
      <c r="AD394" s="210"/>
      <c r="AE394" s="210"/>
      <c r="AF394" s="210"/>
      <c r="AI394" s="210"/>
      <c r="AJ394" s="210"/>
      <c r="AK394" s="191"/>
      <c r="AL394" s="210"/>
      <c r="AM394" s="211"/>
      <c r="AN394" s="211"/>
    </row>
    <row r="399" spans="3:40" x14ac:dyDescent="0.3">
      <c r="N399" s="110"/>
      <c r="O399" s="110"/>
      <c r="P399" s="110"/>
      <c r="Q399" s="110"/>
      <c r="R399" s="110"/>
      <c r="V399" s="110"/>
      <c r="Y399" s="110"/>
      <c r="Z399" s="198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3:40" x14ac:dyDescent="0.3">
      <c r="C400" s="99"/>
      <c r="D400" s="99"/>
      <c r="E400" s="99"/>
      <c r="J400" s="163"/>
      <c r="K400" s="163"/>
      <c r="T400" s="99"/>
      <c r="U400" s="99"/>
      <c r="Z400" s="163"/>
      <c r="AE400" s="110"/>
      <c r="AF400" s="110"/>
      <c r="AI400" s="110"/>
      <c r="AJ400" s="110"/>
      <c r="AL400" s="110"/>
      <c r="AM400" s="141"/>
      <c r="AN400" s="141"/>
    </row>
    <row r="401" spans="1:40" x14ac:dyDescent="0.3">
      <c r="D401" s="99"/>
      <c r="E401" s="99"/>
      <c r="F401" s="110"/>
      <c r="H401" s="110"/>
      <c r="I401" s="110"/>
      <c r="J401" s="228"/>
      <c r="K401" s="228"/>
      <c r="L401" s="110"/>
      <c r="M401" s="110"/>
      <c r="N401" s="141"/>
      <c r="O401" s="141"/>
      <c r="P401" s="110"/>
      <c r="Q401" s="110"/>
      <c r="R401" s="110"/>
      <c r="U401" s="99"/>
      <c r="V401" s="110"/>
      <c r="Y401" s="110"/>
      <c r="Z401" s="228"/>
      <c r="AA401" s="110"/>
      <c r="AB401" s="110"/>
      <c r="AC401" s="141"/>
      <c r="AD401" s="141"/>
      <c r="AE401" s="110"/>
      <c r="AF401" s="110"/>
      <c r="AH401" s="207"/>
      <c r="AI401" s="110"/>
      <c r="AJ401" s="110"/>
      <c r="AL401" s="110"/>
      <c r="AM401" s="141"/>
      <c r="AN401" s="141"/>
    </row>
    <row r="402" spans="1:40" x14ac:dyDescent="0.3">
      <c r="F402" s="110"/>
      <c r="H402" s="110"/>
      <c r="I402" s="110"/>
      <c r="J402" s="217"/>
      <c r="K402" s="217"/>
      <c r="L402" s="110"/>
      <c r="M402" s="110"/>
      <c r="N402" s="110"/>
      <c r="O402" s="110"/>
      <c r="P402" s="110"/>
      <c r="Q402" s="110"/>
      <c r="R402" s="110"/>
      <c r="V402" s="110"/>
      <c r="Y402" s="110"/>
      <c r="Z402" s="217"/>
      <c r="AA402" s="110"/>
      <c r="AB402" s="110"/>
      <c r="AC402" s="110"/>
      <c r="AD402" s="110"/>
      <c r="AE402" s="110"/>
      <c r="AF402" s="110"/>
      <c r="AH402" s="207"/>
      <c r="AI402" s="172"/>
      <c r="AJ402" s="172"/>
      <c r="AL402" s="110"/>
      <c r="AM402" s="141"/>
      <c r="AN402" s="141"/>
    </row>
    <row r="403" spans="1:40" x14ac:dyDescent="0.3">
      <c r="C403" s="99"/>
      <c r="F403" s="172"/>
      <c r="H403" s="172"/>
      <c r="I403" s="172"/>
      <c r="J403" s="216"/>
      <c r="K403" s="216"/>
      <c r="L403" s="110"/>
      <c r="M403" s="110"/>
      <c r="N403" s="141"/>
      <c r="O403" s="141"/>
      <c r="P403" s="110"/>
      <c r="Q403" s="110"/>
      <c r="R403" s="110"/>
      <c r="T403" s="99"/>
      <c r="V403" s="172"/>
      <c r="Y403" s="172"/>
      <c r="Z403" s="216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1:40" x14ac:dyDescent="0.3">
      <c r="F404" s="101"/>
      <c r="H404" s="101"/>
      <c r="I404" s="101"/>
      <c r="L404" s="101"/>
      <c r="M404" s="101"/>
      <c r="N404" s="101"/>
      <c r="O404" s="101"/>
      <c r="P404" s="101"/>
      <c r="Q404" s="101"/>
      <c r="R404" s="101"/>
      <c r="V404" s="101"/>
      <c r="Y404" s="101"/>
      <c r="AA404" s="101"/>
      <c r="AB404" s="101"/>
      <c r="AC404" s="101"/>
      <c r="AD404" s="101"/>
      <c r="AE404" s="101"/>
      <c r="AF404" s="101"/>
      <c r="AG404" s="191"/>
      <c r="AH404" s="101"/>
      <c r="AI404" s="101"/>
      <c r="AJ404" s="101"/>
      <c r="AK404" s="191"/>
      <c r="AL404" s="101"/>
      <c r="AM404" s="101"/>
      <c r="AN404" s="101"/>
    </row>
    <row r="405" spans="1:40" x14ac:dyDescent="0.3">
      <c r="C405" s="102"/>
      <c r="F405" s="172"/>
      <c r="H405" s="172"/>
      <c r="I405" s="172"/>
      <c r="J405" s="181"/>
      <c r="K405" s="181"/>
      <c r="L405" s="172"/>
      <c r="M405" s="172"/>
      <c r="N405" s="141"/>
      <c r="O405" s="141"/>
      <c r="P405" s="172"/>
      <c r="Q405" s="172"/>
      <c r="R405" s="172"/>
      <c r="T405" s="102"/>
      <c r="V405" s="110"/>
      <c r="Y405" s="110"/>
      <c r="Z405" s="198"/>
      <c r="AA405" s="110"/>
      <c r="AB405" s="110"/>
      <c r="AC405" s="141"/>
      <c r="AD405" s="141"/>
      <c r="AH405" s="207"/>
      <c r="AI405" s="110"/>
      <c r="AJ405" s="110"/>
      <c r="AL405" s="110"/>
      <c r="AM405" s="141"/>
      <c r="AN405" s="141"/>
    </row>
    <row r="406" spans="1:40" x14ac:dyDescent="0.3">
      <c r="F406" s="210"/>
      <c r="H406" s="210"/>
      <c r="I406" s="210"/>
      <c r="J406" s="217"/>
      <c r="K406" s="217"/>
      <c r="L406" s="210"/>
      <c r="M406" s="210"/>
      <c r="N406" s="210"/>
      <c r="O406" s="210"/>
      <c r="P406" s="210"/>
      <c r="Q406" s="210"/>
      <c r="R406" s="210"/>
      <c r="V406" s="101"/>
      <c r="Y406" s="101"/>
      <c r="AA406" s="101"/>
      <c r="AB406" s="101"/>
      <c r="AC406" s="101"/>
      <c r="AD406" s="101"/>
      <c r="AE406" s="101"/>
      <c r="AF406" s="101"/>
      <c r="AG406" s="191"/>
      <c r="AH406" s="101"/>
      <c r="AI406" s="101"/>
      <c r="AJ406" s="101"/>
      <c r="AK406" s="191"/>
      <c r="AL406" s="101"/>
      <c r="AM406" s="101"/>
      <c r="AN406" s="101"/>
    </row>
    <row r="407" spans="1:40" x14ac:dyDescent="0.3">
      <c r="F407" s="172"/>
      <c r="H407" s="172"/>
      <c r="I407" s="172"/>
      <c r="J407" s="227"/>
      <c r="K407" s="227"/>
      <c r="L407" s="110"/>
      <c r="M407" s="110"/>
      <c r="N407" s="141"/>
      <c r="O407" s="141"/>
      <c r="P407" s="110"/>
      <c r="Q407" s="110"/>
      <c r="R407" s="110"/>
    </row>
    <row r="408" spans="1:40" x14ac:dyDescent="0.3">
      <c r="A408" s="99"/>
      <c r="F408" s="172"/>
      <c r="H408" s="172"/>
      <c r="I408" s="172"/>
      <c r="J408" s="181"/>
      <c r="K408" s="181"/>
      <c r="L408" s="110"/>
      <c r="M408" s="110"/>
      <c r="N408" s="141"/>
      <c r="O408" s="141"/>
      <c r="P408" s="110"/>
      <c r="Q408" s="110"/>
      <c r="R408" s="110"/>
    </row>
    <row r="409" spans="1:40" x14ac:dyDescent="0.3">
      <c r="F409" s="172"/>
      <c r="H409" s="172"/>
      <c r="I409" s="172"/>
      <c r="J409" s="181"/>
      <c r="K409" s="181"/>
      <c r="L409" s="110"/>
      <c r="M409" s="110"/>
      <c r="N409" s="141"/>
      <c r="O409" s="141"/>
      <c r="P409" s="110"/>
      <c r="Q409" s="110"/>
      <c r="R409" s="110"/>
    </row>
    <row r="410" spans="1:40" x14ac:dyDescent="0.3">
      <c r="A410" s="99"/>
    </row>
    <row r="413" spans="1:40" x14ac:dyDescent="0.3">
      <c r="H413" s="99"/>
      <c r="I413" s="99"/>
      <c r="Y413" s="99"/>
    </row>
    <row r="415" spans="1:40" x14ac:dyDescent="0.3">
      <c r="L415" s="99"/>
      <c r="M415" s="99"/>
      <c r="AA415" s="99"/>
      <c r="AB415" s="99"/>
    </row>
    <row r="416" spans="1:40" x14ac:dyDescent="0.3">
      <c r="R416" s="99"/>
      <c r="AK416" s="190"/>
      <c r="AL416" s="99"/>
    </row>
    <row r="417" spans="1:40" x14ac:dyDescent="0.3">
      <c r="R417" s="99"/>
      <c r="AK417" s="190"/>
      <c r="AL417" s="99"/>
    </row>
    <row r="418" spans="1:40" x14ac:dyDescent="0.3">
      <c r="A418" s="99"/>
      <c r="R418" s="99"/>
      <c r="AK418" s="190"/>
      <c r="AL418" s="99"/>
    </row>
    <row r="419" spans="1:40" x14ac:dyDescent="0.3">
      <c r="L419" s="99"/>
      <c r="M419" s="99"/>
      <c r="AA419" s="99"/>
      <c r="AB419" s="99"/>
    </row>
    <row r="420" spans="1:40" x14ac:dyDescent="0.3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91"/>
      <c r="AH420" s="101"/>
      <c r="AI420" s="101"/>
      <c r="AJ420" s="101"/>
      <c r="AK420" s="191"/>
      <c r="AL420" s="101"/>
      <c r="AM420" s="101"/>
      <c r="AN420" s="101"/>
    </row>
    <row r="421" spans="1:40" x14ac:dyDescent="0.3">
      <c r="L421" s="102"/>
      <c r="M421" s="102"/>
      <c r="N421" s="102"/>
      <c r="O421" s="102"/>
      <c r="R421" s="102"/>
      <c r="AA421" s="102"/>
      <c r="AB421" s="102"/>
      <c r="AC421" s="102"/>
      <c r="AD421" s="102"/>
      <c r="AE421" s="102"/>
      <c r="AF421" s="102"/>
      <c r="AG421" s="151"/>
      <c r="AH421" s="102"/>
      <c r="AK421" s="151"/>
      <c r="AL421" s="102"/>
      <c r="AM421" s="102"/>
      <c r="AN421" s="102"/>
    </row>
    <row r="422" spans="1:40" x14ac:dyDescent="0.3">
      <c r="L422" s="102"/>
      <c r="M422" s="102"/>
      <c r="N422" s="102"/>
      <c r="O422" s="102"/>
      <c r="R422" s="102"/>
      <c r="Z422" s="102"/>
      <c r="AA422" s="102"/>
      <c r="AB422" s="102"/>
      <c r="AC422" s="102"/>
      <c r="AD422" s="102"/>
      <c r="AE422" s="102"/>
      <c r="AF422" s="102"/>
      <c r="AG422" s="151"/>
      <c r="AH422" s="102"/>
      <c r="AK422" s="151"/>
      <c r="AL422" s="102"/>
      <c r="AM422" s="102"/>
      <c r="AN422" s="102"/>
    </row>
    <row r="423" spans="1:40" x14ac:dyDescent="0.3">
      <c r="A423" s="102"/>
      <c r="C423" s="102"/>
      <c r="D423" s="102"/>
      <c r="E423" s="102"/>
      <c r="F423" s="102"/>
      <c r="J423" s="102"/>
      <c r="K423" s="102"/>
      <c r="L423" s="102"/>
      <c r="M423" s="102"/>
      <c r="N423" s="102"/>
      <c r="O423" s="102"/>
      <c r="P423" s="102"/>
      <c r="Q423" s="102"/>
      <c r="R423" s="102"/>
      <c r="T423" s="102"/>
      <c r="U423" s="102"/>
      <c r="V423" s="102"/>
      <c r="Z423" s="102"/>
      <c r="AA423" s="102"/>
      <c r="AB423" s="102"/>
      <c r="AC423" s="102"/>
      <c r="AD423" s="102"/>
      <c r="AE423" s="102"/>
      <c r="AF423" s="102"/>
      <c r="AG423" s="151"/>
      <c r="AH423" s="102"/>
      <c r="AI423" s="102"/>
      <c r="AJ423" s="102"/>
      <c r="AK423" s="151"/>
      <c r="AL423" s="102"/>
      <c r="AM423" s="102"/>
      <c r="AN423" s="102"/>
    </row>
    <row r="424" spans="1:40" x14ac:dyDescent="0.3">
      <c r="A424" s="102"/>
      <c r="C424" s="102"/>
      <c r="D424" s="102"/>
      <c r="E424" s="102"/>
      <c r="F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T424" s="102"/>
      <c r="U424" s="102"/>
      <c r="V424" s="102"/>
      <c r="Y424" s="102"/>
      <c r="Z424" s="102"/>
      <c r="AA424" s="102"/>
      <c r="AB424" s="102"/>
      <c r="AC424" s="102"/>
      <c r="AD424" s="102"/>
      <c r="AE424" s="102"/>
      <c r="AF424" s="102"/>
      <c r="AG424" s="151"/>
      <c r="AH424" s="102"/>
      <c r="AI424" s="102"/>
      <c r="AJ424" s="102"/>
      <c r="AK424" s="151"/>
      <c r="AL424" s="102"/>
      <c r="AM424" s="102"/>
      <c r="AN424" s="102"/>
    </row>
    <row r="425" spans="1:40" x14ac:dyDescent="0.3">
      <c r="C425" s="102"/>
      <c r="D425" s="102"/>
      <c r="E425" s="102"/>
      <c r="F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T425" s="102"/>
      <c r="U425" s="102"/>
      <c r="V425" s="102"/>
      <c r="Y425" s="102"/>
      <c r="Z425" s="102"/>
      <c r="AA425" s="102"/>
      <c r="AB425" s="102"/>
      <c r="AC425" s="102"/>
      <c r="AD425" s="102"/>
      <c r="AE425" s="102"/>
      <c r="AF425" s="102"/>
      <c r="AG425" s="151"/>
      <c r="AH425" s="102"/>
      <c r="AI425" s="102"/>
      <c r="AJ425" s="102"/>
      <c r="AK425" s="151"/>
      <c r="AL425" s="102"/>
      <c r="AM425" s="102"/>
      <c r="AN425" s="102"/>
    </row>
    <row r="426" spans="1:40" x14ac:dyDescent="0.3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91"/>
      <c r="AH426" s="101"/>
      <c r="AI426" s="101"/>
      <c r="AJ426" s="101"/>
      <c r="AK426" s="191"/>
      <c r="AL426" s="101"/>
      <c r="AM426" s="101"/>
      <c r="AN426" s="101"/>
    </row>
    <row r="427" spans="1:40" x14ac:dyDescent="0.3"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Y427" s="102"/>
      <c r="Z427" s="102"/>
      <c r="AA427" s="102"/>
      <c r="AB427" s="102"/>
      <c r="AC427" s="102"/>
      <c r="AD427" s="102"/>
      <c r="AE427" s="102"/>
      <c r="AF427" s="102"/>
      <c r="AG427" s="151"/>
      <c r="AH427" s="102"/>
      <c r="AI427" s="102"/>
      <c r="AJ427" s="102"/>
      <c r="AK427" s="151"/>
      <c r="AL427" s="102"/>
      <c r="AM427" s="102"/>
      <c r="AN427" s="102"/>
    </row>
    <row r="428" spans="1:40" x14ac:dyDescent="0.3">
      <c r="C428" s="99"/>
      <c r="D428" s="99"/>
      <c r="E428" s="99"/>
      <c r="T428" s="99"/>
      <c r="U428" s="99"/>
    </row>
    <row r="430" spans="1:40" x14ac:dyDescent="0.3">
      <c r="C430" s="99"/>
      <c r="T430" s="99"/>
    </row>
    <row r="431" spans="1:40" x14ac:dyDescent="0.3">
      <c r="C431" s="99"/>
      <c r="F431" s="172"/>
      <c r="H431" s="172"/>
      <c r="I431" s="172"/>
      <c r="J431" s="217"/>
      <c r="K431" s="217"/>
      <c r="L431" s="110"/>
      <c r="M431" s="110"/>
      <c r="N431" s="141"/>
      <c r="O431" s="141"/>
      <c r="P431" s="110"/>
      <c r="Q431" s="110"/>
      <c r="R431" s="110"/>
      <c r="T431" s="99"/>
      <c r="V431" s="172"/>
      <c r="Y431" s="172"/>
      <c r="Z431" s="217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1:40" x14ac:dyDescent="0.3">
      <c r="C432" s="99"/>
      <c r="T432" s="99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8"/>
      <c r="K434" s="228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8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C435" s="99"/>
      <c r="F435" s="172"/>
      <c r="H435" s="172"/>
      <c r="I435" s="172"/>
      <c r="J435" s="228"/>
      <c r="K435" s="228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8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3:40" x14ac:dyDescent="0.3">
      <c r="C436" s="99"/>
      <c r="F436" s="172"/>
      <c r="H436" s="172"/>
      <c r="I436" s="172"/>
      <c r="J436" s="228"/>
      <c r="K436" s="228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Z436" s="228"/>
      <c r="AA436" s="110"/>
      <c r="AB436" s="110"/>
      <c r="AC436" s="141"/>
      <c r="AD436" s="141"/>
      <c r="AE436" s="110"/>
      <c r="AF436" s="110"/>
      <c r="AH436" s="207"/>
      <c r="AI436" s="110"/>
      <c r="AJ436" s="110"/>
      <c r="AL436" s="110"/>
      <c r="AM436" s="141"/>
      <c r="AN436" s="141"/>
    </row>
    <row r="437" spans="3:40" x14ac:dyDescent="0.3">
      <c r="C437" s="99"/>
      <c r="J437" s="163"/>
      <c r="K437" s="163"/>
      <c r="T437" s="99"/>
      <c r="Z437" s="163"/>
    </row>
    <row r="438" spans="3:40" x14ac:dyDescent="0.3">
      <c r="C438" s="99"/>
      <c r="F438" s="172"/>
      <c r="H438" s="172"/>
      <c r="I438" s="172"/>
      <c r="J438" s="228"/>
      <c r="K438" s="228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8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C439" s="99"/>
      <c r="F439" s="172"/>
      <c r="H439" s="172"/>
      <c r="I439" s="172"/>
      <c r="J439" s="228"/>
      <c r="K439" s="228"/>
      <c r="L439" s="110"/>
      <c r="M439" s="110"/>
      <c r="N439" s="141"/>
      <c r="O439" s="141"/>
      <c r="P439" s="110"/>
      <c r="Q439" s="110"/>
      <c r="R439" s="110"/>
      <c r="T439" s="99"/>
      <c r="V439" s="110"/>
      <c r="Y439" s="110"/>
      <c r="Z439" s="228"/>
      <c r="AA439" s="110"/>
      <c r="AB439" s="110"/>
      <c r="AC439" s="141"/>
      <c r="AD439" s="141"/>
      <c r="AE439" s="110"/>
      <c r="AF439" s="110"/>
      <c r="AH439" s="207"/>
      <c r="AI439" s="110"/>
      <c r="AJ439" s="110"/>
      <c r="AL439" s="110"/>
      <c r="AM439" s="141"/>
      <c r="AN439" s="141"/>
    </row>
    <row r="440" spans="3:40" x14ac:dyDescent="0.3">
      <c r="C440" s="99"/>
      <c r="F440" s="172"/>
      <c r="H440" s="172"/>
      <c r="I440" s="172"/>
      <c r="J440" s="228"/>
      <c r="K440" s="228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Z440" s="228"/>
      <c r="AA440" s="110"/>
      <c r="AB440" s="110"/>
      <c r="AC440" s="141"/>
      <c r="AD440" s="141"/>
      <c r="AE440" s="110"/>
      <c r="AF440" s="110"/>
      <c r="AH440" s="207"/>
      <c r="AI440" s="110"/>
      <c r="AJ440" s="110"/>
      <c r="AL440" s="110"/>
      <c r="AM440" s="141"/>
      <c r="AN440" s="141"/>
    </row>
    <row r="441" spans="3:40" x14ac:dyDescent="0.3">
      <c r="C441" s="99"/>
      <c r="J441" s="163"/>
      <c r="K441" s="163"/>
      <c r="T441" s="99"/>
      <c r="Z441" s="163"/>
    </row>
    <row r="442" spans="3:40" x14ac:dyDescent="0.3">
      <c r="C442" s="99"/>
      <c r="F442" s="172"/>
      <c r="H442" s="172"/>
      <c r="I442" s="172"/>
      <c r="J442" s="228"/>
      <c r="K442" s="228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28"/>
      <c r="AA442" s="110"/>
      <c r="AB442" s="110"/>
      <c r="AC442" s="141"/>
      <c r="AD442" s="141"/>
      <c r="AE442" s="110"/>
      <c r="AF442" s="110"/>
      <c r="AH442" s="207"/>
      <c r="AI442" s="110"/>
      <c r="AJ442" s="110"/>
      <c r="AL442" s="110"/>
      <c r="AM442" s="141"/>
      <c r="AN442" s="141"/>
    </row>
    <row r="443" spans="3:40" x14ac:dyDescent="0.3">
      <c r="C443" s="99"/>
      <c r="F443" s="172"/>
      <c r="H443" s="172"/>
      <c r="I443" s="172"/>
      <c r="J443" s="228"/>
      <c r="K443" s="228"/>
      <c r="L443" s="110"/>
      <c r="M443" s="110"/>
      <c r="N443" s="141"/>
      <c r="O443" s="141"/>
      <c r="P443" s="110"/>
      <c r="Q443" s="110"/>
      <c r="R443" s="110"/>
      <c r="T443" s="99"/>
      <c r="V443" s="110"/>
      <c r="Y443" s="110"/>
      <c r="Z443" s="228"/>
      <c r="AA443" s="110"/>
      <c r="AB443" s="110"/>
      <c r="AC443" s="141"/>
      <c r="AD443" s="141"/>
      <c r="AE443" s="110"/>
      <c r="AF443" s="110"/>
      <c r="AH443" s="207"/>
      <c r="AI443" s="110"/>
      <c r="AJ443" s="110"/>
      <c r="AL443" s="110"/>
      <c r="AM443" s="141"/>
      <c r="AN443" s="141"/>
    </row>
    <row r="444" spans="3:40" x14ac:dyDescent="0.3">
      <c r="C444" s="99"/>
      <c r="J444" s="163"/>
      <c r="K444" s="163"/>
      <c r="T444" s="99"/>
      <c r="Z444" s="163"/>
    </row>
    <row r="445" spans="3:40" x14ac:dyDescent="0.3">
      <c r="C445" s="99"/>
      <c r="F445" s="172"/>
      <c r="H445" s="172"/>
      <c r="I445" s="172"/>
      <c r="J445" s="228"/>
      <c r="K445" s="228"/>
      <c r="L445" s="110"/>
      <c r="M445" s="110"/>
      <c r="N445" s="141"/>
      <c r="O445" s="141"/>
      <c r="P445" s="110"/>
      <c r="Q445" s="110"/>
      <c r="R445" s="110"/>
      <c r="T445" s="99"/>
      <c r="V445" s="110"/>
      <c r="Y445" s="110"/>
      <c r="Z445" s="228"/>
      <c r="AA445" s="110"/>
      <c r="AB445" s="110"/>
      <c r="AC445" s="141"/>
      <c r="AD445" s="141"/>
      <c r="AE445" s="110"/>
      <c r="AF445" s="110"/>
      <c r="AH445" s="207"/>
      <c r="AI445" s="110"/>
      <c r="AJ445" s="110"/>
      <c r="AL445" s="110"/>
      <c r="AM445" s="141"/>
      <c r="AN445" s="141"/>
    </row>
    <row r="446" spans="3:40" x14ac:dyDescent="0.3">
      <c r="C446" s="99"/>
      <c r="F446" s="172"/>
      <c r="H446" s="172"/>
      <c r="I446" s="172"/>
      <c r="J446" s="228"/>
      <c r="K446" s="228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8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C447" s="99"/>
      <c r="F447" s="172"/>
      <c r="H447" s="172"/>
      <c r="I447" s="172"/>
      <c r="J447" s="228"/>
      <c r="K447" s="228"/>
      <c r="L447" s="110"/>
      <c r="M447" s="110"/>
      <c r="N447" s="141"/>
      <c r="O447" s="141"/>
      <c r="P447" s="110"/>
      <c r="Q447" s="110"/>
      <c r="R447" s="110"/>
      <c r="T447" s="99"/>
      <c r="V447" s="110"/>
      <c r="Y447" s="110"/>
      <c r="Z447" s="228"/>
      <c r="AA447" s="110"/>
      <c r="AB447" s="110"/>
      <c r="AC447" s="141"/>
      <c r="AD447" s="141"/>
      <c r="AE447" s="110"/>
      <c r="AF447" s="110"/>
      <c r="AH447" s="207"/>
      <c r="AI447" s="110"/>
      <c r="AJ447" s="110"/>
      <c r="AL447" s="110"/>
      <c r="AM447" s="141"/>
      <c r="AN447" s="141"/>
    </row>
    <row r="448" spans="3:40" x14ac:dyDescent="0.3">
      <c r="F448" s="192"/>
      <c r="H448" s="192"/>
      <c r="I448" s="192"/>
      <c r="J448" s="228"/>
      <c r="K448" s="228"/>
      <c r="L448" s="192"/>
      <c r="M448" s="192"/>
      <c r="N448" s="192"/>
      <c r="O448" s="192"/>
      <c r="P448" s="192"/>
      <c r="Q448" s="192"/>
      <c r="R448" s="192"/>
      <c r="V448" s="192"/>
      <c r="Y448" s="192"/>
      <c r="Z448" s="228"/>
      <c r="AA448" s="192"/>
      <c r="AB448" s="192"/>
      <c r="AC448" s="192"/>
      <c r="AD448" s="192"/>
      <c r="AE448" s="192"/>
      <c r="AF448" s="192"/>
      <c r="AI448" s="192"/>
      <c r="AJ448" s="192"/>
      <c r="AK448" s="194"/>
      <c r="AL448" s="192"/>
    </row>
    <row r="449" spans="3:40" x14ac:dyDescent="0.3">
      <c r="C449" s="102"/>
      <c r="F449" s="110"/>
      <c r="H449" s="110"/>
      <c r="I449" s="110"/>
      <c r="J449" s="163"/>
      <c r="K449" s="163"/>
      <c r="L449" s="110"/>
      <c r="M449" s="110"/>
      <c r="N449" s="207"/>
      <c r="O449" s="207"/>
      <c r="P449" s="110"/>
      <c r="Q449" s="110"/>
      <c r="R449" s="110"/>
      <c r="T449" s="102"/>
      <c r="V449" s="110"/>
      <c r="Y449" s="110"/>
      <c r="Z449" s="163"/>
      <c r="AA449" s="110"/>
      <c r="AB449" s="110"/>
      <c r="AC449" s="110"/>
      <c r="AD449" s="110"/>
      <c r="AE449" s="110"/>
      <c r="AF449" s="110"/>
      <c r="AH449" s="207"/>
      <c r="AI449" s="110"/>
      <c r="AJ449" s="110"/>
      <c r="AL449" s="110"/>
      <c r="AM449" s="141"/>
      <c r="AN449" s="141"/>
    </row>
    <row r="450" spans="3:40" x14ac:dyDescent="0.3">
      <c r="F450" s="192"/>
      <c r="H450" s="192"/>
      <c r="I450" s="192"/>
      <c r="J450" s="228"/>
      <c r="K450" s="228"/>
      <c r="L450" s="192"/>
      <c r="M450" s="192"/>
      <c r="N450" s="192"/>
      <c r="O450" s="192"/>
      <c r="P450" s="192"/>
      <c r="Q450" s="192"/>
      <c r="R450" s="192"/>
      <c r="V450" s="192"/>
      <c r="Y450" s="192"/>
      <c r="Z450" s="228"/>
      <c r="AA450" s="192"/>
      <c r="AB450" s="192"/>
      <c r="AC450" s="192"/>
      <c r="AD450" s="192"/>
      <c r="AE450" s="192"/>
      <c r="AF450" s="192"/>
      <c r="AI450" s="192"/>
      <c r="AJ450" s="192"/>
      <c r="AK450" s="194"/>
      <c r="AL450" s="192"/>
    </row>
    <row r="451" spans="3:40" x14ac:dyDescent="0.3">
      <c r="C451" s="99"/>
      <c r="J451" s="163"/>
      <c r="K451" s="163"/>
      <c r="T451" s="99"/>
      <c r="Z451" s="163"/>
    </row>
    <row r="452" spans="3:40" x14ac:dyDescent="0.3">
      <c r="C452" s="99"/>
      <c r="J452" s="163"/>
      <c r="K452" s="163"/>
      <c r="T452" s="99"/>
      <c r="Z452" s="163"/>
    </row>
    <row r="453" spans="3:40" x14ac:dyDescent="0.3">
      <c r="C453" s="99"/>
      <c r="F453" s="172"/>
      <c r="H453" s="172"/>
      <c r="I453" s="172"/>
      <c r="J453" s="228"/>
      <c r="K453" s="228"/>
      <c r="L453" s="110"/>
      <c r="M453" s="110"/>
      <c r="N453" s="141"/>
      <c r="O453" s="141"/>
      <c r="P453" s="110"/>
      <c r="Q453" s="110"/>
      <c r="R453" s="110"/>
      <c r="T453" s="99"/>
      <c r="V453" s="110"/>
      <c r="Y453" s="110"/>
      <c r="Z453" s="228"/>
      <c r="AA453" s="110"/>
      <c r="AB453" s="110"/>
      <c r="AC453" s="141"/>
      <c r="AD453" s="141"/>
      <c r="AE453" s="110"/>
      <c r="AF453" s="110"/>
      <c r="AH453" s="207"/>
      <c r="AI453" s="110"/>
      <c r="AJ453" s="110"/>
      <c r="AL453" s="110"/>
      <c r="AM453" s="141"/>
      <c r="AN453" s="141"/>
    </row>
    <row r="454" spans="3:40" x14ac:dyDescent="0.3">
      <c r="C454" s="99"/>
      <c r="F454" s="172"/>
      <c r="H454" s="172"/>
      <c r="I454" s="172"/>
      <c r="J454" s="228"/>
      <c r="K454" s="228"/>
      <c r="L454" s="110"/>
      <c r="M454" s="110"/>
      <c r="N454" s="141"/>
      <c r="O454" s="141"/>
      <c r="P454" s="110"/>
      <c r="Q454" s="110"/>
      <c r="R454" s="110"/>
      <c r="T454" s="99"/>
      <c r="V454" s="110"/>
      <c r="Y454" s="110"/>
      <c r="Z454" s="228"/>
      <c r="AA454" s="110"/>
      <c r="AB454" s="110"/>
      <c r="AC454" s="141"/>
      <c r="AD454" s="141"/>
      <c r="AE454" s="110"/>
      <c r="AF454" s="110"/>
      <c r="AH454" s="207"/>
      <c r="AI454" s="110"/>
      <c r="AJ454" s="110"/>
      <c r="AL454" s="110"/>
      <c r="AM454" s="141"/>
      <c r="AN454" s="141"/>
    </row>
    <row r="455" spans="3:40" x14ac:dyDescent="0.3">
      <c r="C455" s="99"/>
      <c r="F455" s="172"/>
      <c r="H455" s="172"/>
      <c r="I455" s="172"/>
      <c r="J455" s="228"/>
      <c r="K455" s="228"/>
      <c r="L455" s="110"/>
      <c r="M455" s="110"/>
      <c r="N455" s="141"/>
      <c r="O455" s="141"/>
      <c r="P455" s="110"/>
      <c r="Q455" s="110"/>
      <c r="R455" s="110"/>
      <c r="T455" s="99"/>
      <c r="V455" s="110"/>
      <c r="Y455" s="110"/>
      <c r="Z455" s="228"/>
      <c r="AA455" s="110"/>
      <c r="AB455" s="110"/>
      <c r="AC455" s="141"/>
      <c r="AD455" s="141"/>
      <c r="AE455" s="110"/>
      <c r="AF455" s="110"/>
      <c r="AH455" s="207"/>
      <c r="AI455" s="110"/>
      <c r="AJ455" s="110"/>
      <c r="AL455" s="110"/>
      <c r="AM455" s="141"/>
      <c r="AN455" s="141"/>
    </row>
    <row r="456" spans="3:40" x14ac:dyDescent="0.3">
      <c r="C456" s="99"/>
      <c r="F456" s="172"/>
      <c r="H456" s="172"/>
      <c r="I456" s="172"/>
      <c r="J456" s="228"/>
      <c r="K456" s="228"/>
      <c r="L456" s="110"/>
      <c r="M456" s="110"/>
      <c r="N456" s="141"/>
      <c r="O456" s="141"/>
      <c r="P456" s="110"/>
      <c r="Q456" s="110"/>
      <c r="R456" s="110"/>
      <c r="T456" s="99"/>
      <c r="V456" s="110"/>
      <c r="Y456" s="110"/>
      <c r="Z456" s="228"/>
      <c r="AA456" s="110"/>
      <c r="AB456" s="110"/>
      <c r="AC456" s="141"/>
      <c r="AD456" s="141"/>
      <c r="AE456" s="110"/>
      <c r="AF456" s="110"/>
      <c r="AH456" s="207"/>
      <c r="AI456" s="110"/>
      <c r="AJ456" s="110"/>
      <c r="AL456" s="110"/>
      <c r="AM456" s="141"/>
      <c r="AN456" s="141"/>
    </row>
    <row r="457" spans="3:40" x14ac:dyDescent="0.3">
      <c r="C457" s="99"/>
      <c r="F457" s="172"/>
      <c r="H457" s="172"/>
      <c r="I457" s="172"/>
      <c r="J457" s="228"/>
      <c r="K457" s="228"/>
      <c r="L457" s="110"/>
      <c r="M457" s="110"/>
      <c r="N457" s="141"/>
      <c r="O457" s="141"/>
      <c r="P457" s="110"/>
      <c r="Q457" s="110"/>
      <c r="R457" s="110"/>
      <c r="T457" s="99"/>
      <c r="V457" s="110"/>
      <c r="Y457" s="110"/>
      <c r="Z457" s="228"/>
      <c r="AA457" s="110"/>
      <c r="AB457" s="110"/>
      <c r="AC457" s="141"/>
      <c r="AD457" s="141"/>
      <c r="AE457" s="110"/>
      <c r="AF457" s="110"/>
      <c r="AH457" s="207"/>
      <c r="AI457" s="110"/>
      <c r="AJ457" s="110"/>
      <c r="AL457" s="110"/>
      <c r="AM457" s="141"/>
      <c r="AN457" s="141"/>
    </row>
    <row r="458" spans="3:40" x14ac:dyDescent="0.3">
      <c r="C458" s="99"/>
      <c r="F458" s="172"/>
      <c r="H458" s="172"/>
      <c r="I458" s="172"/>
      <c r="J458" s="228"/>
      <c r="K458" s="228"/>
      <c r="L458" s="110"/>
      <c r="M458" s="110"/>
      <c r="N458" s="141"/>
      <c r="O458" s="141"/>
      <c r="P458" s="110"/>
      <c r="Q458" s="110"/>
      <c r="R458" s="110"/>
      <c r="T458" s="99"/>
      <c r="V458" s="110"/>
      <c r="Y458" s="110"/>
      <c r="Z458" s="228"/>
      <c r="AA458" s="110"/>
      <c r="AB458" s="110"/>
      <c r="AC458" s="141"/>
      <c r="AD458" s="141"/>
      <c r="AE458" s="110"/>
      <c r="AF458" s="110"/>
      <c r="AH458" s="207"/>
      <c r="AI458" s="110"/>
      <c r="AJ458" s="110"/>
      <c r="AL458" s="110"/>
      <c r="AM458" s="141"/>
      <c r="AN458" s="141"/>
    </row>
    <row r="459" spans="3:40" x14ac:dyDescent="0.3">
      <c r="C459" s="99"/>
      <c r="F459" s="172"/>
      <c r="H459" s="172"/>
      <c r="I459" s="172"/>
      <c r="J459" s="228"/>
      <c r="K459" s="228"/>
      <c r="L459" s="110"/>
      <c r="M459" s="110"/>
      <c r="N459" s="141"/>
      <c r="O459" s="141"/>
      <c r="P459" s="110"/>
      <c r="Q459" s="110"/>
      <c r="R459" s="110"/>
      <c r="T459" s="99"/>
      <c r="V459" s="110"/>
      <c r="Y459" s="110"/>
      <c r="Z459" s="228"/>
      <c r="AA459" s="110"/>
      <c r="AB459" s="110"/>
      <c r="AC459" s="141"/>
      <c r="AD459" s="141"/>
      <c r="AE459" s="110"/>
      <c r="AF459" s="110"/>
      <c r="AH459" s="207"/>
      <c r="AI459" s="110"/>
      <c r="AJ459" s="110"/>
      <c r="AL459" s="110"/>
      <c r="AM459" s="141"/>
      <c r="AN459" s="141"/>
    </row>
    <row r="460" spans="3:40" x14ac:dyDescent="0.3">
      <c r="C460" s="99"/>
      <c r="J460" s="163"/>
      <c r="K460" s="163"/>
      <c r="T460" s="99"/>
      <c r="Z460" s="163"/>
    </row>
    <row r="461" spans="3:40" x14ac:dyDescent="0.3">
      <c r="C461" s="99"/>
      <c r="F461" s="172"/>
      <c r="H461" s="172"/>
      <c r="I461" s="172"/>
      <c r="J461" s="228"/>
      <c r="K461" s="228"/>
      <c r="L461" s="110"/>
      <c r="M461" s="110"/>
      <c r="N461" s="141"/>
      <c r="O461" s="141"/>
      <c r="P461" s="110"/>
      <c r="Q461" s="110"/>
      <c r="R461" s="110"/>
      <c r="T461" s="99"/>
      <c r="V461" s="110"/>
      <c r="Y461" s="110"/>
      <c r="Z461" s="228"/>
      <c r="AA461" s="110"/>
      <c r="AB461" s="110"/>
      <c r="AC461" s="141"/>
      <c r="AD461" s="141"/>
      <c r="AE461" s="110"/>
      <c r="AF461" s="110"/>
      <c r="AH461" s="207"/>
      <c r="AI461" s="110"/>
      <c r="AJ461" s="110"/>
      <c r="AL461" s="110"/>
      <c r="AM461" s="141"/>
      <c r="AN461" s="141"/>
    </row>
    <row r="462" spans="3:40" x14ac:dyDescent="0.3">
      <c r="C462" s="99"/>
      <c r="F462" s="172"/>
      <c r="H462" s="172"/>
      <c r="I462" s="172"/>
      <c r="J462" s="228"/>
      <c r="K462" s="228"/>
      <c r="L462" s="110"/>
      <c r="M462" s="110"/>
      <c r="N462" s="141"/>
      <c r="O462" s="141"/>
      <c r="P462" s="110"/>
      <c r="Q462" s="110"/>
      <c r="R462" s="110"/>
      <c r="T462" s="99"/>
      <c r="V462" s="110"/>
      <c r="Y462" s="110"/>
      <c r="Z462" s="228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141"/>
      <c r="AN462" s="141"/>
    </row>
    <row r="463" spans="3:40" x14ac:dyDescent="0.3">
      <c r="C463" s="99"/>
      <c r="F463" s="172"/>
      <c r="H463" s="172"/>
      <c r="I463" s="172"/>
      <c r="J463" s="228"/>
      <c r="K463" s="228"/>
      <c r="L463" s="110"/>
      <c r="M463" s="110"/>
      <c r="N463" s="141"/>
      <c r="O463" s="141"/>
      <c r="P463" s="110"/>
      <c r="Q463" s="110"/>
      <c r="R463" s="110"/>
      <c r="T463" s="99"/>
      <c r="V463" s="110"/>
      <c r="Y463" s="110"/>
      <c r="Z463" s="228"/>
      <c r="AA463" s="110"/>
      <c r="AB463" s="110"/>
      <c r="AC463" s="141"/>
      <c r="AD463" s="141"/>
      <c r="AE463" s="110"/>
      <c r="AF463" s="110"/>
      <c r="AH463" s="207"/>
      <c r="AI463" s="110"/>
      <c r="AJ463" s="110"/>
      <c r="AL463" s="110"/>
      <c r="AM463" s="141"/>
      <c r="AN463" s="141"/>
    </row>
    <row r="464" spans="3:40" x14ac:dyDescent="0.3">
      <c r="C464" s="99"/>
      <c r="F464" s="172"/>
      <c r="H464" s="172"/>
      <c r="I464" s="172"/>
      <c r="J464" s="228"/>
      <c r="K464" s="228"/>
      <c r="L464" s="110"/>
      <c r="M464" s="110"/>
      <c r="N464" s="141"/>
      <c r="O464" s="141"/>
      <c r="P464" s="110"/>
      <c r="Q464" s="110"/>
      <c r="R464" s="110"/>
      <c r="T464" s="99"/>
      <c r="V464" s="110"/>
      <c r="Y464" s="110"/>
      <c r="Z464" s="228"/>
      <c r="AA464" s="110"/>
      <c r="AB464" s="110"/>
      <c r="AC464" s="141"/>
      <c r="AD464" s="141"/>
      <c r="AE464" s="110"/>
      <c r="AF464" s="110"/>
      <c r="AH464" s="207"/>
      <c r="AI464" s="110"/>
      <c r="AJ464" s="110"/>
      <c r="AL464" s="110"/>
      <c r="AM464" s="141"/>
      <c r="AN464" s="141"/>
    </row>
    <row r="465" spans="3:40" x14ac:dyDescent="0.3">
      <c r="C465" s="99"/>
      <c r="J465" s="163"/>
      <c r="K465" s="163"/>
      <c r="T465" s="99"/>
      <c r="Z465" s="163"/>
    </row>
    <row r="466" spans="3:40" x14ac:dyDescent="0.3">
      <c r="C466" s="99"/>
      <c r="F466" s="172"/>
      <c r="H466" s="172"/>
      <c r="I466" s="172"/>
      <c r="J466" s="228"/>
      <c r="K466" s="228"/>
      <c r="L466" s="110"/>
      <c r="M466" s="110"/>
      <c r="N466" s="141"/>
      <c r="O466" s="141"/>
      <c r="P466" s="110"/>
      <c r="Q466" s="110"/>
      <c r="R466" s="110"/>
      <c r="T466" s="99"/>
      <c r="V466" s="110"/>
      <c r="Y466" s="110"/>
      <c r="Z466" s="228"/>
      <c r="AA466" s="110"/>
      <c r="AB466" s="110"/>
      <c r="AC466" s="141"/>
      <c r="AD466" s="141"/>
      <c r="AE466" s="110"/>
      <c r="AF466" s="110"/>
      <c r="AH466" s="207"/>
      <c r="AI466" s="110"/>
      <c r="AJ466" s="110"/>
      <c r="AL466" s="110"/>
      <c r="AM466" s="141"/>
      <c r="AN466" s="141"/>
    </row>
    <row r="467" spans="3:40" x14ac:dyDescent="0.3">
      <c r="C467" s="99"/>
      <c r="F467" s="172"/>
      <c r="H467" s="172"/>
      <c r="I467" s="172"/>
      <c r="J467" s="228"/>
      <c r="K467" s="228"/>
      <c r="L467" s="110"/>
      <c r="M467" s="110"/>
      <c r="N467" s="141"/>
      <c r="O467" s="141"/>
      <c r="P467" s="110"/>
      <c r="Q467" s="110"/>
      <c r="R467" s="110"/>
      <c r="T467" s="99"/>
      <c r="V467" s="110"/>
      <c r="Y467" s="110"/>
      <c r="Z467" s="228"/>
      <c r="AA467" s="110"/>
      <c r="AB467" s="110"/>
      <c r="AC467" s="141"/>
      <c r="AD467" s="141"/>
      <c r="AE467" s="110"/>
      <c r="AF467" s="110"/>
      <c r="AH467" s="207"/>
      <c r="AI467" s="110"/>
      <c r="AJ467" s="110"/>
      <c r="AL467" s="110"/>
      <c r="AM467" s="141"/>
      <c r="AN467" s="141"/>
    </row>
    <row r="468" spans="3:40" x14ac:dyDescent="0.3">
      <c r="C468" s="99"/>
      <c r="F468" s="172"/>
      <c r="H468" s="172"/>
      <c r="I468" s="172"/>
      <c r="J468" s="228"/>
      <c r="K468" s="228"/>
      <c r="L468" s="110"/>
      <c r="M468" s="110"/>
      <c r="N468" s="141"/>
      <c r="O468" s="141"/>
      <c r="P468" s="110"/>
      <c r="Q468" s="110"/>
      <c r="R468" s="110"/>
      <c r="T468" s="99"/>
      <c r="V468" s="110"/>
      <c r="Y468" s="110"/>
      <c r="Z468" s="228"/>
      <c r="AA468" s="110"/>
      <c r="AB468" s="110"/>
      <c r="AC468" s="141"/>
      <c r="AD468" s="141"/>
      <c r="AE468" s="110"/>
      <c r="AF468" s="110"/>
      <c r="AH468" s="207"/>
      <c r="AI468" s="110"/>
      <c r="AJ468" s="110"/>
      <c r="AL468" s="110"/>
      <c r="AM468" s="141"/>
      <c r="AN468" s="141"/>
    </row>
    <row r="469" spans="3:40" x14ac:dyDescent="0.3">
      <c r="C469" s="99"/>
      <c r="F469" s="172"/>
      <c r="H469" s="172"/>
      <c r="I469" s="172"/>
      <c r="J469" s="228"/>
      <c r="K469" s="228"/>
      <c r="L469" s="110"/>
      <c r="M469" s="110"/>
      <c r="N469" s="141"/>
      <c r="O469" s="141"/>
      <c r="P469" s="110"/>
      <c r="Q469" s="110"/>
      <c r="R469" s="110"/>
      <c r="T469" s="99"/>
      <c r="V469" s="110"/>
      <c r="Y469" s="110"/>
      <c r="Z469" s="228"/>
      <c r="AA469" s="110"/>
      <c r="AB469" s="110"/>
      <c r="AC469" s="141"/>
      <c r="AD469" s="141"/>
      <c r="AE469" s="110"/>
      <c r="AF469" s="110"/>
      <c r="AH469" s="207"/>
      <c r="AI469" s="110"/>
      <c r="AJ469" s="110"/>
      <c r="AL469" s="110"/>
      <c r="AM469" s="141"/>
      <c r="AN469" s="141"/>
    </row>
    <row r="470" spans="3:40" x14ac:dyDescent="0.3">
      <c r="C470" s="99"/>
      <c r="F470" s="172"/>
      <c r="H470" s="172"/>
      <c r="I470" s="172"/>
      <c r="J470" s="228"/>
      <c r="K470" s="228"/>
      <c r="L470" s="110"/>
      <c r="M470" s="110"/>
      <c r="N470" s="141"/>
      <c r="O470" s="141"/>
      <c r="P470" s="110"/>
      <c r="Q470" s="110"/>
      <c r="R470" s="110"/>
      <c r="T470" s="99"/>
      <c r="V470" s="110"/>
      <c r="Y470" s="110"/>
      <c r="Z470" s="228"/>
      <c r="AA470" s="110"/>
      <c r="AB470" s="110"/>
      <c r="AC470" s="141"/>
      <c r="AD470" s="141"/>
      <c r="AE470" s="110"/>
      <c r="AF470" s="110"/>
      <c r="AH470" s="207"/>
      <c r="AI470" s="110"/>
      <c r="AJ470" s="110"/>
      <c r="AL470" s="110"/>
      <c r="AM470" s="141"/>
      <c r="AN470" s="141"/>
    </row>
    <row r="471" spans="3:40" x14ac:dyDescent="0.3">
      <c r="F471" s="192"/>
      <c r="H471" s="192"/>
      <c r="I471" s="192"/>
      <c r="J471" s="217"/>
      <c r="K471" s="217"/>
      <c r="L471" s="192"/>
      <c r="M471" s="192"/>
      <c r="N471" s="192"/>
      <c r="O471" s="192"/>
      <c r="P471" s="192"/>
      <c r="Q471" s="192"/>
      <c r="R471" s="192"/>
      <c r="V471" s="192"/>
      <c r="Y471" s="192"/>
      <c r="Z471" s="228"/>
      <c r="AA471" s="192"/>
      <c r="AB471" s="192"/>
      <c r="AC471" s="192"/>
      <c r="AD471" s="192"/>
      <c r="AE471" s="192"/>
      <c r="AF471" s="192"/>
      <c r="AI471" s="192"/>
      <c r="AJ471" s="192"/>
      <c r="AK471" s="194"/>
      <c r="AL471" s="192"/>
    </row>
    <row r="472" spans="3:40" x14ac:dyDescent="0.3">
      <c r="C472" s="99"/>
      <c r="F472" s="110"/>
      <c r="H472" s="110"/>
      <c r="I472" s="110"/>
      <c r="L472" s="110"/>
      <c r="M472" s="110"/>
      <c r="N472" s="207"/>
      <c r="O472" s="207"/>
      <c r="P472" s="110"/>
      <c r="Q472" s="110"/>
      <c r="R472" s="110"/>
      <c r="T472" s="99"/>
      <c r="V472" s="110"/>
      <c r="Y472" s="110"/>
      <c r="AA472" s="110"/>
      <c r="AB472" s="110"/>
      <c r="AC472" s="141"/>
      <c r="AD472" s="141"/>
      <c r="AE472" s="110"/>
      <c r="AF472" s="110"/>
      <c r="AH472" s="207"/>
      <c r="AI472" s="110"/>
      <c r="AJ472" s="110"/>
      <c r="AL472" s="110"/>
      <c r="AM472" s="141"/>
      <c r="AN472" s="141"/>
    </row>
    <row r="473" spans="3:40" x14ac:dyDescent="0.3">
      <c r="F473" s="192"/>
      <c r="H473" s="192"/>
      <c r="I473" s="192"/>
      <c r="J473" s="217"/>
      <c r="K473" s="217"/>
      <c r="L473" s="192"/>
      <c r="M473" s="192"/>
      <c r="N473" s="192"/>
      <c r="O473" s="192"/>
      <c r="P473" s="192"/>
      <c r="Q473" s="192"/>
      <c r="R473" s="192"/>
      <c r="V473" s="192"/>
      <c r="Y473" s="192"/>
      <c r="Z473" s="217"/>
      <c r="AA473" s="192"/>
      <c r="AB473" s="192"/>
      <c r="AC473" s="192"/>
      <c r="AD473" s="192"/>
      <c r="AE473" s="192"/>
      <c r="AF473" s="192"/>
      <c r="AI473" s="192"/>
      <c r="AJ473" s="192"/>
      <c r="AK473" s="194"/>
      <c r="AL473" s="192"/>
    </row>
    <row r="474" spans="3:40" x14ac:dyDescent="0.3">
      <c r="C474" s="99"/>
      <c r="T474" s="99"/>
    </row>
    <row r="475" spans="3:40" x14ac:dyDescent="0.3">
      <c r="C475" s="99"/>
      <c r="F475" s="172"/>
      <c r="H475" s="172"/>
      <c r="I475" s="172"/>
      <c r="J475" s="181"/>
      <c r="K475" s="181"/>
      <c r="L475" s="110"/>
      <c r="M475" s="110"/>
      <c r="N475" s="141"/>
      <c r="O475" s="141"/>
      <c r="P475" s="110"/>
      <c r="Q475" s="110"/>
      <c r="R475" s="110"/>
      <c r="T475" s="99"/>
      <c r="V475" s="110"/>
      <c r="Y475" s="110"/>
      <c r="Z475" s="181"/>
      <c r="AA475" s="110"/>
      <c r="AB475" s="110"/>
      <c r="AC475" s="141"/>
      <c r="AD475" s="141"/>
      <c r="AE475" s="110"/>
      <c r="AF475" s="110"/>
      <c r="AH475" s="207"/>
      <c r="AI475" s="110"/>
      <c r="AJ475" s="110"/>
      <c r="AL475" s="110"/>
      <c r="AM475" s="141"/>
      <c r="AN475" s="141"/>
    </row>
    <row r="476" spans="3:40" x14ac:dyDescent="0.3">
      <c r="C476" s="99"/>
      <c r="F476" s="172"/>
      <c r="H476" s="172"/>
      <c r="I476" s="172"/>
      <c r="J476" s="181"/>
      <c r="K476" s="181"/>
      <c r="L476" s="110"/>
      <c r="M476" s="110"/>
      <c r="N476" s="141"/>
      <c r="O476" s="141"/>
      <c r="P476" s="110"/>
      <c r="Q476" s="110"/>
      <c r="R476" s="110"/>
      <c r="T476" s="99"/>
      <c r="V476" s="110"/>
      <c r="Y476" s="110"/>
      <c r="Z476" s="181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141"/>
      <c r="AN476" s="141"/>
    </row>
    <row r="477" spans="3:40" x14ac:dyDescent="0.3">
      <c r="F477" s="192"/>
      <c r="H477" s="110"/>
      <c r="I477" s="110"/>
      <c r="J477" s="217"/>
      <c r="K477" s="217"/>
      <c r="L477" s="192"/>
      <c r="M477" s="192"/>
      <c r="N477" s="192"/>
      <c r="O477" s="192"/>
      <c r="P477" s="192"/>
      <c r="Q477" s="192"/>
      <c r="R477" s="192"/>
      <c r="V477" s="192"/>
      <c r="Y477" s="110"/>
      <c r="Z477" s="217"/>
      <c r="AA477" s="192"/>
      <c r="AB477" s="192"/>
      <c r="AC477" s="192"/>
      <c r="AD477" s="192"/>
      <c r="AE477" s="192"/>
      <c r="AF477" s="192"/>
      <c r="AI477" s="192"/>
      <c r="AJ477" s="192"/>
      <c r="AK477" s="194"/>
      <c r="AL477" s="192"/>
    </row>
    <row r="478" spans="3:40" x14ac:dyDescent="0.3">
      <c r="F478" s="110"/>
      <c r="H478" s="110"/>
      <c r="I478" s="110"/>
      <c r="J478" s="217"/>
      <c r="K478" s="217"/>
      <c r="L478" s="110"/>
      <c r="M478" s="110"/>
      <c r="N478" s="110"/>
      <c r="O478" s="110"/>
      <c r="P478" s="110"/>
      <c r="Q478" s="110"/>
      <c r="R478" s="110"/>
      <c r="V478" s="110"/>
      <c r="Y478" s="110"/>
      <c r="Z478" s="217"/>
      <c r="AA478" s="110"/>
      <c r="AB478" s="110"/>
      <c r="AC478" s="110"/>
      <c r="AD478" s="110"/>
      <c r="AE478" s="110"/>
      <c r="AF478" s="110"/>
      <c r="AI478" s="110"/>
      <c r="AJ478" s="110"/>
      <c r="AL478" s="110"/>
    </row>
    <row r="479" spans="3:40" x14ac:dyDescent="0.3">
      <c r="C479" s="99"/>
      <c r="F479" s="110"/>
      <c r="H479" s="110"/>
      <c r="I479" s="110"/>
      <c r="L479" s="110"/>
      <c r="M479" s="110"/>
      <c r="N479" s="141"/>
      <c r="O479" s="141"/>
      <c r="P479" s="110"/>
      <c r="Q479" s="110"/>
      <c r="R479" s="110"/>
      <c r="T479" s="99"/>
      <c r="V479" s="110"/>
      <c r="Y479" s="110"/>
      <c r="AA479" s="110"/>
      <c r="AB479" s="110"/>
      <c r="AC479" s="141"/>
      <c r="AD479" s="141"/>
      <c r="AE479" s="110"/>
      <c r="AF479" s="110"/>
      <c r="AH479" s="207"/>
      <c r="AI479" s="172"/>
      <c r="AJ479" s="172"/>
      <c r="AL479" s="110"/>
      <c r="AM479" s="141"/>
      <c r="AN479" s="141"/>
    </row>
    <row r="480" spans="3:40" x14ac:dyDescent="0.3">
      <c r="F480" s="192"/>
      <c r="H480" s="192"/>
      <c r="I480" s="192"/>
      <c r="J480" s="217"/>
      <c r="K480" s="217"/>
      <c r="L480" s="192"/>
      <c r="M480" s="192"/>
      <c r="N480" s="192"/>
      <c r="O480" s="192"/>
      <c r="P480" s="192"/>
      <c r="Q480" s="192"/>
      <c r="R480" s="192"/>
      <c r="V480" s="192"/>
      <c r="Y480" s="192"/>
      <c r="Z480" s="217"/>
      <c r="AA480" s="192"/>
      <c r="AB480" s="192"/>
      <c r="AC480" s="192"/>
      <c r="AD480" s="192"/>
      <c r="AE480" s="192"/>
      <c r="AF480" s="192"/>
      <c r="AI480" s="192"/>
      <c r="AJ480" s="192"/>
      <c r="AK480" s="194"/>
      <c r="AL480" s="192"/>
    </row>
    <row r="482" spans="1:28" x14ac:dyDescent="0.3">
      <c r="A482" s="99"/>
      <c r="T482" s="99"/>
    </row>
    <row r="483" spans="1:28" x14ac:dyDescent="0.3">
      <c r="A483" s="99"/>
      <c r="T483" s="99"/>
    </row>
    <row r="484" spans="1:28" x14ac:dyDescent="0.3">
      <c r="A484" s="99"/>
      <c r="T484" s="99"/>
    </row>
    <row r="485" spans="1:28" x14ac:dyDescent="0.3">
      <c r="A485" s="99"/>
      <c r="T485" s="99"/>
    </row>
    <row r="486" spans="1:28" x14ac:dyDescent="0.3">
      <c r="A486" s="99"/>
      <c r="T486" s="99"/>
    </row>
    <row r="487" spans="1:28" x14ac:dyDescent="0.3">
      <c r="A487" s="99"/>
      <c r="T487" s="99"/>
    </row>
    <row r="488" spans="1:28" x14ac:dyDescent="0.3">
      <c r="A488" s="99"/>
      <c r="T488" s="99"/>
    </row>
    <row r="489" spans="1:28" x14ac:dyDescent="0.3">
      <c r="A489" s="99"/>
      <c r="T489" s="99"/>
    </row>
    <row r="490" spans="1:28" x14ac:dyDescent="0.3">
      <c r="A490" s="99"/>
      <c r="T490" s="99"/>
    </row>
    <row r="492" spans="1:28" x14ac:dyDescent="0.3">
      <c r="A492" s="99"/>
    </row>
    <row r="494" spans="1:28" x14ac:dyDescent="0.3">
      <c r="H494" s="99"/>
      <c r="I494" s="99"/>
      <c r="Y494" s="99"/>
    </row>
    <row r="496" spans="1:28" x14ac:dyDescent="0.3">
      <c r="L496" s="99"/>
      <c r="M496" s="99"/>
      <c r="AA496" s="99"/>
      <c r="AB496" s="99"/>
    </row>
    <row r="497" spans="1:40" x14ac:dyDescent="0.3">
      <c r="R497" s="99"/>
      <c r="AK497" s="190"/>
      <c r="AL497" s="99"/>
    </row>
    <row r="498" spans="1:40" x14ac:dyDescent="0.3">
      <c r="R498" s="99"/>
      <c r="AK498" s="190"/>
      <c r="AL498" s="99"/>
    </row>
    <row r="499" spans="1:40" x14ac:dyDescent="0.3">
      <c r="A499" s="99"/>
      <c r="R499" s="99"/>
      <c r="AK499" s="190"/>
      <c r="AL499" s="99"/>
    </row>
    <row r="500" spans="1:40" x14ac:dyDescent="0.3">
      <c r="L500" s="99"/>
      <c r="M500" s="99"/>
      <c r="AA500" s="99"/>
      <c r="AB500" s="99"/>
    </row>
    <row r="501" spans="1:40" x14ac:dyDescent="0.3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91"/>
      <c r="AH501" s="101"/>
      <c r="AI501" s="101"/>
      <c r="AJ501" s="101"/>
      <c r="AK501" s="191"/>
      <c r="AL501" s="101"/>
      <c r="AM501" s="101"/>
      <c r="AN501" s="101"/>
    </row>
    <row r="502" spans="1:40" x14ac:dyDescent="0.3">
      <c r="L502" s="102"/>
      <c r="M502" s="102"/>
      <c r="N502" s="102"/>
      <c r="O502" s="102"/>
      <c r="R502" s="102"/>
      <c r="AA502" s="102"/>
      <c r="AB502" s="102"/>
      <c r="AC502" s="102"/>
      <c r="AD502" s="102"/>
      <c r="AE502" s="102"/>
      <c r="AF502" s="102"/>
      <c r="AG502" s="151"/>
      <c r="AH502" s="102"/>
      <c r="AK502" s="151"/>
      <c r="AL502" s="102"/>
      <c r="AM502" s="102"/>
      <c r="AN502" s="102"/>
    </row>
    <row r="503" spans="1:40" x14ac:dyDescent="0.3">
      <c r="L503" s="102"/>
      <c r="M503" s="102"/>
      <c r="N503" s="102"/>
      <c r="O503" s="102"/>
      <c r="R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K503" s="151"/>
      <c r="AL503" s="102"/>
      <c r="AM503" s="102"/>
      <c r="AN503" s="102"/>
    </row>
    <row r="504" spans="1:40" x14ac:dyDescent="0.3">
      <c r="A504" s="102"/>
      <c r="C504" s="102"/>
      <c r="D504" s="102"/>
      <c r="E504" s="102"/>
      <c r="F504" s="102"/>
      <c r="J504" s="102"/>
      <c r="K504" s="102"/>
      <c r="L504" s="102"/>
      <c r="M504" s="102"/>
      <c r="N504" s="102"/>
      <c r="O504" s="102"/>
      <c r="P504" s="102"/>
      <c r="Q504" s="102"/>
      <c r="R504" s="102"/>
      <c r="T504" s="102"/>
      <c r="U504" s="102"/>
      <c r="V504" s="102"/>
      <c r="Z504" s="102"/>
      <c r="AA504" s="102"/>
      <c r="AB504" s="102"/>
      <c r="AC504" s="102"/>
      <c r="AD504" s="102"/>
      <c r="AE504" s="102"/>
      <c r="AF504" s="102"/>
      <c r="AG504" s="151"/>
      <c r="AH504" s="102"/>
      <c r="AI504" s="102"/>
      <c r="AJ504" s="102"/>
      <c r="AK504" s="151"/>
      <c r="AL504" s="102"/>
      <c r="AM504" s="102"/>
      <c r="AN504" s="102"/>
    </row>
    <row r="505" spans="1:40" x14ac:dyDescent="0.3">
      <c r="A505" s="102"/>
      <c r="C505" s="102"/>
      <c r="D505" s="102"/>
      <c r="E505" s="102"/>
      <c r="F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T505" s="102"/>
      <c r="U505" s="102"/>
      <c r="V505" s="102"/>
      <c r="Y505" s="102"/>
      <c r="Z505" s="102"/>
      <c r="AA505" s="102"/>
      <c r="AB505" s="102"/>
      <c r="AC505" s="102"/>
      <c r="AD505" s="102"/>
      <c r="AE505" s="102"/>
      <c r="AF505" s="102"/>
      <c r="AG505" s="151"/>
      <c r="AH505" s="102"/>
      <c r="AI505" s="102"/>
      <c r="AJ505" s="102"/>
      <c r="AK505" s="151"/>
      <c r="AL505" s="102"/>
      <c r="AM505" s="102"/>
      <c r="AN505" s="102"/>
    </row>
    <row r="506" spans="1:40" x14ac:dyDescent="0.3">
      <c r="C506" s="102"/>
      <c r="D506" s="102"/>
      <c r="E506" s="102"/>
      <c r="F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T506" s="102"/>
      <c r="U506" s="102"/>
      <c r="V506" s="102"/>
      <c r="Y506" s="102"/>
      <c r="Z506" s="102"/>
      <c r="AA506" s="102"/>
      <c r="AB506" s="102"/>
      <c r="AC506" s="102"/>
      <c r="AD506" s="102"/>
      <c r="AE506" s="102"/>
      <c r="AF506" s="102"/>
      <c r="AG506" s="151"/>
      <c r="AH506" s="102"/>
      <c r="AI506" s="102"/>
      <c r="AJ506" s="102"/>
      <c r="AK506" s="151"/>
      <c r="AL506" s="102"/>
      <c r="AM506" s="102"/>
      <c r="AN506" s="102"/>
    </row>
    <row r="507" spans="1:40" x14ac:dyDescent="0.3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91"/>
      <c r="AH507" s="101"/>
      <c r="AI507" s="101"/>
      <c r="AJ507" s="101"/>
      <c r="AK507" s="191"/>
      <c r="AL507" s="101"/>
      <c r="AM507" s="101"/>
      <c r="AN507" s="101"/>
    </row>
    <row r="508" spans="1:40" x14ac:dyDescent="0.3"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Y508" s="102"/>
      <c r="Z508" s="102"/>
      <c r="AA508" s="102"/>
      <c r="AB508" s="102"/>
      <c r="AC508" s="102"/>
      <c r="AD508" s="102"/>
      <c r="AE508" s="102"/>
      <c r="AF508" s="102"/>
      <c r="AG508" s="151"/>
      <c r="AH508" s="102"/>
      <c r="AI508" s="102"/>
      <c r="AJ508" s="102"/>
      <c r="AK508" s="151"/>
      <c r="AL508" s="102"/>
      <c r="AM508" s="102"/>
      <c r="AN508" s="102"/>
    </row>
    <row r="509" spans="1:40" x14ac:dyDescent="0.3">
      <c r="C509" s="99"/>
      <c r="D509" s="99"/>
      <c r="E509" s="99"/>
      <c r="T509" s="99"/>
      <c r="U509" s="99"/>
    </row>
    <row r="510" spans="1:40" x14ac:dyDescent="0.3">
      <c r="D510" s="99"/>
      <c r="E510" s="99"/>
      <c r="U510" s="99"/>
    </row>
    <row r="512" spans="1:40" x14ac:dyDescent="0.3">
      <c r="C512" s="99"/>
      <c r="F512" s="110"/>
      <c r="J512" s="209"/>
      <c r="K512" s="209"/>
      <c r="L512" s="110"/>
      <c r="M512" s="110"/>
      <c r="R512" s="110"/>
      <c r="T512" s="99"/>
      <c r="V512" s="110"/>
      <c r="Z512" s="209"/>
      <c r="AA512" s="110"/>
      <c r="AB512" s="110"/>
      <c r="AH512" s="110"/>
      <c r="AL512" s="110"/>
    </row>
    <row r="513" spans="3:40" x14ac:dyDescent="0.3">
      <c r="C513" s="99"/>
      <c r="F513" s="110"/>
      <c r="R513" s="110"/>
      <c r="T513" s="99"/>
      <c r="V513" s="110"/>
      <c r="AH513" s="110"/>
      <c r="AL513" s="110"/>
    </row>
    <row r="514" spans="3:40" x14ac:dyDescent="0.3">
      <c r="AI514" s="110"/>
      <c r="AJ514" s="110"/>
      <c r="AL514" s="110"/>
      <c r="AM514" s="141"/>
      <c r="AN514" s="141"/>
    </row>
    <row r="515" spans="3:40" x14ac:dyDescent="0.3">
      <c r="C515" s="99"/>
      <c r="F515" s="172"/>
      <c r="H515" s="172"/>
      <c r="I515" s="172"/>
      <c r="J515" s="227"/>
      <c r="K515" s="227"/>
      <c r="L515" s="110"/>
      <c r="M515" s="110"/>
      <c r="N515" s="141"/>
      <c r="O515" s="141"/>
      <c r="P515" s="110"/>
      <c r="Q515" s="110"/>
      <c r="R515" s="110"/>
      <c r="T515" s="99"/>
      <c r="V515" s="110"/>
      <c r="Y515" s="110"/>
      <c r="Z515" s="227"/>
      <c r="AA515" s="110"/>
      <c r="AB515" s="110"/>
      <c r="AC515" s="141"/>
      <c r="AD515" s="141"/>
      <c r="AE515" s="110"/>
      <c r="AF515" s="110"/>
      <c r="AH515" s="207"/>
      <c r="AI515" s="110"/>
      <c r="AJ515" s="110"/>
      <c r="AL515" s="110"/>
      <c r="AM515" s="141"/>
      <c r="AN515" s="141"/>
    </row>
    <row r="516" spans="3:40" x14ac:dyDescent="0.3">
      <c r="F516" s="110"/>
      <c r="H516" s="110"/>
      <c r="I516" s="110"/>
      <c r="J516" s="198"/>
      <c r="K516" s="198"/>
      <c r="L516" s="110"/>
      <c r="M516" s="110"/>
      <c r="P516" s="110"/>
      <c r="Q516" s="110"/>
      <c r="R516" s="110"/>
      <c r="V516" s="110"/>
      <c r="Y516" s="110"/>
      <c r="Z516" s="198"/>
      <c r="AA516" s="110"/>
      <c r="AB516" s="110"/>
      <c r="AI516" s="110"/>
      <c r="AJ516" s="110"/>
      <c r="AL516" s="110"/>
      <c r="AM516" s="141"/>
      <c r="AN516" s="141"/>
    </row>
    <row r="517" spans="3:40" x14ac:dyDescent="0.3">
      <c r="F517" s="110"/>
      <c r="R517" s="110"/>
      <c r="V517" s="110"/>
      <c r="AL517" s="110"/>
      <c r="AM517" s="141"/>
      <c r="AN517" s="141"/>
    </row>
    <row r="518" spans="3:40" x14ac:dyDescent="0.3">
      <c r="C518" s="99"/>
      <c r="F518" s="110"/>
      <c r="J518" s="209"/>
      <c r="K518" s="209"/>
      <c r="L518" s="110"/>
      <c r="M518" s="110"/>
      <c r="N518" s="141"/>
      <c r="O518" s="141"/>
      <c r="R518" s="110"/>
      <c r="T518" s="99"/>
      <c r="V518" s="110"/>
      <c r="Z518" s="209"/>
      <c r="AA518" s="110"/>
      <c r="AB518" s="110"/>
      <c r="AC518" s="141"/>
      <c r="AD518" s="141"/>
      <c r="AL518" s="110"/>
      <c r="AM518" s="141"/>
      <c r="AN518" s="141"/>
    </row>
    <row r="519" spans="3:40" x14ac:dyDescent="0.3">
      <c r="C519" s="99"/>
      <c r="F519" s="110"/>
      <c r="H519" s="110"/>
      <c r="I519" s="110"/>
      <c r="J519" s="209"/>
      <c r="K519" s="209"/>
      <c r="L519" s="110"/>
      <c r="M519" s="110"/>
      <c r="N519" s="141"/>
      <c r="O519" s="141"/>
      <c r="P519" s="110"/>
      <c r="Q519" s="110"/>
      <c r="R519" s="110"/>
      <c r="T519" s="99"/>
      <c r="V519" s="110"/>
      <c r="Y519" s="110"/>
      <c r="Z519" s="209"/>
      <c r="AA519" s="110"/>
      <c r="AB519" s="110"/>
      <c r="AC519" s="141"/>
      <c r="AD519" s="141"/>
      <c r="AI519" s="110"/>
      <c r="AJ519" s="110"/>
      <c r="AL519" s="110"/>
      <c r="AM519" s="141"/>
      <c r="AN519" s="141"/>
    </row>
    <row r="520" spans="3:40" x14ac:dyDescent="0.3">
      <c r="C520" s="99"/>
      <c r="T520" s="99"/>
      <c r="AM520" s="141"/>
      <c r="AN520" s="141"/>
    </row>
    <row r="521" spans="3:40" x14ac:dyDescent="0.3">
      <c r="C521" s="99"/>
      <c r="T521" s="99"/>
      <c r="AM521" s="141"/>
      <c r="AN521" s="141"/>
    </row>
    <row r="522" spans="3:40" x14ac:dyDescent="0.3">
      <c r="AM522" s="141"/>
      <c r="AN522" s="141"/>
    </row>
    <row r="523" spans="3:40" x14ac:dyDescent="0.3">
      <c r="C523" s="99"/>
      <c r="F523" s="172"/>
      <c r="H523" s="172"/>
      <c r="I523" s="172"/>
      <c r="J523" s="227"/>
      <c r="K523" s="227"/>
      <c r="L523" s="110"/>
      <c r="M523" s="110"/>
      <c r="N523" s="141"/>
      <c r="O523" s="141"/>
      <c r="P523" s="110"/>
      <c r="Q523" s="110"/>
      <c r="R523" s="110"/>
      <c r="T523" s="99"/>
      <c r="V523" s="110"/>
      <c r="Y523" s="110"/>
      <c r="Z523" s="227"/>
      <c r="AA523" s="110"/>
      <c r="AB523" s="110"/>
      <c r="AC523" s="141"/>
      <c r="AD523" s="141"/>
      <c r="AE523" s="110"/>
      <c r="AF523" s="110"/>
      <c r="AH523" s="207"/>
      <c r="AI523" s="110"/>
      <c r="AJ523" s="110"/>
      <c r="AL523" s="110"/>
      <c r="AM523" s="141"/>
      <c r="AN523" s="141"/>
    </row>
    <row r="524" spans="3:40" x14ac:dyDescent="0.3">
      <c r="F524" s="192"/>
      <c r="H524" s="192"/>
      <c r="I524" s="192"/>
      <c r="J524" s="217"/>
      <c r="K524" s="217"/>
      <c r="L524" s="192"/>
      <c r="M524" s="192"/>
      <c r="N524" s="192"/>
      <c r="O524" s="192"/>
      <c r="P524" s="192"/>
      <c r="Q524" s="192"/>
      <c r="R524" s="192"/>
      <c r="V524" s="192"/>
      <c r="Y524" s="192"/>
      <c r="Z524" s="217"/>
      <c r="AA524" s="192"/>
      <c r="AB524" s="192"/>
      <c r="AC524" s="192"/>
      <c r="AD524" s="192"/>
      <c r="AE524" s="192"/>
      <c r="AF524" s="192"/>
      <c r="AI524" s="192"/>
      <c r="AJ524" s="192"/>
      <c r="AK524" s="194"/>
      <c r="AL524" s="192"/>
      <c r="AM524" s="141"/>
      <c r="AN524" s="141"/>
    </row>
    <row r="525" spans="3:40" x14ac:dyDescent="0.3">
      <c r="H525" s="110"/>
      <c r="I525" s="110"/>
      <c r="Y525" s="110"/>
      <c r="AM525" s="141"/>
      <c r="AN525" s="141"/>
    </row>
    <row r="526" spans="3:40" x14ac:dyDescent="0.3">
      <c r="C526" s="99"/>
      <c r="F526" s="110"/>
      <c r="H526" s="110"/>
      <c r="I526" s="110"/>
      <c r="L526" s="110"/>
      <c r="M526" s="110"/>
      <c r="N526" s="141"/>
      <c r="O526" s="141"/>
      <c r="P526" s="172"/>
      <c r="Q526" s="172"/>
      <c r="R526" s="110"/>
      <c r="T526" s="99"/>
      <c r="V526" s="110"/>
      <c r="Y526" s="110"/>
      <c r="AA526" s="110"/>
      <c r="AB526" s="110"/>
      <c r="AC526" s="141"/>
      <c r="AD526" s="141"/>
      <c r="AE526" s="110"/>
      <c r="AF526" s="110"/>
      <c r="AH526" s="207"/>
      <c r="AI526" s="172"/>
      <c r="AJ526" s="172"/>
      <c r="AL526" s="110"/>
      <c r="AM526" s="141"/>
      <c r="AN526" s="141"/>
    </row>
    <row r="527" spans="3:40" x14ac:dyDescent="0.3">
      <c r="F527" s="192"/>
      <c r="H527" s="192"/>
      <c r="I527" s="192"/>
      <c r="J527" s="217"/>
      <c r="K527" s="217"/>
      <c r="L527" s="192"/>
      <c r="M527" s="192"/>
      <c r="N527" s="192"/>
      <c r="O527" s="192"/>
      <c r="P527" s="192"/>
      <c r="Q527" s="192"/>
      <c r="R527" s="192"/>
      <c r="V527" s="192"/>
      <c r="Y527" s="192"/>
      <c r="Z527" s="217"/>
      <c r="AA527" s="192"/>
      <c r="AB527" s="192"/>
      <c r="AC527" s="192"/>
      <c r="AD527" s="192"/>
      <c r="AE527" s="192"/>
      <c r="AF527" s="192"/>
      <c r="AI527" s="192"/>
      <c r="AJ527" s="192"/>
      <c r="AK527" s="194"/>
      <c r="AL527" s="192"/>
      <c r="AM527" s="141"/>
      <c r="AN527" s="141"/>
    </row>
    <row r="529" spans="1:40" x14ac:dyDescent="0.3">
      <c r="F529" s="110"/>
      <c r="H529" s="110"/>
      <c r="I529" s="110"/>
      <c r="J529" s="198"/>
      <c r="K529" s="198"/>
      <c r="L529" s="110"/>
      <c r="M529" s="110"/>
      <c r="N529" s="110"/>
      <c r="O529" s="110"/>
      <c r="P529" s="110"/>
      <c r="Q529" s="110"/>
      <c r="R529" s="110"/>
      <c r="V529" s="110"/>
      <c r="Y529" s="110"/>
      <c r="Z529" s="198"/>
      <c r="AA529" s="110"/>
      <c r="AB529" s="110"/>
      <c r="AC529" s="110"/>
      <c r="AD529" s="110"/>
      <c r="AE529" s="110"/>
      <c r="AF529" s="110"/>
      <c r="AH529" s="110"/>
      <c r="AI529" s="110"/>
      <c r="AJ529" s="110"/>
      <c r="AL529" s="110"/>
    </row>
    <row r="530" spans="1:40" x14ac:dyDescent="0.3">
      <c r="A530" s="99"/>
    </row>
    <row r="532" spans="1:40" x14ac:dyDescent="0.3">
      <c r="H532" s="99"/>
      <c r="I532" s="99"/>
      <c r="Y532" s="99"/>
    </row>
    <row r="534" spans="1:40" x14ac:dyDescent="0.3">
      <c r="L534" s="99"/>
      <c r="M534" s="99"/>
      <c r="AA534" s="99"/>
      <c r="AB534" s="99"/>
    </row>
    <row r="535" spans="1:40" x14ac:dyDescent="0.3">
      <c r="R535" s="99"/>
      <c r="AK535" s="190"/>
      <c r="AL535" s="99"/>
    </row>
    <row r="536" spans="1:40" x14ac:dyDescent="0.3">
      <c r="R536" s="99"/>
      <c r="AK536" s="190"/>
      <c r="AL536" s="99"/>
    </row>
    <row r="537" spans="1:40" x14ac:dyDescent="0.3">
      <c r="A537" s="99"/>
      <c r="R537" s="99"/>
      <c r="AK537" s="190"/>
      <c r="AL537" s="99"/>
    </row>
    <row r="538" spans="1:40" x14ac:dyDescent="0.3">
      <c r="L538" s="99"/>
      <c r="M538" s="99"/>
      <c r="AA538" s="99"/>
      <c r="AB538" s="99"/>
    </row>
    <row r="539" spans="1:40" x14ac:dyDescent="0.3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91"/>
      <c r="AH539" s="101"/>
      <c r="AI539" s="101"/>
      <c r="AJ539" s="101"/>
      <c r="AK539" s="191"/>
      <c r="AL539" s="101"/>
      <c r="AM539" s="101"/>
      <c r="AN539" s="101"/>
    </row>
    <row r="540" spans="1:40" x14ac:dyDescent="0.3">
      <c r="L540" s="102"/>
      <c r="M540" s="102"/>
      <c r="N540" s="102"/>
      <c r="O540" s="102"/>
      <c r="R540" s="102"/>
      <c r="AA540" s="102"/>
      <c r="AB540" s="102"/>
      <c r="AC540" s="102"/>
      <c r="AD540" s="102"/>
      <c r="AE540" s="102"/>
      <c r="AF540" s="102"/>
      <c r="AG540" s="151"/>
      <c r="AH540" s="102"/>
      <c r="AK540" s="151"/>
      <c r="AL540" s="102"/>
      <c r="AM540" s="102"/>
      <c r="AN540" s="102"/>
    </row>
    <row r="541" spans="1:40" x14ac:dyDescent="0.3">
      <c r="L541" s="102"/>
      <c r="M541" s="102"/>
      <c r="N541" s="102"/>
      <c r="O541" s="102"/>
      <c r="R541" s="102"/>
      <c r="Z541" s="102"/>
      <c r="AA541" s="102"/>
      <c r="AB541" s="102"/>
      <c r="AC541" s="102"/>
      <c r="AD541" s="102"/>
      <c r="AE541" s="102"/>
      <c r="AF541" s="102"/>
      <c r="AG541" s="151"/>
      <c r="AH541" s="102"/>
      <c r="AK541" s="151"/>
      <c r="AL541" s="102"/>
      <c r="AM541" s="102"/>
      <c r="AN541" s="102"/>
    </row>
    <row r="542" spans="1:40" x14ac:dyDescent="0.3">
      <c r="A542" s="102"/>
      <c r="C542" s="102"/>
      <c r="D542" s="102"/>
      <c r="E542" s="102"/>
      <c r="F542" s="102"/>
      <c r="J542" s="102"/>
      <c r="K542" s="102"/>
      <c r="L542" s="102"/>
      <c r="M542" s="102"/>
      <c r="N542" s="102"/>
      <c r="O542" s="102"/>
      <c r="P542" s="102"/>
      <c r="Q542" s="102"/>
      <c r="R542" s="102"/>
      <c r="T542" s="102"/>
      <c r="U542" s="102"/>
      <c r="V542" s="102"/>
      <c r="Z542" s="102"/>
      <c r="AA542" s="102"/>
      <c r="AB542" s="102"/>
      <c r="AC542" s="102"/>
      <c r="AD542" s="102"/>
      <c r="AE542" s="102"/>
      <c r="AF542" s="102"/>
      <c r="AG542" s="151"/>
      <c r="AH542" s="102"/>
      <c r="AI542" s="102"/>
      <c r="AJ542" s="102"/>
      <c r="AK542" s="151"/>
      <c r="AL542" s="102"/>
      <c r="AM542" s="102"/>
      <c r="AN542" s="102"/>
    </row>
    <row r="543" spans="1:40" x14ac:dyDescent="0.3">
      <c r="A543" s="102"/>
      <c r="C543" s="102"/>
      <c r="D543" s="102"/>
      <c r="E543" s="102"/>
      <c r="F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T543" s="102"/>
      <c r="U543" s="102"/>
      <c r="V543" s="102"/>
      <c r="Y543" s="102"/>
      <c r="Z543" s="102"/>
      <c r="AA543" s="102"/>
      <c r="AB543" s="102"/>
      <c r="AC543" s="102"/>
      <c r="AD543" s="102"/>
      <c r="AE543" s="102"/>
      <c r="AF543" s="102"/>
      <c r="AG543" s="151"/>
      <c r="AH543" s="102"/>
      <c r="AI543" s="102"/>
      <c r="AJ543" s="102"/>
      <c r="AK543" s="151"/>
      <c r="AL543" s="102"/>
      <c r="AM543" s="102"/>
      <c r="AN543" s="102"/>
    </row>
    <row r="544" spans="1:40" x14ac:dyDescent="0.3">
      <c r="C544" s="102"/>
      <c r="D544" s="102"/>
      <c r="E544" s="102"/>
      <c r="F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T544" s="102"/>
      <c r="U544" s="102"/>
      <c r="V544" s="102"/>
      <c r="Y544" s="102"/>
      <c r="Z544" s="102"/>
      <c r="AA544" s="102"/>
      <c r="AB544" s="102"/>
      <c r="AC544" s="102"/>
      <c r="AD544" s="102"/>
      <c r="AE544" s="102"/>
      <c r="AF544" s="102"/>
      <c r="AG544" s="151"/>
      <c r="AH544" s="102"/>
      <c r="AI544" s="102"/>
      <c r="AJ544" s="102"/>
      <c r="AK544" s="151"/>
      <c r="AL544" s="102"/>
      <c r="AM544" s="102"/>
      <c r="AN544" s="102"/>
    </row>
    <row r="545" spans="1:40" x14ac:dyDescent="0.3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91"/>
      <c r="AH545" s="101"/>
      <c r="AI545" s="101"/>
      <c r="AJ545" s="101"/>
      <c r="AK545" s="191"/>
      <c r="AL545" s="101"/>
      <c r="AM545" s="101"/>
      <c r="AN545" s="101"/>
    </row>
    <row r="546" spans="1:40" x14ac:dyDescent="0.3"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Y546" s="102"/>
      <c r="Z546" s="102"/>
      <c r="AA546" s="102"/>
      <c r="AB546" s="102"/>
      <c r="AC546" s="102"/>
      <c r="AD546" s="102"/>
      <c r="AE546" s="102"/>
      <c r="AF546" s="102"/>
      <c r="AG546" s="151"/>
      <c r="AH546" s="102"/>
      <c r="AI546" s="102"/>
      <c r="AJ546" s="102"/>
      <c r="AK546" s="151"/>
      <c r="AL546" s="102"/>
      <c r="AM546" s="102"/>
      <c r="AN546" s="102"/>
    </row>
    <row r="547" spans="1:40" x14ac:dyDescent="0.3">
      <c r="C547" s="99"/>
      <c r="D547" s="99"/>
      <c r="E547" s="99"/>
      <c r="T547" s="99"/>
      <c r="U547" s="99"/>
      <c r="V547" s="110"/>
      <c r="W547" s="110"/>
      <c r="X547" s="110"/>
      <c r="Y547" s="110"/>
      <c r="Z547" s="227"/>
    </row>
    <row r="549" spans="1:40" x14ac:dyDescent="0.3">
      <c r="C549" s="99"/>
      <c r="T549" s="99"/>
      <c r="V549" s="110"/>
      <c r="W549" s="110"/>
      <c r="X549" s="110"/>
      <c r="Y549" s="110"/>
      <c r="Z549" s="227"/>
    </row>
    <row r="550" spans="1:40" x14ac:dyDescent="0.3">
      <c r="C550" s="99"/>
      <c r="F550" s="172"/>
      <c r="H550" s="172"/>
      <c r="I550" s="172"/>
      <c r="J550" s="228"/>
      <c r="K550" s="228"/>
      <c r="L550" s="110"/>
      <c r="M550" s="110"/>
      <c r="N550" s="141"/>
      <c r="O550" s="141"/>
      <c r="P550" s="110"/>
      <c r="Q550" s="110"/>
      <c r="R550" s="110"/>
      <c r="T550" s="99"/>
      <c r="V550" s="110"/>
      <c r="W550" s="110"/>
      <c r="X550" s="110"/>
      <c r="Y550" s="110"/>
      <c r="Z550" s="228"/>
      <c r="AA550" s="110"/>
      <c r="AB550" s="110"/>
      <c r="AC550" s="141"/>
      <c r="AD550" s="141"/>
      <c r="AE550" s="110"/>
      <c r="AF550" s="110"/>
      <c r="AH550" s="207"/>
      <c r="AI550" s="110"/>
      <c r="AJ550" s="110"/>
      <c r="AL550" s="110"/>
      <c r="AM550" s="141"/>
      <c r="AN550" s="141"/>
    </row>
    <row r="551" spans="1:40" x14ac:dyDescent="0.3">
      <c r="C551" s="99"/>
      <c r="F551" s="172"/>
      <c r="H551" s="172"/>
      <c r="I551" s="172"/>
      <c r="J551" s="228"/>
      <c r="K551" s="228"/>
      <c r="L551" s="110"/>
      <c r="M551" s="110"/>
      <c r="N551" s="141"/>
      <c r="O551" s="141"/>
      <c r="P551" s="110"/>
      <c r="Q551" s="110"/>
      <c r="R551" s="110"/>
      <c r="T551" s="99"/>
      <c r="V551" s="110"/>
      <c r="W551" s="110"/>
      <c r="X551" s="110"/>
      <c r="Y551" s="110"/>
      <c r="Z551" s="228"/>
      <c r="AA551" s="110"/>
      <c r="AB551" s="110"/>
      <c r="AC551" s="141"/>
      <c r="AD551" s="141"/>
      <c r="AE551" s="110"/>
      <c r="AF551" s="110"/>
      <c r="AH551" s="207"/>
      <c r="AI551" s="110"/>
      <c r="AJ551" s="110"/>
      <c r="AL551" s="110"/>
      <c r="AM551" s="141"/>
      <c r="AN551" s="141"/>
    </row>
    <row r="552" spans="1:40" x14ac:dyDescent="0.3">
      <c r="C552" s="99"/>
      <c r="F552" s="172"/>
      <c r="H552" s="172"/>
      <c r="I552" s="172"/>
      <c r="J552" s="228"/>
      <c r="K552" s="228"/>
      <c r="L552" s="110"/>
      <c r="M552" s="110"/>
      <c r="N552" s="141"/>
      <c r="O552" s="141"/>
      <c r="P552" s="110"/>
      <c r="Q552" s="110"/>
      <c r="R552" s="110"/>
      <c r="T552" s="99"/>
      <c r="V552" s="110"/>
      <c r="W552" s="110"/>
      <c r="X552" s="110"/>
      <c r="Y552" s="110"/>
      <c r="Z552" s="228"/>
      <c r="AA552" s="110"/>
      <c r="AB552" s="110"/>
      <c r="AC552" s="141"/>
      <c r="AD552" s="141"/>
      <c r="AE552" s="110"/>
      <c r="AF552" s="110"/>
      <c r="AH552" s="207"/>
      <c r="AI552" s="110"/>
      <c r="AJ552" s="110"/>
      <c r="AL552" s="110"/>
      <c r="AM552" s="141"/>
      <c r="AN552" s="141"/>
    </row>
    <row r="553" spans="1:40" x14ac:dyDescent="0.3">
      <c r="C553" s="99"/>
      <c r="F553" s="172"/>
      <c r="H553" s="172"/>
      <c r="I553" s="172"/>
      <c r="J553" s="228"/>
      <c r="K553" s="228"/>
      <c r="L553" s="110"/>
      <c r="M553" s="110"/>
      <c r="N553" s="141"/>
      <c r="O553" s="141"/>
      <c r="P553" s="110"/>
      <c r="Q553" s="110"/>
      <c r="R553" s="110"/>
      <c r="T553" s="99"/>
      <c r="V553" s="110"/>
      <c r="W553" s="110"/>
      <c r="X553" s="110"/>
      <c r="Y553" s="110"/>
      <c r="Z553" s="228"/>
      <c r="AA553" s="110"/>
      <c r="AB553" s="110"/>
      <c r="AC553" s="141"/>
      <c r="AD553" s="141"/>
      <c r="AE553" s="110"/>
      <c r="AF553" s="110"/>
      <c r="AH553" s="207"/>
      <c r="AI553" s="110"/>
      <c r="AJ553" s="110"/>
      <c r="AL553" s="110"/>
      <c r="AM553" s="141"/>
      <c r="AN553" s="141"/>
    </row>
    <row r="554" spans="1:40" x14ac:dyDescent="0.3">
      <c r="J554" s="163"/>
      <c r="K554" s="163"/>
      <c r="V554" s="110"/>
      <c r="W554" s="110"/>
      <c r="X554" s="110"/>
      <c r="Y554" s="110"/>
      <c r="Z554" s="228"/>
    </row>
    <row r="555" spans="1:40" x14ac:dyDescent="0.3">
      <c r="C555" s="99"/>
      <c r="F555" s="172"/>
      <c r="H555" s="172"/>
      <c r="I555" s="172"/>
      <c r="J555" s="228"/>
      <c r="K555" s="228"/>
      <c r="L555" s="110"/>
      <c r="M555" s="110"/>
      <c r="N555" s="141"/>
      <c r="O555" s="141"/>
      <c r="P555" s="110"/>
      <c r="Q555" s="110"/>
      <c r="R555" s="110"/>
      <c r="T555" s="99"/>
      <c r="V555" s="110"/>
      <c r="W555" s="110"/>
      <c r="X555" s="110"/>
      <c r="Y555" s="110"/>
      <c r="Z555" s="228"/>
      <c r="AA555" s="110"/>
      <c r="AB555" s="110"/>
      <c r="AC555" s="141"/>
      <c r="AD555" s="141"/>
      <c r="AE555" s="110"/>
      <c r="AF555" s="110"/>
      <c r="AH555" s="207"/>
      <c r="AI555" s="110"/>
      <c r="AJ555" s="110"/>
      <c r="AL555" s="110"/>
      <c r="AM555" s="207"/>
      <c r="AN555" s="207"/>
    </row>
    <row r="556" spans="1:40" x14ac:dyDescent="0.3">
      <c r="C556" s="99"/>
      <c r="J556" s="163"/>
      <c r="K556" s="163"/>
      <c r="T556" s="99"/>
      <c r="V556" s="110"/>
      <c r="W556" s="110"/>
      <c r="X556" s="110"/>
      <c r="Y556" s="110"/>
      <c r="Z556" s="228"/>
    </row>
    <row r="557" spans="1:40" x14ac:dyDescent="0.3">
      <c r="C557" s="99"/>
      <c r="F557" s="172"/>
      <c r="H557" s="172"/>
      <c r="I557" s="172"/>
      <c r="J557" s="228"/>
      <c r="K557" s="228"/>
      <c r="L557" s="110"/>
      <c r="M557" s="110"/>
      <c r="N557" s="141"/>
      <c r="O557" s="141"/>
      <c r="P557" s="110"/>
      <c r="Q557" s="110"/>
      <c r="R557" s="110"/>
      <c r="T557" s="99"/>
      <c r="V557" s="110"/>
      <c r="W557" s="110"/>
      <c r="X557" s="110"/>
      <c r="Y557" s="110"/>
      <c r="Z557" s="228"/>
      <c r="AA557" s="110"/>
      <c r="AB557" s="110"/>
      <c r="AC557" s="141"/>
      <c r="AD557" s="141"/>
      <c r="AE557" s="110"/>
      <c r="AF557" s="110"/>
      <c r="AH557" s="207"/>
      <c r="AI557" s="110"/>
      <c r="AJ557" s="110"/>
      <c r="AL557" s="110"/>
      <c r="AM557" s="207"/>
      <c r="AN557" s="207"/>
    </row>
    <row r="558" spans="1:40" x14ac:dyDescent="0.3">
      <c r="J558" s="163"/>
      <c r="K558" s="163"/>
      <c r="Z558" s="163"/>
    </row>
    <row r="559" spans="1:40" x14ac:dyDescent="0.3">
      <c r="C559" s="99"/>
      <c r="J559" s="163"/>
      <c r="K559" s="163"/>
      <c r="T559" s="99"/>
      <c r="V559" s="110"/>
      <c r="W559" s="110"/>
      <c r="X559" s="110"/>
      <c r="Y559" s="110"/>
      <c r="Z559" s="228"/>
    </row>
    <row r="560" spans="1:40" x14ac:dyDescent="0.3">
      <c r="C560" s="99"/>
      <c r="F560" s="172"/>
      <c r="H560" s="172"/>
      <c r="I560" s="172"/>
      <c r="J560" s="228"/>
      <c r="K560" s="228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228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207"/>
      <c r="AN560" s="207"/>
    </row>
    <row r="561" spans="1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1:40" x14ac:dyDescent="0.3">
      <c r="F562" s="192"/>
      <c r="H562" s="192"/>
      <c r="I562" s="192"/>
      <c r="J562" s="228"/>
      <c r="K562" s="228"/>
      <c r="L562" s="192"/>
      <c r="M562" s="192"/>
      <c r="N562" s="192"/>
      <c r="O562" s="192"/>
      <c r="P562" s="192"/>
      <c r="Q562" s="192"/>
      <c r="R562" s="192"/>
      <c r="V562" s="192"/>
      <c r="Y562" s="192"/>
      <c r="Z562" s="217"/>
      <c r="AA562" s="192"/>
      <c r="AB562" s="192"/>
      <c r="AC562" s="192"/>
      <c r="AD562" s="192"/>
      <c r="AE562" s="192"/>
      <c r="AF562" s="192"/>
      <c r="AI562" s="192"/>
      <c r="AJ562" s="192"/>
      <c r="AK562" s="194"/>
      <c r="AL562" s="192"/>
    </row>
    <row r="563" spans="1:40" x14ac:dyDescent="0.3">
      <c r="C563" s="99"/>
      <c r="F563" s="110"/>
      <c r="H563" s="110"/>
      <c r="I563" s="110"/>
      <c r="L563" s="110"/>
      <c r="M563" s="110"/>
      <c r="N563" s="141"/>
      <c r="O563" s="141"/>
      <c r="P563" s="172"/>
      <c r="Q563" s="172"/>
      <c r="R563" s="110"/>
      <c r="T563" s="99"/>
      <c r="V563" s="110"/>
      <c r="W563" s="110"/>
      <c r="X563" s="110"/>
      <c r="Y563" s="110"/>
      <c r="Z563" s="227"/>
      <c r="AA563" s="110"/>
      <c r="AB563" s="110"/>
      <c r="AC563" s="141"/>
      <c r="AD563" s="141"/>
      <c r="AE563" s="110"/>
      <c r="AF563" s="110"/>
      <c r="AH563" s="207"/>
      <c r="AI563" s="172"/>
      <c r="AJ563" s="172"/>
      <c r="AL563" s="110"/>
      <c r="AM563" s="207"/>
      <c r="AN563" s="207"/>
    </row>
    <row r="564" spans="1:40" x14ac:dyDescent="0.3">
      <c r="F564" s="192"/>
      <c r="H564" s="192"/>
      <c r="I564" s="192"/>
      <c r="J564" s="217"/>
      <c r="K564" s="217"/>
      <c r="L564" s="192"/>
      <c r="M564" s="192"/>
      <c r="N564" s="192"/>
      <c r="O564" s="192"/>
      <c r="P564" s="192"/>
      <c r="Q564" s="192"/>
      <c r="R564" s="192"/>
      <c r="V564" s="192"/>
      <c r="Y564" s="192"/>
      <c r="Z564" s="217"/>
      <c r="AA564" s="192"/>
      <c r="AB564" s="192"/>
      <c r="AC564" s="192"/>
      <c r="AD564" s="192"/>
      <c r="AE564" s="192"/>
      <c r="AF564" s="192"/>
      <c r="AI564" s="192"/>
      <c r="AJ564" s="192"/>
      <c r="AK564" s="194"/>
      <c r="AL564" s="192"/>
    </row>
    <row r="567" spans="1:40" x14ac:dyDescent="0.3">
      <c r="A567" s="99"/>
    </row>
    <row r="569" spans="1:40" x14ac:dyDescent="0.3">
      <c r="H569" s="99"/>
      <c r="I569" s="99"/>
      <c r="Y569" s="99"/>
    </row>
    <row r="571" spans="1:40" x14ac:dyDescent="0.3">
      <c r="L571" s="99"/>
      <c r="M571" s="99"/>
      <c r="AA571" s="99"/>
      <c r="AB571" s="99"/>
    </row>
    <row r="572" spans="1:40" x14ac:dyDescent="0.3">
      <c r="R572" s="99"/>
      <c r="AK572" s="190"/>
      <c r="AL572" s="99"/>
    </row>
    <row r="573" spans="1:40" x14ac:dyDescent="0.3">
      <c r="R573" s="99"/>
      <c r="AK573" s="190"/>
      <c r="AL573" s="99"/>
    </row>
    <row r="574" spans="1:40" x14ac:dyDescent="0.3">
      <c r="A574" s="99"/>
      <c r="R574" s="99"/>
      <c r="AK574" s="190"/>
      <c r="AL574" s="99"/>
    </row>
    <row r="575" spans="1:40" x14ac:dyDescent="0.3">
      <c r="L575" s="99"/>
      <c r="M575" s="99"/>
      <c r="AA575" s="99"/>
      <c r="AB575" s="99"/>
    </row>
    <row r="576" spans="1:40" x14ac:dyDescent="0.3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91"/>
      <c r="AH576" s="101"/>
      <c r="AI576" s="101"/>
      <c r="AJ576" s="101"/>
      <c r="AK576" s="191"/>
      <c r="AL576" s="101"/>
      <c r="AM576" s="101"/>
      <c r="AN576" s="101"/>
    </row>
    <row r="577" spans="1:40" x14ac:dyDescent="0.3">
      <c r="L577" s="102"/>
      <c r="M577" s="102"/>
      <c r="N577" s="102"/>
      <c r="O577" s="102"/>
      <c r="R577" s="102"/>
      <c r="AA577" s="102"/>
      <c r="AB577" s="102"/>
      <c r="AC577" s="102"/>
      <c r="AD577" s="102"/>
      <c r="AE577" s="102"/>
      <c r="AF577" s="102"/>
      <c r="AG577" s="151"/>
      <c r="AH577" s="102"/>
      <c r="AK577" s="151"/>
      <c r="AL577" s="102"/>
      <c r="AM577" s="102"/>
      <c r="AN577" s="102"/>
    </row>
    <row r="578" spans="1:40" x14ac:dyDescent="0.3">
      <c r="L578" s="102"/>
      <c r="M578" s="102"/>
      <c r="N578" s="102"/>
      <c r="O578" s="102"/>
      <c r="R578" s="102"/>
      <c r="Z578" s="102"/>
      <c r="AA578" s="102"/>
      <c r="AB578" s="102"/>
      <c r="AC578" s="102"/>
      <c r="AD578" s="102"/>
      <c r="AE578" s="102"/>
      <c r="AF578" s="102"/>
      <c r="AG578" s="151"/>
      <c r="AH578" s="102"/>
      <c r="AK578" s="151"/>
      <c r="AL578" s="102"/>
      <c r="AM578" s="102"/>
      <c r="AN578" s="102"/>
    </row>
    <row r="579" spans="1:40" x14ac:dyDescent="0.3">
      <c r="A579" s="102"/>
      <c r="C579" s="102"/>
      <c r="D579" s="102"/>
      <c r="E579" s="102"/>
      <c r="F579" s="102"/>
      <c r="J579" s="102"/>
      <c r="K579" s="102"/>
      <c r="L579" s="102"/>
      <c r="M579" s="102"/>
      <c r="N579" s="102"/>
      <c r="O579" s="102"/>
      <c r="P579" s="102"/>
      <c r="Q579" s="102"/>
      <c r="R579" s="102"/>
      <c r="T579" s="102"/>
      <c r="U579" s="102"/>
      <c r="V579" s="102"/>
      <c r="Z579" s="102"/>
      <c r="AA579" s="102"/>
      <c r="AB579" s="102"/>
      <c r="AC579" s="102"/>
      <c r="AD579" s="102"/>
      <c r="AE579" s="102"/>
      <c r="AF579" s="102"/>
      <c r="AG579" s="151"/>
      <c r="AH579" s="102"/>
      <c r="AI579" s="102"/>
      <c r="AJ579" s="102"/>
      <c r="AK579" s="151"/>
      <c r="AL579" s="102"/>
      <c r="AM579" s="102"/>
      <c r="AN579" s="102"/>
    </row>
    <row r="580" spans="1:40" x14ac:dyDescent="0.3">
      <c r="A580" s="102"/>
      <c r="C580" s="102"/>
      <c r="D580" s="102"/>
      <c r="E580" s="102"/>
      <c r="F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T580" s="102"/>
      <c r="U580" s="102"/>
      <c r="V580" s="102"/>
      <c r="Y580" s="102"/>
      <c r="Z580" s="102"/>
      <c r="AA580" s="102"/>
      <c r="AB580" s="102"/>
      <c r="AC580" s="102"/>
      <c r="AD580" s="102"/>
      <c r="AE580" s="102"/>
      <c r="AF580" s="102"/>
      <c r="AG580" s="151"/>
      <c r="AH580" s="102"/>
      <c r="AI580" s="102"/>
      <c r="AJ580" s="102"/>
      <c r="AK580" s="151"/>
      <c r="AL580" s="102"/>
      <c r="AM580" s="102"/>
      <c r="AN580" s="102"/>
    </row>
    <row r="581" spans="1:40" x14ac:dyDescent="0.3">
      <c r="C581" s="102"/>
      <c r="D581" s="102"/>
      <c r="E581" s="102"/>
      <c r="F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T581" s="102"/>
      <c r="U581" s="102"/>
      <c r="V581" s="102"/>
      <c r="Y581" s="102"/>
      <c r="Z581" s="102"/>
      <c r="AA581" s="102"/>
      <c r="AB581" s="102"/>
      <c r="AC581" s="102"/>
      <c r="AD581" s="102"/>
      <c r="AE581" s="102"/>
      <c r="AF581" s="102"/>
      <c r="AG581" s="151"/>
      <c r="AH581" s="102"/>
      <c r="AI581" s="102"/>
      <c r="AJ581" s="102"/>
      <c r="AK581" s="151"/>
      <c r="AL581" s="102"/>
      <c r="AM581" s="102"/>
      <c r="AN581" s="102"/>
    </row>
    <row r="582" spans="1:40" x14ac:dyDescent="0.3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91"/>
      <c r="AH582" s="101"/>
      <c r="AI582" s="101"/>
      <c r="AJ582" s="101"/>
      <c r="AK582" s="191"/>
      <c r="AL582" s="101"/>
      <c r="AM582" s="101"/>
      <c r="AN582" s="101"/>
    </row>
    <row r="583" spans="1:40" x14ac:dyDescent="0.3"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Y583" s="102"/>
      <c r="Z583" s="102"/>
      <c r="AA583" s="102"/>
      <c r="AB583" s="102"/>
      <c r="AC583" s="102"/>
      <c r="AD583" s="102"/>
      <c r="AE583" s="102"/>
      <c r="AF583" s="102"/>
      <c r="AG583" s="151"/>
      <c r="AH583" s="102"/>
      <c r="AI583" s="102"/>
      <c r="AJ583" s="102"/>
      <c r="AK583" s="151"/>
      <c r="AL583" s="102"/>
      <c r="AM583" s="102"/>
      <c r="AN583" s="102"/>
    </row>
    <row r="584" spans="1:40" x14ac:dyDescent="0.3">
      <c r="C584" s="99"/>
      <c r="D584" s="99"/>
      <c r="E584" s="99"/>
      <c r="T584" s="99"/>
      <c r="U584" s="99"/>
    </row>
    <row r="586" spans="1:40" x14ac:dyDescent="0.3">
      <c r="C586" s="99"/>
      <c r="T586" s="99"/>
    </row>
    <row r="587" spans="1:40" x14ac:dyDescent="0.3">
      <c r="C587" s="99"/>
      <c r="T587" s="99"/>
    </row>
    <row r="588" spans="1:40" x14ac:dyDescent="0.3">
      <c r="C588" s="99"/>
      <c r="F588" s="172"/>
      <c r="H588" s="172"/>
      <c r="I588" s="172"/>
      <c r="J588" s="228"/>
      <c r="K588" s="228"/>
      <c r="L588" s="110"/>
      <c r="M588" s="110"/>
      <c r="N588" s="141"/>
      <c r="O588" s="141"/>
      <c r="P588" s="110"/>
      <c r="Q588" s="110"/>
      <c r="R588" s="110"/>
      <c r="T588" s="99"/>
      <c r="V588" s="110"/>
      <c r="W588" s="110"/>
      <c r="X588" s="110"/>
      <c r="Y588" s="110"/>
      <c r="Z588" s="228"/>
      <c r="AA588" s="110"/>
      <c r="AB588" s="110"/>
      <c r="AC588" s="141"/>
      <c r="AD588" s="141"/>
      <c r="AE588" s="110"/>
      <c r="AF588" s="110"/>
      <c r="AH588" s="207"/>
      <c r="AI588" s="110"/>
      <c r="AJ588" s="110"/>
      <c r="AL588" s="110"/>
      <c r="AM588" s="207"/>
      <c r="AN588" s="207"/>
    </row>
    <row r="589" spans="1:40" x14ac:dyDescent="0.3">
      <c r="C589" s="99"/>
      <c r="F589" s="110"/>
      <c r="H589" s="110"/>
      <c r="I589" s="110"/>
      <c r="J589" s="163"/>
      <c r="K589" s="163"/>
      <c r="L589" s="110"/>
      <c r="M589" s="110"/>
      <c r="N589" s="141"/>
      <c r="O589" s="141"/>
      <c r="P589" s="110"/>
      <c r="Q589" s="110"/>
      <c r="R589" s="110"/>
      <c r="T589" s="99"/>
      <c r="V589" s="110"/>
      <c r="W589" s="110"/>
      <c r="X589" s="110"/>
      <c r="Y589" s="110"/>
      <c r="Z589" s="163"/>
      <c r="AA589" s="110"/>
      <c r="AB589" s="110"/>
      <c r="AC589" s="141"/>
      <c r="AD589" s="141"/>
      <c r="AE589" s="110"/>
      <c r="AF589" s="110"/>
      <c r="AH589" s="207"/>
      <c r="AI589" s="110"/>
      <c r="AJ589" s="110"/>
      <c r="AL589" s="110"/>
      <c r="AM589" s="207"/>
      <c r="AN589" s="207"/>
    </row>
    <row r="590" spans="1:40" x14ac:dyDescent="0.3">
      <c r="C590" s="99"/>
      <c r="F590" s="110"/>
      <c r="H590" s="110"/>
      <c r="I590" s="110"/>
      <c r="J590" s="163"/>
      <c r="K590" s="163"/>
      <c r="L590" s="110"/>
      <c r="M590" s="110"/>
      <c r="N590" s="141"/>
      <c r="O590" s="141"/>
      <c r="P590" s="110"/>
      <c r="Q590" s="110"/>
      <c r="R590" s="110"/>
      <c r="T590" s="99"/>
      <c r="V590" s="110"/>
      <c r="W590" s="110"/>
      <c r="X590" s="110"/>
      <c r="Y590" s="110"/>
      <c r="Z590" s="163"/>
      <c r="AA590" s="110"/>
      <c r="AB590" s="110"/>
      <c r="AC590" s="141"/>
      <c r="AD590" s="141"/>
      <c r="AE590" s="110"/>
      <c r="AF590" s="110"/>
      <c r="AH590" s="207"/>
      <c r="AI590" s="110"/>
      <c r="AJ590" s="110"/>
      <c r="AL590" s="110"/>
      <c r="AM590" s="207"/>
      <c r="AN590" s="207"/>
    </row>
    <row r="591" spans="1:40" x14ac:dyDescent="0.3">
      <c r="C591" s="99"/>
      <c r="F591" s="110"/>
      <c r="H591" s="110"/>
      <c r="I591" s="110"/>
      <c r="J591" s="163"/>
      <c r="K591" s="163"/>
      <c r="T591" s="99"/>
      <c r="V591" s="110"/>
      <c r="Z591" s="163"/>
    </row>
    <row r="592" spans="1:40" x14ac:dyDescent="0.3">
      <c r="C592" s="99"/>
      <c r="F592" s="172"/>
      <c r="H592" s="172"/>
      <c r="I592" s="172"/>
      <c r="J592" s="228"/>
      <c r="K592" s="228"/>
      <c r="L592" s="110"/>
      <c r="M592" s="110"/>
      <c r="N592" s="141"/>
      <c r="O592" s="141"/>
      <c r="P592" s="110"/>
      <c r="Q592" s="110"/>
      <c r="R592" s="110"/>
      <c r="T592" s="99"/>
      <c r="V592" s="110"/>
      <c r="W592" s="110"/>
      <c r="X592" s="110"/>
      <c r="Y592" s="110"/>
      <c r="Z592" s="228"/>
      <c r="AA592" s="110"/>
      <c r="AB592" s="110"/>
      <c r="AC592" s="141"/>
      <c r="AD592" s="141"/>
      <c r="AE592" s="110"/>
      <c r="AF592" s="110"/>
      <c r="AH592" s="207"/>
      <c r="AI592" s="110"/>
      <c r="AJ592" s="110"/>
      <c r="AL592" s="110"/>
      <c r="AM592" s="207"/>
      <c r="AN592" s="207"/>
    </row>
    <row r="593" spans="3:40" x14ac:dyDescent="0.3">
      <c r="C593" s="99"/>
      <c r="F593" s="110"/>
      <c r="H593" s="110"/>
      <c r="I593" s="110"/>
      <c r="J593" s="163"/>
      <c r="K593" s="163"/>
      <c r="T593" s="99"/>
      <c r="V593" s="110"/>
      <c r="W593" s="110"/>
      <c r="X593" s="110"/>
      <c r="Y593" s="110"/>
      <c r="Z593" s="163"/>
      <c r="AC593" s="141"/>
      <c r="AD593" s="141"/>
      <c r="AE593" s="110"/>
      <c r="AF593" s="110"/>
      <c r="AH593" s="207"/>
      <c r="AI593" s="110"/>
      <c r="AJ593" s="110"/>
      <c r="AL593" s="110"/>
      <c r="AM593" s="207"/>
      <c r="AN593" s="207"/>
    </row>
    <row r="594" spans="3:40" x14ac:dyDescent="0.3">
      <c r="C594" s="99"/>
      <c r="F594" s="172"/>
      <c r="H594" s="172"/>
      <c r="I594" s="172"/>
      <c r="J594" s="228"/>
      <c r="K594" s="228"/>
      <c r="L594" s="110"/>
      <c r="M594" s="110"/>
      <c r="N594" s="141"/>
      <c r="O594" s="141"/>
      <c r="P594" s="110"/>
      <c r="Q594" s="110"/>
      <c r="R594" s="110"/>
      <c r="T594" s="99"/>
      <c r="V594" s="110"/>
      <c r="W594" s="110"/>
      <c r="X594" s="110"/>
      <c r="Y594" s="110"/>
      <c r="Z594" s="228"/>
      <c r="AA594" s="110"/>
      <c r="AB594" s="110"/>
      <c r="AC594" s="141"/>
      <c r="AD594" s="141"/>
      <c r="AE594" s="110"/>
      <c r="AF594" s="110"/>
      <c r="AH594" s="207"/>
      <c r="AI594" s="110"/>
      <c r="AJ594" s="110"/>
      <c r="AL594" s="110"/>
      <c r="AM594" s="207"/>
      <c r="AN594" s="207"/>
    </row>
    <row r="595" spans="3:40" x14ac:dyDescent="0.3">
      <c r="C595" s="99"/>
      <c r="F595" s="110"/>
      <c r="H595" s="110"/>
      <c r="I595" s="110"/>
      <c r="J595" s="163"/>
      <c r="K595" s="163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Z595" s="163"/>
      <c r="AA595" s="110"/>
      <c r="AB595" s="110"/>
      <c r="AC595" s="141"/>
      <c r="AD595" s="141"/>
      <c r="AE595" s="110"/>
      <c r="AF595" s="110"/>
      <c r="AH595" s="207"/>
      <c r="AI595" s="110"/>
      <c r="AJ595" s="110"/>
      <c r="AL595" s="110"/>
      <c r="AM595" s="207"/>
      <c r="AN595" s="207"/>
    </row>
    <row r="596" spans="3:40" x14ac:dyDescent="0.3">
      <c r="F596" s="110"/>
      <c r="H596" s="110"/>
      <c r="I596" s="110"/>
      <c r="J596" s="163"/>
      <c r="K596" s="163"/>
      <c r="Z596" s="163"/>
    </row>
    <row r="597" spans="3:40" x14ac:dyDescent="0.3">
      <c r="C597" s="99"/>
      <c r="F597" s="110"/>
      <c r="H597" s="172"/>
      <c r="I597" s="172"/>
      <c r="J597" s="228"/>
      <c r="K597" s="228"/>
      <c r="L597" s="110"/>
      <c r="M597" s="110"/>
      <c r="N597" s="141"/>
      <c r="O597" s="141"/>
      <c r="P597" s="110"/>
      <c r="Q597" s="110"/>
      <c r="R597" s="110"/>
      <c r="T597" s="99"/>
      <c r="V597" s="110"/>
      <c r="W597" s="110"/>
      <c r="X597" s="110"/>
      <c r="Y597" s="110"/>
      <c r="Z597" s="228"/>
      <c r="AA597" s="110"/>
      <c r="AB597" s="110"/>
      <c r="AC597" s="141"/>
      <c r="AD597" s="141"/>
      <c r="AE597" s="110"/>
      <c r="AF597" s="110"/>
      <c r="AH597" s="207"/>
      <c r="AI597" s="110"/>
      <c r="AJ597" s="110"/>
      <c r="AL597" s="110"/>
      <c r="AM597" s="207"/>
      <c r="AN597" s="207"/>
    </row>
    <row r="598" spans="3:40" x14ac:dyDescent="0.3">
      <c r="F598" s="192"/>
      <c r="H598" s="192"/>
      <c r="I598" s="192"/>
      <c r="J598" s="228"/>
      <c r="K598" s="228"/>
      <c r="L598" s="192"/>
      <c r="M598" s="192"/>
      <c r="N598" s="192"/>
      <c r="O598" s="192"/>
      <c r="P598" s="192"/>
      <c r="Q598" s="192"/>
      <c r="R598" s="192"/>
      <c r="V598" s="192"/>
      <c r="Y598" s="192"/>
      <c r="Z598" s="228"/>
      <c r="AA598" s="192"/>
      <c r="AB598" s="192"/>
      <c r="AC598" s="192"/>
      <c r="AD598" s="192"/>
      <c r="AE598" s="192"/>
      <c r="AF598" s="192"/>
      <c r="AI598" s="192"/>
      <c r="AJ598" s="192"/>
      <c r="AK598" s="194"/>
      <c r="AL598" s="192"/>
    </row>
    <row r="599" spans="3:40" x14ac:dyDescent="0.3">
      <c r="C599" s="99"/>
      <c r="F599" s="110"/>
      <c r="H599" s="110"/>
      <c r="I599" s="110"/>
      <c r="J599" s="163"/>
      <c r="K599" s="163"/>
      <c r="L599" s="110"/>
      <c r="M599" s="110"/>
      <c r="P599" s="110"/>
      <c r="Q599" s="110"/>
      <c r="R599" s="110"/>
      <c r="T599" s="99"/>
      <c r="V599" s="110"/>
      <c r="Y599" s="110"/>
      <c r="Z599" s="163"/>
      <c r="AA599" s="110"/>
      <c r="AB599" s="110"/>
      <c r="AC599" s="207"/>
      <c r="AD599" s="207"/>
      <c r="AE599" s="110"/>
      <c r="AF599" s="110"/>
      <c r="AH599" s="207"/>
      <c r="AI599" s="110"/>
      <c r="AJ599" s="110"/>
      <c r="AL599" s="110"/>
      <c r="AM599" s="207"/>
      <c r="AN599" s="207"/>
    </row>
    <row r="600" spans="3:40" x14ac:dyDescent="0.3">
      <c r="F600" s="192"/>
      <c r="H600" s="192"/>
      <c r="I600" s="192"/>
      <c r="J600" s="228"/>
      <c r="K600" s="228"/>
      <c r="L600" s="192"/>
      <c r="M600" s="192"/>
      <c r="N600" s="192"/>
      <c r="O600" s="192"/>
      <c r="P600" s="192"/>
      <c r="Q600" s="192"/>
      <c r="R600" s="192"/>
      <c r="V600" s="192"/>
      <c r="Y600" s="192"/>
      <c r="Z600" s="228"/>
      <c r="AA600" s="192"/>
      <c r="AB600" s="192"/>
      <c r="AC600" s="192"/>
      <c r="AD600" s="192"/>
      <c r="AE600" s="192"/>
      <c r="AF600" s="192"/>
      <c r="AI600" s="192"/>
      <c r="AJ600" s="192"/>
      <c r="AK600" s="194"/>
      <c r="AL600" s="192"/>
    </row>
    <row r="601" spans="3:40" x14ac:dyDescent="0.3">
      <c r="J601" s="163"/>
      <c r="K601" s="163"/>
      <c r="Z601" s="163"/>
    </row>
    <row r="602" spans="3:40" x14ac:dyDescent="0.3">
      <c r="C602" s="99"/>
      <c r="J602" s="163"/>
      <c r="K602" s="163"/>
      <c r="T602" s="99"/>
      <c r="Z602" s="163"/>
    </row>
    <row r="603" spans="3:40" x14ac:dyDescent="0.3">
      <c r="C603" s="99"/>
      <c r="J603" s="163"/>
      <c r="K603" s="163"/>
      <c r="T603" s="99"/>
      <c r="Z603" s="163"/>
    </row>
    <row r="604" spans="3:40" x14ac:dyDescent="0.3">
      <c r="C604" s="99"/>
      <c r="F604" s="172"/>
      <c r="H604" s="172"/>
      <c r="I604" s="172"/>
      <c r="J604" s="228"/>
      <c r="K604" s="228"/>
      <c r="L604" s="110"/>
      <c r="M604" s="110"/>
      <c r="N604" s="141"/>
      <c r="O604" s="141"/>
      <c r="P604" s="110"/>
      <c r="Q604" s="110"/>
      <c r="R604" s="110"/>
      <c r="T604" s="99"/>
      <c r="V604" s="110"/>
      <c r="W604" s="110"/>
      <c r="X604" s="110"/>
      <c r="Y604" s="110"/>
      <c r="Z604" s="228"/>
      <c r="AA604" s="110"/>
      <c r="AB604" s="110"/>
      <c r="AC604" s="141"/>
      <c r="AD604" s="141"/>
      <c r="AE604" s="110"/>
      <c r="AF604" s="110"/>
      <c r="AH604" s="207"/>
      <c r="AI604" s="110"/>
      <c r="AJ604" s="110"/>
      <c r="AL604" s="110"/>
      <c r="AM604" s="207"/>
      <c r="AN604" s="207"/>
    </row>
    <row r="605" spans="3:40" x14ac:dyDescent="0.3">
      <c r="C605" s="99"/>
      <c r="J605" s="163"/>
      <c r="K605" s="163"/>
      <c r="T605" s="99"/>
      <c r="Z605" s="163"/>
    </row>
    <row r="606" spans="3:40" x14ac:dyDescent="0.3">
      <c r="C606" s="99"/>
      <c r="F606" s="172"/>
      <c r="H606" s="172"/>
      <c r="I606" s="172"/>
      <c r="J606" s="228"/>
      <c r="K606" s="228"/>
      <c r="L606" s="110"/>
      <c r="M606" s="110"/>
      <c r="N606" s="141"/>
      <c r="O606" s="141"/>
      <c r="P606" s="110"/>
      <c r="Q606" s="110"/>
      <c r="R606" s="110"/>
      <c r="T606" s="99"/>
      <c r="V606" s="110"/>
      <c r="W606" s="110"/>
      <c r="X606" s="110"/>
      <c r="Y606" s="110"/>
      <c r="Z606" s="228"/>
      <c r="AA606" s="110"/>
      <c r="AB606" s="110"/>
      <c r="AC606" s="141"/>
      <c r="AD606" s="141"/>
      <c r="AE606" s="110"/>
      <c r="AF606" s="110"/>
      <c r="AH606" s="207"/>
      <c r="AI606" s="110"/>
      <c r="AJ606" s="110"/>
      <c r="AL606" s="110"/>
      <c r="AM606" s="207"/>
      <c r="AN606" s="207"/>
    </row>
    <row r="607" spans="3:40" x14ac:dyDescent="0.3">
      <c r="F607" s="192"/>
      <c r="H607" s="192"/>
      <c r="I607" s="192"/>
      <c r="J607" s="228"/>
      <c r="K607" s="228"/>
      <c r="L607" s="192"/>
      <c r="M607" s="192"/>
      <c r="N607" s="192"/>
      <c r="O607" s="192"/>
      <c r="P607" s="192"/>
      <c r="Q607" s="192"/>
      <c r="R607" s="192"/>
      <c r="V607" s="192"/>
      <c r="Y607" s="192"/>
      <c r="Z607" s="228"/>
      <c r="AA607" s="192"/>
      <c r="AB607" s="192"/>
      <c r="AC607" s="192"/>
      <c r="AD607" s="192"/>
      <c r="AE607" s="192"/>
      <c r="AF607" s="192"/>
      <c r="AI607" s="192"/>
      <c r="AJ607" s="192"/>
      <c r="AK607" s="194"/>
      <c r="AL607" s="192"/>
    </row>
    <row r="608" spans="3:40" x14ac:dyDescent="0.3">
      <c r="C608" s="99"/>
      <c r="F608" s="110"/>
      <c r="H608" s="110"/>
      <c r="I608" s="110"/>
      <c r="J608" s="163"/>
      <c r="K608" s="163"/>
      <c r="L608" s="110"/>
      <c r="M608" s="110"/>
      <c r="N608" s="207"/>
      <c r="O608" s="207"/>
      <c r="P608" s="110"/>
      <c r="Q608" s="110"/>
      <c r="R608" s="110"/>
      <c r="T608" s="99"/>
      <c r="V608" s="110"/>
      <c r="Y608" s="110"/>
      <c r="Z608" s="163"/>
      <c r="AA608" s="110"/>
      <c r="AB608" s="110"/>
      <c r="AC608" s="207"/>
      <c r="AD608" s="207"/>
      <c r="AE608" s="110"/>
      <c r="AF608" s="110"/>
      <c r="AH608" s="207"/>
      <c r="AI608" s="110"/>
      <c r="AJ608" s="110"/>
      <c r="AL608" s="110"/>
      <c r="AM608" s="207"/>
      <c r="AN608" s="207"/>
    </row>
    <row r="609" spans="1:40" x14ac:dyDescent="0.3">
      <c r="F609" s="192"/>
      <c r="H609" s="192"/>
      <c r="I609" s="192"/>
      <c r="J609" s="228"/>
      <c r="K609" s="228"/>
      <c r="L609" s="192"/>
      <c r="M609" s="192"/>
      <c r="N609" s="192"/>
      <c r="O609" s="192"/>
      <c r="P609" s="192"/>
      <c r="Q609" s="192"/>
      <c r="R609" s="192"/>
      <c r="V609" s="192"/>
      <c r="Y609" s="192"/>
      <c r="Z609" s="217"/>
      <c r="AA609" s="192"/>
      <c r="AB609" s="192"/>
      <c r="AC609" s="192"/>
      <c r="AD609" s="192"/>
      <c r="AE609" s="192"/>
      <c r="AF609" s="192"/>
      <c r="AI609" s="192"/>
      <c r="AJ609" s="192"/>
      <c r="AK609" s="194"/>
      <c r="AL609" s="192"/>
    </row>
    <row r="610" spans="1:40" x14ac:dyDescent="0.3">
      <c r="J610" s="163"/>
      <c r="K610" s="163"/>
    </row>
    <row r="611" spans="1:40" x14ac:dyDescent="0.3">
      <c r="C611" s="99"/>
      <c r="F611" s="110"/>
      <c r="H611" s="110"/>
      <c r="I611" s="110"/>
      <c r="J611" s="163"/>
      <c r="K611" s="163"/>
      <c r="L611" s="110"/>
      <c r="M611" s="110"/>
      <c r="N611" s="141"/>
      <c r="O611" s="141"/>
      <c r="P611" s="172"/>
      <c r="Q611" s="172"/>
      <c r="R611" s="110"/>
      <c r="T611" s="99"/>
      <c r="V611" s="110"/>
      <c r="Y611" s="110"/>
      <c r="AA611" s="110"/>
      <c r="AB611" s="110"/>
      <c r="AC611" s="207"/>
      <c r="AD611" s="207"/>
      <c r="AE611" s="110"/>
      <c r="AF611" s="110"/>
      <c r="AH611" s="207"/>
      <c r="AI611" s="172"/>
      <c r="AJ611" s="172"/>
      <c r="AL611" s="110"/>
      <c r="AM611" s="207"/>
      <c r="AN611" s="207"/>
    </row>
    <row r="612" spans="1:40" x14ac:dyDescent="0.3">
      <c r="F612" s="192"/>
      <c r="H612" s="192"/>
      <c r="I612" s="192"/>
      <c r="J612" s="228"/>
      <c r="K612" s="228"/>
      <c r="L612" s="192"/>
      <c r="M612" s="192"/>
      <c r="N612" s="192"/>
      <c r="O612" s="192"/>
      <c r="P612" s="192"/>
      <c r="Q612" s="192"/>
      <c r="R612" s="192"/>
      <c r="V612" s="192"/>
      <c r="Y612" s="192"/>
      <c r="Z612" s="217"/>
      <c r="AA612" s="192"/>
      <c r="AB612" s="192"/>
      <c r="AC612" s="192"/>
      <c r="AD612" s="192"/>
      <c r="AE612" s="192"/>
      <c r="AF612" s="192"/>
      <c r="AI612" s="192"/>
      <c r="AJ612" s="192"/>
      <c r="AK612" s="194"/>
      <c r="AL612" s="192"/>
    </row>
    <row r="615" spans="1:40" x14ac:dyDescent="0.3">
      <c r="A615" s="99"/>
    </row>
    <row r="617" spans="1:40" x14ac:dyDescent="0.3">
      <c r="H617" s="99"/>
      <c r="I617" s="99"/>
      <c r="Y617" s="99"/>
    </row>
    <row r="619" spans="1:40" x14ac:dyDescent="0.3">
      <c r="L619" s="99"/>
      <c r="M619" s="99"/>
      <c r="AA619" s="99"/>
      <c r="AB619" s="99"/>
    </row>
    <row r="620" spans="1:40" x14ac:dyDescent="0.3">
      <c r="R620" s="99"/>
      <c r="AK620" s="190"/>
      <c r="AL620" s="99"/>
    </row>
    <row r="621" spans="1:40" x14ac:dyDescent="0.3">
      <c r="R621" s="99"/>
      <c r="AK621" s="190"/>
      <c r="AL621" s="99"/>
    </row>
    <row r="622" spans="1:40" x14ac:dyDescent="0.3">
      <c r="A622" s="99"/>
      <c r="R622" s="99"/>
      <c r="AK622" s="190"/>
      <c r="AL622" s="99"/>
    </row>
    <row r="623" spans="1:40" x14ac:dyDescent="0.3">
      <c r="L623" s="99"/>
      <c r="M623" s="99"/>
      <c r="AA623" s="99"/>
      <c r="AB623" s="99"/>
    </row>
    <row r="624" spans="1:40" x14ac:dyDescent="0.3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91"/>
      <c r="AH624" s="101"/>
      <c r="AI624" s="101"/>
      <c r="AJ624" s="101"/>
      <c r="AK624" s="191"/>
      <c r="AL624" s="101"/>
      <c r="AM624" s="101"/>
      <c r="AN624" s="101"/>
    </row>
    <row r="625" spans="1:40" x14ac:dyDescent="0.3">
      <c r="L625" s="102"/>
      <c r="M625" s="102"/>
      <c r="N625" s="102"/>
      <c r="O625" s="102"/>
      <c r="R625" s="102"/>
      <c r="AA625" s="102"/>
      <c r="AB625" s="102"/>
      <c r="AC625" s="102"/>
      <c r="AD625" s="102"/>
      <c r="AE625" s="102"/>
      <c r="AF625" s="102"/>
      <c r="AG625" s="151"/>
      <c r="AH625" s="102"/>
      <c r="AK625" s="151"/>
      <c r="AL625" s="102"/>
      <c r="AM625" s="102"/>
      <c r="AN625" s="102"/>
    </row>
    <row r="626" spans="1:40" x14ac:dyDescent="0.3">
      <c r="L626" s="102"/>
      <c r="M626" s="102"/>
      <c r="N626" s="102"/>
      <c r="O626" s="102"/>
      <c r="R626" s="102"/>
      <c r="Z626" s="102"/>
      <c r="AA626" s="102"/>
      <c r="AB626" s="102"/>
      <c r="AC626" s="102"/>
      <c r="AD626" s="102"/>
      <c r="AE626" s="102"/>
      <c r="AF626" s="102"/>
      <c r="AG626" s="151"/>
      <c r="AH626" s="102"/>
      <c r="AK626" s="151"/>
      <c r="AL626" s="102"/>
      <c r="AM626" s="102"/>
      <c r="AN626" s="102"/>
    </row>
    <row r="627" spans="1:40" x14ac:dyDescent="0.3">
      <c r="A627" s="102"/>
      <c r="C627" s="102"/>
      <c r="D627" s="102"/>
      <c r="E627" s="102"/>
      <c r="F627" s="102"/>
      <c r="J627" s="102"/>
      <c r="K627" s="102"/>
      <c r="L627" s="102"/>
      <c r="M627" s="102"/>
      <c r="N627" s="102"/>
      <c r="O627" s="102"/>
      <c r="P627" s="102"/>
      <c r="Q627" s="102"/>
      <c r="R627" s="102"/>
      <c r="T627" s="102"/>
      <c r="U627" s="102"/>
      <c r="V627" s="102"/>
      <c r="Z627" s="102"/>
      <c r="AA627" s="102"/>
      <c r="AB627" s="102"/>
      <c r="AC627" s="102"/>
      <c r="AD627" s="102"/>
      <c r="AE627" s="102"/>
      <c r="AF627" s="102"/>
      <c r="AG627" s="151"/>
      <c r="AH627" s="102"/>
      <c r="AI627" s="102"/>
      <c r="AJ627" s="102"/>
      <c r="AK627" s="151"/>
      <c r="AL627" s="102"/>
      <c r="AM627" s="102"/>
      <c r="AN627" s="102"/>
    </row>
    <row r="628" spans="1:40" x14ac:dyDescent="0.3">
      <c r="A628" s="102"/>
      <c r="C628" s="102"/>
      <c r="D628" s="102"/>
      <c r="E628" s="102"/>
      <c r="F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T628" s="102"/>
      <c r="U628" s="102"/>
      <c r="V628" s="102"/>
      <c r="Y628" s="102"/>
      <c r="Z628" s="102"/>
      <c r="AA628" s="102"/>
      <c r="AB628" s="102"/>
      <c r="AC628" s="102"/>
      <c r="AD628" s="102"/>
      <c r="AE628" s="102"/>
      <c r="AF628" s="102"/>
      <c r="AG628" s="151"/>
      <c r="AH628" s="102"/>
      <c r="AI628" s="102"/>
      <c r="AJ628" s="102"/>
      <c r="AK628" s="151"/>
      <c r="AL628" s="102"/>
      <c r="AM628" s="102"/>
      <c r="AN628" s="102"/>
    </row>
    <row r="629" spans="1:40" x14ac:dyDescent="0.3">
      <c r="C629" s="102"/>
      <c r="D629" s="102"/>
      <c r="E629" s="102"/>
      <c r="F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T629" s="102"/>
      <c r="U629" s="102"/>
      <c r="V629" s="102"/>
      <c r="Y629" s="102"/>
      <c r="Z629" s="102"/>
      <c r="AA629" s="102"/>
      <c r="AB629" s="102"/>
      <c r="AC629" s="102"/>
      <c r="AD629" s="102"/>
      <c r="AE629" s="102"/>
      <c r="AF629" s="102"/>
      <c r="AG629" s="151"/>
      <c r="AH629" s="102"/>
      <c r="AI629" s="102"/>
      <c r="AJ629" s="102"/>
      <c r="AK629" s="151"/>
      <c r="AL629" s="102"/>
      <c r="AM629" s="102"/>
      <c r="AN629" s="102"/>
    </row>
    <row r="630" spans="1:40" x14ac:dyDescent="0.3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91"/>
      <c r="AH630" s="101"/>
      <c r="AI630" s="101"/>
      <c r="AJ630" s="101"/>
      <c r="AK630" s="191"/>
      <c r="AL630" s="101"/>
      <c r="AM630" s="101"/>
      <c r="AN630" s="101"/>
    </row>
    <row r="631" spans="1:40" x14ac:dyDescent="0.3"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Y631" s="102"/>
      <c r="Z631" s="102"/>
      <c r="AA631" s="102"/>
      <c r="AB631" s="102"/>
      <c r="AC631" s="102"/>
      <c r="AD631" s="102"/>
      <c r="AE631" s="102"/>
      <c r="AF631" s="102"/>
      <c r="AG631" s="151"/>
      <c r="AH631" s="102"/>
      <c r="AI631" s="102"/>
      <c r="AJ631" s="102"/>
      <c r="AK631" s="151"/>
      <c r="AL631" s="102"/>
      <c r="AM631" s="102"/>
      <c r="AN631" s="102"/>
    </row>
    <row r="632" spans="1:40" x14ac:dyDescent="0.3">
      <c r="C632" s="99"/>
      <c r="D632" s="99"/>
      <c r="E632" s="99"/>
      <c r="T632" s="99"/>
      <c r="U632" s="99"/>
    </row>
    <row r="634" spans="1:40" x14ac:dyDescent="0.3">
      <c r="C634" s="99"/>
      <c r="D634" s="99"/>
      <c r="E634" s="99"/>
      <c r="T634" s="99"/>
      <c r="U634" s="99"/>
    </row>
    <row r="635" spans="1:40" x14ac:dyDescent="0.3">
      <c r="C635" s="99"/>
      <c r="T635" s="99"/>
    </row>
    <row r="636" spans="1:40" x14ac:dyDescent="0.3">
      <c r="C636" s="99"/>
      <c r="T636" s="99"/>
    </row>
    <row r="637" spans="1:40" x14ac:dyDescent="0.3">
      <c r="C637" s="99"/>
      <c r="F637" s="172"/>
      <c r="H637" s="172"/>
      <c r="I637" s="172"/>
      <c r="J637" s="228"/>
      <c r="K637" s="228"/>
      <c r="L637" s="110"/>
      <c r="M637" s="110"/>
      <c r="N637" s="141"/>
      <c r="O637" s="141"/>
      <c r="P637" s="110"/>
      <c r="Q637" s="110"/>
      <c r="R637" s="110"/>
      <c r="T637" s="99"/>
      <c r="V637" s="110"/>
      <c r="W637" s="110"/>
      <c r="X637" s="110"/>
      <c r="Y637" s="110"/>
      <c r="Z637" s="228"/>
      <c r="AA637" s="110"/>
      <c r="AB637" s="110"/>
      <c r="AC637" s="141"/>
      <c r="AD637" s="141"/>
      <c r="AE637" s="110"/>
      <c r="AF637" s="110"/>
      <c r="AH637" s="207"/>
      <c r="AI637" s="110"/>
      <c r="AJ637" s="110"/>
      <c r="AL637" s="110"/>
      <c r="AM637" s="141"/>
      <c r="AN637" s="141"/>
    </row>
    <row r="638" spans="1:40" x14ac:dyDescent="0.3">
      <c r="C638" s="99"/>
      <c r="J638" s="163"/>
      <c r="K638" s="163"/>
      <c r="T638" s="99"/>
      <c r="V638" s="110"/>
      <c r="W638" s="110"/>
      <c r="X638" s="110"/>
      <c r="Y638" s="110"/>
      <c r="Z638" s="228"/>
    </row>
    <row r="639" spans="1:40" x14ac:dyDescent="0.3">
      <c r="C639" s="99"/>
      <c r="F639" s="172"/>
      <c r="H639" s="172"/>
      <c r="I639" s="172"/>
      <c r="J639" s="228"/>
      <c r="K639" s="228"/>
      <c r="L639" s="110"/>
      <c r="M639" s="110"/>
      <c r="N639" s="141"/>
      <c r="O639" s="141"/>
      <c r="P639" s="110"/>
      <c r="Q639" s="110"/>
      <c r="R639" s="110"/>
      <c r="T639" s="99"/>
      <c r="V639" s="110"/>
      <c r="W639" s="110"/>
      <c r="X639" s="110"/>
      <c r="Y639" s="110"/>
      <c r="Z639" s="228"/>
      <c r="AA639" s="110"/>
      <c r="AB639" s="110"/>
      <c r="AC639" s="141"/>
      <c r="AD639" s="141"/>
      <c r="AE639" s="110"/>
      <c r="AF639" s="110"/>
      <c r="AH639" s="207"/>
      <c r="AI639" s="110"/>
      <c r="AJ639" s="110"/>
      <c r="AL639" s="110"/>
      <c r="AM639" s="141"/>
      <c r="AN639" s="141"/>
    </row>
    <row r="640" spans="1:40" x14ac:dyDescent="0.3">
      <c r="C640" s="99"/>
      <c r="J640" s="163"/>
      <c r="K640" s="163"/>
      <c r="T640" s="99"/>
      <c r="V640" s="110"/>
      <c r="W640" s="110"/>
      <c r="X640" s="110"/>
      <c r="Y640" s="110"/>
      <c r="Z640" s="228"/>
    </row>
    <row r="641" spans="3:40" x14ac:dyDescent="0.3">
      <c r="C641" s="99"/>
      <c r="F641" s="172"/>
      <c r="H641" s="172"/>
      <c r="I641" s="172"/>
      <c r="J641" s="228"/>
      <c r="K641" s="228"/>
      <c r="L641" s="110"/>
      <c r="M641" s="110"/>
      <c r="N641" s="141"/>
      <c r="O641" s="141"/>
      <c r="P641" s="110"/>
      <c r="Q641" s="110"/>
      <c r="R641" s="110"/>
      <c r="T641" s="99"/>
      <c r="V641" s="110"/>
      <c r="W641" s="110"/>
      <c r="X641" s="110"/>
      <c r="Y641" s="110"/>
      <c r="Z641" s="228"/>
      <c r="AA641" s="110"/>
      <c r="AB641" s="110"/>
      <c r="AC641" s="141"/>
      <c r="AD641" s="141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C642" s="99"/>
      <c r="J642" s="163"/>
      <c r="K642" s="163"/>
      <c r="T642" s="99"/>
      <c r="V642" s="110"/>
      <c r="W642" s="110"/>
      <c r="X642" s="110"/>
      <c r="Y642" s="110"/>
      <c r="Z642" s="228"/>
    </row>
    <row r="643" spans="3:40" x14ac:dyDescent="0.3">
      <c r="C643" s="99"/>
      <c r="F643" s="172"/>
      <c r="H643" s="172"/>
      <c r="I643" s="172"/>
      <c r="J643" s="228"/>
      <c r="K643" s="228"/>
      <c r="L643" s="110"/>
      <c r="M643" s="110"/>
      <c r="N643" s="141"/>
      <c r="O643" s="141"/>
      <c r="P643" s="110"/>
      <c r="Q643" s="110"/>
      <c r="R643" s="110"/>
      <c r="T643" s="99"/>
      <c r="V643" s="110"/>
      <c r="W643" s="110"/>
      <c r="X643" s="110"/>
      <c r="Y643" s="110"/>
      <c r="Z643" s="228"/>
      <c r="AA643" s="110"/>
      <c r="AB643" s="110"/>
      <c r="AC643" s="141"/>
      <c r="AD643" s="141"/>
      <c r="AE643" s="110"/>
      <c r="AF643" s="110"/>
      <c r="AH643" s="207"/>
      <c r="AI643" s="110"/>
      <c r="AJ643" s="110"/>
      <c r="AL643" s="110"/>
      <c r="AM643" s="141"/>
      <c r="AN643" s="141"/>
    </row>
    <row r="644" spans="3:40" x14ac:dyDescent="0.3">
      <c r="C644" s="99"/>
      <c r="J644" s="163"/>
      <c r="K644" s="163"/>
      <c r="T644" s="99"/>
      <c r="V644" s="110"/>
      <c r="W644" s="110"/>
      <c r="X644" s="110"/>
      <c r="Y644" s="110"/>
      <c r="Z644" s="228"/>
    </row>
    <row r="645" spans="3:40" x14ac:dyDescent="0.3">
      <c r="C645" s="99"/>
      <c r="F645" s="172"/>
      <c r="H645" s="172"/>
      <c r="I645" s="172"/>
      <c r="J645" s="228"/>
      <c r="K645" s="228"/>
      <c r="L645" s="110"/>
      <c r="M645" s="110"/>
      <c r="N645" s="141"/>
      <c r="O645" s="141"/>
      <c r="P645" s="110"/>
      <c r="Q645" s="110"/>
      <c r="R645" s="110"/>
      <c r="T645" s="99"/>
      <c r="V645" s="110"/>
      <c r="W645" s="110"/>
      <c r="X645" s="110"/>
      <c r="Y645" s="110"/>
      <c r="Z645" s="228"/>
      <c r="AA645" s="110"/>
      <c r="AB645" s="110"/>
      <c r="AC645" s="141"/>
      <c r="AD645" s="141"/>
      <c r="AE645" s="110"/>
      <c r="AF645" s="110"/>
      <c r="AH645" s="207"/>
      <c r="AI645" s="110"/>
      <c r="AJ645" s="110"/>
      <c r="AL645" s="110"/>
      <c r="AM645" s="141"/>
      <c r="AN645" s="141"/>
    </row>
    <row r="646" spans="3:40" x14ac:dyDescent="0.3">
      <c r="C646" s="99"/>
      <c r="J646" s="163"/>
      <c r="K646" s="163"/>
      <c r="T646" s="99"/>
      <c r="V646" s="110"/>
      <c r="W646" s="110"/>
      <c r="X646" s="110"/>
      <c r="Y646" s="110"/>
      <c r="Z646" s="228"/>
    </row>
    <row r="647" spans="3:40" x14ac:dyDescent="0.3">
      <c r="C647" s="99"/>
      <c r="F647" s="172"/>
      <c r="H647" s="172"/>
      <c r="I647" s="172"/>
      <c r="J647" s="228"/>
      <c r="K647" s="228"/>
      <c r="L647" s="110"/>
      <c r="M647" s="110"/>
      <c r="N647" s="141"/>
      <c r="O647" s="141"/>
      <c r="P647" s="110"/>
      <c r="Q647" s="110"/>
      <c r="R647" s="110"/>
      <c r="T647" s="99"/>
      <c r="V647" s="110"/>
      <c r="W647" s="110"/>
      <c r="X647" s="110"/>
      <c r="Y647" s="110"/>
      <c r="Z647" s="228"/>
      <c r="AA647" s="110"/>
      <c r="AB647" s="110"/>
      <c r="AC647" s="141"/>
      <c r="AD647" s="141"/>
      <c r="AE647" s="110"/>
      <c r="AF647" s="110"/>
      <c r="AH647" s="207"/>
      <c r="AI647" s="110"/>
      <c r="AJ647" s="110"/>
      <c r="AL647" s="110"/>
      <c r="AM647" s="141"/>
      <c r="AN647" s="141"/>
    </row>
    <row r="648" spans="3:40" x14ac:dyDescent="0.3">
      <c r="F648" s="192"/>
      <c r="H648" s="192"/>
      <c r="I648" s="192"/>
      <c r="J648" s="228"/>
      <c r="K648" s="228"/>
      <c r="L648" s="192"/>
      <c r="M648" s="192"/>
      <c r="N648" s="192"/>
      <c r="O648" s="192"/>
      <c r="P648" s="192"/>
      <c r="Q648" s="192"/>
      <c r="R648" s="192"/>
      <c r="V648" s="192"/>
      <c r="Y648" s="192"/>
      <c r="Z648" s="228"/>
      <c r="AA648" s="192"/>
      <c r="AB648" s="192"/>
      <c r="AC648" s="192"/>
      <c r="AD648" s="192"/>
      <c r="AE648" s="192"/>
      <c r="AF648" s="192"/>
      <c r="AI648" s="192"/>
      <c r="AJ648" s="192"/>
      <c r="AK648" s="194"/>
      <c r="AL648" s="192"/>
      <c r="AM648" s="141"/>
      <c r="AN648" s="141"/>
    </row>
    <row r="649" spans="3:40" x14ac:dyDescent="0.3">
      <c r="C649" s="99"/>
      <c r="F649" s="110"/>
      <c r="H649" s="110"/>
      <c r="I649" s="110"/>
      <c r="J649" s="163"/>
      <c r="K649" s="163"/>
      <c r="L649" s="110"/>
      <c r="M649" s="110"/>
      <c r="N649" s="141"/>
      <c r="O649" s="141"/>
      <c r="P649" s="172"/>
      <c r="Q649" s="172"/>
      <c r="R649" s="110"/>
      <c r="T649" s="99"/>
      <c r="V649" s="110"/>
      <c r="W649" s="110"/>
      <c r="X649" s="110"/>
      <c r="Y649" s="110"/>
      <c r="Z649" s="228"/>
      <c r="AA649" s="110"/>
      <c r="AB649" s="110"/>
      <c r="AC649" s="141"/>
      <c r="AD649" s="141"/>
      <c r="AE649" s="110"/>
      <c r="AF649" s="110"/>
      <c r="AH649" s="207"/>
      <c r="AI649" s="172"/>
      <c r="AJ649" s="172"/>
      <c r="AL649" s="110"/>
      <c r="AM649" s="141"/>
      <c r="AN649" s="141"/>
    </row>
    <row r="650" spans="3:40" x14ac:dyDescent="0.3">
      <c r="F650" s="192"/>
      <c r="H650" s="192"/>
      <c r="I650" s="192"/>
      <c r="J650" s="228"/>
      <c r="K650" s="228"/>
      <c r="L650" s="192"/>
      <c r="M650" s="192"/>
      <c r="N650" s="192"/>
      <c r="O650" s="192"/>
      <c r="P650" s="192"/>
      <c r="Q650" s="192"/>
      <c r="R650" s="192"/>
      <c r="V650" s="192"/>
      <c r="Y650" s="192"/>
      <c r="Z650" s="228"/>
      <c r="AA650" s="192"/>
      <c r="AB650" s="192"/>
      <c r="AC650" s="192"/>
      <c r="AD650" s="192"/>
      <c r="AE650" s="192"/>
      <c r="AF650" s="192"/>
      <c r="AI650" s="192"/>
      <c r="AJ650" s="192"/>
      <c r="AK650" s="194"/>
      <c r="AL650" s="192"/>
    </row>
    <row r="651" spans="3:40" x14ac:dyDescent="0.3">
      <c r="C651" s="99"/>
      <c r="D651" s="99"/>
      <c r="E651" s="99"/>
      <c r="J651" s="163"/>
      <c r="K651" s="163"/>
      <c r="T651" s="99"/>
      <c r="U651" s="99"/>
      <c r="V651" s="110"/>
      <c r="W651" s="110"/>
      <c r="X651" s="110"/>
      <c r="Y651" s="110"/>
      <c r="Z651" s="228"/>
    </row>
    <row r="652" spans="3:40" x14ac:dyDescent="0.3">
      <c r="C652" s="99"/>
      <c r="J652" s="163"/>
      <c r="K652" s="163"/>
      <c r="T652" s="99"/>
      <c r="V652" s="110"/>
      <c r="W652" s="110"/>
      <c r="X652" s="110"/>
      <c r="Y652" s="110"/>
      <c r="Z652" s="228"/>
    </row>
    <row r="653" spans="3:40" x14ac:dyDescent="0.3">
      <c r="C653" s="99"/>
      <c r="J653" s="163"/>
      <c r="K653" s="163"/>
      <c r="T653" s="99"/>
      <c r="V653" s="110"/>
      <c r="W653" s="110"/>
      <c r="X653" s="110"/>
      <c r="Y653" s="110"/>
      <c r="Z653" s="228"/>
    </row>
    <row r="654" spans="3:40" x14ac:dyDescent="0.3">
      <c r="C654" s="99"/>
      <c r="F654" s="172"/>
      <c r="H654" s="172"/>
      <c r="I654" s="172"/>
      <c r="J654" s="228"/>
      <c r="K654" s="228"/>
      <c r="L654" s="110"/>
      <c r="M654" s="110"/>
      <c r="N654" s="141"/>
      <c r="O654" s="141"/>
      <c r="P654" s="110"/>
      <c r="Q654" s="110"/>
      <c r="R654" s="110"/>
      <c r="T654" s="99"/>
      <c r="V654" s="110"/>
      <c r="W654" s="110"/>
      <c r="X654" s="110"/>
      <c r="Y654" s="110"/>
      <c r="Z654" s="228"/>
      <c r="AA654" s="110"/>
      <c r="AB654" s="110"/>
      <c r="AC654" s="141"/>
      <c r="AD654" s="141"/>
      <c r="AE654" s="110"/>
      <c r="AF654" s="110"/>
      <c r="AH654" s="207"/>
      <c r="AI654" s="110"/>
      <c r="AJ654" s="110"/>
      <c r="AL654" s="110"/>
      <c r="AM654" s="141"/>
      <c r="AN654" s="141"/>
    </row>
    <row r="655" spans="3:40" x14ac:dyDescent="0.3">
      <c r="C655" s="99"/>
      <c r="J655" s="163"/>
      <c r="K655" s="163"/>
      <c r="T655" s="99"/>
      <c r="V655" s="110"/>
      <c r="W655" s="110"/>
      <c r="X655" s="110"/>
      <c r="Y655" s="110"/>
      <c r="Z655" s="228"/>
    </row>
    <row r="656" spans="3:40" x14ac:dyDescent="0.3">
      <c r="C656" s="99"/>
      <c r="F656" s="172"/>
      <c r="H656" s="172"/>
      <c r="I656" s="172"/>
      <c r="J656" s="228"/>
      <c r="K656" s="228"/>
      <c r="L656" s="110"/>
      <c r="M656" s="110"/>
      <c r="N656" s="141"/>
      <c r="O656" s="141"/>
      <c r="P656" s="110"/>
      <c r="Q656" s="110"/>
      <c r="R656" s="110"/>
      <c r="T656" s="99"/>
      <c r="V656" s="110"/>
      <c r="W656" s="110"/>
      <c r="X656" s="110"/>
      <c r="Y656" s="110"/>
      <c r="Z656" s="228"/>
      <c r="AA656" s="110"/>
      <c r="AB656" s="110"/>
      <c r="AC656" s="141"/>
      <c r="AD656" s="141"/>
      <c r="AE656" s="110"/>
      <c r="AF656" s="110"/>
      <c r="AH656" s="207"/>
      <c r="AI656" s="110"/>
      <c r="AJ656" s="110"/>
      <c r="AL656" s="110"/>
      <c r="AM656" s="141"/>
      <c r="AN656" s="141"/>
    </row>
    <row r="657" spans="3:40" x14ac:dyDescent="0.3">
      <c r="F657" s="192"/>
      <c r="H657" s="192"/>
      <c r="I657" s="192"/>
      <c r="J657" s="228"/>
      <c r="K657" s="228"/>
      <c r="L657" s="192"/>
      <c r="M657" s="192"/>
      <c r="N657" s="192"/>
      <c r="O657" s="192"/>
      <c r="P657" s="192"/>
      <c r="Q657" s="192"/>
      <c r="R657" s="192"/>
      <c r="V657" s="192"/>
      <c r="Y657" s="192"/>
      <c r="Z657" s="217"/>
      <c r="AA657" s="192"/>
      <c r="AB657" s="192"/>
      <c r="AC657" s="192"/>
      <c r="AD657" s="192"/>
      <c r="AE657" s="192"/>
      <c r="AF657" s="192"/>
      <c r="AI657" s="192"/>
      <c r="AJ657" s="192"/>
      <c r="AK657" s="194"/>
      <c r="AL657" s="192"/>
    </row>
    <row r="658" spans="3:40" x14ac:dyDescent="0.3">
      <c r="C658" s="99"/>
      <c r="F658" s="110"/>
      <c r="H658" s="110"/>
      <c r="I658" s="110"/>
      <c r="L658" s="110"/>
      <c r="M658" s="110"/>
      <c r="N658" s="141"/>
      <c r="O658" s="141"/>
      <c r="P658" s="172"/>
      <c r="Q658" s="172"/>
      <c r="R658" s="110"/>
      <c r="T658" s="99"/>
      <c r="V658" s="110"/>
      <c r="W658" s="110"/>
      <c r="X658" s="110"/>
      <c r="Y658" s="110"/>
      <c r="Z658" s="227"/>
      <c r="AA658" s="110"/>
      <c r="AB658" s="110"/>
      <c r="AC658" s="141"/>
      <c r="AD658" s="141"/>
      <c r="AE658" s="110"/>
      <c r="AF658" s="110"/>
      <c r="AH658" s="207"/>
      <c r="AI658" s="172"/>
      <c r="AJ658" s="172"/>
      <c r="AL658" s="110"/>
      <c r="AM658" s="141"/>
      <c r="AN658" s="141"/>
    </row>
    <row r="659" spans="3:40" x14ac:dyDescent="0.3">
      <c r="F659" s="192"/>
      <c r="H659" s="192"/>
      <c r="I659" s="192"/>
      <c r="J659" s="217"/>
      <c r="K659" s="217"/>
      <c r="L659" s="192"/>
      <c r="M659" s="192"/>
      <c r="N659" s="192"/>
      <c r="O659" s="192"/>
      <c r="P659" s="192"/>
      <c r="Q659" s="192"/>
      <c r="R659" s="192"/>
      <c r="V659" s="192"/>
      <c r="Y659" s="192"/>
      <c r="Z659" s="217"/>
      <c r="AA659" s="192"/>
      <c r="AB659" s="192"/>
      <c r="AC659" s="192"/>
      <c r="AD659" s="192"/>
      <c r="AE659" s="192"/>
      <c r="AF659" s="192"/>
      <c r="AI659" s="192"/>
      <c r="AJ659" s="192"/>
      <c r="AK659" s="194"/>
      <c r="AL659" s="192"/>
    </row>
    <row r="660" spans="3:40" x14ac:dyDescent="0.3">
      <c r="C660" s="99"/>
      <c r="D660" s="99"/>
      <c r="E660" s="99"/>
      <c r="T660" s="99"/>
      <c r="U660" s="99"/>
      <c r="V660" s="110"/>
      <c r="W660" s="110"/>
      <c r="X660" s="110"/>
      <c r="Y660" s="110"/>
      <c r="Z660" s="227"/>
    </row>
    <row r="661" spans="3:40" x14ac:dyDescent="0.3">
      <c r="C661" s="99"/>
      <c r="T661" s="99"/>
      <c r="V661" s="110"/>
      <c r="W661" s="110"/>
      <c r="X661" s="110"/>
      <c r="Y661" s="110"/>
      <c r="Z661" s="227"/>
    </row>
    <row r="662" spans="3:40" x14ac:dyDescent="0.3">
      <c r="C662" s="99"/>
      <c r="F662" s="172"/>
      <c r="H662" s="172"/>
      <c r="I662" s="172"/>
      <c r="J662" s="227"/>
      <c r="K662" s="227"/>
      <c r="L662" s="110"/>
      <c r="M662" s="110"/>
      <c r="N662" s="141"/>
      <c r="O662" s="141"/>
      <c r="P662" s="110"/>
      <c r="Q662" s="110"/>
      <c r="R662" s="110"/>
      <c r="T662" s="99"/>
      <c r="V662" s="110"/>
      <c r="W662" s="110"/>
      <c r="X662" s="110"/>
      <c r="Y662" s="110"/>
      <c r="Z662" s="227"/>
      <c r="AA662" s="110"/>
      <c r="AB662" s="110"/>
      <c r="AC662" s="141"/>
      <c r="AD662" s="141"/>
      <c r="AE662" s="110"/>
      <c r="AF662" s="110"/>
      <c r="AH662" s="207"/>
      <c r="AI662" s="110"/>
      <c r="AJ662" s="110"/>
      <c r="AL662" s="110"/>
      <c r="AM662" s="141"/>
      <c r="AN662" s="141"/>
    </row>
    <row r="663" spans="3:40" x14ac:dyDescent="0.3">
      <c r="C663" s="99"/>
      <c r="T663" s="99"/>
      <c r="V663" s="110"/>
      <c r="W663" s="110"/>
      <c r="X663" s="110"/>
      <c r="Y663" s="110"/>
      <c r="Z663" s="227"/>
    </row>
    <row r="664" spans="3:40" x14ac:dyDescent="0.3">
      <c r="C664" s="99"/>
      <c r="F664" s="172"/>
      <c r="H664" s="172"/>
      <c r="I664" s="172"/>
      <c r="J664" s="227"/>
      <c r="K664" s="227"/>
      <c r="L664" s="110"/>
      <c r="M664" s="110"/>
      <c r="N664" s="141"/>
      <c r="O664" s="141"/>
      <c r="P664" s="110"/>
      <c r="Q664" s="110"/>
      <c r="R664" s="110"/>
      <c r="T664" s="99"/>
      <c r="V664" s="110"/>
      <c r="W664" s="110"/>
      <c r="X664" s="110"/>
      <c r="Y664" s="110"/>
      <c r="Z664" s="227"/>
      <c r="AA664" s="110"/>
      <c r="AB664" s="110"/>
      <c r="AC664" s="141"/>
      <c r="AD664" s="141"/>
      <c r="AE664" s="110"/>
      <c r="AF664" s="110"/>
      <c r="AH664" s="207"/>
      <c r="AI664" s="110"/>
      <c r="AJ664" s="110"/>
      <c r="AL664" s="110"/>
      <c r="AM664" s="141"/>
      <c r="AN664" s="141"/>
    </row>
    <row r="665" spans="3:40" x14ac:dyDescent="0.3">
      <c r="C665" s="99"/>
      <c r="T665" s="99"/>
      <c r="V665" s="110"/>
      <c r="W665" s="110"/>
      <c r="X665" s="110"/>
      <c r="Y665" s="110"/>
      <c r="Z665" s="227"/>
    </row>
    <row r="666" spans="3:40" x14ac:dyDescent="0.3">
      <c r="C666" s="99"/>
      <c r="F666" s="172"/>
      <c r="H666" s="172"/>
      <c r="I666" s="172"/>
      <c r="J666" s="227"/>
      <c r="K666" s="227"/>
      <c r="L666" s="110"/>
      <c r="M666" s="110"/>
      <c r="N666" s="141"/>
      <c r="O666" s="141"/>
      <c r="P666" s="110"/>
      <c r="Q666" s="110"/>
      <c r="R666" s="110"/>
      <c r="T666" s="99"/>
      <c r="V666" s="110"/>
      <c r="W666" s="110"/>
      <c r="X666" s="110"/>
      <c r="Y666" s="110"/>
      <c r="Z666" s="227"/>
      <c r="AA666" s="110"/>
      <c r="AB666" s="110"/>
      <c r="AC666" s="141"/>
      <c r="AD666" s="141"/>
      <c r="AE666" s="110"/>
      <c r="AF666" s="110"/>
      <c r="AH666" s="207"/>
      <c r="AI666" s="110"/>
      <c r="AJ666" s="110"/>
      <c r="AL666" s="110"/>
      <c r="AM666" s="141"/>
      <c r="AN666" s="141"/>
    </row>
    <row r="667" spans="3:40" x14ac:dyDescent="0.3">
      <c r="C667" s="99"/>
      <c r="T667" s="99"/>
      <c r="V667" s="110"/>
      <c r="W667" s="110"/>
      <c r="X667" s="110"/>
      <c r="Y667" s="110"/>
      <c r="Z667" s="227"/>
    </row>
    <row r="668" spans="3:40" x14ac:dyDescent="0.3">
      <c r="C668" s="99"/>
      <c r="F668" s="172"/>
      <c r="H668" s="172"/>
      <c r="I668" s="172"/>
      <c r="J668" s="227"/>
      <c r="K668" s="227"/>
      <c r="L668" s="110"/>
      <c r="M668" s="110"/>
      <c r="N668" s="141"/>
      <c r="O668" s="141"/>
      <c r="P668" s="110"/>
      <c r="Q668" s="110"/>
      <c r="R668" s="110"/>
      <c r="T668" s="99"/>
      <c r="V668" s="110"/>
      <c r="W668" s="110"/>
      <c r="X668" s="110"/>
      <c r="Y668" s="110"/>
      <c r="Z668" s="227"/>
      <c r="AA668" s="110"/>
      <c r="AB668" s="110"/>
      <c r="AC668" s="141"/>
      <c r="AD668" s="141"/>
      <c r="AE668" s="110"/>
      <c r="AF668" s="110"/>
      <c r="AH668" s="207"/>
      <c r="AI668" s="110"/>
      <c r="AJ668" s="110"/>
      <c r="AL668" s="110"/>
      <c r="AM668" s="141"/>
      <c r="AN668" s="141"/>
    </row>
    <row r="669" spans="3:40" x14ac:dyDescent="0.3">
      <c r="F669" s="192"/>
      <c r="H669" s="192"/>
      <c r="I669" s="192"/>
      <c r="J669" s="217"/>
      <c r="K669" s="217"/>
      <c r="L669" s="192"/>
      <c r="M669" s="192"/>
      <c r="N669" s="192"/>
      <c r="O669" s="192"/>
      <c r="P669" s="192"/>
      <c r="Q669" s="192"/>
      <c r="R669" s="192"/>
      <c r="V669" s="192"/>
      <c r="Y669" s="192"/>
      <c r="Z669" s="217"/>
      <c r="AA669" s="192"/>
      <c r="AB669" s="192"/>
      <c r="AC669" s="192"/>
      <c r="AD669" s="192"/>
      <c r="AE669" s="192"/>
      <c r="AF669" s="192"/>
      <c r="AI669" s="192"/>
      <c r="AJ669" s="192"/>
      <c r="AK669" s="194"/>
      <c r="AL669" s="192"/>
    </row>
    <row r="670" spans="3:40" x14ac:dyDescent="0.3">
      <c r="C670" s="99"/>
      <c r="F670" s="110"/>
      <c r="H670" s="110"/>
      <c r="I670" s="110"/>
      <c r="L670" s="110"/>
      <c r="M670" s="110"/>
      <c r="N670" s="141"/>
      <c r="O670" s="141"/>
      <c r="P670" s="172"/>
      <c r="Q670" s="172"/>
      <c r="R670" s="110"/>
      <c r="T670" s="99"/>
      <c r="V670" s="110"/>
      <c r="W670" s="110"/>
      <c r="X670" s="110"/>
      <c r="Y670" s="110"/>
      <c r="Z670" s="227"/>
      <c r="AA670" s="110"/>
      <c r="AB670" s="110"/>
      <c r="AC670" s="141"/>
      <c r="AD670" s="141"/>
      <c r="AE670" s="110"/>
      <c r="AF670" s="110"/>
      <c r="AH670" s="207"/>
      <c r="AI670" s="172"/>
      <c r="AJ670" s="172"/>
      <c r="AL670" s="110"/>
      <c r="AM670" s="141"/>
      <c r="AN670" s="141"/>
    </row>
    <row r="671" spans="3:40" x14ac:dyDescent="0.3">
      <c r="F671" s="192"/>
      <c r="H671" s="192"/>
      <c r="I671" s="192"/>
      <c r="J671" s="217"/>
      <c r="K671" s="217"/>
      <c r="L671" s="192"/>
      <c r="M671" s="192"/>
      <c r="N671" s="192"/>
      <c r="O671" s="192"/>
      <c r="P671" s="192"/>
      <c r="Q671" s="192"/>
      <c r="R671" s="192"/>
      <c r="V671" s="192"/>
      <c r="Y671" s="192"/>
      <c r="Z671" s="217"/>
      <c r="AA671" s="192"/>
      <c r="AB671" s="192"/>
      <c r="AC671" s="192"/>
      <c r="AD671" s="192"/>
      <c r="AE671" s="192"/>
      <c r="AF671" s="192"/>
      <c r="AI671" s="192"/>
      <c r="AJ671" s="192"/>
      <c r="AK671" s="194"/>
      <c r="AL671" s="192"/>
    </row>
    <row r="672" spans="3:40" x14ac:dyDescent="0.3">
      <c r="C672" s="99"/>
      <c r="F672" s="110"/>
      <c r="H672" s="110"/>
      <c r="I672" s="110"/>
      <c r="L672" s="110"/>
      <c r="M672" s="110"/>
      <c r="N672" s="141"/>
      <c r="O672" s="141"/>
      <c r="P672" s="110"/>
      <c r="Q672" s="110"/>
      <c r="R672" s="110"/>
      <c r="T672" s="99"/>
      <c r="V672" s="110"/>
      <c r="W672" s="110"/>
      <c r="X672" s="110"/>
      <c r="Y672" s="110"/>
      <c r="AA672" s="110"/>
      <c r="AB672" s="110"/>
      <c r="AC672" s="141"/>
      <c r="AD672" s="141"/>
      <c r="AE672" s="110"/>
      <c r="AF672" s="110"/>
      <c r="AH672" s="207"/>
      <c r="AI672" s="110"/>
      <c r="AJ672" s="110"/>
      <c r="AL672" s="110"/>
      <c r="AM672" s="207"/>
      <c r="AN672" s="207"/>
    </row>
    <row r="673" spans="1:40" x14ac:dyDescent="0.3">
      <c r="F673" s="192"/>
      <c r="H673" s="192"/>
      <c r="I673" s="192"/>
      <c r="J673" s="217"/>
      <c r="K673" s="217"/>
      <c r="L673" s="192"/>
      <c r="M673" s="192"/>
      <c r="N673" s="192"/>
      <c r="O673" s="192"/>
      <c r="P673" s="192"/>
      <c r="Q673" s="192"/>
      <c r="R673" s="192"/>
      <c r="V673" s="192"/>
      <c r="Y673" s="192"/>
      <c r="Z673" s="217"/>
      <c r="AA673" s="192"/>
      <c r="AB673" s="192"/>
      <c r="AC673" s="192"/>
      <c r="AD673" s="192"/>
      <c r="AE673" s="192"/>
      <c r="AF673" s="192"/>
      <c r="AI673" s="192"/>
      <c r="AJ673" s="192"/>
      <c r="AK673" s="194"/>
      <c r="AL673" s="192"/>
    </row>
    <row r="676" spans="1:40" x14ac:dyDescent="0.3">
      <c r="A676" s="99"/>
    </row>
    <row r="678" spans="1:40" x14ac:dyDescent="0.3">
      <c r="H678" s="99"/>
      <c r="I678" s="99"/>
      <c r="Y678" s="99"/>
    </row>
    <row r="680" spans="1:40" x14ac:dyDescent="0.3">
      <c r="L680" s="99"/>
      <c r="M680" s="99"/>
      <c r="AA680" s="99"/>
      <c r="AB680" s="99"/>
    </row>
    <row r="681" spans="1:40" x14ac:dyDescent="0.3">
      <c r="R681" s="99"/>
      <c r="AK681" s="190"/>
      <c r="AL681" s="99"/>
    </row>
    <row r="682" spans="1:40" x14ac:dyDescent="0.3">
      <c r="R682" s="99"/>
      <c r="AK682" s="190"/>
      <c r="AL682" s="99"/>
    </row>
    <row r="683" spans="1:40" x14ac:dyDescent="0.3">
      <c r="A683" s="99"/>
      <c r="R683" s="99"/>
      <c r="AK683" s="190"/>
      <c r="AL683" s="99"/>
    </row>
    <row r="684" spans="1:40" x14ac:dyDescent="0.3">
      <c r="L684" s="99"/>
      <c r="M684" s="99"/>
      <c r="AA684" s="99"/>
      <c r="AB684" s="99"/>
    </row>
    <row r="685" spans="1:40" x14ac:dyDescent="0.3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91"/>
      <c r="AH685" s="101"/>
      <c r="AI685" s="101"/>
      <c r="AJ685" s="101"/>
      <c r="AK685" s="191"/>
      <c r="AL685" s="101"/>
      <c r="AM685" s="101"/>
      <c r="AN685" s="101"/>
    </row>
    <row r="686" spans="1:40" x14ac:dyDescent="0.3">
      <c r="L686" s="102"/>
      <c r="M686" s="102"/>
      <c r="N686" s="102"/>
      <c r="O686" s="102"/>
      <c r="R686" s="102"/>
      <c r="AA686" s="102"/>
      <c r="AB686" s="102"/>
      <c r="AC686" s="102"/>
      <c r="AD686" s="102"/>
      <c r="AE686" s="102"/>
      <c r="AF686" s="102"/>
      <c r="AG686" s="151"/>
      <c r="AH686" s="102"/>
      <c r="AK686" s="151"/>
      <c r="AL686" s="102"/>
      <c r="AM686" s="102"/>
      <c r="AN686" s="102"/>
    </row>
    <row r="687" spans="1:40" x14ac:dyDescent="0.3">
      <c r="L687" s="102"/>
      <c r="M687" s="102"/>
      <c r="N687" s="102"/>
      <c r="O687" s="102"/>
      <c r="R687" s="102"/>
      <c r="Z687" s="102"/>
      <c r="AA687" s="102"/>
      <c r="AB687" s="102"/>
      <c r="AC687" s="102"/>
      <c r="AD687" s="102"/>
      <c r="AE687" s="102"/>
      <c r="AF687" s="102"/>
      <c r="AG687" s="151"/>
      <c r="AH687" s="102"/>
      <c r="AK687" s="151"/>
      <c r="AL687" s="102"/>
      <c r="AM687" s="102"/>
      <c r="AN687" s="102"/>
    </row>
    <row r="688" spans="1:40" x14ac:dyDescent="0.3">
      <c r="A688" s="102"/>
      <c r="C688" s="102"/>
      <c r="D688" s="102"/>
      <c r="E688" s="102"/>
      <c r="F688" s="102"/>
      <c r="J688" s="102"/>
      <c r="K688" s="102"/>
      <c r="L688" s="102"/>
      <c r="M688" s="102"/>
      <c r="N688" s="102"/>
      <c r="O688" s="102"/>
      <c r="P688" s="102"/>
      <c r="Q688" s="102"/>
      <c r="R688" s="102"/>
      <c r="T688" s="102"/>
      <c r="U688" s="102"/>
      <c r="V688" s="102"/>
      <c r="Z688" s="102"/>
      <c r="AA688" s="102"/>
      <c r="AB688" s="102"/>
      <c r="AC688" s="102"/>
      <c r="AD688" s="102"/>
      <c r="AE688" s="102"/>
      <c r="AF688" s="102"/>
      <c r="AG688" s="151"/>
      <c r="AH688" s="102"/>
      <c r="AI688" s="102"/>
      <c r="AJ688" s="102"/>
      <c r="AK688" s="151"/>
      <c r="AL688" s="102"/>
      <c r="AM688" s="102"/>
      <c r="AN688" s="102"/>
    </row>
    <row r="689" spans="1:40" x14ac:dyDescent="0.3">
      <c r="A689" s="102"/>
      <c r="C689" s="102"/>
      <c r="D689" s="102"/>
      <c r="E689" s="102"/>
      <c r="F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T689" s="102"/>
      <c r="U689" s="102"/>
      <c r="V689" s="102"/>
      <c r="Y689" s="102"/>
      <c r="Z689" s="102"/>
      <c r="AA689" s="102"/>
      <c r="AB689" s="102"/>
      <c r="AC689" s="102"/>
      <c r="AD689" s="102"/>
      <c r="AE689" s="102"/>
      <c r="AF689" s="102"/>
      <c r="AG689" s="151"/>
      <c r="AH689" s="102"/>
      <c r="AI689" s="102"/>
      <c r="AJ689" s="102"/>
      <c r="AK689" s="151"/>
      <c r="AL689" s="102"/>
      <c r="AM689" s="102"/>
      <c r="AN689" s="102"/>
    </row>
    <row r="690" spans="1:40" x14ac:dyDescent="0.3">
      <c r="C690" s="102"/>
      <c r="D690" s="102"/>
      <c r="E690" s="102"/>
      <c r="F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T690" s="102"/>
      <c r="U690" s="102"/>
      <c r="V690" s="102"/>
      <c r="Y690" s="102"/>
      <c r="Z690" s="102"/>
      <c r="AA690" s="102"/>
      <c r="AB690" s="102"/>
      <c r="AC690" s="102"/>
      <c r="AD690" s="102"/>
      <c r="AE690" s="102"/>
      <c r="AF690" s="102"/>
      <c r="AG690" s="151"/>
      <c r="AH690" s="102"/>
      <c r="AI690" s="102"/>
      <c r="AJ690" s="102"/>
      <c r="AK690" s="151"/>
      <c r="AL690" s="102"/>
      <c r="AM690" s="102"/>
      <c r="AN690" s="102"/>
    </row>
    <row r="691" spans="1:40" x14ac:dyDescent="0.3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91"/>
      <c r="AH691" s="101"/>
      <c r="AI691" s="101"/>
      <c r="AJ691" s="101"/>
      <c r="AK691" s="191"/>
      <c r="AL691" s="101"/>
      <c r="AM691" s="101"/>
      <c r="AN691" s="101"/>
    </row>
    <row r="692" spans="1:40" x14ac:dyDescent="0.3"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Y692" s="102"/>
      <c r="Z692" s="102"/>
      <c r="AA692" s="102"/>
      <c r="AB692" s="102"/>
      <c r="AC692" s="102"/>
      <c r="AD692" s="102"/>
      <c r="AE692" s="102"/>
      <c r="AF692" s="102"/>
      <c r="AG692" s="151"/>
      <c r="AH692" s="102"/>
      <c r="AI692" s="102"/>
      <c r="AJ692" s="102"/>
      <c r="AK692" s="151"/>
      <c r="AL692" s="102"/>
      <c r="AM692" s="102"/>
      <c r="AN692" s="102"/>
    </row>
    <row r="693" spans="1:40" x14ac:dyDescent="0.3">
      <c r="C693" s="99"/>
      <c r="D693" s="99"/>
      <c r="E693" s="99"/>
      <c r="F693" s="110"/>
      <c r="H693" s="110"/>
      <c r="I693" s="110"/>
      <c r="J693" s="198"/>
      <c r="K693" s="198"/>
      <c r="L693" s="110"/>
      <c r="M693" s="110"/>
      <c r="N693" s="198"/>
      <c r="O693" s="198"/>
      <c r="P693" s="110"/>
      <c r="Q693" s="110"/>
      <c r="R693" s="110"/>
      <c r="T693" s="99"/>
      <c r="U693" s="99"/>
      <c r="V693" s="110"/>
      <c r="Y693" s="110"/>
      <c r="Z693" s="198"/>
      <c r="AA693" s="110"/>
      <c r="AB693" s="110"/>
      <c r="AC693" s="198"/>
      <c r="AD693" s="198"/>
      <c r="AE693" s="110"/>
      <c r="AF693" s="110"/>
      <c r="AH693" s="207"/>
      <c r="AI693" s="110"/>
      <c r="AJ693" s="110"/>
      <c r="AL693" s="110"/>
      <c r="AM693" s="141"/>
      <c r="AN693" s="141"/>
    </row>
    <row r="694" spans="1:40" x14ac:dyDescent="0.3">
      <c r="F694" s="192"/>
      <c r="H694" s="192"/>
      <c r="I694" s="192"/>
      <c r="J694" s="217"/>
      <c r="K694" s="217"/>
      <c r="L694" s="192"/>
      <c r="M694" s="192"/>
      <c r="N694" s="192"/>
      <c r="O694" s="192"/>
      <c r="P694" s="192"/>
      <c r="Q694" s="192"/>
      <c r="R694" s="192"/>
      <c r="V694" s="192"/>
      <c r="Y694" s="192"/>
      <c r="Z694" s="217"/>
      <c r="AA694" s="192"/>
      <c r="AB694" s="192"/>
      <c r="AC694" s="192"/>
      <c r="AD694" s="192"/>
      <c r="AE694" s="192"/>
      <c r="AF694" s="192"/>
      <c r="AI694" s="192"/>
      <c r="AJ694" s="192"/>
      <c r="AK694" s="194"/>
      <c r="AL694" s="192"/>
      <c r="AM694" s="141"/>
      <c r="AN694" s="141"/>
    </row>
    <row r="695" spans="1:40" x14ac:dyDescent="0.3">
      <c r="C695" s="99"/>
      <c r="F695" s="110"/>
      <c r="H695" s="110"/>
      <c r="I695" s="110"/>
      <c r="J695" s="198"/>
      <c r="K695" s="198"/>
      <c r="L695" s="110"/>
      <c r="M695" s="110"/>
      <c r="N695" s="198"/>
      <c r="O695" s="198"/>
      <c r="P695" s="110"/>
      <c r="Q695" s="110"/>
      <c r="R695" s="110"/>
      <c r="T695" s="99"/>
      <c r="V695" s="110"/>
      <c r="Y695" s="110"/>
      <c r="Z695" s="198"/>
      <c r="AA695" s="110"/>
      <c r="AB695" s="110"/>
      <c r="AC695" s="198"/>
      <c r="AD695" s="198"/>
      <c r="AE695" s="110"/>
      <c r="AF695" s="110"/>
      <c r="AH695" s="207"/>
      <c r="AI695" s="110"/>
      <c r="AJ695" s="110"/>
      <c r="AL695" s="110"/>
      <c r="AM695" s="141"/>
      <c r="AN695" s="141"/>
    </row>
    <row r="696" spans="1:40" x14ac:dyDescent="0.3">
      <c r="F696" s="110"/>
      <c r="H696" s="110"/>
      <c r="I696" s="110"/>
      <c r="J696" s="198"/>
      <c r="K696" s="198"/>
      <c r="L696" s="110"/>
      <c r="M696" s="110"/>
      <c r="N696" s="198"/>
      <c r="O696" s="198"/>
      <c r="P696" s="110"/>
      <c r="Q696" s="110"/>
      <c r="R696" s="110"/>
      <c r="V696" s="110"/>
      <c r="Y696" s="110"/>
      <c r="Z696" s="198"/>
      <c r="AA696" s="110"/>
      <c r="AB696" s="110"/>
      <c r="AC696" s="198"/>
      <c r="AD696" s="198"/>
      <c r="AH696" s="207"/>
      <c r="AI696" s="110"/>
      <c r="AJ696" s="110"/>
      <c r="AL696" s="110"/>
      <c r="AM696" s="141"/>
      <c r="AN696" s="141"/>
    </row>
    <row r="697" spans="1:40" x14ac:dyDescent="0.3">
      <c r="C697" s="99"/>
      <c r="D697" s="99"/>
      <c r="E697" s="99"/>
      <c r="F697" s="110"/>
      <c r="H697" s="110"/>
      <c r="I697" s="110"/>
      <c r="J697" s="198"/>
      <c r="K697" s="198"/>
      <c r="L697" s="110"/>
      <c r="M697" s="110"/>
      <c r="N697" s="198"/>
      <c r="O697" s="198"/>
      <c r="P697" s="110"/>
      <c r="Q697" s="110"/>
      <c r="R697" s="110"/>
      <c r="T697" s="99"/>
      <c r="U697" s="99"/>
      <c r="V697" s="110"/>
      <c r="Y697" s="110"/>
      <c r="Z697" s="198"/>
      <c r="AA697" s="110"/>
      <c r="AB697" s="110"/>
      <c r="AC697" s="198"/>
      <c r="AD697" s="198"/>
      <c r="AE697" s="110"/>
      <c r="AF697" s="110"/>
      <c r="AH697" s="207"/>
      <c r="AI697" s="110"/>
      <c r="AJ697" s="110"/>
      <c r="AL697" s="110"/>
      <c r="AM697" s="141"/>
      <c r="AN697" s="141"/>
    </row>
    <row r="698" spans="1:40" x14ac:dyDescent="0.3">
      <c r="C698" s="99"/>
      <c r="D698" s="99"/>
      <c r="E698" s="99"/>
      <c r="F698" s="110"/>
      <c r="H698" s="110"/>
      <c r="I698" s="110"/>
      <c r="J698" s="198"/>
      <c r="K698" s="198"/>
      <c r="L698" s="110"/>
      <c r="M698" s="110"/>
      <c r="N698" s="198"/>
      <c r="O698" s="198"/>
      <c r="P698" s="110"/>
      <c r="Q698" s="110"/>
      <c r="R698" s="110"/>
      <c r="T698" s="99"/>
      <c r="U698" s="99"/>
      <c r="V698" s="110"/>
      <c r="Y698" s="110"/>
      <c r="Z698" s="198"/>
      <c r="AA698" s="110"/>
      <c r="AB698" s="110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1:40" x14ac:dyDescent="0.3">
      <c r="C699" s="99"/>
      <c r="D699" s="99"/>
      <c r="E699" s="99"/>
      <c r="F699" s="110"/>
      <c r="H699" s="110"/>
      <c r="I699" s="110"/>
      <c r="J699" s="198"/>
      <c r="K699" s="198"/>
      <c r="L699" s="110"/>
      <c r="M699" s="110"/>
      <c r="N699" s="198"/>
      <c r="O699" s="198"/>
      <c r="P699" s="110"/>
      <c r="Q699" s="110"/>
      <c r="R699" s="110"/>
      <c r="T699" s="99"/>
      <c r="U699" s="99"/>
      <c r="V699" s="110"/>
      <c r="Y699" s="110"/>
      <c r="Z699" s="198"/>
      <c r="AA699" s="110"/>
      <c r="AB699" s="110"/>
      <c r="AC699" s="198"/>
      <c r="AD699" s="198"/>
      <c r="AE699" s="110"/>
      <c r="AF699" s="110"/>
      <c r="AH699" s="207"/>
      <c r="AI699" s="110"/>
      <c r="AJ699" s="110"/>
      <c r="AL699" s="110"/>
      <c r="AM699" s="141"/>
      <c r="AN699" s="141"/>
    </row>
    <row r="700" spans="1:40" x14ac:dyDescent="0.3">
      <c r="C700" s="99"/>
      <c r="D700" s="99"/>
      <c r="E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U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1:40" x14ac:dyDescent="0.3">
      <c r="C701" s="99"/>
      <c r="D701" s="99"/>
      <c r="E701" s="99"/>
      <c r="F701" s="110"/>
      <c r="H701" s="110"/>
      <c r="I701" s="110"/>
      <c r="J701" s="198"/>
      <c r="K701" s="198"/>
      <c r="L701" s="110"/>
      <c r="M701" s="110"/>
      <c r="N701" s="198"/>
      <c r="O701" s="198"/>
      <c r="P701" s="110"/>
      <c r="Q701" s="110"/>
      <c r="R701" s="110"/>
      <c r="T701" s="99"/>
      <c r="U701" s="99"/>
      <c r="V701" s="110"/>
      <c r="Y701" s="110"/>
      <c r="Z701" s="198"/>
      <c r="AA701" s="110"/>
      <c r="AB701" s="110"/>
      <c r="AC701" s="198"/>
      <c r="AD701" s="198"/>
      <c r="AE701" s="110"/>
      <c r="AF701" s="110"/>
      <c r="AH701" s="207"/>
      <c r="AI701" s="110"/>
      <c r="AJ701" s="110"/>
      <c r="AL701" s="110"/>
      <c r="AM701" s="141"/>
      <c r="AN701" s="141"/>
    </row>
    <row r="702" spans="1:40" x14ac:dyDescent="0.3">
      <c r="C702" s="99"/>
      <c r="D702" s="99"/>
      <c r="E702" s="99"/>
      <c r="F702" s="110"/>
      <c r="H702" s="110"/>
      <c r="I702" s="110"/>
      <c r="J702" s="198"/>
      <c r="K702" s="198"/>
      <c r="L702" s="110"/>
      <c r="M702" s="110"/>
      <c r="N702" s="198"/>
      <c r="O702" s="198"/>
      <c r="P702" s="110"/>
      <c r="Q702" s="110"/>
      <c r="R702" s="110"/>
      <c r="T702" s="99"/>
      <c r="U702" s="99"/>
      <c r="V702" s="110"/>
      <c r="Y702" s="110"/>
      <c r="Z702" s="198"/>
      <c r="AA702" s="110"/>
      <c r="AB702" s="110"/>
      <c r="AC702" s="198"/>
      <c r="AD702" s="198"/>
      <c r="AE702" s="110"/>
      <c r="AF702" s="110"/>
      <c r="AH702" s="207"/>
      <c r="AI702" s="110"/>
      <c r="AJ702" s="110"/>
      <c r="AL702" s="110"/>
      <c r="AM702" s="141"/>
      <c r="AN702" s="141"/>
    </row>
    <row r="703" spans="1:40" x14ac:dyDescent="0.3">
      <c r="F703" s="192"/>
      <c r="H703" s="192"/>
      <c r="I703" s="192"/>
      <c r="J703" s="217"/>
      <c r="K703" s="217"/>
      <c r="L703" s="192"/>
      <c r="M703" s="192"/>
      <c r="N703" s="192"/>
      <c r="O703" s="192"/>
      <c r="P703" s="192"/>
      <c r="Q703" s="192"/>
      <c r="R703" s="192"/>
      <c r="V703" s="192"/>
      <c r="Y703" s="192"/>
      <c r="Z703" s="217"/>
      <c r="AA703" s="192"/>
      <c r="AB703" s="192"/>
      <c r="AC703" s="192"/>
      <c r="AD703" s="192"/>
      <c r="AE703" s="192"/>
      <c r="AF703" s="192"/>
      <c r="AI703" s="192"/>
      <c r="AJ703" s="192"/>
      <c r="AK703" s="194"/>
      <c r="AL703" s="192"/>
      <c r="AM703" s="141"/>
      <c r="AN703" s="141"/>
    </row>
    <row r="704" spans="1:40" x14ac:dyDescent="0.3">
      <c r="C704" s="99"/>
      <c r="F704" s="110"/>
      <c r="H704" s="110"/>
      <c r="I704" s="110"/>
      <c r="J704" s="198"/>
      <c r="K704" s="198"/>
      <c r="L704" s="110"/>
      <c r="M704" s="110"/>
      <c r="N704" s="198"/>
      <c r="O704" s="198"/>
      <c r="P704" s="110"/>
      <c r="Q704" s="110"/>
      <c r="R704" s="110"/>
      <c r="T704" s="99"/>
      <c r="V704" s="110"/>
      <c r="Y704" s="110"/>
      <c r="Z704" s="198"/>
      <c r="AA704" s="110"/>
      <c r="AB704" s="110"/>
      <c r="AC704" s="198"/>
      <c r="AD704" s="198"/>
      <c r="AE704" s="110"/>
      <c r="AF704" s="110"/>
      <c r="AH704" s="207"/>
      <c r="AI704" s="110"/>
      <c r="AJ704" s="110"/>
      <c r="AL704" s="110"/>
      <c r="AM704" s="141"/>
      <c r="AN704" s="141"/>
    </row>
    <row r="705" spans="3:40" x14ac:dyDescent="0.3">
      <c r="F705" s="110"/>
      <c r="H705" s="110"/>
      <c r="I705" s="110"/>
      <c r="J705" s="198"/>
      <c r="K705" s="198"/>
      <c r="L705" s="110"/>
      <c r="M705" s="110"/>
      <c r="N705" s="198"/>
      <c r="O705" s="198"/>
      <c r="P705" s="110"/>
      <c r="Q705" s="110"/>
      <c r="R705" s="110"/>
      <c r="V705" s="110"/>
      <c r="Y705" s="110"/>
      <c r="Z705" s="198"/>
      <c r="AA705" s="110"/>
      <c r="AB705" s="110"/>
      <c r="AC705" s="198"/>
      <c r="AD705" s="198"/>
      <c r="AH705" s="207"/>
      <c r="AI705" s="110"/>
      <c r="AJ705" s="110"/>
      <c r="AL705" s="110"/>
      <c r="AM705" s="141"/>
      <c r="AN705" s="141"/>
    </row>
    <row r="706" spans="3:40" x14ac:dyDescent="0.3">
      <c r="C706" s="99"/>
      <c r="D706" s="99"/>
      <c r="E706" s="99"/>
      <c r="F706" s="110"/>
      <c r="H706" s="110"/>
      <c r="I706" s="110"/>
      <c r="J706" s="198"/>
      <c r="K706" s="198"/>
      <c r="L706" s="110"/>
      <c r="M706" s="110"/>
      <c r="N706" s="198"/>
      <c r="O706" s="198"/>
      <c r="P706" s="110"/>
      <c r="Q706" s="110"/>
      <c r="R706" s="110"/>
      <c r="T706" s="99"/>
      <c r="U706" s="99"/>
      <c r="V706" s="110"/>
      <c r="Y706" s="110"/>
      <c r="Z706" s="198"/>
      <c r="AA706" s="110"/>
      <c r="AB706" s="110"/>
      <c r="AC706" s="198"/>
      <c r="AD706" s="198"/>
      <c r="AE706" s="110"/>
      <c r="AF706" s="110"/>
      <c r="AH706" s="207"/>
      <c r="AI706" s="110"/>
      <c r="AJ706" s="110"/>
      <c r="AL706" s="110"/>
      <c r="AM706" s="141"/>
      <c r="AN706" s="141"/>
    </row>
    <row r="707" spans="3:40" x14ac:dyDescent="0.3">
      <c r="F707" s="192"/>
      <c r="H707" s="192"/>
      <c r="I707" s="192"/>
      <c r="J707" s="217"/>
      <c r="K707" s="217"/>
      <c r="L707" s="192"/>
      <c r="M707" s="192"/>
      <c r="N707" s="192"/>
      <c r="O707" s="192"/>
      <c r="P707" s="192"/>
      <c r="Q707" s="192"/>
      <c r="R707" s="192"/>
      <c r="V707" s="192"/>
      <c r="Y707" s="192"/>
      <c r="Z707" s="217"/>
      <c r="AA707" s="192"/>
      <c r="AB707" s="192"/>
      <c r="AC707" s="192"/>
      <c r="AD707" s="192"/>
      <c r="AE707" s="192"/>
      <c r="AF707" s="192"/>
      <c r="AI707" s="192"/>
      <c r="AJ707" s="192"/>
      <c r="AK707" s="194"/>
      <c r="AL707" s="192"/>
      <c r="AM707" s="141"/>
      <c r="AN707" s="141"/>
    </row>
    <row r="708" spans="3:40" x14ac:dyDescent="0.3">
      <c r="C708" s="99"/>
      <c r="F708" s="110"/>
      <c r="H708" s="110"/>
      <c r="I708" s="110"/>
      <c r="J708" s="198"/>
      <c r="K708" s="198"/>
      <c r="L708" s="110"/>
      <c r="M708" s="110"/>
      <c r="N708" s="198"/>
      <c r="O708" s="198"/>
      <c r="P708" s="110"/>
      <c r="Q708" s="110"/>
      <c r="R708" s="110"/>
      <c r="T708" s="99"/>
      <c r="V708" s="110"/>
      <c r="Y708" s="110"/>
      <c r="Z708" s="198"/>
      <c r="AA708" s="110"/>
      <c r="AB708" s="110"/>
      <c r="AC708" s="198"/>
      <c r="AD708" s="198"/>
      <c r="AE708" s="110"/>
      <c r="AF708" s="110"/>
      <c r="AH708" s="207"/>
      <c r="AI708" s="110"/>
      <c r="AJ708" s="110"/>
      <c r="AL708" s="110"/>
      <c r="AM708" s="141"/>
      <c r="AN708" s="141"/>
    </row>
    <row r="709" spans="3:40" x14ac:dyDescent="0.3">
      <c r="F709" s="110"/>
      <c r="H709" s="110"/>
      <c r="I709" s="110"/>
      <c r="J709" s="198"/>
      <c r="K709" s="198"/>
      <c r="L709" s="110"/>
      <c r="M709" s="110"/>
      <c r="N709" s="198"/>
      <c r="O709" s="198"/>
      <c r="P709" s="110"/>
      <c r="Q709" s="110"/>
      <c r="R709" s="110"/>
      <c r="V709" s="110"/>
      <c r="Y709" s="110"/>
      <c r="Z709" s="198"/>
      <c r="AA709" s="110"/>
      <c r="AB709" s="110"/>
      <c r="AC709" s="198"/>
      <c r="AD709" s="198"/>
      <c r="AH709" s="207"/>
      <c r="AI709" s="110"/>
      <c r="AJ709" s="110"/>
      <c r="AL709" s="110"/>
      <c r="AM709" s="141"/>
      <c r="AN709" s="141"/>
    </row>
    <row r="710" spans="3:40" x14ac:dyDescent="0.3">
      <c r="C710" s="99"/>
      <c r="D710" s="99"/>
      <c r="E710" s="99"/>
      <c r="F710" s="110"/>
      <c r="H710" s="110"/>
      <c r="I710" s="110"/>
      <c r="J710" s="198"/>
      <c r="K710" s="198"/>
      <c r="L710" s="110"/>
      <c r="M710" s="110"/>
      <c r="N710" s="198"/>
      <c r="O710" s="198"/>
      <c r="P710" s="110"/>
      <c r="Q710" s="110"/>
      <c r="R710" s="110"/>
      <c r="T710" s="99"/>
      <c r="U710" s="99"/>
      <c r="V710" s="110"/>
      <c r="Y710" s="110"/>
      <c r="Z710" s="198"/>
      <c r="AA710" s="110"/>
      <c r="AB710" s="110"/>
      <c r="AC710" s="198"/>
      <c r="AD710" s="198"/>
      <c r="AE710" s="110"/>
      <c r="AF710" s="110"/>
      <c r="AH710" s="207"/>
      <c r="AI710" s="110"/>
      <c r="AJ710" s="110"/>
      <c r="AL710" s="110"/>
      <c r="AM710" s="141"/>
      <c r="AN710" s="141"/>
    </row>
    <row r="711" spans="3:40" x14ac:dyDescent="0.3">
      <c r="C711" s="99"/>
      <c r="D711" s="99"/>
      <c r="E711" s="99"/>
      <c r="F711" s="110"/>
      <c r="G711" s="110"/>
      <c r="H711" s="110"/>
      <c r="I711" s="110"/>
      <c r="J711" s="198"/>
      <c r="K711" s="198"/>
      <c r="L711" s="110"/>
      <c r="M711" s="110"/>
      <c r="N711" s="198"/>
      <c r="O711" s="198"/>
      <c r="P711" s="110"/>
      <c r="Q711" s="110"/>
      <c r="R711" s="110"/>
      <c r="T711" s="99"/>
      <c r="U711" s="99"/>
      <c r="V711" s="110"/>
      <c r="W711" s="110"/>
      <c r="X711" s="110"/>
      <c r="Y711" s="110"/>
      <c r="Z711" s="198"/>
      <c r="AA711" s="110"/>
      <c r="AB711" s="110"/>
      <c r="AC711" s="198"/>
      <c r="AD711" s="198"/>
      <c r="AE711" s="110"/>
      <c r="AF711" s="110"/>
      <c r="AH711" s="207"/>
      <c r="AI711" s="110"/>
      <c r="AJ711" s="110"/>
      <c r="AL711" s="110"/>
      <c r="AM711" s="141"/>
      <c r="AN711" s="141"/>
    </row>
    <row r="712" spans="3:40" x14ac:dyDescent="0.3">
      <c r="C712" s="99"/>
      <c r="D712" s="99"/>
      <c r="E712" s="99"/>
      <c r="F712" s="110"/>
      <c r="G712" s="110"/>
      <c r="H712" s="110"/>
      <c r="I712" s="110"/>
      <c r="J712" s="198"/>
      <c r="K712" s="198"/>
      <c r="L712" s="110"/>
      <c r="M712" s="110"/>
      <c r="N712" s="198"/>
      <c r="O712" s="198"/>
      <c r="P712" s="110"/>
      <c r="Q712" s="110"/>
      <c r="R712" s="110"/>
      <c r="T712" s="99"/>
      <c r="U712" s="99"/>
      <c r="V712" s="110"/>
      <c r="W712" s="110"/>
      <c r="X712" s="110"/>
      <c r="Y712" s="110"/>
      <c r="Z712" s="198"/>
      <c r="AA712" s="110"/>
      <c r="AB712" s="110"/>
      <c r="AC712" s="198"/>
      <c r="AD712" s="198"/>
      <c r="AE712" s="110"/>
      <c r="AF712" s="110"/>
      <c r="AH712" s="207"/>
      <c r="AI712" s="110"/>
      <c r="AJ712" s="110"/>
      <c r="AL712" s="110"/>
      <c r="AM712" s="141"/>
      <c r="AN712" s="141"/>
    </row>
    <row r="713" spans="3:40" x14ac:dyDescent="0.3">
      <c r="C713" s="99"/>
      <c r="D713" s="99"/>
      <c r="E713" s="99"/>
      <c r="F713" s="110"/>
      <c r="H713" s="110"/>
      <c r="I713" s="110"/>
      <c r="J713" s="198"/>
      <c r="K713" s="198"/>
      <c r="L713" s="110"/>
      <c r="M713" s="110"/>
      <c r="N713" s="198"/>
      <c r="O713" s="198"/>
      <c r="P713" s="110"/>
      <c r="Q713" s="110"/>
      <c r="R713" s="110"/>
      <c r="T713" s="99"/>
      <c r="U713" s="99"/>
      <c r="V713" s="110"/>
      <c r="Y713" s="110"/>
      <c r="Z713" s="198"/>
      <c r="AA713" s="110"/>
      <c r="AB713" s="110"/>
      <c r="AC713" s="198"/>
      <c r="AD713" s="198"/>
      <c r="AE713" s="110"/>
      <c r="AF713" s="110"/>
      <c r="AH713" s="207"/>
      <c r="AI713" s="110"/>
      <c r="AJ713" s="110"/>
      <c r="AL713" s="110"/>
      <c r="AM713" s="141"/>
      <c r="AN713" s="141"/>
    </row>
    <row r="714" spans="3:40" x14ac:dyDescent="0.3">
      <c r="C714" s="99"/>
      <c r="D714" s="99"/>
      <c r="E714" s="99"/>
      <c r="F714" s="110"/>
      <c r="H714" s="110"/>
      <c r="I714" s="110"/>
      <c r="J714" s="198"/>
      <c r="K714" s="198"/>
      <c r="L714" s="110"/>
      <c r="M714" s="110"/>
      <c r="N714" s="198"/>
      <c r="O714" s="198"/>
      <c r="P714" s="110"/>
      <c r="Q714" s="110"/>
      <c r="R714" s="110"/>
      <c r="T714" s="99"/>
      <c r="U714" s="99"/>
      <c r="V714" s="110"/>
      <c r="Y714" s="110"/>
      <c r="Z714" s="198"/>
      <c r="AA714" s="110"/>
      <c r="AB714" s="110"/>
      <c r="AC714" s="198"/>
      <c r="AD714" s="198"/>
      <c r="AE714" s="110"/>
      <c r="AF714" s="110"/>
      <c r="AH714" s="207"/>
      <c r="AI714" s="110"/>
      <c r="AJ714" s="110"/>
      <c r="AL714" s="110"/>
      <c r="AM714" s="141"/>
      <c r="AN714" s="141"/>
    </row>
    <row r="715" spans="3:40" x14ac:dyDescent="0.3">
      <c r="C715" s="99"/>
      <c r="D715" s="99"/>
      <c r="E715" s="99"/>
      <c r="F715" s="110"/>
      <c r="H715" s="110"/>
      <c r="I715" s="110"/>
      <c r="J715" s="198"/>
      <c r="K715" s="198"/>
      <c r="L715" s="110"/>
      <c r="M715" s="110"/>
      <c r="N715" s="198"/>
      <c r="O715" s="198"/>
      <c r="P715" s="110"/>
      <c r="Q715" s="110"/>
      <c r="R715" s="110"/>
      <c r="T715" s="99"/>
      <c r="U715" s="99"/>
      <c r="V715" s="110"/>
      <c r="Y715" s="110"/>
      <c r="Z715" s="198"/>
      <c r="AA715" s="110"/>
      <c r="AB715" s="110"/>
      <c r="AC715" s="198"/>
      <c r="AD715" s="198"/>
      <c r="AE715" s="110"/>
      <c r="AF715" s="110"/>
      <c r="AH715" s="207"/>
      <c r="AI715" s="110"/>
      <c r="AJ715" s="110"/>
      <c r="AL715" s="110"/>
      <c r="AM715" s="141"/>
      <c r="AN715" s="141"/>
    </row>
    <row r="716" spans="3:40" x14ac:dyDescent="0.3">
      <c r="C716" s="99"/>
      <c r="D716" s="99"/>
      <c r="E716" s="99"/>
      <c r="F716" s="110"/>
      <c r="H716" s="110"/>
      <c r="I716" s="110"/>
      <c r="J716" s="198"/>
      <c r="K716" s="198"/>
      <c r="L716" s="110"/>
      <c r="M716" s="110"/>
      <c r="N716" s="198"/>
      <c r="O716" s="198"/>
      <c r="P716" s="110"/>
      <c r="Q716" s="110"/>
      <c r="R716" s="110"/>
      <c r="T716" s="99"/>
      <c r="U716" s="99"/>
      <c r="V716" s="110"/>
      <c r="Y716" s="110"/>
      <c r="Z716" s="198"/>
      <c r="AA716" s="110"/>
      <c r="AB716" s="110"/>
      <c r="AC716" s="198"/>
      <c r="AD716" s="198"/>
      <c r="AE716" s="110"/>
      <c r="AF716" s="110"/>
      <c r="AH716" s="207"/>
      <c r="AI716" s="110"/>
      <c r="AJ716" s="110"/>
      <c r="AL716" s="110"/>
      <c r="AM716" s="141"/>
      <c r="AN716" s="141"/>
    </row>
    <row r="717" spans="3:40" x14ac:dyDescent="0.3">
      <c r="F717" s="192"/>
      <c r="H717" s="192"/>
      <c r="I717" s="192"/>
      <c r="J717" s="217"/>
      <c r="K717" s="217"/>
      <c r="L717" s="192"/>
      <c r="M717" s="192"/>
      <c r="N717" s="192"/>
      <c r="O717" s="192"/>
      <c r="P717" s="192"/>
      <c r="Q717" s="192"/>
      <c r="R717" s="192"/>
      <c r="V717" s="192"/>
      <c r="Y717" s="192"/>
      <c r="Z717" s="217"/>
      <c r="AA717" s="192"/>
      <c r="AB717" s="192"/>
      <c r="AC717" s="192"/>
      <c r="AD717" s="192"/>
      <c r="AE717" s="192"/>
      <c r="AF717" s="192"/>
      <c r="AI717" s="192"/>
      <c r="AJ717" s="192"/>
      <c r="AK717" s="194"/>
      <c r="AL717" s="192"/>
      <c r="AM717" s="141"/>
      <c r="AN717" s="141"/>
    </row>
    <row r="718" spans="3:40" x14ac:dyDescent="0.3">
      <c r="C718" s="99"/>
      <c r="F718" s="110"/>
      <c r="H718" s="110"/>
      <c r="I718" s="110"/>
      <c r="J718" s="198"/>
      <c r="K718" s="198"/>
      <c r="L718" s="110"/>
      <c r="M718" s="110"/>
      <c r="N718" s="198"/>
      <c r="O718" s="198"/>
      <c r="P718" s="110"/>
      <c r="Q718" s="110"/>
      <c r="R718" s="110"/>
      <c r="T718" s="99"/>
      <c r="V718" s="110"/>
      <c r="Y718" s="110"/>
      <c r="Z718" s="198"/>
      <c r="AA718" s="110"/>
      <c r="AB718" s="110"/>
      <c r="AC718" s="198"/>
      <c r="AD718" s="198"/>
      <c r="AE718" s="110"/>
      <c r="AF718" s="110"/>
      <c r="AH718" s="207"/>
      <c r="AI718" s="110"/>
      <c r="AJ718" s="110"/>
      <c r="AL718" s="110"/>
      <c r="AM718" s="141"/>
      <c r="AN718" s="141"/>
    </row>
    <row r="719" spans="3:40" x14ac:dyDescent="0.3">
      <c r="V719" s="110"/>
      <c r="Y719" s="110"/>
      <c r="Z719" s="217"/>
      <c r="AA719" s="110"/>
      <c r="AB719" s="110"/>
      <c r="AC719" s="110"/>
      <c r="AD719" s="110"/>
      <c r="AE719" s="110"/>
      <c r="AF719" s="110"/>
      <c r="AI719" s="110"/>
      <c r="AJ719" s="110"/>
      <c r="AL719" s="110"/>
      <c r="AM719" s="141"/>
      <c r="AN719" s="141"/>
    </row>
    <row r="720" spans="3:40" x14ac:dyDescent="0.3">
      <c r="C720" s="99"/>
      <c r="D720" s="99"/>
      <c r="E720" s="99"/>
      <c r="L720" s="110"/>
      <c r="M720" s="110"/>
      <c r="N720" s="198"/>
      <c r="O720" s="198"/>
      <c r="R720" s="110"/>
      <c r="T720" s="99"/>
      <c r="U720" s="99"/>
      <c r="AA720" s="110"/>
      <c r="AB720" s="110"/>
      <c r="AC720" s="198"/>
      <c r="AD720" s="198"/>
      <c r="AE720" s="110"/>
      <c r="AF720" s="110"/>
      <c r="AH720" s="207"/>
      <c r="AL720" s="110"/>
      <c r="AM720" s="141"/>
      <c r="AN720" s="141"/>
    </row>
    <row r="721" spans="1:40" x14ac:dyDescent="0.3">
      <c r="D721" s="99"/>
      <c r="E721" s="99"/>
      <c r="F721" s="172"/>
      <c r="H721" s="172"/>
      <c r="I721" s="172"/>
      <c r="J721" s="198"/>
      <c r="K721" s="198"/>
      <c r="L721" s="110"/>
      <c r="M721" s="110"/>
      <c r="N721" s="198"/>
      <c r="O721" s="198"/>
      <c r="P721" s="172"/>
      <c r="Q721" s="172"/>
      <c r="R721" s="110"/>
      <c r="U721" s="99"/>
      <c r="V721" s="110"/>
      <c r="Y721" s="110"/>
      <c r="Z721" s="198"/>
      <c r="AA721" s="110"/>
      <c r="AB721" s="110"/>
      <c r="AC721" s="198"/>
      <c r="AD721" s="198"/>
      <c r="AE721" s="110"/>
      <c r="AF721" s="110"/>
      <c r="AH721" s="207"/>
      <c r="AI721" s="110"/>
      <c r="AJ721" s="110"/>
      <c r="AL721" s="110"/>
      <c r="AM721" s="141"/>
      <c r="AN721" s="141"/>
    </row>
    <row r="722" spans="1:40" x14ac:dyDescent="0.3">
      <c r="F722" s="192"/>
      <c r="H722" s="192"/>
      <c r="I722" s="192"/>
      <c r="J722" s="217"/>
      <c r="K722" s="217"/>
      <c r="L722" s="192"/>
      <c r="M722" s="192"/>
      <c r="N722" s="192"/>
      <c r="O722" s="192"/>
      <c r="P722" s="192"/>
      <c r="Q722" s="192"/>
      <c r="R722" s="192"/>
      <c r="V722" s="192"/>
      <c r="Y722" s="192"/>
      <c r="Z722" s="217"/>
      <c r="AA722" s="192"/>
      <c r="AB722" s="192"/>
      <c r="AC722" s="192"/>
      <c r="AD722" s="192"/>
      <c r="AE722" s="192"/>
      <c r="AF722" s="192"/>
      <c r="AI722" s="192"/>
      <c r="AJ722" s="192"/>
      <c r="AK722" s="194"/>
      <c r="AL722" s="192"/>
      <c r="AM722" s="141"/>
      <c r="AN722" s="141"/>
    </row>
    <row r="723" spans="1:40" x14ac:dyDescent="0.3">
      <c r="C723" s="99"/>
      <c r="F723" s="110"/>
      <c r="H723" s="110"/>
      <c r="I723" s="110"/>
      <c r="J723" s="198"/>
      <c r="K723" s="198"/>
      <c r="L723" s="110"/>
      <c r="M723" s="110"/>
      <c r="N723" s="198"/>
      <c r="O723" s="198"/>
      <c r="P723" s="110"/>
      <c r="Q723" s="110"/>
      <c r="R723" s="110"/>
      <c r="T723" s="99"/>
      <c r="V723" s="110"/>
      <c r="Y723" s="110"/>
      <c r="Z723" s="198"/>
      <c r="AA723" s="110"/>
      <c r="AB723" s="110"/>
      <c r="AC723" s="198"/>
      <c r="AD723" s="198"/>
      <c r="AE723" s="110"/>
      <c r="AF723" s="110"/>
      <c r="AH723" s="207"/>
      <c r="AI723" s="110"/>
      <c r="AJ723" s="110"/>
      <c r="AL723" s="110"/>
      <c r="AM723" s="141"/>
      <c r="AN723" s="141"/>
    </row>
    <row r="724" spans="1:40" x14ac:dyDescent="0.3">
      <c r="F724" s="110"/>
      <c r="H724" s="110"/>
      <c r="I724" s="110"/>
      <c r="J724" s="198"/>
      <c r="K724" s="198"/>
      <c r="L724" s="110"/>
      <c r="M724" s="110"/>
      <c r="N724" s="198"/>
      <c r="O724" s="198"/>
      <c r="P724" s="110"/>
      <c r="Q724" s="110"/>
      <c r="R724" s="110"/>
      <c r="V724" s="110"/>
      <c r="Y724" s="110"/>
      <c r="Z724" s="198"/>
      <c r="AA724" s="110"/>
      <c r="AB724" s="110"/>
      <c r="AC724" s="198"/>
      <c r="AD724" s="198"/>
      <c r="AH724" s="207"/>
      <c r="AI724" s="110"/>
      <c r="AJ724" s="110"/>
      <c r="AL724" s="110"/>
      <c r="AM724" s="141"/>
      <c r="AN724" s="141"/>
    </row>
    <row r="725" spans="1:40" x14ac:dyDescent="0.3">
      <c r="D725" s="99"/>
      <c r="E725" s="99"/>
      <c r="F725" s="110"/>
      <c r="H725" s="110"/>
      <c r="I725" s="110"/>
      <c r="J725" s="198"/>
      <c r="K725" s="198"/>
      <c r="L725" s="172"/>
      <c r="M725" s="172"/>
      <c r="N725" s="198"/>
      <c r="O725" s="198"/>
      <c r="P725" s="110"/>
      <c r="Q725" s="110"/>
      <c r="R725" s="110"/>
      <c r="U725" s="99"/>
      <c r="V725" s="110"/>
      <c r="Y725" s="110"/>
      <c r="Z725" s="198"/>
      <c r="AA725" s="172"/>
      <c r="AB725" s="172"/>
      <c r="AC725" s="198"/>
      <c r="AD725" s="198"/>
      <c r="AE725" s="110"/>
      <c r="AF725" s="110"/>
      <c r="AH725" s="207"/>
      <c r="AI725" s="110"/>
      <c r="AJ725" s="110"/>
      <c r="AL725" s="110"/>
      <c r="AM725" s="141"/>
      <c r="AN725" s="141"/>
    </row>
    <row r="726" spans="1:40" x14ac:dyDescent="0.3">
      <c r="D726" s="99"/>
      <c r="E726" s="99"/>
      <c r="F726" s="110"/>
      <c r="H726" s="110"/>
      <c r="I726" s="110"/>
      <c r="J726" s="198"/>
      <c r="K726" s="198"/>
      <c r="L726" s="172"/>
      <c r="M726" s="172"/>
      <c r="N726" s="198"/>
      <c r="O726" s="198"/>
      <c r="P726" s="110"/>
      <c r="Q726" s="110"/>
      <c r="R726" s="110"/>
      <c r="U726" s="99"/>
      <c r="V726" s="110"/>
      <c r="Y726" s="110"/>
      <c r="Z726" s="198"/>
      <c r="AA726" s="172"/>
      <c r="AB726" s="172"/>
      <c r="AC726" s="198"/>
      <c r="AD726" s="198"/>
      <c r="AE726" s="110"/>
      <c r="AF726" s="110"/>
      <c r="AH726" s="207"/>
      <c r="AI726" s="110"/>
      <c r="AJ726" s="110"/>
      <c r="AL726" s="110"/>
      <c r="AM726" s="141"/>
      <c r="AN726" s="141"/>
    </row>
    <row r="727" spans="1:40" x14ac:dyDescent="0.3">
      <c r="D727" s="99"/>
      <c r="E727" s="99"/>
      <c r="F727" s="110"/>
      <c r="H727" s="110"/>
      <c r="I727" s="110"/>
      <c r="J727" s="198"/>
      <c r="K727" s="198"/>
      <c r="L727" s="172"/>
      <c r="M727" s="172"/>
      <c r="N727" s="198"/>
      <c r="O727" s="198"/>
      <c r="P727" s="110"/>
      <c r="Q727" s="110"/>
      <c r="R727" s="110"/>
      <c r="U727" s="99"/>
      <c r="V727" s="110"/>
      <c r="Y727" s="110"/>
      <c r="Z727" s="198"/>
      <c r="AA727" s="172"/>
      <c r="AB727" s="172"/>
      <c r="AC727" s="198"/>
      <c r="AD727" s="198"/>
      <c r="AE727" s="110"/>
      <c r="AF727" s="110"/>
      <c r="AH727" s="207"/>
      <c r="AI727" s="110"/>
      <c r="AJ727" s="110"/>
      <c r="AL727" s="110"/>
      <c r="AM727" s="141"/>
      <c r="AN727" s="141"/>
    </row>
    <row r="728" spans="1:40" x14ac:dyDescent="0.3">
      <c r="F728" s="192"/>
      <c r="H728" s="192"/>
      <c r="I728" s="192"/>
      <c r="J728" s="217"/>
      <c r="K728" s="217"/>
      <c r="L728" s="192"/>
      <c r="M728" s="192"/>
      <c r="N728" s="192"/>
      <c r="O728" s="192"/>
      <c r="P728" s="192"/>
      <c r="Q728" s="192"/>
      <c r="R728" s="192"/>
      <c r="V728" s="192"/>
      <c r="Y728" s="192"/>
      <c r="Z728" s="217"/>
      <c r="AA728" s="192"/>
      <c r="AB728" s="192"/>
      <c r="AC728" s="192"/>
      <c r="AD728" s="192"/>
      <c r="AE728" s="192"/>
      <c r="AF728" s="192"/>
      <c r="AI728" s="192"/>
      <c r="AJ728" s="192"/>
      <c r="AK728" s="194"/>
      <c r="AL728" s="192"/>
      <c r="AM728" s="141"/>
      <c r="AN728" s="141"/>
    </row>
    <row r="729" spans="1:40" x14ac:dyDescent="0.3">
      <c r="C729" s="99"/>
      <c r="F729" s="110"/>
      <c r="H729" s="110"/>
      <c r="I729" s="110"/>
      <c r="J729" s="198"/>
      <c r="K729" s="198"/>
      <c r="L729" s="110"/>
      <c r="M729" s="110"/>
      <c r="N729" s="198"/>
      <c r="O729" s="198"/>
      <c r="P729" s="110"/>
      <c r="Q729" s="110"/>
      <c r="R729" s="110"/>
      <c r="T729" s="99"/>
      <c r="V729" s="110"/>
      <c r="Y729" s="110"/>
      <c r="Z729" s="198"/>
      <c r="AA729" s="110"/>
      <c r="AB729" s="110"/>
      <c r="AC729" s="198"/>
      <c r="AD729" s="198"/>
      <c r="AE729" s="110"/>
      <c r="AF729" s="110"/>
      <c r="AH729" s="207"/>
      <c r="AI729" s="110"/>
      <c r="AJ729" s="110"/>
      <c r="AL729" s="110"/>
      <c r="AM729" s="141"/>
      <c r="AN729" s="141"/>
    </row>
    <row r="730" spans="1:40" x14ac:dyDescent="0.3">
      <c r="F730" s="110"/>
      <c r="H730" s="110"/>
      <c r="I730" s="110"/>
      <c r="J730" s="198"/>
      <c r="K730" s="198"/>
      <c r="L730" s="110"/>
      <c r="M730" s="110"/>
      <c r="N730" s="198"/>
      <c r="O730" s="198"/>
      <c r="P730" s="110"/>
      <c r="Q730" s="110"/>
      <c r="R730" s="110"/>
      <c r="V730" s="110"/>
      <c r="Y730" s="110"/>
      <c r="Z730" s="198"/>
      <c r="AA730" s="110"/>
      <c r="AB730" s="110"/>
      <c r="AC730" s="198"/>
      <c r="AD730" s="198"/>
      <c r="AH730" s="207"/>
      <c r="AI730" s="110"/>
      <c r="AJ730" s="110"/>
      <c r="AL730" s="110"/>
      <c r="AM730" s="141"/>
      <c r="AN730" s="141"/>
    </row>
    <row r="731" spans="1:40" x14ac:dyDescent="0.3">
      <c r="C731" s="99"/>
      <c r="F731" s="110"/>
      <c r="H731" s="110"/>
      <c r="I731" s="110"/>
      <c r="J731" s="198"/>
      <c r="K731" s="198"/>
      <c r="L731" s="110"/>
      <c r="M731" s="110"/>
      <c r="N731" s="198"/>
      <c r="O731" s="198"/>
      <c r="P731" s="110"/>
      <c r="Q731" s="110"/>
      <c r="R731" s="110"/>
      <c r="T731" s="99"/>
      <c r="V731" s="110"/>
      <c r="Y731" s="110"/>
      <c r="Z731" s="198"/>
      <c r="AA731" s="110"/>
      <c r="AB731" s="110"/>
      <c r="AC731" s="198"/>
      <c r="AD731" s="198"/>
      <c r="AE731" s="110"/>
      <c r="AF731" s="110"/>
      <c r="AH731" s="207"/>
      <c r="AI731" s="110"/>
      <c r="AJ731" s="110"/>
      <c r="AL731" s="110"/>
      <c r="AM731" s="141"/>
      <c r="AN731" s="141"/>
    </row>
    <row r="732" spans="1:40" x14ac:dyDescent="0.3">
      <c r="F732" s="192"/>
      <c r="H732" s="192"/>
      <c r="I732" s="192"/>
      <c r="J732" s="217"/>
      <c r="K732" s="217"/>
      <c r="L732" s="192"/>
      <c r="M732" s="192"/>
      <c r="N732" s="192"/>
      <c r="O732" s="192"/>
      <c r="P732" s="192"/>
      <c r="Q732" s="192"/>
      <c r="R732" s="192"/>
      <c r="V732" s="192"/>
      <c r="Y732" s="192"/>
      <c r="Z732" s="217"/>
      <c r="AA732" s="192"/>
      <c r="AB732" s="192"/>
      <c r="AC732" s="192"/>
      <c r="AD732" s="192"/>
      <c r="AE732" s="192"/>
      <c r="AF732" s="192"/>
      <c r="AI732" s="192"/>
      <c r="AJ732" s="192"/>
      <c r="AK732" s="194"/>
      <c r="AL732" s="192"/>
    </row>
    <row r="734" spans="1:40" x14ac:dyDescent="0.3">
      <c r="C734" s="99"/>
      <c r="L734" s="110"/>
      <c r="M734" s="110"/>
      <c r="P734" s="110"/>
      <c r="Q734" s="110"/>
      <c r="R734" s="110"/>
      <c r="T734" s="99"/>
    </row>
    <row r="735" spans="1:40" x14ac:dyDescent="0.3">
      <c r="A735" s="99"/>
      <c r="L735" s="110"/>
      <c r="M735" s="110"/>
      <c r="P735" s="110"/>
      <c r="Q735" s="110"/>
      <c r="R735" s="110"/>
    </row>
    <row r="736" spans="1:40" x14ac:dyDescent="0.3">
      <c r="L736" s="110"/>
      <c r="M736" s="110"/>
      <c r="P736" s="110"/>
      <c r="Q736" s="110"/>
      <c r="R736" s="110"/>
    </row>
    <row r="737" spans="12:18" x14ac:dyDescent="0.3">
      <c r="L737" s="110"/>
      <c r="M737" s="110"/>
      <c r="P737" s="110"/>
      <c r="Q737" s="110"/>
      <c r="R737" s="110"/>
    </row>
    <row r="738" spans="12:18" x14ac:dyDescent="0.3">
      <c r="L738" s="110"/>
      <c r="M738" s="110"/>
      <c r="P738" s="110"/>
      <c r="Q738" s="110"/>
      <c r="R738" s="110"/>
    </row>
    <row r="739" spans="12:18" x14ac:dyDescent="0.3">
      <c r="L739" s="110"/>
      <c r="M739" s="110"/>
      <c r="P739" s="110"/>
      <c r="Q739" s="110"/>
      <c r="R739" s="110"/>
    </row>
    <row r="740" spans="12:18" x14ac:dyDescent="0.3">
      <c r="L740" s="110"/>
      <c r="M740" s="110"/>
      <c r="P740" s="110"/>
      <c r="Q740" s="110"/>
      <c r="R740" s="110"/>
    </row>
    <row r="773" spans="49:49" x14ac:dyDescent="0.3">
      <c r="AW773" s="110"/>
    </row>
    <row r="774" spans="49:49" x14ac:dyDescent="0.3">
      <c r="AW774" s="110"/>
    </row>
    <row r="775" spans="49:49" x14ac:dyDescent="0.3">
      <c r="AW775" s="110"/>
    </row>
    <row r="776" spans="49:49" x14ac:dyDescent="0.3">
      <c r="AW776" s="110"/>
    </row>
    <row r="777" spans="49:49" x14ac:dyDescent="0.3">
      <c r="AW777" s="110"/>
    </row>
    <row r="778" spans="49:49" x14ac:dyDescent="0.3">
      <c r="AW778" s="110"/>
    </row>
    <row r="781" spans="49:49" x14ac:dyDescent="0.3">
      <c r="AW781" s="110"/>
    </row>
    <row r="782" spans="49:49" x14ac:dyDescent="0.3">
      <c r="AW782" s="110"/>
    </row>
    <row r="783" spans="49:49" x14ac:dyDescent="0.3">
      <c r="AW783" s="110"/>
    </row>
    <row r="784" spans="49:49" x14ac:dyDescent="0.3">
      <c r="AW784" s="110"/>
    </row>
    <row r="785" spans="49:49" x14ac:dyDescent="0.3">
      <c r="AW785" s="110"/>
    </row>
    <row r="786" spans="49:49" x14ac:dyDescent="0.3">
      <c r="AW786" s="110"/>
    </row>
    <row r="787" spans="49:49" x14ac:dyDescent="0.3">
      <c r="AW787" s="110"/>
    </row>
    <row r="788" spans="49:49" x14ac:dyDescent="0.3">
      <c r="AW788" s="110"/>
    </row>
    <row r="791" spans="49:49" x14ac:dyDescent="0.3">
      <c r="AW791" s="110"/>
    </row>
    <row r="792" spans="49:49" x14ac:dyDescent="0.3">
      <c r="AW792" s="110"/>
    </row>
    <row r="795" spans="49:49" x14ac:dyDescent="0.3">
      <c r="AW795" s="110"/>
    </row>
    <row r="796" spans="49:49" x14ac:dyDescent="0.3">
      <c r="AW796" s="110"/>
    </row>
    <row r="797" spans="49:49" x14ac:dyDescent="0.3">
      <c r="AW797" s="110"/>
    </row>
    <row r="798" spans="49:49" x14ac:dyDescent="0.3">
      <c r="AW798" s="110"/>
    </row>
    <row r="806" spans="45:69" x14ac:dyDescent="0.3">
      <c r="AY806" s="99"/>
    </row>
    <row r="807" spans="45:69" x14ac:dyDescent="0.3">
      <c r="AY807" s="99"/>
    </row>
    <row r="808" spans="45:69" x14ac:dyDescent="0.3">
      <c r="BD808" s="99"/>
    </row>
    <row r="809" spans="45:69" x14ac:dyDescent="0.3">
      <c r="BD809" s="99"/>
    </row>
    <row r="810" spans="45:69" x14ac:dyDescent="0.3">
      <c r="AS810" s="99"/>
      <c r="BD810" s="99"/>
    </row>
    <row r="812" spans="45:69" x14ac:dyDescent="0.3"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</row>
    <row r="813" spans="45:69" x14ac:dyDescent="0.3">
      <c r="AX813" s="99"/>
    </row>
    <row r="814" spans="45:69" x14ac:dyDescent="0.3">
      <c r="AX814" s="101"/>
      <c r="AY814" s="101"/>
      <c r="AZ814" s="101"/>
      <c r="BA814" s="101"/>
      <c r="BC814" s="102"/>
      <c r="BD814" s="102"/>
    </row>
    <row r="815" spans="45:69" x14ac:dyDescent="0.3">
      <c r="AV815" s="102"/>
      <c r="AW815" s="102"/>
      <c r="AZ815" s="102"/>
      <c r="BA815" s="102"/>
      <c r="BC815" s="102"/>
      <c r="BD815" s="102"/>
      <c r="BE815" s="102"/>
      <c r="BG815" s="101"/>
      <c r="BH815" s="99"/>
      <c r="BK815" s="101"/>
      <c r="BM815" s="101"/>
      <c r="BN815" s="99"/>
      <c r="BQ815" s="101"/>
    </row>
    <row r="816" spans="45:69" x14ac:dyDescent="0.3"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H816" s="102"/>
      <c r="BI816" s="102"/>
      <c r="BJ816" s="102"/>
      <c r="BN816" s="102"/>
      <c r="BO816" s="102"/>
      <c r="BP816" s="102"/>
    </row>
    <row r="817" spans="45:69" x14ac:dyDescent="0.3">
      <c r="AS817" s="102"/>
      <c r="AU817" s="99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G817" s="102"/>
      <c r="BH817" s="102"/>
      <c r="BI817" s="102"/>
      <c r="BJ817" s="102"/>
      <c r="BK817" s="102"/>
      <c r="BM817" s="102"/>
      <c r="BN817" s="102"/>
      <c r="BO817" s="102"/>
      <c r="BP817" s="102"/>
      <c r="BQ817" s="102"/>
    </row>
    <row r="818" spans="45:69" x14ac:dyDescent="0.3">
      <c r="AS818" s="102"/>
      <c r="AU818" s="99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G818" s="102"/>
      <c r="BH818" s="102"/>
      <c r="BI818" s="102"/>
      <c r="BJ818" s="102"/>
      <c r="BK818" s="102"/>
      <c r="BM818" s="102"/>
      <c r="BN818" s="102"/>
      <c r="BO818" s="102"/>
      <c r="BP818" s="102"/>
      <c r="BQ818" s="102"/>
    </row>
    <row r="819" spans="45:69" x14ac:dyDescent="0.3"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G819" s="101"/>
      <c r="BH819" s="101"/>
      <c r="BI819" s="101"/>
      <c r="BJ819" s="101"/>
      <c r="BK819" s="101"/>
      <c r="BM819" s="101"/>
      <c r="BN819" s="101"/>
      <c r="BO819" s="101"/>
      <c r="BP819" s="101"/>
      <c r="BQ819" s="101"/>
    </row>
    <row r="820" spans="45:69" x14ac:dyDescent="0.3"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</row>
    <row r="821" spans="45:69" x14ac:dyDescent="0.3">
      <c r="AU821" s="99"/>
      <c r="AV821" s="102"/>
      <c r="AY821" s="198"/>
    </row>
    <row r="822" spans="45:69" x14ac:dyDescent="0.3">
      <c r="AV822" s="102"/>
      <c r="AW822" s="110"/>
      <c r="AX822" s="163"/>
      <c r="AY822" s="163"/>
      <c r="AZ822" s="163"/>
      <c r="BA822" s="141"/>
      <c r="BB822" s="163"/>
      <c r="BC822" s="198"/>
      <c r="BD822" s="198"/>
      <c r="BE822" s="141"/>
      <c r="BG822" s="163"/>
      <c r="BH822" s="163"/>
      <c r="BI822" s="163"/>
      <c r="BJ822" s="163"/>
      <c r="BK822" s="163"/>
      <c r="BM822" s="163"/>
      <c r="BN822" s="163"/>
      <c r="BO822" s="163"/>
      <c r="BP822" s="163"/>
      <c r="BQ822" s="163"/>
    </row>
    <row r="823" spans="45:69" x14ac:dyDescent="0.3">
      <c r="AV823" s="102"/>
      <c r="AW823" s="110"/>
      <c r="AX823" s="163"/>
      <c r="AY823" s="163"/>
      <c r="AZ823" s="163"/>
      <c r="BA823" s="141"/>
      <c r="BB823" s="163"/>
      <c r="BC823" s="198"/>
      <c r="BD823" s="198"/>
      <c r="BE823" s="141"/>
      <c r="BG823" s="163"/>
      <c r="BH823" s="163"/>
      <c r="BI823" s="163"/>
      <c r="BJ823" s="163"/>
      <c r="BK823" s="163"/>
      <c r="BM823" s="163"/>
      <c r="BN823" s="163"/>
      <c r="BO823" s="163"/>
      <c r="BP823" s="163"/>
      <c r="BQ823" s="163"/>
    </row>
    <row r="824" spans="45:69" x14ac:dyDescent="0.3">
      <c r="AV824" s="102"/>
      <c r="AW824" s="110"/>
      <c r="AX824" s="163"/>
      <c r="AY824" s="163"/>
      <c r="AZ824" s="163"/>
      <c r="BA824" s="141"/>
      <c r="BB824" s="163"/>
      <c r="BC824" s="198"/>
      <c r="BD824" s="198"/>
      <c r="BE824" s="141"/>
      <c r="BG824" s="163"/>
      <c r="BH824" s="163"/>
      <c r="BI824" s="163"/>
      <c r="BJ824" s="163"/>
      <c r="BK824" s="163"/>
      <c r="BM824" s="163"/>
      <c r="BN824" s="163"/>
      <c r="BO824" s="163"/>
      <c r="BP824" s="163"/>
      <c r="BQ824" s="163"/>
    </row>
    <row r="825" spans="45:69" x14ac:dyDescent="0.3">
      <c r="AV825" s="102"/>
      <c r="AW825" s="110"/>
      <c r="AX825" s="163"/>
      <c r="AY825" s="163"/>
      <c r="AZ825" s="163"/>
      <c r="BA825" s="141"/>
      <c r="BB825" s="163"/>
      <c r="BC825" s="198"/>
      <c r="BD825" s="198"/>
      <c r="BE825" s="141"/>
      <c r="BG825" s="163"/>
      <c r="BH825" s="163"/>
      <c r="BI825" s="163"/>
      <c r="BJ825" s="163"/>
      <c r="BK825" s="163"/>
      <c r="BM825" s="163"/>
      <c r="BN825" s="163"/>
      <c r="BO825" s="163"/>
      <c r="BP825" s="163"/>
      <c r="BQ825" s="163"/>
    </row>
    <row r="826" spans="45:69" x14ac:dyDescent="0.3">
      <c r="AV826" s="102"/>
      <c r="AW826" s="110"/>
      <c r="AX826" s="163"/>
      <c r="AY826" s="163"/>
      <c r="AZ826" s="163"/>
      <c r="BA826" s="141"/>
      <c r="BB826" s="163"/>
      <c r="BC826" s="198"/>
      <c r="BD826" s="198"/>
      <c r="BE826" s="141"/>
      <c r="BG826" s="163"/>
      <c r="BH826" s="163"/>
      <c r="BI826" s="163"/>
      <c r="BJ826" s="163"/>
      <c r="BK826" s="163"/>
      <c r="BM826" s="163"/>
      <c r="BN826" s="163"/>
      <c r="BO826" s="163"/>
      <c r="BP826" s="163"/>
      <c r="BQ826" s="163"/>
    </row>
    <row r="827" spans="45:69" x14ac:dyDescent="0.3">
      <c r="AV827" s="102"/>
      <c r="AW827" s="110"/>
      <c r="AX827" s="163"/>
      <c r="AY827" s="163"/>
      <c r="AZ827" s="163"/>
      <c r="BA827" s="141"/>
      <c r="BB827" s="163"/>
      <c r="BC827" s="198"/>
      <c r="BD827" s="198"/>
      <c r="BE827" s="141"/>
      <c r="BG827" s="163"/>
      <c r="BH827" s="163"/>
      <c r="BI827" s="163"/>
      <c r="BJ827" s="163"/>
      <c r="BK827" s="163"/>
      <c r="BM827" s="163"/>
      <c r="BN827" s="163"/>
      <c r="BO827" s="163"/>
      <c r="BP827" s="163"/>
      <c r="BQ827" s="163"/>
    </row>
    <row r="828" spans="45:69" x14ac:dyDescent="0.3">
      <c r="AV828" s="102"/>
      <c r="AW828" s="110"/>
      <c r="AX828" s="163"/>
      <c r="AY828" s="163"/>
      <c r="AZ828" s="163"/>
      <c r="BA828" s="141"/>
      <c r="BB828" s="163"/>
      <c r="BC828" s="198"/>
      <c r="BD828" s="198"/>
      <c r="BE828" s="141"/>
      <c r="BG828" s="163"/>
      <c r="BH828" s="163"/>
      <c r="BI828" s="163"/>
      <c r="BJ828" s="163"/>
      <c r="BK828" s="163"/>
      <c r="BM828" s="163"/>
      <c r="BN828" s="163"/>
      <c r="BO828" s="163"/>
      <c r="BP828" s="163"/>
      <c r="BQ828" s="163"/>
    </row>
    <row r="829" spans="45:69" x14ac:dyDescent="0.3">
      <c r="AY829" s="198"/>
      <c r="AZ829" s="163"/>
      <c r="BA829" s="141"/>
      <c r="BB829" s="163"/>
      <c r="BC829" s="198"/>
      <c r="BD829" s="198"/>
      <c r="BE829" s="141"/>
      <c r="BK829" s="163"/>
      <c r="BQ829" s="163"/>
    </row>
    <row r="830" spans="45:69" x14ac:dyDescent="0.3">
      <c r="AV830" s="102"/>
      <c r="AY830" s="198"/>
      <c r="AZ830" s="163"/>
      <c r="BA830" s="141"/>
      <c r="BB830" s="163"/>
      <c r="BC830" s="198"/>
      <c r="BD830" s="198"/>
      <c r="BE830" s="141"/>
      <c r="BK830" s="163"/>
      <c r="BQ830" s="163"/>
    </row>
    <row r="831" spans="45:69" x14ac:dyDescent="0.3">
      <c r="AV831" s="102"/>
      <c r="AW831" s="110"/>
      <c r="AX831" s="163"/>
      <c r="AY831" s="163"/>
      <c r="AZ831" s="163"/>
      <c r="BA831" s="141"/>
      <c r="BB831" s="163"/>
      <c r="BC831" s="198"/>
      <c r="BD831" s="198"/>
      <c r="BE831" s="141"/>
      <c r="BG831" s="163"/>
      <c r="BH831" s="163"/>
      <c r="BI831" s="163"/>
      <c r="BJ831" s="163"/>
      <c r="BK831" s="163"/>
      <c r="BM831" s="163"/>
      <c r="BN831" s="163"/>
      <c r="BO831" s="163"/>
      <c r="BP831" s="163"/>
      <c r="BQ831" s="163"/>
    </row>
    <row r="832" spans="45:69" x14ac:dyDescent="0.3">
      <c r="AV832" s="102"/>
      <c r="AW832" s="110"/>
      <c r="AX832" s="163"/>
      <c r="AY832" s="163"/>
      <c r="AZ832" s="163"/>
      <c r="BA832" s="141"/>
      <c r="BB832" s="163"/>
      <c r="BC832" s="198"/>
      <c r="BD832" s="198"/>
      <c r="BE832" s="141"/>
      <c r="BG832" s="163"/>
      <c r="BH832" s="163"/>
      <c r="BI832" s="163"/>
      <c r="BJ832" s="163"/>
      <c r="BK832" s="163"/>
      <c r="BM832" s="163"/>
      <c r="BN832" s="163"/>
      <c r="BO832" s="163"/>
      <c r="BP832" s="163"/>
      <c r="BQ832" s="163"/>
    </row>
    <row r="833" spans="45:69" x14ac:dyDescent="0.3">
      <c r="AV833" s="102"/>
      <c r="AW833" s="110"/>
      <c r="AX833" s="163"/>
      <c r="AY833" s="163"/>
      <c r="AZ833" s="163"/>
      <c r="BA833" s="141"/>
      <c r="BB833" s="163"/>
      <c r="BC833" s="198"/>
      <c r="BD833" s="198"/>
      <c r="BE833" s="141"/>
      <c r="BG833" s="163"/>
      <c r="BH833" s="163"/>
      <c r="BI833" s="163"/>
      <c r="BJ833" s="163"/>
      <c r="BK833" s="163"/>
      <c r="BM833" s="163"/>
      <c r="BN833" s="163"/>
      <c r="BO833" s="163"/>
      <c r="BP833" s="163"/>
      <c r="BQ833" s="163"/>
    </row>
    <row r="834" spans="45:69" x14ac:dyDescent="0.3">
      <c r="AV834" s="102"/>
      <c r="AW834" s="110"/>
      <c r="AX834" s="163"/>
      <c r="AY834" s="163"/>
      <c r="AZ834" s="163"/>
      <c r="BA834" s="141"/>
      <c r="BB834" s="163"/>
      <c r="BC834" s="198"/>
      <c r="BD834" s="198"/>
      <c r="BE834" s="141"/>
      <c r="BG834" s="163"/>
      <c r="BH834" s="163"/>
      <c r="BI834" s="163"/>
      <c r="BJ834" s="163"/>
      <c r="BK834" s="163"/>
      <c r="BM834" s="163"/>
      <c r="BN834" s="163"/>
      <c r="BO834" s="163"/>
      <c r="BP834" s="163"/>
      <c r="BQ834" s="163"/>
    </row>
    <row r="835" spans="45:69" x14ac:dyDescent="0.3">
      <c r="AV835" s="102"/>
      <c r="AW835" s="110"/>
      <c r="AX835" s="163"/>
      <c r="AY835" s="163"/>
      <c r="AZ835" s="163"/>
      <c r="BA835" s="141"/>
      <c r="BB835" s="163"/>
      <c r="BC835" s="198"/>
      <c r="BD835" s="198"/>
      <c r="BE835" s="141"/>
      <c r="BG835" s="163"/>
      <c r="BH835" s="163"/>
      <c r="BI835" s="163"/>
      <c r="BJ835" s="163"/>
      <c r="BK835" s="163"/>
      <c r="BM835" s="163"/>
      <c r="BN835" s="163"/>
      <c r="BO835" s="163"/>
      <c r="BP835" s="163"/>
      <c r="BQ835" s="163"/>
    </row>
    <row r="836" spans="45:69" x14ac:dyDescent="0.3">
      <c r="AV836" s="102"/>
      <c r="AW836" s="110"/>
      <c r="AX836" s="163"/>
      <c r="AY836" s="163"/>
      <c r="AZ836" s="163"/>
      <c r="BA836" s="141"/>
      <c r="BB836" s="163"/>
      <c r="BC836" s="198"/>
      <c r="BD836" s="198"/>
      <c r="BE836" s="141"/>
      <c r="BG836" s="163"/>
      <c r="BH836" s="163"/>
      <c r="BI836" s="163"/>
      <c r="BJ836" s="163"/>
      <c r="BK836" s="163"/>
      <c r="BM836" s="163"/>
      <c r="BN836" s="163"/>
      <c r="BO836" s="163"/>
      <c r="BP836" s="163"/>
      <c r="BQ836" s="163"/>
    </row>
    <row r="837" spans="45:69" x14ac:dyDescent="0.3">
      <c r="AV837" s="102"/>
      <c r="AW837" s="110"/>
      <c r="AX837" s="163"/>
      <c r="AY837" s="163"/>
      <c r="AZ837" s="163"/>
      <c r="BA837" s="141"/>
      <c r="BB837" s="163"/>
      <c r="BC837" s="198"/>
      <c r="BD837" s="198"/>
      <c r="BE837" s="141"/>
      <c r="BG837" s="163"/>
      <c r="BH837" s="163"/>
      <c r="BI837" s="163"/>
      <c r="BJ837" s="163"/>
      <c r="BK837" s="163"/>
      <c r="BM837" s="163"/>
      <c r="BN837" s="163"/>
      <c r="BO837" s="163"/>
      <c r="BP837" s="163"/>
      <c r="BQ837" s="163"/>
    </row>
    <row r="838" spans="45:69" x14ac:dyDescent="0.3">
      <c r="AV838" s="102"/>
      <c r="AW838" s="110"/>
      <c r="AX838" s="163"/>
      <c r="AY838" s="163"/>
      <c r="AZ838" s="163"/>
      <c r="BA838" s="141"/>
      <c r="BB838" s="163"/>
      <c r="BC838" s="198"/>
      <c r="BD838" s="198"/>
      <c r="BE838" s="141"/>
      <c r="BG838" s="163"/>
      <c r="BH838" s="163"/>
      <c r="BI838" s="163"/>
      <c r="BJ838" s="163"/>
      <c r="BK838" s="163"/>
      <c r="BM838" s="163"/>
      <c r="BN838" s="163"/>
      <c r="BO838" s="163"/>
      <c r="BP838" s="163"/>
      <c r="BQ838" s="163"/>
    </row>
    <row r="839" spans="45:69" x14ac:dyDescent="0.3">
      <c r="AY839" s="198"/>
      <c r="AZ839" s="163"/>
      <c r="BA839" s="141"/>
      <c r="BB839" s="163"/>
      <c r="BC839" s="198"/>
      <c r="BD839" s="198"/>
      <c r="BE839" s="141"/>
      <c r="BK839" s="163"/>
      <c r="BQ839" s="163"/>
    </row>
    <row r="840" spans="45:69" x14ac:dyDescent="0.3">
      <c r="AU840" s="99"/>
      <c r="AZ840" s="163"/>
      <c r="BB840" s="163"/>
      <c r="BG840" s="163"/>
      <c r="BH840" s="163"/>
      <c r="BJ840" s="163"/>
      <c r="BK840" s="163"/>
    </row>
    <row r="841" spans="45:69" x14ac:dyDescent="0.3">
      <c r="AZ841" s="163"/>
      <c r="BB841" s="163"/>
    </row>
    <row r="842" spans="45:69" x14ac:dyDescent="0.3">
      <c r="AS842" s="99"/>
      <c r="AZ842" s="163"/>
      <c r="BB842" s="163"/>
      <c r="BI842" s="163"/>
    </row>
    <row r="843" spans="45:69" x14ac:dyDescent="0.3">
      <c r="AZ843" s="163"/>
      <c r="BB843" s="163"/>
    </row>
    <row r="844" spans="45:69" x14ac:dyDescent="0.3">
      <c r="AY844" s="163"/>
      <c r="BB844" s="163"/>
    </row>
    <row r="845" spans="45:69" x14ac:dyDescent="0.3">
      <c r="AY845" s="99"/>
      <c r="AZ845" s="163"/>
      <c r="BB845" s="163"/>
    </row>
    <row r="846" spans="45:69" x14ac:dyDescent="0.3">
      <c r="AY846" s="99"/>
      <c r="AZ846" s="163"/>
      <c r="BB846" s="163"/>
    </row>
    <row r="847" spans="45:69" x14ac:dyDescent="0.3">
      <c r="AZ847" s="163"/>
      <c r="BB847" s="163"/>
      <c r="BD847" s="99"/>
    </row>
    <row r="848" spans="45:69" x14ac:dyDescent="0.3">
      <c r="AZ848" s="163"/>
      <c r="BB848" s="163"/>
      <c r="BD848" s="99"/>
    </row>
    <row r="849" spans="45:75" x14ac:dyDescent="0.3">
      <c r="AS849" s="99"/>
      <c r="AZ849" s="163"/>
      <c r="BB849" s="163"/>
      <c r="BD849" s="99"/>
    </row>
    <row r="850" spans="45:75" x14ac:dyDescent="0.3">
      <c r="AZ850" s="163"/>
      <c r="BB850" s="163"/>
    </row>
    <row r="851" spans="45:75" x14ac:dyDescent="0.3">
      <c r="AS851" s="101"/>
      <c r="AT851" s="101"/>
      <c r="AU851" s="101"/>
      <c r="AV851" s="101"/>
      <c r="AW851" s="101"/>
      <c r="AX851" s="101"/>
      <c r="AY851" s="101"/>
      <c r="AZ851" s="212"/>
      <c r="BA851" s="101"/>
      <c r="BB851" s="212"/>
      <c r="BC851" s="101"/>
      <c r="BD851" s="101"/>
      <c r="BE851" s="101"/>
    </row>
    <row r="852" spans="45:75" x14ac:dyDescent="0.3">
      <c r="AX852" s="99"/>
      <c r="AZ852" s="163"/>
      <c r="BB852" s="163"/>
    </row>
    <row r="853" spans="45:75" x14ac:dyDescent="0.3">
      <c r="AX853" s="101"/>
      <c r="AY853" s="101"/>
      <c r="AZ853" s="212"/>
      <c r="BA853" s="101"/>
      <c r="BB853" s="163"/>
      <c r="BC853" s="102"/>
      <c r="BD853" s="102"/>
    </row>
    <row r="854" spans="45:75" x14ac:dyDescent="0.3">
      <c r="AV854" s="102"/>
      <c r="AW854" s="102"/>
      <c r="AZ854" s="213"/>
      <c r="BA854" s="102"/>
      <c r="BB854" s="163"/>
      <c r="BC854" s="102"/>
      <c r="BD854" s="102"/>
      <c r="BE854" s="102"/>
      <c r="BG854" s="101"/>
      <c r="BH854" s="101"/>
      <c r="BI854" s="99"/>
      <c r="BM854" s="101"/>
      <c r="BN854" s="101"/>
      <c r="BP854" s="101"/>
      <c r="BQ854" s="101"/>
      <c r="BR854" s="99"/>
      <c r="BV854" s="101"/>
      <c r="BW854" s="101"/>
    </row>
    <row r="855" spans="45:75" x14ac:dyDescent="0.3">
      <c r="AV855" s="102"/>
      <c r="AW855" s="102"/>
      <c r="AX855" s="102"/>
      <c r="AY855" s="102"/>
      <c r="AZ855" s="213"/>
      <c r="BA855" s="102"/>
      <c r="BB855" s="213"/>
      <c r="BC855" s="102"/>
      <c r="BD855" s="102"/>
      <c r="BE855" s="102"/>
      <c r="BH855" s="102"/>
      <c r="BI855" s="102"/>
      <c r="BJ855" s="102"/>
      <c r="BK855" s="102"/>
      <c r="BL855" s="102"/>
      <c r="BM855" s="102"/>
      <c r="BQ855" s="102"/>
      <c r="BR855" s="102"/>
      <c r="BS855" s="102"/>
      <c r="BT855" s="102"/>
      <c r="BU855" s="102"/>
      <c r="BV855" s="102"/>
    </row>
    <row r="856" spans="45:75" x14ac:dyDescent="0.3">
      <c r="AS856" s="102"/>
      <c r="AU856" s="99"/>
      <c r="AV856" s="102"/>
      <c r="AW856" s="102"/>
      <c r="AX856" s="102"/>
      <c r="AY856" s="102"/>
      <c r="AZ856" s="213"/>
      <c r="BA856" s="102"/>
      <c r="BB856" s="213"/>
      <c r="BC856" s="102"/>
      <c r="BD856" s="102"/>
      <c r="BE856" s="102"/>
      <c r="BG856" s="102"/>
      <c r="BH856" s="102"/>
      <c r="BI856" s="102"/>
      <c r="BJ856" s="102"/>
      <c r="BK856" s="102"/>
      <c r="BL856" s="102"/>
      <c r="BM856" s="102"/>
      <c r="BN856" s="102"/>
      <c r="BP856" s="102"/>
      <c r="BQ856" s="102"/>
      <c r="BR856" s="102"/>
      <c r="BS856" s="102"/>
      <c r="BT856" s="102"/>
      <c r="BU856" s="102"/>
      <c r="BV856" s="102"/>
      <c r="BW856" s="102"/>
    </row>
    <row r="857" spans="45:75" x14ac:dyDescent="0.3">
      <c r="AS857" s="102"/>
      <c r="AU857" s="99"/>
      <c r="AV857" s="102"/>
      <c r="AW857" s="102"/>
      <c r="AX857" s="102"/>
      <c r="AY857" s="102"/>
      <c r="AZ857" s="213"/>
      <c r="BA857" s="102"/>
      <c r="BB857" s="213"/>
      <c r="BC857" s="102"/>
      <c r="BD857" s="102"/>
      <c r="BE857" s="102"/>
      <c r="BG857" s="102"/>
      <c r="BH857" s="102"/>
      <c r="BI857" s="102"/>
      <c r="BJ857" s="102"/>
      <c r="BK857" s="102"/>
      <c r="BL857" s="102"/>
      <c r="BM857" s="102"/>
      <c r="BN857" s="102"/>
      <c r="BP857" s="102"/>
      <c r="BQ857" s="102"/>
      <c r="BR857" s="102"/>
      <c r="BS857" s="102"/>
      <c r="BT857" s="102"/>
      <c r="BU857" s="102"/>
      <c r="BV857" s="102"/>
      <c r="BW857" s="102"/>
    </row>
    <row r="858" spans="45:75" x14ac:dyDescent="0.3">
      <c r="AS858" s="101"/>
      <c r="AT858" s="101"/>
      <c r="AU858" s="101"/>
      <c r="AV858" s="101"/>
      <c r="AW858" s="101"/>
      <c r="AX858" s="101"/>
      <c r="AY858" s="101"/>
      <c r="AZ858" s="212"/>
      <c r="BA858" s="101"/>
      <c r="BB858" s="212"/>
      <c r="BC858" s="101"/>
      <c r="BD858" s="101"/>
      <c r="BE858" s="101"/>
      <c r="BG858" s="101"/>
      <c r="BH858" s="101"/>
      <c r="BI858" s="101"/>
      <c r="BJ858" s="101"/>
      <c r="BK858" s="101"/>
      <c r="BL858" s="101"/>
      <c r="BM858" s="101"/>
      <c r="BN858" s="101"/>
      <c r="BP858" s="101"/>
      <c r="BQ858" s="101"/>
      <c r="BR858" s="101"/>
      <c r="BS858" s="101"/>
      <c r="BT858" s="101"/>
      <c r="BU858" s="101"/>
      <c r="BV858" s="101"/>
      <c r="BW858" s="101"/>
    </row>
    <row r="859" spans="45:75" x14ac:dyDescent="0.3">
      <c r="AV859" s="102"/>
      <c r="AW859" s="102"/>
      <c r="AX859" s="102"/>
      <c r="AY859" s="102"/>
      <c r="AZ859" s="213"/>
      <c r="BA859" s="102"/>
      <c r="BB859" s="213"/>
      <c r="BC859" s="102"/>
      <c r="BD859" s="102"/>
      <c r="BE859" s="102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</row>
    <row r="860" spans="45:75" x14ac:dyDescent="0.3">
      <c r="AU860" s="99"/>
      <c r="AW860" s="110"/>
      <c r="AX860" s="163"/>
      <c r="AY860" s="163"/>
      <c r="AZ860" s="163"/>
      <c r="BA860" s="207"/>
      <c r="BB860" s="163"/>
      <c r="BC860" s="163"/>
      <c r="BD860" s="163"/>
      <c r="BE860" s="207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</row>
    <row r="861" spans="45:75" x14ac:dyDescent="0.3">
      <c r="AW861" s="110"/>
      <c r="AX861" s="163"/>
      <c r="AY861" s="163"/>
      <c r="AZ861" s="163"/>
      <c r="BA861" s="207"/>
      <c r="BB861" s="163"/>
      <c r="BC861" s="163"/>
      <c r="BD861" s="163"/>
      <c r="BE861" s="207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</row>
    <row r="862" spans="45:75" x14ac:dyDescent="0.3"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</row>
    <row r="863" spans="45:75" x14ac:dyDescent="0.3">
      <c r="AW863" s="110"/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</row>
    <row r="864" spans="45:75" x14ac:dyDescent="0.3">
      <c r="AW864" s="110"/>
      <c r="AX864" s="163"/>
      <c r="AY864" s="163"/>
      <c r="AZ864" s="163"/>
      <c r="BA864" s="207"/>
      <c r="BB864" s="163"/>
      <c r="BC864" s="163"/>
      <c r="BD864" s="163"/>
      <c r="BE864" s="207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</row>
    <row r="865" spans="49:75" x14ac:dyDescent="0.3">
      <c r="AW865" s="110"/>
      <c r="AX865" s="163"/>
      <c r="AY865" s="163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</row>
    <row r="866" spans="49:75" x14ac:dyDescent="0.3">
      <c r="AW866" s="110"/>
      <c r="AX866" s="163"/>
      <c r="AY866" s="163"/>
      <c r="AZ866" s="163"/>
      <c r="BA866" s="207"/>
      <c r="BB866" s="163"/>
      <c r="BC866" s="163"/>
      <c r="BD866" s="163"/>
      <c r="BE866" s="207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</row>
    <row r="867" spans="49:75" x14ac:dyDescent="0.3">
      <c r="AW867" s="110"/>
      <c r="AX867" s="163"/>
      <c r="AY867" s="163"/>
      <c r="AZ867" s="163"/>
      <c r="BA867" s="207"/>
      <c r="BB867" s="163"/>
      <c r="BC867" s="163"/>
      <c r="BD867" s="163"/>
      <c r="BE867" s="207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</row>
    <row r="868" spans="49:75" x14ac:dyDescent="0.3"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</row>
    <row r="869" spans="49:75" x14ac:dyDescent="0.3"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</row>
    <row r="870" spans="49:75" x14ac:dyDescent="0.3"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</row>
    <row r="871" spans="49:75" x14ac:dyDescent="0.3"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</row>
    <row r="872" spans="49:75" x14ac:dyDescent="0.3"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</row>
    <row r="873" spans="49:75" x14ac:dyDescent="0.3">
      <c r="AW873" s="110"/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</row>
    <row r="874" spans="49:75" x14ac:dyDescent="0.3">
      <c r="AW874" s="110"/>
      <c r="AX874" s="163"/>
      <c r="AY874" s="163"/>
      <c r="AZ874" s="163"/>
      <c r="BA874" s="207"/>
      <c r="BB874" s="163"/>
      <c r="BC874" s="163"/>
      <c r="BD874" s="163"/>
      <c r="BE874" s="207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</row>
    <row r="875" spans="49:75" x14ac:dyDescent="0.3">
      <c r="AW875" s="110"/>
      <c r="AX875" s="163"/>
      <c r="AY875" s="163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</row>
    <row r="876" spans="49:75" x14ac:dyDescent="0.3"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</row>
    <row r="877" spans="49:75" x14ac:dyDescent="0.3"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</row>
    <row r="878" spans="49:75" x14ac:dyDescent="0.3"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</row>
    <row r="879" spans="49:75" x14ac:dyDescent="0.3"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</row>
    <row r="880" spans="49:75" x14ac:dyDescent="0.3"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</row>
    <row r="881" spans="45:75" x14ac:dyDescent="0.3"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01"/>
      <c r="BH881" s="101"/>
      <c r="BI881" s="99"/>
      <c r="BM881" s="101"/>
      <c r="BN881" s="101"/>
      <c r="BO881" s="163"/>
      <c r="BP881" s="101"/>
      <c r="BQ881" s="101"/>
      <c r="BR881" s="99"/>
      <c r="BV881" s="101"/>
      <c r="BW881" s="101"/>
    </row>
    <row r="882" spans="45:75" x14ac:dyDescent="0.3">
      <c r="AU882" s="99"/>
      <c r="AV882" s="102"/>
      <c r="AW882" s="110"/>
      <c r="AX882" s="163"/>
      <c r="AY882" s="163"/>
      <c r="AZ882" s="163"/>
      <c r="BA882" s="207"/>
      <c r="BB882" s="163"/>
      <c r="BC882" s="163"/>
      <c r="BD882" s="163"/>
      <c r="BE882" s="207"/>
      <c r="BG882" s="213"/>
      <c r="BH882" s="163"/>
      <c r="BI882" s="163"/>
      <c r="BJ882" s="163"/>
      <c r="BK882" s="213"/>
      <c r="BL882" s="214"/>
      <c r="BM882" s="163"/>
      <c r="BN882" s="213"/>
      <c r="BO882" s="163"/>
      <c r="BP882" s="213"/>
      <c r="BQ882" s="163"/>
      <c r="BR882" s="163"/>
      <c r="BS882" s="163"/>
      <c r="BT882" s="213"/>
      <c r="BU882" s="214"/>
      <c r="BV882" s="163"/>
      <c r="BW882" s="213"/>
    </row>
    <row r="883" spans="45:75" x14ac:dyDescent="0.3">
      <c r="AV883" s="102"/>
      <c r="AW883" s="110"/>
      <c r="AX883" s="163"/>
      <c r="AY883" s="163"/>
      <c r="AZ883" s="163"/>
      <c r="BA883" s="207"/>
      <c r="BB883" s="163"/>
      <c r="BC883" s="163"/>
      <c r="BD883" s="163"/>
      <c r="BE883" s="207"/>
      <c r="BG883" s="163"/>
      <c r="BH883" s="163"/>
      <c r="BI883" s="163"/>
      <c r="BJ883" s="163"/>
      <c r="BK883" s="163"/>
      <c r="BL883" s="214"/>
      <c r="BM883" s="163"/>
      <c r="BN883" s="163"/>
      <c r="BO883" s="163"/>
      <c r="BP883" s="163"/>
      <c r="BQ883" s="163"/>
      <c r="BR883" s="163"/>
      <c r="BS883" s="163"/>
      <c r="BT883" s="163"/>
      <c r="BU883" s="214"/>
      <c r="BV883" s="163"/>
      <c r="BW883" s="163"/>
    </row>
    <row r="884" spans="45:75" x14ac:dyDescent="0.3">
      <c r="AV884" s="102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214"/>
      <c r="BM884" s="163"/>
      <c r="BN884" s="163"/>
      <c r="BO884" s="163"/>
      <c r="BP884" s="163"/>
      <c r="BQ884" s="163"/>
      <c r="BR884" s="163"/>
      <c r="BS884" s="163"/>
      <c r="BT884" s="163"/>
      <c r="BU884" s="214"/>
      <c r="BV884" s="163"/>
      <c r="BW884" s="163"/>
    </row>
    <row r="885" spans="45:75" x14ac:dyDescent="0.3">
      <c r="AV885" s="102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214"/>
      <c r="BM885" s="163"/>
      <c r="BN885" s="163"/>
      <c r="BO885" s="163"/>
      <c r="BP885" s="163"/>
      <c r="BQ885" s="163"/>
      <c r="BR885" s="163"/>
      <c r="BS885" s="163"/>
      <c r="BT885" s="163"/>
      <c r="BU885" s="214"/>
      <c r="BV885" s="163"/>
      <c r="BW885" s="163"/>
    </row>
    <row r="886" spans="45:75" x14ac:dyDescent="0.3">
      <c r="AX886" s="163"/>
      <c r="AY886" s="163"/>
      <c r="AZ886" s="163"/>
      <c r="BA886" s="207"/>
      <c r="BB886" s="163"/>
      <c r="BC886" s="163"/>
      <c r="BD886" s="163"/>
      <c r="BE886" s="207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</row>
    <row r="887" spans="45:75" x14ac:dyDescent="0.3">
      <c r="AU887" s="99"/>
    </row>
    <row r="888" spans="45:75" x14ac:dyDescent="0.3">
      <c r="AU888" s="99"/>
      <c r="AZ888" s="163"/>
      <c r="BA888" s="207"/>
      <c r="BB888" s="163"/>
      <c r="BC888" s="163"/>
      <c r="BD888" s="163"/>
      <c r="BE888" s="207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</row>
    <row r="889" spans="45:75" x14ac:dyDescent="0.3">
      <c r="AS889" s="99"/>
      <c r="AZ889" s="163"/>
      <c r="BB889" s="163"/>
    </row>
    <row r="890" spans="45:75" x14ac:dyDescent="0.3">
      <c r="AZ890" s="163"/>
      <c r="BB890" s="163"/>
      <c r="BO890" s="163"/>
      <c r="BP890" s="163"/>
      <c r="BQ890" s="163"/>
      <c r="BR890" s="163"/>
      <c r="BS890" s="163"/>
      <c r="BT890" s="163"/>
      <c r="BU890" s="163"/>
      <c r="BV890" s="163"/>
    </row>
    <row r="891" spans="45:75" x14ac:dyDescent="0.3">
      <c r="AY891" s="163"/>
      <c r="AZ891" s="163"/>
      <c r="BB891" s="163"/>
      <c r="BO891" s="163"/>
      <c r="BP891" s="163"/>
      <c r="BQ891" s="163"/>
      <c r="BR891" s="163"/>
      <c r="BS891" s="163"/>
      <c r="BT891" s="163"/>
      <c r="BU891" s="163"/>
      <c r="BV891" s="163"/>
    </row>
    <row r="892" spans="45:75" x14ac:dyDescent="0.3">
      <c r="AY892" s="99"/>
      <c r="AZ892" s="163"/>
      <c r="BB892" s="163"/>
      <c r="BO892" s="163"/>
      <c r="BP892" s="163"/>
      <c r="BQ892" s="163"/>
      <c r="BR892" s="163"/>
      <c r="BS892" s="163"/>
      <c r="BT892" s="163"/>
      <c r="BU892" s="163"/>
      <c r="BV892" s="163"/>
    </row>
    <row r="893" spans="45:75" x14ac:dyDescent="0.3">
      <c r="AY893" s="99"/>
      <c r="AZ893" s="163"/>
      <c r="BB893" s="163"/>
      <c r="BO893" s="163"/>
      <c r="BP893" s="163"/>
      <c r="BQ893" s="163"/>
      <c r="BR893" s="163"/>
      <c r="BS893" s="163"/>
      <c r="BT893" s="163"/>
      <c r="BU893" s="163"/>
      <c r="BV893" s="163"/>
    </row>
    <row r="894" spans="45:75" x14ac:dyDescent="0.3">
      <c r="AZ894" s="163"/>
      <c r="BB894" s="163"/>
      <c r="BD894" s="99"/>
      <c r="BO894" s="163"/>
      <c r="BP894" s="163"/>
      <c r="BQ894" s="163"/>
      <c r="BR894" s="163"/>
      <c r="BS894" s="163"/>
      <c r="BT894" s="163"/>
      <c r="BU894" s="163"/>
      <c r="BV894" s="163"/>
    </row>
    <row r="895" spans="45:75" x14ac:dyDescent="0.3">
      <c r="AZ895" s="163"/>
      <c r="BB895" s="163"/>
      <c r="BD895" s="99"/>
      <c r="BO895" s="163"/>
      <c r="BP895" s="163"/>
      <c r="BQ895" s="163"/>
      <c r="BR895" s="163"/>
      <c r="BS895" s="163"/>
      <c r="BT895" s="163"/>
      <c r="BU895" s="163"/>
      <c r="BV895" s="163"/>
    </row>
    <row r="896" spans="45:75" x14ac:dyDescent="0.3">
      <c r="AS896" s="99"/>
      <c r="AZ896" s="163"/>
      <c r="BB896" s="163"/>
      <c r="BD896" s="99"/>
      <c r="BO896" s="163"/>
      <c r="BP896" s="163"/>
      <c r="BQ896" s="163"/>
      <c r="BR896" s="163"/>
      <c r="BS896" s="163"/>
      <c r="BT896" s="163"/>
      <c r="BU896" s="163"/>
      <c r="BV896" s="163"/>
    </row>
    <row r="897" spans="45:74" x14ac:dyDescent="0.3">
      <c r="AZ897" s="163"/>
      <c r="BB897" s="163"/>
      <c r="BO897" s="163"/>
      <c r="BP897" s="163"/>
      <c r="BQ897" s="163"/>
      <c r="BR897" s="163"/>
      <c r="BS897" s="163"/>
      <c r="BT897" s="163"/>
      <c r="BU897" s="163"/>
      <c r="BV897" s="163"/>
    </row>
    <row r="898" spans="45:74" x14ac:dyDescent="0.3">
      <c r="AS898" s="101"/>
      <c r="AT898" s="101"/>
      <c r="AU898" s="101"/>
      <c r="AV898" s="101"/>
      <c r="AW898" s="101"/>
      <c r="AX898" s="101"/>
      <c r="AY898" s="101"/>
      <c r="AZ898" s="212"/>
      <c r="BA898" s="101"/>
      <c r="BB898" s="212"/>
      <c r="BC898" s="101"/>
      <c r="BD898" s="101"/>
      <c r="BE898" s="101"/>
      <c r="BO898" s="163"/>
      <c r="BP898" s="163"/>
      <c r="BQ898" s="163"/>
      <c r="BR898" s="163"/>
      <c r="BS898" s="163"/>
      <c r="BT898" s="163"/>
      <c r="BU898" s="163"/>
      <c r="BV898" s="163"/>
    </row>
    <row r="899" spans="45:74" x14ac:dyDescent="0.3">
      <c r="AX899" s="99"/>
      <c r="AZ899" s="163"/>
      <c r="BB899" s="163"/>
      <c r="BO899" s="163"/>
      <c r="BP899" s="163"/>
      <c r="BQ899" s="163"/>
      <c r="BR899" s="163"/>
      <c r="BS899" s="163"/>
      <c r="BT899" s="163"/>
      <c r="BU899" s="163"/>
      <c r="BV899" s="163"/>
    </row>
    <row r="900" spans="45:74" x14ac:dyDescent="0.3">
      <c r="AX900" s="101"/>
      <c r="AY900" s="101"/>
      <c r="AZ900" s="212"/>
      <c r="BA900" s="101"/>
      <c r="BB900" s="163"/>
      <c r="BC900" s="102"/>
      <c r="BD900" s="102"/>
      <c r="BO900" s="163"/>
      <c r="BP900" s="163"/>
      <c r="BQ900" s="163"/>
      <c r="BR900" s="163"/>
      <c r="BS900" s="163"/>
      <c r="BT900" s="163"/>
      <c r="BU900" s="163"/>
      <c r="BV900" s="163"/>
    </row>
    <row r="901" spans="45:74" x14ac:dyDescent="0.3">
      <c r="AV901" s="102"/>
      <c r="AW901" s="102"/>
      <c r="AZ901" s="213"/>
      <c r="BA901" s="102"/>
      <c r="BB901" s="163"/>
      <c r="BC901" s="102"/>
      <c r="BD901" s="102"/>
      <c r="BE901" s="102"/>
      <c r="BG901" s="101"/>
      <c r="BH901" s="99"/>
      <c r="BK901" s="101"/>
      <c r="BM901" s="101"/>
      <c r="BN901" s="99"/>
      <c r="BQ901" s="101"/>
    </row>
    <row r="902" spans="45:74" x14ac:dyDescent="0.3">
      <c r="AV902" s="102"/>
      <c r="AW902" s="102"/>
      <c r="AX902" s="102"/>
      <c r="AY902" s="102"/>
      <c r="AZ902" s="213"/>
      <c r="BA902" s="102"/>
      <c r="BB902" s="213"/>
      <c r="BC902" s="102"/>
      <c r="BD902" s="102"/>
      <c r="BE902" s="102"/>
      <c r="BH902" s="102"/>
      <c r="BI902" s="102"/>
      <c r="BN902" s="102"/>
      <c r="BO902" s="102"/>
    </row>
    <row r="903" spans="45:74" x14ac:dyDescent="0.3">
      <c r="AS903" s="102"/>
      <c r="AU903" s="99"/>
      <c r="AV903" s="102"/>
      <c r="AW903" s="102"/>
      <c r="AX903" s="102"/>
      <c r="AY903" s="102"/>
      <c r="AZ903" s="213"/>
      <c r="BA903" s="102"/>
      <c r="BB903" s="213"/>
      <c r="BC903" s="102"/>
      <c r="BD903" s="102"/>
      <c r="BE903" s="102"/>
      <c r="BG903" s="102"/>
      <c r="BH903" s="102"/>
      <c r="BI903" s="102"/>
      <c r="BJ903" s="102"/>
      <c r="BK903" s="102"/>
      <c r="BM903" s="102"/>
      <c r="BN903" s="102"/>
      <c r="BO903" s="102"/>
      <c r="BP903" s="102"/>
      <c r="BQ903" s="102"/>
    </row>
    <row r="904" spans="45:74" x14ac:dyDescent="0.3">
      <c r="AS904" s="102"/>
      <c r="AU904" s="99"/>
      <c r="AV904" s="102"/>
      <c r="AW904" s="102"/>
      <c r="AX904" s="102"/>
      <c r="AY904" s="102"/>
      <c r="AZ904" s="213"/>
      <c r="BA904" s="102"/>
      <c r="BB904" s="213"/>
      <c r="BC904" s="102"/>
      <c r="BD904" s="102"/>
      <c r="BE904" s="102"/>
      <c r="BG904" s="102"/>
      <c r="BH904" s="102"/>
      <c r="BI904" s="102"/>
      <c r="BJ904" s="102"/>
      <c r="BK904" s="102"/>
      <c r="BM904" s="102"/>
      <c r="BN904" s="102"/>
      <c r="BO904" s="102"/>
      <c r="BP904" s="102"/>
      <c r="BQ904" s="102"/>
    </row>
    <row r="905" spans="45:74" x14ac:dyDescent="0.3">
      <c r="AS905" s="101"/>
      <c r="AT905" s="101"/>
      <c r="AU905" s="101"/>
      <c r="AV905" s="101"/>
      <c r="AW905" s="101"/>
      <c r="AX905" s="101"/>
      <c r="AY905" s="101"/>
      <c r="AZ905" s="212"/>
      <c r="BA905" s="101"/>
      <c r="BB905" s="212"/>
      <c r="BC905" s="101"/>
      <c r="BD905" s="101"/>
      <c r="BE905" s="101"/>
      <c r="BG905" s="101"/>
      <c r="BH905" s="101"/>
      <c r="BI905" s="101"/>
      <c r="BJ905" s="101"/>
      <c r="BK905" s="101"/>
      <c r="BM905" s="101"/>
      <c r="BN905" s="101"/>
      <c r="BO905" s="101"/>
      <c r="BP905" s="101"/>
      <c r="BQ905" s="101"/>
    </row>
    <row r="906" spans="45:74" x14ac:dyDescent="0.3">
      <c r="AV906" s="102"/>
      <c r="AW906" s="102"/>
      <c r="AX906" s="102"/>
      <c r="AY906" s="102"/>
      <c r="AZ906" s="213"/>
      <c r="BA906" s="102"/>
      <c r="BB906" s="213"/>
      <c r="BC906" s="102"/>
      <c r="BD906" s="102"/>
      <c r="BE906" s="102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</row>
    <row r="907" spans="45:74" x14ac:dyDescent="0.3">
      <c r="AT907" s="99"/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</row>
    <row r="908" spans="45:74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</row>
    <row r="909" spans="45:74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</row>
    <row r="910" spans="45:74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</row>
    <row r="911" spans="45:74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</row>
    <row r="912" spans="45:74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</row>
    <row r="913" spans="46:71" x14ac:dyDescent="0.3"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</row>
    <row r="914" spans="46:71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</row>
    <row r="915" spans="46:71" x14ac:dyDescent="0.3">
      <c r="AV915" s="110"/>
      <c r="AW915" s="110"/>
      <c r="AX915" s="163"/>
      <c r="AY915" s="163"/>
      <c r="AZ915" s="163"/>
      <c r="BA915" s="207"/>
      <c r="BB915" s="163"/>
      <c r="BC915" s="163"/>
      <c r="BD915" s="163"/>
      <c r="BE915" s="207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</row>
    <row r="916" spans="46:71" x14ac:dyDescent="0.3">
      <c r="AV916" s="110"/>
      <c r="AW916" s="110"/>
      <c r="AX916" s="163"/>
      <c r="AY916" s="163"/>
      <c r="AZ916" s="163"/>
      <c r="BA916" s="207"/>
      <c r="BB916" s="163"/>
      <c r="BC916" s="163"/>
      <c r="BD916" s="163"/>
      <c r="BE916" s="207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</row>
    <row r="917" spans="46:71" x14ac:dyDescent="0.3">
      <c r="AV917" s="110"/>
      <c r="AW917" s="110"/>
      <c r="AX917" s="163"/>
      <c r="AY917" s="163"/>
      <c r="AZ917" s="163"/>
      <c r="BA917" s="207"/>
      <c r="BB917" s="163"/>
      <c r="BC917" s="163"/>
      <c r="BD917" s="163"/>
      <c r="BE917" s="207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</row>
    <row r="918" spans="46:71" x14ac:dyDescent="0.3">
      <c r="AV918" s="110"/>
      <c r="AW918" s="110"/>
      <c r="AX918" s="163"/>
      <c r="AY918" s="163"/>
      <c r="AZ918" s="163"/>
      <c r="BA918" s="207"/>
      <c r="BB918" s="163"/>
      <c r="BC918" s="163"/>
      <c r="BD918" s="163"/>
      <c r="BE918" s="207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</row>
    <row r="919" spans="46:71" x14ac:dyDescent="0.3">
      <c r="AV919" s="110"/>
      <c r="AW919" s="110"/>
      <c r="AX919" s="163"/>
      <c r="AY919" s="163"/>
      <c r="AZ919" s="163"/>
      <c r="BA919" s="207"/>
      <c r="BB919" s="163"/>
      <c r="BC919" s="163"/>
      <c r="BD919" s="163"/>
      <c r="BE919" s="207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</row>
    <row r="920" spans="46:71" x14ac:dyDescent="0.3">
      <c r="AV920" s="110"/>
      <c r="AW920" s="110"/>
      <c r="AX920" s="163"/>
      <c r="AY920" s="163"/>
      <c r="AZ920" s="163"/>
      <c r="BA920" s="207"/>
      <c r="BB920" s="163"/>
      <c r="BC920" s="163"/>
      <c r="BD920" s="163"/>
      <c r="BE920" s="207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</row>
    <row r="921" spans="46:71" x14ac:dyDescent="0.3">
      <c r="AV921" s="110"/>
      <c r="AW921" s="110"/>
      <c r="AX921" s="163"/>
      <c r="AY921" s="163"/>
      <c r="AZ921" s="163"/>
      <c r="BA921" s="207"/>
      <c r="BB921" s="163"/>
      <c r="BC921" s="163"/>
      <c r="BD921" s="163"/>
      <c r="BE921" s="207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</row>
    <row r="922" spans="46:71" x14ac:dyDescent="0.3">
      <c r="AV922" s="110"/>
      <c r="AW922" s="110"/>
      <c r="AX922" s="163"/>
      <c r="AY922" s="163"/>
      <c r="AZ922" s="163"/>
      <c r="BA922" s="207"/>
      <c r="BB922" s="163"/>
      <c r="BC922" s="163"/>
      <c r="BD922" s="163"/>
      <c r="BE922" s="207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</row>
    <row r="923" spans="46:71" x14ac:dyDescent="0.3"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</row>
    <row r="924" spans="46:71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</row>
    <row r="925" spans="46:71" x14ac:dyDescent="0.3">
      <c r="AZ925" s="163"/>
      <c r="BB925" s="163"/>
      <c r="BC925" s="163"/>
      <c r="BD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</row>
    <row r="926" spans="46:71" x14ac:dyDescent="0.3">
      <c r="AT926" s="99"/>
      <c r="AV926" s="110"/>
      <c r="AW926" s="110"/>
      <c r="AX926" s="163"/>
      <c r="AY926" s="163"/>
      <c r="AZ926" s="163"/>
      <c r="BA926" s="207"/>
      <c r="BB926" s="163"/>
      <c r="BC926" s="163"/>
      <c r="BD926" s="163"/>
      <c r="BE926" s="207"/>
    </row>
    <row r="927" spans="46:71" x14ac:dyDescent="0.3"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6:71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8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8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8:57" x14ac:dyDescent="0.3">
      <c r="AV931" s="110"/>
      <c r="AW931" s="110"/>
      <c r="AX931" s="163"/>
      <c r="AY931" s="163"/>
      <c r="AZ931" s="163"/>
      <c r="BA931" s="207"/>
      <c r="BB931" s="163"/>
      <c r="BC931" s="163"/>
      <c r="BD931" s="163"/>
      <c r="BE931" s="207"/>
    </row>
    <row r="932" spans="48:57" x14ac:dyDescent="0.3">
      <c r="AV932" s="110"/>
      <c r="AW932" s="110"/>
      <c r="AX932" s="163"/>
      <c r="AY932" s="163"/>
      <c r="AZ932" s="163"/>
      <c r="BA932" s="207"/>
      <c r="BB932" s="163"/>
      <c r="BC932" s="163"/>
      <c r="BD932" s="163"/>
      <c r="BE932" s="207"/>
    </row>
    <row r="933" spans="48:57" x14ac:dyDescent="0.3">
      <c r="AV933" s="110"/>
      <c r="AW933" s="110"/>
      <c r="AX933" s="163"/>
      <c r="AY933" s="163"/>
      <c r="AZ933" s="163"/>
      <c r="BA933" s="207"/>
      <c r="BB933" s="163"/>
      <c r="BC933" s="163"/>
      <c r="BD933" s="163"/>
      <c r="BE933" s="207"/>
    </row>
    <row r="934" spans="48:57" x14ac:dyDescent="0.3">
      <c r="AV934" s="110"/>
      <c r="AW934" s="110"/>
      <c r="AX934" s="163"/>
      <c r="AY934" s="163"/>
      <c r="AZ934" s="163"/>
      <c r="BA934" s="207"/>
      <c r="BB934" s="163"/>
      <c r="BC934" s="163"/>
      <c r="BD934" s="163"/>
      <c r="BE934" s="207"/>
    </row>
    <row r="935" spans="48:57" x14ac:dyDescent="0.3"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8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8:57" x14ac:dyDescent="0.3"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8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8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8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8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8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8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8:57" x14ac:dyDescent="0.3">
      <c r="BB944" s="163"/>
    </row>
    <row r="945" spans="45:57" x14ac:dyDescent="0.3">
      <c r="AU945" s="99"/>
      <c r="BB945" s="163"/>
    </row>
    <row r="946" spans="45:57" x14ac:dyDescent="0.3">
      <c r="AU946" s="99"/>
    </row>
    <row r="947" spans="45:57" x14ac:dyDescent="0.3">
      <c r="AU947" s="99"/>
      <c r="BB947" s="163"/>
    </row>
    <row r="948" spans="45:57" x14ac:dyDescent="0.3">
      <c r="AS948" s="99"/>
      <c r="AZ948" s="163"/>
      <c r="BB948" s="163"/>
    </row>
    <row r="949" spans="45:57" x14ac:dyDescent="0.3">
      <c r="AZ949" s="163"/>
      <c r="BB949" s="163"/>
    </row>
    <row r="950" spans="45:57" x14ac:dyDescent="0.3">
      <c r="AY950" s="163"/>
      <c r="AZ950" s="163"/>
      <c r="BB950" s="163"/>
    </row>
    <row r="951" spans="45:57" x14ac:dyDescent="0.3">
      <c r="AY951" s="99"/>
      <c r="AZ951" s="163"/>
      <c r="BB951" s="163"/>
    </row>
    <row r="952" spans="45:57" x14ac:dyDescent="0.3">
      <c r="AY952" s="99"/>
      <c r="AZ952" s="163"/>
      <c r="BB952" s="163"/>
    </row>
    <row r="953" spans="45:57" x14ac:dyDescent="0.3">
      <c r="AZ953" s="163"/>
      <c r="BB953" s="163"/>
      <c r="BD953" s="99"/>
    </row>
    <row r="954" spans="45:57" x14ac:dyDescent="0.3">
      <c r="AZ954" s="163"/>
      <c r="BB954" s="163"/>
      <c r="BD954" s="99"/>
    </row>
    <row r="955" spans="45:57" x14ac:dyDescent="0.3">
      <c r="AS955" s="99"/>
      <c r="AZ955" s="163"/>
      <c r="BB955" s="163"/>
      <c r="BD955" s="99"/>
    </row>
    <row r="956" spans="45:57" x14ac:dyDescent="0.3">
      <c r="AZ956" s="163"/>
      <c r="BB956" s="163"/>
    </row>
    <row r="957" spans="45:57" x14ac:dyDescent="0.3">
      <c r="AS957" s="101"/>
      <c r="AT957" s="101"/>
      <c r="AU957" s="101"/>
      <c r="AV957" s="101"/>
      <c r="AW957" s="101"/>
      <c r="AX957" s="101"/>
      <c r="AY957" s="101"/>
      <c r="AZ957" s="212"/>
      <c r="BA957" s="101"/>
      <c r="BB957" s="212"/>
      <c r="BC957" s="101"/>
      <c r="BD957" s="101"/>
      <c r="BE957" s="101"/>
    </row>
    <row r="958" spans="45:57" x14ac:dyDescent="0.3">
      <c r="AX958" s="99"/>
      <c r="AZ958" s="163"/>
      <c r="BB958" s="163"/>
    </row>
    <row r="959" spans="45:57" x14ac:dyDescent="0.3">
      <c r="AX959" s="101"/>
      <c r="AY959" s="101"/>
      <c r="AZ959" s="212"/>
      <c r="BA959" s="101"/>
      <c r="BB959" s="163"/>
      <c r="BC959" s="102"/>
      <c r="BD959" s="102"/>
    </row>
    <row r="960" spans="45:57" x14ac:dyDescent="0.3">
      <c r="AV960" s="102"/>
      <c r="AW960" s="102"/>
      <c r="AZ960" s="213"/>
      <c r="BA960" s="102"/>
      <c r="BB960" s="163"/>
      <c r="BC960" s="102"/>
      <c r="BD960" s="102"/>
      <c r="BE960" s="102"/>
    </row>
    <row r="961" spans="45:57" x14ac:dyDescent="0.3">
      <c r="AV961" s="102"/>
      <c r="AW961" s="102"/>
      <c r="AX961" s="102"/>
      <c r="AY961" s="102"/>
      <c r="AZ961" s="213"/>
      <c r="BA961" s="102"/>
      <c r="BB961" s="213"/>
      <c r="BC961" s="102"/>
      <c r="BD961" s="102"/>
      <c r="BE961" s="102"/>
    </row>
    <row r="962" spans="45:57" x14ac:dyDescent="0.3">
      <c r="AS962" s="102"/>
      <c r="AU962" s="99"/>
      <c r="AV962" s="102"/>
      <c r="AW962" s="102"/>
      <c r="AX962" s="102"/>
      <c r="AY962" s="102"/>
      <c r="AZ962" s="213"/>
      <c r="BA962" s="102"/>
      <c r="BB962" s="213"/>
      <c r="BC962" s="102"/>
      <c r="BD962" s="102"/>
      <c r="BE962" s="102"/>
    </row>
    <row r="963" spans="45:57" x14ac:dyDescent="0.3">
      <c r="AS963" s="102"/>
      <c r="AU963" s="99"/>
      <c r="AV963" s="102"/>
      <c r="AW963" s="102"/>
      <c r="AX963" s="102"/>
      <c r="AY963" s="102"/>
      <c r="AZ963" s="213"/>
      <c r="BA963" s="102"/>
      <c r="BB963" s="213"/>
      <c r="BC963" s="102"/>
      <c r="BD963" s="102"/>
      <c r="BE963" s="102"/>
    </row>
    <row r="964" spans="45:57" x14ac:dyDescent="0.3">
      <c r="AS964" s="101"/>
      <c r="AT964" s="101"/>
      <c r="AU964" s="101"/>
      <c r="AV964" s="101"/>
      <c r="AW964" s="101"/>
      <c r="AX964" s="101"/>
      <c r="AY964" s="101"/>
      <c r="AZ964" s="212"/>
      <c r="BA964" s="101"/>
      <c r="BB964" s="212"/>
      <c r="BC964" s="101"/>
      <c r="BD964" s="101"/>
      <c r="BE964" s="101"/>
    </row>
    <row r="965" spans="45:57" x14ac:dyDescent="0.3">
      <c r="AV965" s="102"/>
      <c r="AW965" s="102"/>
      <c r="AX965" s="102"/>
      <c r="AY965" s="102"/>
      <c r="AZ965" s="213"/>
      <c r="BA965" s="102"/>
      <c r="BB965" s="213"/>
      <c r="BC965" s="102"/>
      <c r="BD965" s="102"/>
      <c r="BE965" s="102"/>
    </row>
    <row r="966" spans="45:57" x14ac:dyDescent="0.3">
      <c r="AT966" s="99"/>
      <c r="AV966" s="110"/>
      <c r="AW966" s="110"/>
      <c r="AX966" s="163"/>
      <c r="AY966" s="163"/>
      <c r="AZ966" s="163"/>
      <c r="BA966" s="207"/>
      <c r="BB966" s="163"/>
      <c r="BC966" s="163"/>
      <c r="BD966" s="163"/>
      <c r="BE966" s="207"/>
    </row>
    <row r="967" spans="45:57" x14ac:dyDescent="0.3">
      <c r="AV967" s="110"/>
      <c r="AW967" s="110"/>
      <c r="AX967" s="163"/>
      <c r="AY967" s="163"/>
      <c r="AZ967" s="163"/>
      <c r="BA967" s="207"/>
      <c r="BB967" s="163"/>
      <c r="BC967" s="163"/>
      <c r="BD967" s="163"/>
      <c r="BE967" s="207"/>
    </row>
    <row r="968" spans="45:57" x14ac:dyDescent="0.3">
      <c r="AV968" s="110"/>
      <c r="AW968" s="110"/>
      <c r="AX968" s="163"/>
      <c r="AY968" s="163"/>
      <c r="AZ968" s="163"/>
      <c r="BA968" s="207"/>
      <c r="BB968" s="163"/>
      <c r="BC968" s="163"/>
      <c r="BD968" s="163"/>
      <c r="BE968" s="207"/>
    </row>
    <row r="969" spans="45:57" x14ac:dyDescent="0.3">
      <c r="AV969" s="110"/>
      <c r="AW969" s="110"/>
      <c r="AX969" s="163"/>
      <c r="AY969" s="163"/>
      <c r="AZ969" s="163"/>
      <c r="BA969" s="207"/>
      <c r="BB969" s="163"/>
      <c r="BC969" s="163"/>
      <c r="BD969" s="163"/>
      <c r="BE969" s="207"/>
    </row>
    <row r="970" spans="45:57" x14ac:dyDescent="0.3">
      <c r="AV970" s="110"/>
      <c r="AW970" s="110"/>
      <c r="AX970" s="163"/>
      <c r="AY970" s="163"/>
      <c r="AZ970" s="163"/>
      <c r="BA970" s="207"/>
      <c r="BB970" s="163"/>
      <c r="BC970" s="163"/>
      <c r="BD970" s="163"/>
      <c r="BE970" s="207"/>
    </row>
    <row r="971" spans="45:57" x14ac:dyDescent="0.3">
      <c r="AV971" s="110"/>
      <c r="AW971" s="110"/>
      <c r="AX971" s="163"/>
      <c r="AY971" s="163"/>
      <c r="AZ971" s="163"/>
      <c r="BA971" s="207"/>
      <c r="BB971" s="163"/>
      <c r="BC971" s="163"/>
      <c r="BD971" s="163"/>
      <c r="BE971" s="207"/>
    </row>
    <row r="972" spans="45:57" x14ac:dyDescent="0.3">
      <c r="AV972" s="110"/>
      <c r="AW972" s="110"/>
      <c r="AX972" s="163"/>
      <c r="AY972" s="163"/>
      <c r="AZ972" s="163"/>
      <c r="BA972" s="207"/>
      <c r="BB972" s="163"/>
      <c r="BC972" s="163"/>
      <c r="BD972" s="163"/>
      <c r="BE972" s="207"/>
    </row>
    <row r="973" spans="45:57" x14ac:dyDescent="0.3">
      <c r="AV973" s="110"/>
      <c r="AW973" s="110"/>
      <c r="AX973" s="163"/>
      <c r="AY973" s="163"/>
      <c r="AZ973" s="163"/>
      <c r="BA973" s="207"/>
      <c r="BB973" s="163"/>
      <c r="BC973" s="163"/>
      <c r="BD973" s="163"/>
      <c r="BE973" s="207"/>
    </row>
    <row r="974" spans="45:57" x14ac:dyDescent="0.3">
      <c r="AV974" s="110"/>
      <c r="AW974" s="110"/>
      <c r="AX974" s="163"/>
      <c r="AY974" s="163"/>
      <c r="AZ974" s="163"/>
      <c r="BA974" s="207"/>
      <c r="BB974" s="163"/>
      <c r="BC974" s="163"/>
      <c r="BD974" s="163"/>
      <c r="BE974" s="207"/>
    </row>
    <row r="975" spans="45:57" x14ac:dyDescent="0.3">
      <c r="AV975" s="110"/>
      <c r="AW975" s="110"/>
      <c r="AX975" s="163"/>
      <c r="AY975" s="163"/>
      <c r="AZ975" s="163"/>
      <c r="BA975" s="207"/>
      <c r="BB975" s="163"/>
      <c r="BC975" s="163"/>
      <c r="BD975" s="163"/>
      <c r="BE975" s="207"/>
    </row>
    <row r="976" spans="45:57" x14ac:dyDescent="0.3">
      <c r="AV976" s="110"/>
      <c r="AW976" s="110"/>
      <c r="BB976" s="163"/>
    </row>
    <row r="977" spans="45:57" x14ac:dyDescent="0.3">
      <c r="AT977" s="99"/>
      <c r="AV977" s="110"/>
      <c r="AW977" s="110"/>
      <c r="AX977" s="163"/>
      <c r="AY977" s="163"/>
      <c r="AZ977" s="163"/>
      <c r="BA977" s="207"/>
      <c r="BB977" s="163"/>
      <c r="BC977" s="163"/>
      <c r="BD977" s="163"/>
      <c r="BE977" s="207"/>
    </row>
    <row r="978" spans="45:57" x14ac:dyDescent="0.3">
      <c r="AV978" s="110"/>
      <c r="AW978" s="110"/>
      <c r="AX978" s="163"/>
      <c r="AY978" s="163"/>
      <c r="AZ978" s="163"/>
      <c r="BA978" s="207"/>
      <c r="BB978" s="163"/>
      <c r="BC978" s="163"/>
      <c r="BD978" s="163"/>
      <c r="BE978" s="207"/>
    </row>
    <row r="979" spans="45:57" x14ac:dyDescent="0.3">
      <c r="AV979" s="110"/>
      <c r="AW979" s="110"/>
      <c r="AX979" s="163"/>
      <c r="AY979" s="163"/>
      <c r="AZ979" s="163"/>
      <c r="BA979" s="207"/>
      <c r="BB979" s="163"/>
      <c r="BC979" s="163"/>
      <c r="BD979" s="163"/>
      <c r="BE979" s="207"/>
    </row>
    <row r="980" spans="45:57" x14ac:dyDescent="0.3">
      <c r="AV980" s="110"/>
      <c r="AW980" s="110"/>
      <c r="AX980" s="163"/>
      <c r="AY980" s="163"/>
      <c r="AZ980" s="163"/>
      <c r="BA980" s="207"/>
      <c r="BB980" s="163"/>
      <c r="BC980" s="163"/>
      <c r="BD980" s="163"/>
      <c r="BE980" s="207"/>
    </row>
    <row r="981" spans="45:57" x14ac:dyDescent="0.3">
      <c r="AV981" s="110"/>
      <c r="AW981" s="110"/>
      <c r="AX981" s="163"/>
      <c r="AY981" s="163"/>
      <c r="AZ981" s="163"/>
      <c r="BA981" s="207"/>
      <c r="BB981" s="163"/>
      <c r="BC981" s="163"/>
      <c r="BD981" s="163"/>
      <c r="BE981" s="207"/>
    </row>
    <row r="982" spans="45:57" x14ac:dyDescent="0.3">
      <c r="AV982" s="110"/>
      <c r="AW982" s="110"/>
      <c r="AX982" s="163"/>
      <c r="AY982" s="163"/>
      <c r="AZ982" s="163"/>
      <c r="BA982" s="207"/>
      <c r="BB982" s="163"/>
      <c r="BC982" s="163"/>
      <c r="BD982" s="163"/>
      <c r="BE982" s="207"/>
    </row>
    <row r="983" spans="45:57" x14ac:dyDescent="0.3">
      <c r="AV983" s="110"/>
      <c r="AW983" s="110"/>
      <c r="AX983" s="163"/>
      <c r="AY983" s="163"/>
      <c r="AZ983" s="163"/>
      <c r="BA983" s="207"/>
      <c r="BB983" s="163"/>
      <c r="BC983" s="163"/>
      <c r="BD983" s="163"/>
      <c r="BE983" s="207"/>
    </row>
    <row r="984" spans="45:57" x14ac:dyDescent="0.3">
      <c r="AV984" s="110"/>
      <c r="AW984" s="110"/>
      <c r="AX984" s="163"/>
      <c r="AY984" s="163"/>
      <c r="AZ984" s="163"/>
      <c r="BA984" s="207"/>
      <c r="BB984" s="163"/>
      <c r="BC984" s="163"/>
      <c r="BD984" s="163"/>
      <c r="BE984" s="207"/>
    </row>
    <row r="985" spans="45:57" x14ac:dyDescent="0.3">
      <c r="AV985" s="110"/>
      <c r="AW985" s="110"/>
      <c r="AX985" s="163"/>
      <c r="AY985" s="163"/>
      <c r="AZ985" s="163"/>
      <c r="BA985" s="207"/>
      <c r="BB985" s="163"/>
      <c r="BC985" s="163"/>
      <c r="BD985" s="163"/>
      <c r="BE985" s="207"/>
    </row>
    <row r="986" spans="45:57" x14ac:dyDescent="0.3">
      <c r="AV986" s="110"/>
      <c r="AW986" s="110"/>
      <c r="AX986" s="163"/>
      <c r="AY986" s="163"/>
      <c r="AZ986" s="163"/>
      <c r="BA986" s="207"/>
      <c r="BB986" s="163"/>
      <c r="BC986" s="163"/>
      <c r="BD986" s="163"/>
      <c r="BE986" s="207"/>
    </row>
    <row r="988" spans="45:57" x14ac:dyDescent="0.3">
      <c r="AU988" s="99"/>
    </row>
    <row r="989" spans="45:57" x14ac:dyDescent="0.3">
      <c r="AU989" s="99"/>
    </row>
    <row r="990" spans="45:57" x14ac:dyDescent="0.3">
      <c r="AU990" s="99"/>
    </row>
    <row r="991" spans="45:57" x14ac:dyDescent="0.3">
      <c r="AS991" s="99"/>
    </row>
    <row r="1012" spans="52:71" x14ac:dyDescent="0.3">
      <c r="AZ1012" s="163"/>
      <c r="BB1012" s="163"/>
      <c r="BC1012" s="163"/>
      <c r="BD1012" s="163"/>
      <c r="BG1012" s="163"/>
      <c r="BH1012" s="163"/>
      <c r="BI1012" s="163"/>
      <c r="BJ1012" s="163"/>
      <c r="BK1012" s="163"/>
      <c r="BL1012" s="163"/>
      <c r="BM1012" s="163"/>
      <c r="BN1012" s="163"/>
      <c r="BO1012" s="163"/>
      <c r="BP1012" s="163"/>
      <c r="BQ1012" s="163"/>
      <c r="BR1012" s="163"/>
      <c r="BS1012" s="163"/>
    </row>
    <row r="1013" spans="52:71" x14ac:dyDescent="0.3">
      <c r="AZ1013" s="163"/>
      <c r="BB1013" s="163"/>
      <c r="BC1013" s="163"/>
      <c r="BD1013" s="163"/>
      <c r="BG1013" s="163"/>
      <c r="BH1013" s="163"/>
      <c r="BI1013" s="163"/>
      <c r="BJ1013" s="163"/>
      <c r="BK1013" s="163"/>
      <c r="BL1013" s="163"/>
      <c r="BM1013" s="163"/>
      <c r="BN1013" s="163"/>
      <c r="BO1013" s="163"/>
      <c r="BP1013" s="163"/>
      <c r="BQ1013" s="163"/>
      <c r="BR1013" s="163"/>
      <c r="BS1013" s="163"/>
    </row>
    <row r="1014" spans="52:71" x14ac:dyDescent="0.3">
      <c r="AZ1014" s="163"/>
      <c r="BB1014" s="163"/>
      <c r="BC1014" s="163"/>
      <c r="BD1014" s="163"/>
      <c r="BG1014" s="163"/>
      <c r="BH1014" s="163"/>
      <c r="BI1014" s="163"/>
      <c r="BJ1014" s="163"/>
      <c r="BK1014" s="163"/>
      <c r="BL1014" s="163"/>
      <c r="BM1014" s="163"/>
      <c r="BN1014" s="163"/>
      <c r="BO1014" s="163"/>
      <c r="BP1014" s="163"/>
      <c r="BQ1014" s="163"/>
      <c r="BR1014" s="163"/>
      <c r="BS1014" s="163"/>
    </row>
    <row r="1015" spans="52:71" x14ac:dyDescent="0.3">
      <c r="AZ1015" s="163"/>
      <c r="BB1015" s="163"/>
      <c r="BC1015" s="163"/>
      <c r="BD1015" s="163"/>
      <c r="BG1015" s="163"/>
      <c r="BH1015" s="163"/>
      <c r="BI1015" s="163"/>
      <c r="BJ1015" s="163"/>
      <c r="BK1015" s="163"/>
      <c r="BL1015" s="163"/>
      <c r="BM1015" s="163"/>
      <c r="BN1015" s="163"/>
      <c r="BO1015" s="163"/>
      <c r="BP1015" s="163"/>
      <c r="BQ1015" s="163"/>
      <c r="BR1015" s="163"/>
      <c r="BS1015" s="163"/>
    </row>
    <row r="1016" spans="52:71" x14ac:dyDescent="0.3">
      <c r="AZ1016" s="163"/>
      <c r="BB1016" s="163"/>
      <c r="BC1016" s="163"/>
      <c r="BD1016" s="163"/>
      <c r="BG1016" s="163"/>
      <c r="BH1016" s="163"/>
      <c r="BI1016" s="163"/>
      <c r="BJ1016" s="163"/>
      <c r="BK1016" s="163"/>
      <c r="BL1016" s="163"/>
      <c r="BM1016" s="163"/>
      <c r="BN1016" s="163"/>
      <c r="BO1016" s="163"/>
      <c r="BP1016" s="163"/>
      <c r="BQ1016" s="163"/>
      <c r="BR1016" s="163"/>
      <c r="BS1016" s="163"/>
    </row>
    <row r="1017" spans="52:71" x14ac:dyDescent="0.3">
      <c r="AZ1017" s="163"/>
      <c r="BB1017" s="163"/>
      <c r="BC1017" s="163"/>
      <c r="BD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</row>
    <row r="1018" spans="52:71" x14ac:dyDescent="0.3">
      <c r="AZ1018" s="163"/>
      <c r="BB1018" s="163"/>
      <c r="BC1018" s="163"/>
      <c r="BD1018" s="163"/>
      <c r="BG1018" s="163"/>
      <c r="BH1018" s="163"/>
      <c r="BI1018" s="163"/>
      <c r="BJ1018" s="163"/>
      <c r="BK1018" s="163"/>
      <c r="BL1018" s="163"/>
      <c r="BM1018" s="163"/>
      <c r="BN1018" s="163"/>
      <c r="BO1018" s="163"/>
      <c r="BP1018" s="163"/>
      <c r="BQ1018" s="163"/>
      <c r="BR1018" s="163"/>
      <c r="BS1018" s="163"/>
    </row>
    <row r="1019" spans="52:71" x14ac:dyDescent="0.3">
      <c r="AZ1019" s="163"/>
      <c r="BB1019" s="163"/>
      <c r="BC1019" s="163"/>
      <c r="BD1019" s="163"/>
      <c r="BG1019" s="163"/>
      <c r="BH1019" s="163"/>
      <c r="BI1019" s="163"/>
      <c r="BJ1019" s="163"/>
      <c r="BK1019" s="163"/>
      <c r="BL1019" s="163"/>
      <c r="BM1019" s="163"/>
      <c r="BN1019" s="163"/>
      <c r="BO1019" s="163"/>
      <c r="BP1019" s="163"/>
      <c r="BQ1019" s="163"/>
      <c r="BR1019" s="163"/>
      <c r="BS1019" s="163"/>
    </row>
    <row r="1020" spans="52:71" x14ac:dyDescent="0.3">
      <c r="AZ1020" s="163"/>
      <c r="BB1020" s="163"/>
      <c r="BC1020" s="163"/>
      <c r="BD1020" s="163"/>
      <c r="BG1020" s="163"/>
      <c r="BH1020" s="163"/>
      <c r="BI1020" s="163"/>
      <c r="BJ1020" s="163"/>
      <c r="BK1020" s="163"/>
      <c r="BL1020" s="163"/>
      <c r="BM1020" s="163"/>
      <c r="BN1020" s="163"/>
      <c r="BO1020" s="163"/>
      <c r="BP1020" s="163"/>
      <c r="BQ1020" s="163"/>
      <c r="BR1020" s="163"/>
      <c r="BS1020" s="163"/>
    </row>
    <row r="1021" spans="52:71" x14ac:dyDescent="0.3">
      <c r="AZ1021" s="163"/>
      <c r="BB1021" s="163"/>
      <c r="BC1021" s="163"/>
      <c r="BD1021" s="163"/>
      <c r="BG1021" s="163"/>
      <c r="BH1021" s="163"/>
      <c r="BI1021" s="163"/>
      <c r="BJ1021" s="163"/>
      <c r="BK1021" s="163"/>
      <c r="BL1021" s="163"/>
      <c r="BM1021" s="163"/>
      <c r="BN1021" s="163"/>
      <c r="BO1021" s="163"/>
      <c r="BP1021" s="163"/>
      <c r="BQ1021" s="163"/>
      <c r="BR1021" s="163"/>
      <c r="BS1021" s="163"/>
    </row>
    <row r="1022" spans="52:71" x14ac:dyDescent="0.3">
      <c r="AZ1022" s="163"/>
      <c r="BB1022" s="163"/>
      <c r="BC1022" s="163"/>
      <c r="BD1022" s="163"/>
      <c r="BG1022" s="163"/>
      <c r="BH1022" s="163"/>
      <c r="BI1022" s="163"/>
      <c r="BJ1022" s="163"/>
      <c r="BK1022" s="163"/>
      <c r="BL1022" s="163"/>
      <c r="BM1022" s="163"/>
      <c r="BN1022" s="163"/>
      <c r="BO1022" s="163"/>
      <c r="BP1022" s="163"/>
      <c r="BQ1022" s="163"/>
      <c r="BR1022" s="163"/>
      <c r="BS1022" s="163"/>
    </row>
    <row r="1023" spans="52:71" x14ac:dyDescent="0.3">
      <c r="AZ1023" s="163"/>
      <c r="BB1023" s="163"/>
      <c r="BC1023" s="163"/>
      <c r="BD1023" s="163"/>
      <c r="BG1023" s="163"/>
      <c r="BH1023" s="163"/>
      <c r="BI1023" s="163"/>
      <c r="BJ1023" s="163"/>
      <c r="BK1023" s="163"/>
      <c r="BL1023" s="163"/>
      <c r="BM1023" s="163"/>
      <c r="BN1023" s="163"/>
      <c r="BO1023" s="163"/>
      <c r="BP1023" s="163"/>
      <c r="BQ1023" s="163"/>
      <c r="BR1023" s="163"/>
      <c r="BS1023" s="163"/>
    </row>
    <row r="1024" spans="52:71" x14ac:dyDescent="0.3">
      <c r="AZ1024" s="163"/>
      <c r="BG1024" s="163"/>
      <c r="BH1024" s="163"/>
      <c r="BI1024" s="163"/>
      <c r="BJ1024" s="163"/>
      <c r="BK1024" s="163"/>
      <c r="BL1024" s="163"/>
      <c r="BM1024" s="163"/>
      <c r="BN1024" s="163"/>
      <c r="BO1024" s="163"/>
      <c r="BP1024" s="163"/>
      <c r="BQ1024" s="163"/>
      <c r="BR1024" s="163"/>
      <c r="BS1024" s="163"/>
    </row>
    <row r="1025" spans="52:71" x14ac:dyDescent="0.3">
      <c r="AZ1025" s="163"/>
      <c r="BG1025" s="163"/>
      <c r="BH1025" s="163"/>
      <c r="BI1025" s="163"/>
      <c r="BJ1025" s="163"/>
      <c r="BK1025" s="163"/>
      <c r="BL1025" s="163"/>
      <c r="BM1025" s="163"/>
      <c r="BN1025" s="163"/>
      <c r="BO1025" s="163"/>
      <c r="BP1025" s="163"/>
      <c r="BQ1025" s="163"/>
      <c r="BR1025" s="163"/>
      <c r="BS1025" s="163"/>
    </row>
    <row r="1026" spans="52:71" x14ac:dyDescent="0.3">
      <c r="AZ1026" s="163"/>
      <c r="BG1026" s="163"/>
      <c r="BH1026" s="163"/>
      <c r="BI1026" s="163"/>
      <c r="BJ1026" s="163"/>
      <c r="BK1026" s="163"/>
      <c r="BL1026" s="163"/>
      <c r="BM1026" s="163"/>
      <c r="BN1026" s="163"/>
      <c r="BO1026" s="163"/>
      <c r="BP1026" s="163"/>
      <c r="BQ1026" s="163"/>
      <c r="BR1026" s="163"/>
      <c r="BS1026" s="163"/>
    </row>
    <row r="1027" spans="52:71" x14ac:dyDescent="0.3">
      <c r="AZ1027" s="163"/>
      <c r="BG1027" s="163"/>
      <c r="BH1027" s="163"/>
      <c r="BI1027" s="163"/>
      <c r="BJ1027" s="163"/>
      <c r="BK1027" s="163"/>
      <c r="BL1027" s="163"/>
      <c r="BM1027" s="163"/>
      <c r="BN1027" s="163"/>
      <c r="BO1027" s="163"/>
      <c r="BP1027" s="163"/>
      <c r="BQ1027" s="163"/>
      <c r="BR1027" s="163"/>
      <c r="BS1027" s="163"/>
    </row>
    <row r="1028" spans="52:71" x14ac:dyDescent="0.3">
      <c r="AZ1028" s="163"/>
      <c r="BG1028" s="163"/>
      <c r="BH1028" s="163"/>
      <c r="BI1028" s="163"/>
      <c r="BJ1028" s="163"/>
      <c r="BK1028" s="163"/>
      <c r="BL1028" s="163"/>
      <c r="BM1028" s="163"/>
      <c r="BN1028" s="163"/>
      <c r="BO1028" s="163"/>
      <c r="BP1028" s="163"/>
      <c r="BQ1028" s="163"/>
      <c r="BR1028" s="163"/>
      <c r="BS1028" s="163"/>
    </row>
    <row r="1029" spans="52:71" x14ac:dyDescent="0.3">
      <c r="AZ1029" s="163"/>
      <c r="BG1029" s="163"/>
      <c r="BH1029" s="163"/>
      <c r="BI1029" s="163"/>
      <c r="BJ1029" s="163"/>
      <c r="BK1029" s="163"/>
      <c r="BL1029" s="163"/>
      <c r="BM1029" s="163"/>
      <c r="BN1029" s="163"/>
      <c r="BO1029" s="163"/>
      <c r="BP1029" s="163"/>
      <c r="BQ1029" s="163"/>
      <c r="BR1029" s="163"/>
      <c r="BS1029" s="163"/>
    </row>
    <row r="1030" spans="52:71" x14ac:dyDescent="0.3">
      <c r="AZ1030" s="163"/>
      <c r="BG1030" s="163"/>
      <c r="BH1030" s="163"/>
      <c r="BI1030" s="163"/>
      <c r="BJ1030" s="163"/>
      <c r="BK1030" s="163"/>
      <c r="BL1030" s="163"/>
      <c r="BM1030" s="163"/>
      <c r="BN1030" s="163"/>
      <c r="BO1030" s="163"/>
      <c r="BP1030" s="163"/>
      <c r="BQ1030" s="163"/>
      <c r="BR1030" s="163"/>
      <c r="BS1030" s="163"/>
    </row>
    <row r="1031" spans="52:71" x14ac:dyDescent="0.3">
      <c r="AZ1031" s="163"/>
    </row>
    <row r="1032" spans="52:71" x14ac:dyDescent="0.3">
      <c r="AZ1032" s="163"/>
    </row>
    <row r="1046" spans="1:28" x14ac:dyDescent="0.3">
      <c r="A1046" s="99"/>
    </row>
    <row r="1049" spans="1:28" x14ac:dyDescent="0.3">
      <c r="Y1049" s="99"/>
    </row>
    <row r="1050" spans="1:28" x14ac:dyDescent="0.3">
      <c r="A1050" s="99"/>
      <c r="H1050" s="99"/>
      <c r="I1050" s="99"/>
    </row>
    <row r="1051" spans="1:28" x14ac:dyDescent="0.3">
      <c r="A1051" s="99"/>
      <c r="V1051" s="102"/>
      <c r="AA1051" s="102"/>
      <c r="AB1051" s="102"/>
    </row>
    <row r="1052" spans="1:28" x14ac:dyDescent="0.3">
      <c r="A1052" s="99"/>
      <c r="V1052" s="101"/>
      <c r="AA1052" s="101"/>
      <c r="AB1052" s="101"/>
    </row>
    <row r="1053" spans="1:28" x14ac:dyDescent="0.3">
      <c r="A1053" s="99"/>
      <c r="U1053" s="99"/>
      <c r="AA1053" s="102"/>
      <c r="AB1053" s="102"/>
    </row>
    <row r="1054" spans="1:28" x14ac:dyDescent="0.3">
      <c r="A1054" s="99"/>
    </row>
    <row r="1055" spans="1:28" x14ac:dyDescent="0.3">
      <c r="A1055" s="99"/>
      <c r="U1055" s="99"/>
      <c r="AA1055" s="102"/>
      <c r="AB1055" s="102"/>
    </row>
    <row r="1056" spans="1:28" x14ac:dyDescent="0.3">
      <c r="A1056" s="99"/>
    </row>
    <row r="1057" spans="1:28" x14ac:dyDescent="0.3">
      <c r="A1057" s="99"/>
      <c r="U1057" s="99"/>
      <c r="V1057" s="231"/>
      <c r="AA1057" s="102"/>
      <c r="AB1057" s="102"/>
    </row>
    <row r="1058" spans="1:28" x14ac:dyDescent="0.3">
      <c r="A1058" s="99"/>
    </row>
    <row r="1059" spans="1:28" x14ac:dyDescent="0.3">
      <c r="A1059" s="99"/>
      <c r="U1059" s="99"/>
      <c r="AA1059" s="102"/>
      <c r="AB1059" s="102"/>
    </row>
    <row r="1060" spans="1:28" x14ac:dyDescent="0.3">
      <c r="A1060" s="99"/>
    </row>
    <row r="1061" spans="1:28" x14ac:dyDescent="0.3">
      <c r="A1061" s="99"/>
      <c r="U1061" s="99"/>
      <c r="AA1061" s="102"/>
      <c r="AB1061" s="102"/>
    </row>
    <row r="1062" spans="1:28" x14ac:dyDescent="0.3">
      <c r="A1062" s="99"/>
    </row>
    <row r="1063" spans="1:28" x14ac:dyDescent="0.3">
      <c r="A1063" s="99"/>
    </row>
    <row r="1064" spans="1:28" x14ac:dyDescent="0.3">
      <c r="A1064" s="99"/>
    </row>
    <row r="1065" spans="1:28" x14ac:dyDescent="0.3">
      <c r="A1065" s="99"/>
    </row>
    <row r="1066" spans="1:28" x14ac:dyDescent="0.3">
      <c r="A1066" s="99"/>
    </row>
    <row r="1067" spans="1:28" x14ac:dyDescent="0.3">
      <c r="A1067" s="99"/>
    </row>
    <row r="1068" spans="1:28" x14ac:dyDescent="0.3">
      <c r="A1068" s="99"/>
    </row>
    <row r="1069" spans="1:28" x14ac:dyDescent="0.3">
      <c r="A1069" s="99"/>
    </row>
    <row r="1070" spans="1:28" x14ac:dyDescent="0.3">
      <c r="A1070" s="99"/>
    </row>
    <row r="1071" spans="1:28" x14ac:dyDescent="0.3">
      <c r="A1071" s="99"/>
    </row>
    <row r="1072" spans="1:28" x14ac:dyDescent="0.3">
      <c r="A1072" s="99"/>
      <c r="H1072" s="99"/>
      <c r="I1072" s="99"/>
    </row>
    <row r="1075" spans="1:1" x14ac:dyDescent="0.3">
      <c r="A1075" s="99"/>
    </row>
    <row r="1078" spans="1:1" x14ac:dyDescent="0.3">
      <c r="A1078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5" spans="1:1" x14ac:dyDescent="0.3">
      <c r="A1085" s="99"/>
    </row>
    <row r="1086" spans="1:1" x14ac:dyDescent="0.3">
      <c r="A1086" s="99"/>
    </row>
    <row r="1087" spans="1:1" x14ac:dyDescent="0.3">
      <c r="A1087" s="99"/>
    </row>
    <row r="1088" spans="1:1" x14ac:dyDescent="0.3">
      <c r="A1088" s="99"/>
    </row>
    <row r="1089" spans="1:1" x14ac:dyDescent="0.3">
      <c r="A1089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3" spans="1:1" x14ac:dyDescent="0.3">
      <c r="A1093" s="99"/>
    </row>
    <row r="1094" spans="1:1" x14ac:dyDescent="0.3">
      <c r="A1094" s="99"/>
    </row>
    <row r="1095" spans="1:1" x14ac:dyDescent="0.3">
      <c r="A1095" s="99"/>
    </row>
    <row r="1096" spans="1:1" x14ac:dyDescent="0.3">
      <c r="A1096" s="99"/>
    </row>
    <row r="1097" spans="1:1" x14ac:dyDescent="0.3">
      <c r="A1097" s="99"/>
    </row>
    <row r="1098" spans="1:1" x14ac:dyDescent="0.3">
      <c r="A1098" s="99"/>
    </row>
    <row r="1099" spans="1:1" x14ac:dyDescent="0.3">
      <c r="A1099" s="99"/>
    </row>
    <row r="1100" spans="1:1" x14ac:dyDescent="0.3">
      <c r="A1100" s="99"/>
    </row>
    <row r="1101" spans="1:1" x14ac:dyDescent="0.3">
      <c r="A1101" s="99"/>
    </row>
    <row r="1102" spans="1:1" x14ac:dyDescent="0.3">
      <c r="A1102" s="99"/>
    </row>
    <row r="1103" spans="1:1" x14ac:dyDescent="0.3">
      <c r="A1103" s="99"/>
    </row>
    <row r="1104" spans="1:1" x14ac:dyDescent="0.3">
      <c r="A1104" s="99"/>
    </row>
    <row r="1105" spans="1:1" x14ac:dyDescent="0.3">
      <c r="A1105" s="99"/>
    </row>
    <row r="1106" spans="1:1" x14ac:dyDescent="0.3">
      <c r="A1106" s="99"/>
    </row>
    <row r="1107" spans="1:1" x14ac:dyDescent="0.3">
      <c r="A1107" s="99"/>
    </row>
    <row r="1108" spans="1:1" x14ac:dyDescent="0.3">
      <c r="A1108" s="99"/>
    </row>
    <row r="1109" spans="1:1" x14ac:dyDescent="0.3">
      <c r="A1109" s="99"/>
    </row>
    <row r="1110" spans="1:1" x14ac:dyDescent="0.3">
      <c r="A1110" s="99"/>
    </row>
    <row r="1111" spans="1:1" x14ac:dyDescent="0.3">
      <c r="A1111" s="99"/>
    </row>
    <row r="1112" spans="1:1" x14ac:dyDescent="0.3">
      <c r="A1112" s="99"/>
    </row>
    <row r="1113" spans="1:1" x14ac:dyDescent="0.3">
      <c r="A1113" s="99"/>
    </row>
    <row r="1114" spans="1:1" x14ac:dyDescent="0.3">
      <c r="A1114" s="99"/>
    </row>
    <row r="1115" spans="1:1" x14ac:dyDescent="0.3">
      <c r="A1115" s="99"/>
    </row>
    <row r="1120" spans="1:1" x14ac:dyDescent="0.3">
      <c r="A1120" s="99"/>
    </row>
    <row r="1121" spans="1:1" x14ac:dyDescent="0.3">
      <c r="A1121" s="99"/>
    </row>
    <row r="1124" spans="1:1" x14ac:dyDescent="0.3">
      <c r="A1124" s="99"/>
    </row>
    <row r="1126" spans="1:1" x14ac:dyDescent="0.3">
      <c r="A1126" s="99"/>
    </row>
    <row r="1128" spans="1:1" x14ac:dyDescent="0.3">
      <c r="A1128" s="99"/>
    </row>
    <row r="1130" spans="1:1" x14ac:dyDescent="0.3">
      <c r="A1130" s="99"/>
    </row>
    <row r="1133" spans="1:1" x14ac:dyDescent="0.3">
      <c r="A1133" s="99"/>
    </row>
    <row r="1134" spans="1:1" x14ac:dyDescent="0.3">
      <c r="A1134" s="99"/>
    </row>
    <row r="1135" spans="1:1" x14ac:dyDescent="0.3">
      <c r="A1135" s="99"/>
    </row>
    <row r="1136" spans="1:1" x14ac:dyDescent="0.3">
      <c r="A1136" s="99"/>
    </row>
    <row r="1137" spans="1:1" x14ac:dyDescent="0.3">
      <c r="A1137" s="99"/>
    </row>
    <row r="1138" spans="1:1" x14ac:dyDescent="0.3">
      <c r="A1138" s="99"/>
    </row>
    <row r="1139" spans="1:1" x14ac:dyDescent="0.3">
      <c r="A1139" s="99"/>
    </row>
    <row r="1140" spans="1:1" x14ac:dyDescent="0.3">
      <c r="A1140" s="99"/>
    </row>
  </sheetData>
  <customSheetViews>
    <customSheetView guid="{F562D92E-120C-4AE9-9663-89E64D41DC53}" scale="75" fitToPage="1" topLeftCell="W57">
      <selection activeCell="P30" sqref="P3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8">
      <selection activeCell="F20" sqref="F2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>
      <selection activeCell="J24" sqref="J24: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activeCell="V33" sqref="V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X53">
      <selection activeCell="AE80" sqref="AE80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AC63">
      <selection activeCell="R8" sqref="R8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 topLeftCell="A10">
      <selection activeCell="J27" sqref="J27"/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36" max="65535" man="1"/>
        <brk id="179" max="65535" man="1"/>
        <brk id="221" max="65535" man="1"/>
        <brk id="260" max="65535" man="1"/>
        <brk id="316" max="65535" man="1"/>
        <brk id="362" max="65535" man="1"/>
        <brk id="444" max="65535" man="1"/>
        <brk id="482" max="65535" man="1"/>
        <brk id="519" max="65535" man="1"/>
        <brk id="567" max="65535" man="1"/>
        <brk id="628" max="65535" man="1"/>
        <brk id="687" max="65535" man="1"/>
        <brk id="794" max="65535" man="1"/>
        <brk id="841" max="65535" man="1"/>
        <brk id="900" max="65535" man="1"/>
        <brk id="943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48" orientation="landscape" r:id="rId13"/>
  <headerFooter alignWithMargins="0"/>
  <rowBreaks count="16" manualBreakCount="16">
    <brk id="136" max="65535" man="1"/>
    <brk id="179" max="65535" man="1"/>
    <brk id="221" max="65535" man="1"/>
    <brk id="260" max="65535" man="1"/>
    <brk id="316" max="65535" man="1"/>
    <brk id="362" max="65535" man="1"/>
    <brk id="444" max="65535" man="1"/>
    <brk id="482" max="65535" man="1"/>
    <brk id="519" max="65535" man="1"/>
    <brk id="567" max="65535" man="1"/>
    <brk id="628" max="65535" man="1"/>
    <brk id="687" max="65535" man="1"/>
    <brk id="794" max="65535" man="1"/>
    <brk id="841" max="65535" man="1"/>
    <brk id="900" max="65535" man="1"/>
    <brk id="943" max="65535" man="1"/>
  </rowBreaks>
  <colBreaks count="1" manualBreakCount="1">
    <brk id="44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syncVertical="1" syncRef="A1" transitionEvaluation="1" transitionEntry="1" codeName="Sheet9">
    <pageSetUpPr fitToPage="1"/>
  </sheetPr>
  <dimension ref="A1:BX1127"/>
  <sheetViews>
    <sheetView zoomScale="75" workbookViewId="0"/>
  </sheetViews>
  <sheetFormatPr defaultColWidth="9.75" defaultRowHeight="15.6" x14ac:dyDescent="0.3"/>
  <cols>
    <col min="1" max="1" width="4.9140625" style="98" customWidth="1"/>
    <col min="2" max="2" width="0.6640625" style="98" customWidth="1"/>
    <col min="3" max="3" width="6.75" style="98" customWidth="1"/>
    <col min="4" max="4" width="35.6640625" style="98" customWidth="1"/>
    <col min="5" max="5" width="0.66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41406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7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39.4140625" style="98" customWidth="1"/>
    <col min="24" max="24" width="0.582031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1.41406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8 OF "&amp;TEXT(Page_Num_2.3,"00")</f>
        <v>PAGE 8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196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92</v>
      </c>
      <c r="D20" s="124" t="s">
        <v>149</v>
      </c>
      <c r="E20" s="99"/>
      <c r="F20" s="1"/>
      <c r="G20" s="1"/>
      <c r="H20" s="215"/>
      <c r="I20" s="215"/>
      <c r="J20" s="167" t="s">
        <v>328</v>
      </c>
      <c r="K20" s="215"/>
      <c r="L20" s="215"/>
      <c r="M20" s="215"/>
      <c r="N20" s="215"/>
      <c r="O20" s="215"/>
      <c r="P20" s="215"/>
      <c r="Q20" s="215"/>
      <c r="R20" s="215"/>
      <c r="T20" s="99"/>
      <c r="U20" s="99"/>
    </row>
    <row r="21" spans="1:40" x14ac:dyDescent="0.3">
      <c r="A21" s="98">
        <v>2</v>
      </c>
      <c r="C21" s="134"/>
      <c r="D21" s="124" t="s">
        <v>132</v>
      </c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98">
        <v>3</v>
      </c>
      <c r="C23" s="124" t="s">
        <v>133</v>
      </c>
      <c r="F23" s="147"/>
      <c r="G23" s="1"/>
      <c r="H23" s="147"/>
      <c r="I23" s="147"/>
      <c r="J23" s="180"/>
      <c r="K23" s="180"/>
      <c r="L23" s="106"/>
      <c r="M23" s="106"/>
      <c r="N23" s="175"/>
      <c r="O23" s="175"/>
      <c r="P23" s="1"/>
      <c r="Q23" s="1"/>
      <c r="R23" s="106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99" t="s">
        <v>353</v>
      </c>
      <c r="F24" s="172">
        <f>'[9]Forecast BILLS'!$D$69</f>
        <v>24</v>
      </c>
      <c r="G24" s="1"/>
      <c r="H24" s="147"/>
      <c r="I24" s="147"/>
      <c r="J24" s="181">
        <f>INPUT!D64</f>
        <v>5</v>
      </c>
      <c r="K24" s="180"/>
      <c r="L24" s="106">
        <f>ROUND(F24*J24,0)</f>
        <v>120</v>
      </c>
      <c r="M24" s="106"/>
      <c r="N24" s="175">
        <f>ROUND((L24/$L$46)*100,1)</f>
        <v>0</v>
      </c>
      <c r="O24" s="175"/>
      <c r="P24" s="1"/>
      <c r="Q24" s="1"/>
      <c r="R24" s="106">
        <f>L24+P24</f>
        <v>120</v>
      </c>
      <c r="S24" s="110"/>
      <c r="T24" s="99"/>
      <c r="V24" s="110"/>
      <c r="Y24" s="110"/>
      <c r="Z24" s="181"/>
      <c r="AA24" s="110"/>
      <c r="AB24" s="110"/>
      <c r="AC24" s="141"/>
      <c r="AD24" s="141"/>
      <c r="AE24" s="110"/>
      <c r="AF24" s="110"/>
      <c r="AH24" s="141"/>
      <c r="AI24" s="110"/>
      <c r="AJ24" s="110"/>
      <c r="AL24" s="110"/>
      <c r="AM24" s="141"/>
      <c r="AN24" s="141"/>
    </row>
    <row r="25" spans="1:40" x14ac:dyDescent="0.3">
      <c r="A25" s="98">
        <v>5</v>
      </c>
      <c r="C25" s="99" t="s">
        <v>144</v>
      </c>
      <c r="F25" s="172">
        <f>'[9]Forecast BILLS'!$B$69</f>
        <v>120</v>
      </c>
      <c r="G25" s="1"/>
      <c r="H25" s="147"/>
      <c r="I25" s="147"/>
      <c r="J25" s="181">
        <f>INPUT!D113</f>
        <v>120</v>
      </c>
      <c r="K25" s="180"/>
      <c r="L25" s="106">
        <f>ROUND(F25*J25,0)</f>
        <v>14400</v>
      </c>
      <c r="M25" s="106"/>
      <c r="N25" s="236">
        <f>ROUND((L25/$L$46)*100,1)</f>
        <v>1.5</v>
      </c>
      <c r="O25" s="175"/>
      <c r="P25" s="1"/>
      <c r="Q25" s="1"/>
      <c r="R25" s="106">
        <f>L25+P25</f>
        <v>14400</v>
      </c>
      <c r="S25" s="110"/>
      <c r="V25" s="192"/>
      <c r="Y25" s="110"/>
      <c r="Z25" s="172"/>
      <c r="AA25" s="110"/>
      <c r="AB25" s="110"/>
      <c r="AC25" s="141"/>
      <c r="AD25" s="141"/>
      <c r="AE25" s="110"/>
      <c r="AF25" s="110"/>
      <c r="AI25" s="110"/>
      <c r="AJ25" s="110"/>
      <c r="AL25" s="110"/>
    </row>
    <row r="26" spans="1:40" ht="20.100000000000001" customHeight="1" x14ac:dyDescent="0.3">
      <c r="A26" s="98">
        <v>6</v>
      </c>
      <c r="C26" s="124" t="s">
        <v>136</v>
      </c>
      <c r="F26" s="112">
        <f>F25</f>
        <v>120</v>
      </c>
      <c r="G26" s="1"/>
      <c r="H26" s="106"/>
      <c r="I26" s="106"/>
      <c r="J26" s="171"/>
      <c r="K26" s="171"/>
      <c r="L26" s="112">
        <f>SUM(L24:L25)</f>
        <v>14520</v>
      </c>
      <c r="M26" s="106"/>
      <c r="N26" s="236">
        <f>ROUND((L26/$L$46)*100,1)</f>
        <v>1.5</v>
      </c>
      <c r="O26" s="175"/>
      <c r="P26" s="112"/>
      <c r="Q26" s="106"/>
      <c r="R26" s="112">
        <f>SUM(R24:R25)</f>
        <v>14520</v>
      </c>
      <c r="S26" s="110"/>
      <c r="T26" s="99"/>
      <c r="V26" s="110"/>
      <c r="Y26" s="110"/>
      <c r="Z26" s="216"/>
      <c r="AA26" s="110"/>
      <c r="AB26" s="110"/>
      <c r="AC26" s="141"/>
      <c r="AD26" s="141"/>
      <c r="AE26" s="110"/>
      <c r="AF26" s="110"/>
      <c r="AH26" s="141"/>
      <c r="AI26" s="110"/>
      <c r="AJ26" s="110"/>
      <c r="AL26" s="110"/>
      <c r="AM26" s="141"/>
      <c r="AN26" s="141"/>
    </row>
    <row r="27" spans="1:40" x14ac:dyDescent="0.3">
      <c r="F27" s="106"/>
      <c r="G27" s="1"/>
      <c r="H27" s="106"/>
      <c r="I27" s="106"/>
      <c r="J27" s="171"/>
      <c r="K27" s="171"/>
      <c r="L27" s="106"/>
      <c r="M27" s="106"/>
      <c r="N27" s="175"/>
      <c r="O27" s="175"/>
      <c r="P27" s="106"/>
      <c r="Q27" s="106"/>
      <c r="R27" s="106"/>
      <c r="S27" s="110"/>
      <c r="V27" s="192"/>
      <c r="Y27" s="192"/>
      <c r="Z27" s="217"/>
      <c r="AA27" s="192"/>
      <c r="AB27" s="192"/>
      <c r="AC27" s="192"/>
      <c r="AD27" s="192"/>
      <c r="AE27" s="192"/>
      <c r="AF27" s="192"/>
      <c r="AI27" s="192"/>
      <c r="AJ27" s="192"/>
      <c r="AK27" s="194"/>
      <c r="AL27" s="192"/>
      <c r="AM27" s="141"/>
      <c r="AN27" s="141"/>
    </row>
    <row r="28" spans="1:40" x14ac:dyDescent="0.3">
      <c r="A28" s="98">
        <v>7</v>
      </c>
      <c r="C28" s="124" t="s">
        <v>63</v>
      </c>
      <c r="F28" s="147"/>
      <c r="G28" s="1"/>
      <c r="H28" s="147"/>
      <c r="I28" s="147"/>
      <c r="J28" s="180"/>
      <c r="K28" s="180"/>
      <c r="L28" s="106"/>
      <c r="M28" s="106"/>
      <c r="N28" s="175"/>
      <c r="O28" s="175"/>
      <c r="P28" s="106"/>
      <c r="Q28" s="106"/>
      <c r="R28" s="106"/>
      <c r="S28" s="110"/>
      <c r="T28" s="99"/>
      <c r="V28" s="172"/>
      <c r="Y28" s="172"/>
      <c r="Z28" s="217"/>
      <c r="AA28" s="110"/>
      <c r="AB28" s="110"/>
      <c r="AC28" s="141"/>
      <c r="AD28" s="141"/>
      <c r="AE28" s="110"/>
      <c r="AF28" s="110"/>
      <c r="AI28" s="110"/>
      <c r="AJ28" s="110"/>
      <c r="AL28" s="110"/>
      <c r="AM28" s="141"/>
      <c r="AN28" s="141"/>
    </row>
    <row r="29" spans="1:40" x14ac:dyDescent="0.3">
      <c r="A29" s="98">
        <v>8</v>
      </c>
      <c r="C29" s="99" t="s">
        <v>150</v>
      </c>
      <c r="F29" s="147"/>
      <c r="G29" s="1"/>
      <c r="H29" s="172">
        <f>'[9]Forecast KW'!$B$69</f>
        <v>27922</v>
      </c>
      <c r="I29" s="147"/>
      <c r="J29" s="181">
        <f>INPUT!D119</f>
        <v>10.130000000000001</v>
      </c>
      <c r="K29" s="180"/>
      <c r="L29" s="106">
        <f>ROUND(H29*J29,0)</f>
        <v>282850</v>
      </c>
      <c r="M29" s="106"/>
      <c r="N29" s="236">
        <f>ROUND((L29/$L$46)*100,1)</f>
        <v>30.1</v>
      </c>
      <c r="O29" s="253"/>
      <c r="P29" s="106"/>
      <c r="Q29" s="106"/>
      <c r="R29" s="106">
        <f>L29+P29</f>
        <v>282850</v>
      </c>
      <c r="S29" s="110"/>
      <c r="V29" s="172"/>
      <c r="Y29" s="172"/>
      <c r="Z29" s="217"/>
      <c r="AA29" s="110"/>
      <c r="AB29" s="110"/>
      <c r="AC29" s="141"/>
      <c r="AD29" s="141"/>
      <c r="AE29" s="110"/>
      <c r="AF29" s="110"/>
      <c r="AI29" s="110"/>
      <c r="AJ29" s="110"/>
      <c r="AL29" s="110"/>
      <c r="AM29" s="141"/>
      <c r="AN29" s="141"/>
    </row>
    <row r="30" spans="1:40" ht="20.100000000000001" customHeight="1" x14ac:dyDescent="0.3">
      <c r="A30" s="98">
        <v>9</v>
      </c>
      <c r="C30" s="124" t="s">
        <v>66</v>
      </c>
      <c r="F30" s="106"/>
      <c r="G30" s="1"/>
      <c r="H30" s="112">
        <f>SUM(H29)</f>
        <v>27922</v>
      </c>
      <c r="I30" s="106"/>
      <c r="J30" s="171"/>
      <c r="K30" s="171"/>
      <c r="L30" s="112">
        <f>SUM(L29)</f>
        <v>282850</v>
      </c>
      <c r="M30" s="106"/>
      <c r="N30" s="236">
        <f>ROUND((L30/$L$46)*100,1)</f>
        <v>30.1</v>
      </c>
      <c r="O30" s="175"/>
      <c r="P30" s="112"/>
      <c r="Q30" s="106"/>
      <c r="R30" s="112">
        <f>SUM(R29)</f>
        <v>282850</v>
      </c>
      <c r="S30" s="110"/>
      <c r="T30" s="99"/>
      <c r="V30" s="172"/>
      <c r="Y30" s="110"/>
      <c r="Z30" s="216"/>
      <c r="AA30" s="110"/>
      <c r="AB30" s="110"/>
      <c r="AC30" s="141"/>
      <c r="AD30" s="141"/>
      <c r="AE30" s="110"/>
      <c r="AF30" s="110"/>
      <c r="AH30" s="141"/>
      <c r="AI30" s="110"/>
      <c r="AJ30" s="110"/>
      <c r="AL30" s="110"/>
      <c r="AM30" s="141"/>
      <c r="AN30" s="141"/>
    </row>
    <row r="31" spans="1:40" x14ac:dyDescent="0.3">
      <c r="F31" s="106"/>
      <c r="G31" s="1"/>
      <c r="H31" s="106"/>
      <c r="I31" s="106"/>
      <c r="J31" s="171"/>
      <c r="K31" s="171"/>
      <c r="L31" s="106"/>
      <c r="M31" s="106"/>
      <c r="N31" s="106"/>
      <c r="O31" s="106"/>
      <c r="P31" s="106"/>
      <c r="Q31" s="106"/>
      <c r="R31" s="106"/>
      <c r="S31" s="110"/>
      <c r="V31" s="192"/>
      <c r="Y31" s="192"/>
      <c r="Z31" s="217"/>
      <c r="AA31" s="192"/>
      <c r="AB31" s="192"/>
      <c r="AC31" s="192"/>
      <c r="AD31" s="192"/>
      <c r="AE31" s="192"/>
      <c r="AF31" s="192"/>
      <c r="AI31" s="192"/>
      <c r="AJ31" s="192"/>
      <c r="AK31" s="194"/>
      <c r="AL31" s="192"/>
      <c r="AM31" s="141"/>
      <c r="AN31" s="141"/>
    </row>
    <row r="32" spans="1:40" x14ac:dyDescent="0.3">
      <c r="A32" s="98">
        <v>10</v>
      </c>
      <c r="C32" s="124" t="s">
        <v>371</v>
      </c>
      <c r="F32" s="147"/>
      <c r="G32" s="1"/>
      <c r="H32" s="147"/>
      <c r="I32" s="147"/>
      <c r="J32" s="185"/>
      <c r="K32" s="185"/>
      <c r="L32" s="106"/>
      <c r="M32" s="106"/>
      <c r="N32" s="175"/>
      <c r="O32" s="175"/>
      <c r="P32" s="147"/>
      <c r="Q32" s="147"/>
      <c r="R32" s="106"/>
      <c r="S32" s="110"/>
      <c r="T32" s="99"/>
      <c r="V32" s="110"/>
      <c r="Y32" s="110"/>
      <c r="Z32" s="217"/>
      <c r="AA32" s="110"/>
      <c r="AB32" s="110"/>
      <c r="AC32" s="141"/>
      <c r="AD32" s="141"/>
      <c r="AE32" s="110"/>
      <c r="AF32" s="110"/>
      <c r="AH32" s="141"/>
      <c r="AI32" s="110"/>
      <c r="AJ32" s="110"/>
      <c r="AL32" s="110"/>
      <c r="AM32" s="141"/>
      <c r="AN32" s="141"/>
    </row>
    <row r="33" spans="1:40" x14ac:dyDescent="0.3">
      <c r="A33" s="98">
        <v>11</v>
      </c>
      <c r="C33" s="99" t="s">
        <v>151</v>
      </c>
      <c r="F33" s="147"/>
      <c r="G33" s="1"/>
      <c r="H33" s="172">
        <f>'[9]Forecast KWH'!$I$68</f>
        <v>6986215.7609999999</v>
      </c>
      <c r="I33" s="147"/>
      <c r="J33" s="189">
        <f>INPUT!D115</f>
        <v>7.6294000000000001E-2</v>
      </c>
      <c r="K33" s="185"/>
      <c r="L33" s="106">
        <f>ROUND((H33*J33),0)</f>
        <v>533006</v>
      </c>
      <c r="M33" s="106"/>
      <c r="N33" s="175">
        <f>ROUND((L33/$L$46)*100,1)</f>
        <v>56.7</v>
      </c>
      <c r="O33" s="175"/>
      <c r="P33" s="106"/>
      <c r="Q33" s="147"/>
      <c r="R33" s="106">
        <f>L33+P33</f>
        <v>533006</v>
      </c>
      <c r="S33" s="110"/>
      <c r="V33" s="192"/>
      <c r="Y33" s="192"/>
      <c r="Z33" s="217"/>
      <c r="AA33" s="192"/>
      <c r="AB33" s="192"/>
      <c r="AC33" s="192"/>
      <c r="AD33" s="192"/>
      <c r="AE33" s="192"/>
      <c r="AF33" s="192"/>
      <c r="AI33" s="192"/>
      <c r="AJ33" s="192"/>
      <c r="AK33" s="194"/>
      <c r="AL33" s="192"/>
      <c r="AM33" s="141"/>
      <c r="AN33" s="141"/>
    </row>
    <row r="34" spans="1:40" x14ac:dyDescent="0.3">
      <c r="A34" s="98">
        <v>12</v>
      </c>
      <c r="C34" s="99" t="s">
        <v>141</v>
      </c>
      <c r="F34" s="147"/>
      <c r="G34" s="1"/>
      <c r="H34" s="172">
        <f>'[9]Forecast KWH'!$C$68</f>
        <v>882225</v>
      </c>
      <c r="I34" s="147"/>
      <c r="J34" s="189">
        <f>INPUT!D116</f>
        <v>6.611199999999999E-2</v>
      </c>
      <c r="K34" s="185"/>
      <c r="L34" s="106">
        <f>ROUND((H34*J34),0)</f>
        <v>58326</v>
      </c>
      <c r="M34" s="106"/>
      <c r="N34" s="175">
        <f>ROUND((L34/$L$46)*100,1)</f>
        <v>6.2</v>
      </c>
      <c r="O34" s="175"/>
      <c r="P34" s="106"/>
      <c r="Q34" s="147"/>
      <c r="R34" s="106">
        <f>L34+P34</f>
        <v>58326</v>
      </c>
      <c r="S34" s="110"/>
      <c r="T34" s="99"/>
      <c r="Z34" s="217"/>
      <c r="AA34" s="110"/>
      <c r="AB34" s="110"/>
      <c r="AC34" s="141"/>
      <c r="AD34" s="141"/>
      <c r="AE34" s="110"/>
      <c r="AF34" s="110"/>
      <c r="AH34" s="141"/>
      <c r="AI34" s="110"/>
      <c r="AJ34" s="110"/>
      <c r="AL34" s="110"/>
      <c r="AM34" s="141"/>
      <c r="AN34" s="141"/>
    </row>
    <row r="35" spans="1:40" x14ac:dyDescent="0.3">
      <c r="A35" s="98">
        <v>13</v>
      </c>
      <c r="C35" s="99" t="s">
        <v>526</v>
      </c>
      <c r="F35" s="147"/>
      <c r="G35" s="1"/>
      <c r="H35" s="172">
        <f>'[9]Forecast KWH'!$D$68</f>
        <v>0</v>
      </c>
      <c r="I35" s="147"/>
      <c r="J35" s="189">
        <f>INPUT!D117</f>
        <v>0.308166</v>
      </c>
      <c r="K35" s="185"/>
      <c r="L35" s="106">
        <f>ROUND((H35*J35),0)</f>
        <v>0</v>
      </c>
      <c r="M35" s="106"/>
      <c r="N35" s="236">
        <f>ROUND((L35/$L$46)*100,1)</f>
        <v>0</v>
      </c>
      <c r="O35" s="175"/>
      <c r="P35" s="117"/>
      <c r="Q35" s="147"/>
      <c r="R35" s="106">
        <f>L35+P35</f>
        <v>0</v>
      </c>
      <c r="S35" s="110"/>
      <c r="T35" s="99"/>
      <c r="Z35" s="217"/>
      <c r="AA35" s="110"/>
      <c r="AB35" s="110"/>
      <c r="AC35" s="141"/>
      <c r="AD35" s="141"/>
      <c r="AE35" s="110"/>
      <c r="AF35" s="110"/>
      <c r="AH35" s="141"/>
      <c r="AI35" s="110"/>
      <c r="AJ35" s="110"/>
      <c r="AL35" s="110"/>
      <c r="AM35" s="141"/>
      <c r="AN35" s="141"/>
    </row>
    <row r="36" spans="1:40" ht="20.100000000000001" customHeight="1" x14ac:dyDescent="0.3">
      <c r="A36" s="98">
        <v>14</v>
      </c>
      <c r="C36" s="124" t="s">
        <v>142</v>
      </c>
      <c r="F36" s="106"/>
      <c r="G36" s="1"/>
      <c r="H36" s="112">
        <f>SUM(H33:H35)</f>
        <v>7868440.7609999999</v>
      </c>
      <c r="I36" s="106"/>
      <c r="J36" s="196"/>
      <c r="K36" s="136"/>
      <c r="L36" s="112">
        <f>SUM(L33:L35)</f>
        <v>591332</v>
      </c>
      <c r="M36" s="106"/>
      <c r="N36" s="236">
        <f>ROUND((L36/$L$46)*100,1)</f>
        <v>63</v>
      </c>
      <c r="O36" s="175"/>
      <c r="P36" s="117"/>
      <c r="Q36" s="106"/>
      <c r="R36" s="112">
        <f>L36+P36</f>
        <v>591332</v>
      </c>
      <c r="S36" s="110"/>
      <c r="T36" s="99"/>
      <c r="AA36" s="110"/>
      <c r="AB36" s="110"/>
      <c r="AC36" s="110"/>
      <c r="AD36" s="110"/>
      <c r="AI36" s="110"/>
      <c r="AJ36" s="110"/>
      <c r="AL36" s="110"/>
    </row>
    <row r="37" spans="1:40" ht="20.100000000000001" customHeight="1" x14ac:dyDescent="0.3">
      <c r="A37" s="98">
        <v>15</v>
      </c>
      <c r="C37" s="169" t="s">
        <v>447</v>
      </c>
      <c r="F37" s="117">
        <f>F26</f>
        <v>120</v>
      </c>
      <c r="G37" s="1"/>
      <c r="H37" s="112">
        <f>H36</f>
        <v>7868440.7609999999</v>
      </c>
      <c r="I37" s="106"/>
      <c r="J37" s="196"/>
      <c r="K37" s="136"/>
      <c r="L37" s="112">
        <f>L36+L30+L26</f>
        <v>888702</v>
      </c>
      <c r="M37" s="106"/>
      <c r="N37" s="193">
        <f>ROUND((L37/$L$46)*100,1)</f>
        <v>94.6</v>
      </c>
      <c r="O37" s="175"/>
      <c r="P37" s="112"/>
      <c r="Q37" s="106"/>
      <c r="R37" s="112">
        <f>R26+R30+R36</f>
        <v>888702</v>
      </c>
      <c r="S37" s="110"/>
      <c r="T37" s="99"/>
      <c r="AA37" s="110"/>
      <c r="AB37" s="110"/>
      <c r="AC37" s="110"/>
      <c r="AD37" s="110"/>
      <c r="AI37" s="110"/>
      <c r="AJ37" s="110"/>
      <c r="AL37" s="110"/>
    </row>
    <row r="38" spans="1:40" ht="15.75" customHeight="1" x14ac:dyDescent="0.3">
      <c r="C38" s="99"/>
      <c r="F38" s="106"/>
      <c r="G38" s="1"/>
      <c r="H38" s="106"/>
      <c r="I38" s="106"/>
      <c r="J38" s="196"/>
      <c r="K38" s="136"/>
      <c r="L38" s="106"/>
      <c r="M38" s="106"/>
      <c r="N38" s="175"/>
      <c r="O38" s="175"/>
      <c r="P38" s="106"/>
      <c r="Q38" s="106"/>
      <c r="R38" s="106"/>
      <c r="S38" s="110"/>
      <c r="T38" s="99"/>
      <c r="AA38" s="110"/>
      <c r="AB38" s="110"/>
      <c r="AC38" s="110"/>
      <c r="AD38" s="110"/>
      <c r="AI38" s="110"/>
      <c r="AJ38" s="110"/>
      <c r="AL38" s="110"/>
    </row>
    <row r="39" spans="1:40" ht="15.75" customHeight="1" x14ac:dyDescent="0.3">
      <c r="A39" s="98">
        <v>16</v>
      </c>
      <c r="C39" s="124" t="s">
        <v>428</v>
      </c>
      <c r="F39" s="106"/>
      <c r="G39" s="1"/>
      <c r="H39" s="106"/>
      <c r="I39" s="106"/>
      <c r="J39" s="196"/>
      <c r="K39" s="136"/>
      <c r="L39" s="106"/>
      <c r="M39" s="106"/>
      <c r="N39" s="175"/>
      <c r="O39" s="175"/>
      <c r="P39" s="106"/>
      <c r="Q39" s="106"/>
      <c r="R39" s="106"/>
      <c r="S39" s="110"/>
      <c r="T39" s="99"/>
      <c r="AA39" s="110"/>
      <c r="AB39" s="110"/>
      <c r="AC39" s="110"/>
      <c r="AD39" s="110"/>
      <c r="AI39" s="110"/>
      <c r="AJ39" s="110"/>
      <c r="AL39" s="110"/>
    </row>
    <row r="40" spans="1:40" ht="15.75" customHeight="1" x14ac:dyDescent="0.3">
      <c r="A40" s="98">
        <v>17</v>
      </c>
      <c r="C40" s="176" t="str">
        <f>DSMR_Name</f>
        <v>DEMAND SIDE MANAGEMENT RIDER (DSMR)</v>
      </c>
      <c r="F40" s="106"/>
      <c r="G40" s="1"/>
      <c r="H40" s="106"/>
      <c r="I40" s="106"/>
      <c r="J40" s="218">
        <f>PRO_DSM_DIST</f>
        <v>3.503E-3</v>
      </c>
      <c r="K40" s="136"/>
      <c r="L40" s="106">
        <f>ROUND($H$37*J40,0)</f>
        <v>27563</v>
      </c>
      <c r="M40" s="106"/>
      <c r="N40" s="154">
        <f>ROUND((L40/$L$46)*100,1)</f>
        <v>2.9</v>
      </c>
      <c r="O40" s="175"/>
      <c r="P40" s="106"/>
      <c r="Q40" s="106"/>
      <c r="R40" s="106">
        <f>L40+P40</f>
        <v>27563</v>
      </c>
      <c r="S40" s="110"/>
      <c r="T40" s="99"/>
      <c r="AA40" s="110"/>
      <c r="AB40" s="110"/>
      <c r="AC40" s="110"/>
      <c r="AD40" s="110"/>
      <c r="AI40" s="110"/>
      <c r="AJ40" s="110"/>
      <c r="AL40" s="110"/>
    </row>
    <row r="41" spans="1:40" ht="15.75" customHeight="1" x14ac:dyDescent="0.3">
      <c r="A41" s="98">
        <v>18</v>
      </c>
      <c r="C41" s="176" t="str">
        <f>ESM_Name</f>
        <v>ENVIRONMENTAL SURCHARGE MECHANISM RIDER (ESM)</v>
      </c>
      <c r="F41" s="106"/>
      <c r="G41" s="1"/>
      <c r="H41" s="106"/>
      <c r="I41" s="106"/>
      <c r="J41" s="184">
        <f>PRO_ESM_NONRES</f>
        <v>5.3681872802409589E-3</v>
      </c>
      <c r="K41" s="136"/>
      <c r="L41" s="106">
        <f>ROUND((R37-(PRO_BASE_FUEL*H37)+R40+R43)*J41,0)</f>
        <v>3596</v>
      </c>
      <c r="M41" s="106"/>
      <c r="N41" s="154">
        <f>ROUND((L41/$L$46)*100,1)</f>
        <v>0.4</v>
      </c>
      <c r="O41" s="175"/>
      <c r="P41" s="106"/>
      <c r="Q41" s="106"/>
      <c r="R41" s="106">
        <f>L41+P41</f>
        <v>3596</v>
      </c>
      <c r="S41" s="110"/>
      <c r="T41" s="99"/>
      <c r="AA41" s="110"/>
      <c r="AB41" s="110"/>
      <c r="AC41" s="110"/>
      <c r="AD41" s="110"/>
      <c r="AI41" s="110"/>
      <c r="AJ41" s="110"/>
      <c r="AL41" s="110"/>
    </row>
    <row r="42" spans="1:40" ht="15.75" customHeight="1" x14ac:dyDescent="0.3">
      <c r="A42" s="98">
        <v>19</v>
      </c>
      <c r="C42" s="176" t="str">
        <f>FAC_Name</f>
        <v>FUEL ADJUSTMENT CLAUSE (FAC)</v>
      </c>
      <c r="F42" s="106"/>
      <c r="G42" s="1"/>
      <c r="H42" s="106"/>
      <c r="I42" s="106"/>
      <c r="J42" s="218">
        <f>PRO_FAC</f>
        <v>3.4872127999999998E-3</v>
      </c>
      <c r="K42" s="136"/>
      <c r="L42" s="106"/>
      <c r="M42" s="106"/>
      <c r="N42" s="154"/>
      <c r="O42" s="175"/>
      <c r="P42" s="106">
        <f>ROUND(H37*PRO_FAC,0)</f>
        <v>27439</v>
      </c>
      <c r="Q42" s="106"/>
      <c r="R42" s="106">
        <f>L42+P42</f>
        <v>27439</v>
      </c>
      <c r="S42" s="110"/>
      <c r="T42" s="99"/>
      <c r="AA42" s="110"/>
      <c r="AB42" s="110"/>
      <c r="AC42" s="110"/>
      <c r="AD42" s="110"/>
      <c r="AI42" s="110"/>
      <c r="AJ42" s="110"/>
      <c r="AL42" s="110"/>
    </row>
    <row r="43" spans="1:40" ht="15.75" customHeight="1" x14ac:dyDescent="0.3">
      <c r="A43" s="98">
        <v>20</v>
      </c>
      <c r="C43" s="176" t="str">
        <f>PSM_Name</f>
        <v>PROFIT SHARING MECHANISM (PSM)</v>
      </c>
      <c r="F43" s="106"/>
      <c r="G43" s="1"/>
      <c r="H43" s="106"/>
      <c r="I43" s="106"/>
      <c r="J43" s="218">
        <f>PRO_PSM</f>
        <v>2.4750000000000002E-3</v>
      </c>
      <c r="K43" s="136"/>
      <c r="L43" s="117">
        <f>ROUND(H37*PRO_PSM,0)</f>
        <v>19474</v>
      </c>
      <c r="M43" s="106"/>
      <c r="N43" s="156">
        <f>ROUND((L43/$L$46)*100,1)</f>
        <v>2.1</v>
      </c>
      <c r="O43" s="175"/>
      <c r="P43" s="117"/>
      <c r="Q43" s="106"/>
      <c r="R43" s="117">
        <f>L43+P43</f>
        <v>19474</v>
      </c>
      <c r="S43" s="110"/>
      <c r="T43" s="99"/>
      <c r="AA43" s="110"/>
      <c r="AB43" s="110"/>
      <c r="AC43" s="110"/>
      <c r="AD43" s="110"/>
      <c r="AI43" s="110"/>
      <c r="AJ43" s="110"/>
      <c r="AL43" s="110"/>
    </row>
    <row r="44" spans="1:40" ht="20.100000000000001" customHeight="1" x14ac:dyDescent="0.3">
      <c r="A44" s="98">
        <v>21</v>
      </c>
      <c r="C44" s="124" t="s">
        <v>433</v>
      </c>
      <c r="F44" s="117"/>
      <c r="G44" s="1"/>
      <c r="H44" s="117"/>
      <c r="I44" s="106"/>
      <c r="J44" s="136"/>
      <c r="K44" s="136"/>
      <c r="L44" s="112">
        <f>SUM(L40:L43)</f>
        <v>50633</v>
      </c>
      <c r="M44" s="106"/>
      <c r="N44" s="158">
        <f>ROUND((L44/$L$46)*100,1)</f>
        <v>5.4</v>
      </c>
      <c r="O44" s="175"/>
      <c r="P44" s="112">
        <f>SUM(P40:P43)</f>
        <v>27439</v>
      </c>
      <c r="Q44" s="106"/>
      <c r="R44" s="112">
        <f>SUM(R40:R43)</f>
        <v>78072</v>
      </c>
      <c r="S44" s="110"/>
      <c r="T44" s="99"/>
      <c r="AA44" s="110"/>
      <c r="AB44" s="110"/>
      <c r="AC44" s="110"/>
      <c r="AD44" s="110"/>
      <c r="AI44" s="110"/>
      <c r="AJ44" s="110"/>
      <c r="AL44" s="110"/>
    </row>
    <row r="45" spans="1:40" ht="15.75" customHeight="1" x14ac:dyDescent="0.3">
      <c r="C45" s="124"/>
      <c r="F45" s="106"/>
      <c r="G45" s="1"/>
      <c r="H45" s="106"/>
      <c r="I45" s="106"/>
      <c r="J45" s="136"/>
      <c r="K45" s="136"/>
      <c r="L45" s="106"/>
      <c r="M45" s="106"/>
      <c r="N45" s="175"/>
      <c r="O45" s="175"/>
      <c r="P45" s="106"/>
      <c r="Q45" s="106"/>
      <c r="R45" s="106"/>
      <c r="S45" s="110"/>
      <c r="T45" s="99"/>
      <c r="AA45" s="110"/>
      <c r="AB45" s="110"/>
      <c r="AC45" s="110"/>
      <c r="AD45" s="110"/>
      <c r="AI45" s="110"/>
      <c r="AJ45" s="110"/>
      <c r="AL45" s="110"/>
    </row>
    <row r="46" spans="1:40" ht="20.100000000000001" customHeight="1" thickBot="1" x14ac:dyDescent="0.35">
      <c r="A46" s="98">
        <v>22</v>
      </c>
      <c r="C46" s="169" t="s">
        <v>448</v>
      </c>
      <c r="F46" s="120">
        <f>F26</f>
        <v>120</v>
      </c>
      <c r="G46" s="1"/>
      <c r="H46" s="120">
        <f>H36</f>
        <v>7868440.7609999999</v>
      </c>
      <c r="I46" s="106"/>
      <c r="J46" s="136"/>
      <c r="K46" s="136"/>
      <c r="L46" s="120">
        <f>L37+L44</f>
        <v>939335</v>
      </c>
      <c r="M46" s="106"/>
      <c r="N46" s="197">
        <v>100</v>
      </c>
      <c r="O46" s="175"/>
      <c r="P46" s="120">
        <f>P44+P37</f>
        <v>27439</v>
      </c>
      <c r="Q46" s="106"/>
      <c r="R46" s="120">
        <f>R44+R37</f>
        <v>966774</v>
      </c>
      <c r="Y46" s="99"/>
    </row>
    <row r="47" spans="1:40" ht="16.2" thickTop="1" x14ac:dyDescent="0.3">
      <c r="F47" s="106"/>
      <c r="G47" s="1"/>
      <c r="H47" s="106"/>
      <c r="I47" s="106"/>
      <c r="J47" s="136"/>
      <c r="K47" s="136"/>
      <c r="L47" s="106"/>
      <c r="M47" s="106"/>
      <c r="N47" s="106"/>
      <c r="O47" s="106"/>
      <c r="P47" s="106"/>
      <c r="Q47" s="106"/>
      <c r="R47" s="106"/>
      <c r="AA47" s="99"/>
      <c r="AB47" s="99"/>
    </row>
    <row r="48" spans="1:40" x14ac:dyDescent="0.3">
      <c r="C48" s="178" t="s">
        <v>59</v>
      </c>
      <c r="F48" s="110"/>
      <c r="H48" s="110"/>
      <c r="I48" s="110"/>
      <c r="J48" s="198"/>
      <c r="K48" s="198"/>
      <c r="L48" s="110"/>
      <c r="M48" s="110"/>
      <c r="N48" s="110"/>
      <c r="O48" s="110"/>
      <c r="P48" s="110"/>
      <c r="Q48" s="110"/>
      <c r="R48" s="110"/>
      <c r="AK48" s="190"/>
      <c r="AL48" s="99"/>
    </row>
    <row r="49" spans="1:43" x14ac:dyDescent="0.3">
      <c r="C49" s="178" t="str">
        <f>"(2) REFLECTS FUEL COMPONENT OF "&amp;TEXT(PRO_FAC,"$0.000000;($0.000000)")&amp;"  PER KWH."</f>
        <v>(2) REFLECTS FUEL COMPONENT OF $0.003487  PER KWH.</v>
      </c>
      <c r="F49" s="110"/>
      <c r="H49" s="110"/>
      <c r="I49" s="110"/>
      <c r="J49" s="198"/>
      <c r="K49" s="198"/>
      <c r="L49" s="110"/>
      <c r="M49" s="110"/>
      <c r="N49" s="110"/>
      <c r="O49" s="110"/>
      <c r="P49" s="110"/>
      <c r="Q49" s="110"/>
      <c r="R49" s="110"/>
      <c r="AK49" s="190"/>
      <c r="AL49" s="99"/>
    </row>
    <row r="50" spans="1:43" x14ac:dyDescent="0.3">
      <c r="C50" s="178" t="str">
        <f>"(3) REFLECTS FUEL COST RECOVERY INCLUDED IN BASE RATES OF "&amp;TEXT(PRO_BASE_FUEL,"$0.000000;($0.000000)")&amp;"  PER KWH."</f>
        <v>(3) REFLECTS FUEL COST RECOVERY INCLUDED IN BASE RATES OF $0.033780  PER KWH.</v>
      </c>
      <c r="R50" s="99"/>
    </row>
    <row r="51" spans="1:43" x14ac:dyDescent="0.3">
      <c r="A51" s="99"/>
      <c r="R51" s="99"/>
    </row>
    <row r="52" spans="1:43" x14ac:dyDescent="0.3">
      <c r="F52"/>
      <c r="G52"/>
      <c r="H52"/>
      <c r="I52"/>
      <c r="J52"/>
      <c r="L52" s="99"/>
      <c r="M52" s="99"/>
    </row>
    <row r="53" spans="1:43" x14ac:dyDescent="0.3">
      <c r="A53" s="101"/>
      <c r="B53" s="101"/>
      <c r="C53" s="101"/>
      <c r="D53" s="101"/>
      <c r="E53" s="101"/>
      <c r="F53"/>
      <c r="G53"/>
      <c r="H53"/>
      <c r="I53"/>
      <c r="J53"/>
      <c r="K53" s="101"/>
      <c r="L53" s="101"/>
      <c r="M53" s="101"/>
      <c r="N53" s="101"/>
      <c r="O53" s="101"/>
      <c r="P53" s="101"/>
      <c r="Q53" s="101"/>
      <c r="R53" s="101"/>
      <c r="T53" s="97" t="str">
        <f>NAME</f>
        <v>DUKE ENERGY KENTUCKY, INC.</v>
      </c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149"/>
      <c r="AH53" s="97"/>
      <c r="AI53" s="97"/>
      <c r="AJ53" s="97"/>
      <c r="AK53" s="149"/>
      <c r="AL53" s="97"/>
      <c r="AM53" s="97"/>
      <c r="AN53" s="97"/>
      <c r="AO53" s="97"/>
      <c r="AP53" s="97"/>
      <c r="AQ53" s="149"/>
    </row>
    <row r="54" spans="1:43" x14ac:dyDescent="0.3">
      <c r="A54" s="101"/>
      <c r="B54" s="101"/>
      <c r="C54" s="101"/>
      <c r="D54" s="101"/>
      <c r="E54" s="101"/>
      <c r="F54"/>
      <c r="G54"/>
      <c r="H54"/>
      <c r="I54"/>
      <c r="J54"/>
      <c r="K54" s="101"/>
      <c r="L54" s="101"/>
      <c r="M54" s="101"/>
      <c r="N54" s="101"/>
      <c r="O54" s="101"/>
      <c r="P54" s="101"/>
      <c r="Q54" s="101"/>
      <c r="R54" s="101"/>
      <c r="T54" s="97" t="str">
        <f>CASE_NO</f>
        <v>CASE NO.   2024-00354</v>
      </c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149"/>
      <c r="AH54" s="97"/>
      <c r="AI54" s="97"/>
      <c r="AJ54" s="97"/>
      <c r="AK54" s="149"/>
      <c r="AL54" s="97"/>
      <c r="AM54" s="97"/>
      <c r="AN54" s="97"/>
      <c r="AO54" s="97"/>
      <c r="AP54" s="97"/>
      <c r="AQ54" s="149"/>
    </row>
    <row r="55" spans="1:43" x14ac:dyDescent="0.3">
      <c r="F55"/>
      <c r="G55"/>
      <c r="H55"/>
      <c r="I55"/>
      <c r="J55"/>
      <c r="L55" s="102"/>
      <c r="M55" s="102"/>
      <c r="N55" s="102"/>
      <c r="O55" s="102"/>
      <c r="R55" s="102"/>
      <c r="T55" s="97" t="str">
        <f>TITLE</f>
        <v>ANNUALIZED BASE YEAR REVENUES AT PROPOSED VS. MOST CURRENT RATES</v>
      </c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149"/>
      <c r="AH55" s="97"/>
      <c r="AI55" s="97"/>
      <c r="AJ55" s="97"/>
      <c r="AK55" s="149"/>
      <c r="AL55" s="97"/>
      <c r="AM55" s="97"/>
      <c r="AN55" s="97"/>
      <c r="AO55" s="97"/>
      <c r="AP55" s="97"/>
      <c r="AQ55" s="149"/>
    </row>
    <row r="56" spans="1:43" x14ac:dyDescent="0.3">
      <c r="L56" s="102"/>
      <c r="M56" s="102"/>
      <c r="N56" s="102"/>
      <c r="O56" s="102"/>
      <c r="R56" s="102"/>
      <c r="T56" s="97" t="str">
        <f>DATE</f>
        <v>FOR THE TWELVE MONTHS ENDED February 28, 2025</v>
      </c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149"/>
      <c r="AH56" s="97"/>
      <c r="AI56" s="97"/>
      <c r="AJ56" s="97"/>
      <c r="AK56" s="149"/>
      <c r="AL56" s="97"/>
      <c r="AM56" s="97"/>
      <c r="AN56" s="97"/>
      <c r="AO56" s="97"/>
      <c r="AP56" s="97"/>
      <c r="AQ56" s="149"/>
    </row>
    <row r="57" spans="1:43" x14ac:dyDescent="0.3">
      <c r="A57" s="102"/>
      <c r="C57" s="102"/>
      <c r="D57" s="102"/>
      <c r="E57" s="102"/>
      <c r="F57" s="102"/>
      <c r="J57" s="102"/>
      <c r="K57" s="102"/>
      <c r="L57" s="102"/>
      <c r="M57" s="102"/>
      <c r="N57" s="102"/>
      <c r="O57" s="102"/>
      <c r="P57" s="102"/>
      <c r="Q57" s="102"/>
      <c r="R57" s="102"/>
      <c r="T57" s="97" t="str">
        <f>SERVICE</f>
        <v>(ELECTRIC SERVICE)</v>
      </c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149"/>
      <c r="AH57" s="97"/>
      <c r="AI57" s="97"/>
      <c r="AJ57" s="97"/>
      <c r="AK57" s="149"/>
      <c r="AL57" s="97"/>
      <c r="AM57" s="97"/>
      <c r="AN57" s="97"/>
      <c r="AO57" s="97"/>
      <c r="AP57" s="97"/>
      <c r="AQ57" s="149"/>
    </row>
    <row r="58" spans="1:43" x14ac:dyDescent="0.3">
      <c r="A58" s="102"/>
      <c r="C58" s="102"/>
      <c r="D58" s="102"/>
      <c r="E58" s="102"/>
      <c r="F58" s="102"/>
      <c r="J58" s="102"/>
      <c r="K58" s="102"/>
      <c r="L58" s="102"/>
      <c r="M58" s="102"/>
      <c r="N58" s="102"/>
      <c r="O58" s="102"/>
      <c r="P58" s="102"/>
      <c r="Q58" s="102"/>
      <c r="R58" s="102"/>
      <c r="T58" s="98" t="str">
        <f>DATA_PERIOD</f>
        <v>DATA: __X__ BASE PERIOD   ____FORECASTED PERIOD</v>
      </c>
      <c r="AO58" s="99" t="s">
        <v>157</v>
      </c>
      <c r="AP58" s="99"/>
    </row>
    <row r="59" spans="1:43" x14ac:dyDescent="0.3">
      <c r="A59" s="102"/>
      <c r="C59" s="102"/>
      <c r="D59" s="102"/>
      <c r="E59" s="102"/>
      <c r="F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T59" s="98" t="str">
        <f>TYPE</f>
        <v>TYPE OF FILING: _X_ ORIGINAL   ___UPDATED  ___ REVISED</v>
      </c>
      <c r="AO59" s="116" t="str">
        <f>"PAGE 8 OF "&amp;TEXT(Page_Num_2.2,"00")</f>
        <v>PAGE 8 OF 24</v>
      </c>
      <c r="AP59" s="99"/>
    </row>
    <row r="60" spans="1:43" x14ac:dyDescent="0.3">
      <c r="C60" s="102"/>
      <c r="D60" s="102"/>
      <c r="E60" s="102"/>
      <c r="F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T60" s="99" t="s">
        <v>170</v>
      </c>
      <c r="AO60" s="99" t="s">
        <v>3</v>
      </c>
      <c r="AP60" s="99"/>
    </row>
    <row r="61" spans="1:43" x14ac:dyDescent="0.3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T61" s="124" t="str">
        <f>TIME</f>
        <v>6 Months Actual and 6 Months Projected with Riders</v>
      </c>
      <c r="AO61" s="98" t="str">
        <f>WIT</f>
        <v>B. L. Sailers</v>
      </c>
    </row>
    <row r="62" spans="1:43" x14ac:dyDescent="0.3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T62" s="124" t="str">
        <f>INPUT!B5</f>
        <v>6 Months Actual Ending August 31, 2024</v>
      </c>
    </row>
    <row r="63" spans="1:43" x14ac:dyDescent="0.3"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T63" s="97" t="s">
        <v>130</v>
      </c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149"/>
      <c r="AH63" s="97"/>
      <c r="AI63" s="97"/>
      <c r="AJ63" s="97"/>
      <c r="AK63" s="149"/>
      <c r="AL63" s="97"/>
      <c r="AM63" s="97"/>
      <c r="AN63" s="97"/>
      <c r="AO63" s="97"/>
      <c r="AP63" s="97"/>
      <c r="AQ63" s="149"/>
    </row>
    <row r="64" spans="1:43" x14ac:dyDescent="0.3">
      <c r="C64" s="99"/>
      <c r="D64" s="99"/>
      <c r="E64" s="99"/>
      <c r="T64" s="100"/>
      <c r="U64" s="100"/>
      <c r="V64" s="100"/>
      <c r="W64" s="100"/>
      <c r="X64" s="100"/>
      <c r="Y64" s="100"/>
      <c r="Z64" s="100"/>
      <c r="AA64" s="100"/>
      <c r="AB64" s="100"/>
      <c r="AC64" s="100"/>
      <c r="AD64" s="100"/>
      <c r="AE64" s="100"/>
      <c r="AF64" s="100"/>
      <c r="AG64" s="150"/>
      <c r="AH64" s="100"/>
      <c r="AI64" s="100"/>
      <c r="AJ64" s="100"/>
      <c r="AK64" s="150"/>
      <c r="AL64" s="100"/>
      <c r="AM64" s="100"/>
      <c r="AN64" s="100"/>
      <c r="AO64" s="100"/>
      <c r="AP64" s="100"/>
      <c r="AQ64" s="150"/>
    </row>
    <row r="65" spans="3:76" ht="18" customHeight="1" x14ac:dyDescent="0.3">
      <c r="D65" s="99"/>
      <c r="E65" s="99"/>
      <c r="AE65" s="102" t="s">
        <v>8</v>
      </c>
      <c r="AF65" s="102"/>
      <c r="AG65" s="151" t="s">
        <v>7</v>
      </c>
      <c r="AH65" s="102"/>
      <c r="AI65" s="102" t="s">
        <v>9</v>
      </c>
      <c r="AJ65" s="102"/>
      <c r="AK65" s="151" t="s">
        <v>10</v>
      </c>
      <c r="AL65" s="102"/>
      <c r="AO65" s="102" t="s">
        <v>8</v>
      </c>
      <c r="AP65" s="102"/>
      <c r="AQ65" s="151" t="s">
        <v>11</v>
      </c>
    </row>
    <row r="66" spans="3:76" x14ac:dyDescent="0.3">
      <c r="AC66" s="102" t="s">
        <v>14</v>
      </c>
      <c r="AD66" s="102"/>
      <c r="AE66" s="102" t="s">
        <v>12</v>
      </c>
      <c r="AF66" s="102"/>
      <c r="AG66" s="151" t="s">
        <v>13</v>
      </c>
      <c r="AH66" s="102"/>
      <c r="AI66" s="102" t="s">
        <v>15</v>
      </c>
      <c r="AJ66" s="102"/>
      <c r="AK66" s="151" t="s">
        <v>16</v>
      </c>
      <c r="AL66" s="102"/>
      <c r="AO66" s="102" t="s">
        <v>11</v>
      </c>
      <c r="AP66" s="102"/>
      <c r="AQ66" s="151" t="s">
        <v>9</v>
      </c>
    </row>
    <row r="67" spans="3:76" x14ac:dyDescent="0.3">
      <c r="C67" s="99"/>
      <c r="T67" s="102" t="s">
        <v>17</v>
      </c>
      <c r="V67" s="102" t="s">
        <v>18</v>
      </c>
      <c r="W67" s="102" t="s">
        <v>19</v>
      </c>
      <c r="X67" s="102"/>
      <c r="Y67" s="102" t="s">
        <v>20</v>
      </c>
      <c r="AC67" s="102" t="s">
        <v>8</v>
      </c>
      <c r="AD67" s="102"/>
      <c r="AE67" s="102" t="s">
        <v>593</v>
      </c>
      <c r="AF67" s="102"/>
      <c r="AG67" s="151" t="s">
        <v>593</v>
      </c>
      <c r="AH67" s="102"/>
      <c r="AI67" s="103" t="s">
        <v>708</v>
      </c>
      <c r="AJ67" s="102"/>
      <c r="AK67" s="152" t="s">
        <v>708</v>
      </c>
      <c r="AL67" s="102"/>
      <c r="AM67" s="102" t="s">
        <v>593</v>
      </c>
      <c r="AN67" s="102"/>
      <c r="AO67" s="102" t="s">
        <v>9</v>
      </c>
      <c r="AP67" s="102"/>
      <c r="AQ67" s="151" t="s">
        <v>21</v>
      </c>
    </row>
    <row r="68" spans="3:76" x14ac:dyDescent="0.3">
      <c r="C68" s="99"/>
      <c r="F68" s="172"/>
      <c r="H68" s="172"/>
      <c r="I68" s="172"/>
      <c r="J68" s="181"/>
      <c r="K68" s="181"/>
      <c r="L68" s="110"/>
      <c r="M68" s="110"/>
      <c r="N68" s="141"/>
      <c r="O68" s="141"/>
      <c r="R68" s="110"/>
      <c r="T68" s="102" t="s">
        <v>22</v>
      </c>
      <c r="V68" s="102" t="s">
        <v>23</v>
      </c>
      <c r="W68" s="102" t="s">
        <v>24</v>
      </c>
      <c r="X68" s="102"/>
      <c r="Y68" s="102" t="s">
        <v>25</v>
      </c>
      <c r="AA68" s="102" t="s">
        <v>26</v>
      </c>
      <c r="AB68" s="102"/>
      <c r="AC68" s="102" t="s">
        <v>27</v>
      </c>
      <c r="AD68" s="102"/>
      <c r="AE68" s="102" t="s">
        <v>9</v>
      </c>
      <c r="AF68" s="102"/>
      <c r="AG68" s="151" t="s">
        <v>9</v>
      </c>
      <c r="AH68" s="102"/>
      <c r="AI68" s="131" t="s">
        <v>29</v>
      </c>
      <c r="AJ68" s="131"/>
      <c r="AK68" s="165" t="s">
        <v>30</v>
      </c>
      <c r="AL68" s="102"/>
      <c r="AM68" s="102" t="s">
        <v>323</v>
      </c>
      <c r="AN68" s="102"/>
      <c r="AO68" s="131" t="s">
        <v>31</v>
      </c>
      <c r="AP68" s="131"/>
      <c r="AQ68" s="165" t="s">
        <v>32</v>
      </c>
    </row>
    <row r="69" spans="3:76" x14ac:dyDescent="0.3">
      <c r="C69" s="99"/>
      <c r="F69" s="172"/>
      <c r="H69" s="172"/>
      <c r="I69" s="172"/>
      <c r="J69" s="181"/>
      <c r="K69" s="181"/>
      <c r="L69" s="110"/>
      <c r="M69" s="110"/>
      <c r="N69" s="141"/>
      <c r="O69" s="141"/>
      <c r="R69" s="110"/>
      <c r="V69" s="131" t="s">
        <v>33</v>
      </c>
      <c r="W69" s="131" t="s">
        <v>34</v>
      </c>
      <c r="X69" s="131"/>
      <c r="Y69" s="131" t="s">
        <v>35</v>
      </c>
      <c r="Z69" s="134"/>
      <c r="AA69" s="131" t="s">
        <v>36</v>
      </c>
      <c r="AB69" s="131"/>
      <c r="AC69" s="131" t="s">
        <v>42</v>
      </c>
      <c r="AD69" s="131"/>
      <c r="AE69" s="131" t="s">
        <v>43</v>
      </c>
      <c r="AF69" s="131"/>
      <c r="AG69" s="165" t="s">
        <v>44</v>
      </c>
      <c r="AH69" s="131"/>
      <c r="AI69" s="131" t="s">
        <v>45</v>
      </c>
      <c r="AJ69" s="131"/>
      <c r="AK69" s="165" t="s">
        <v>46</v>
      </c>
      <c r="AL69" s="131"/>
      <c r="AM69" s="131" t="s">
        <v>40</v>
      </c>
      <c r="AN69" s="131"/>
      <c r="AO69" s="131" t="s">
        <v>47</v>
      </c>
      <c r="AP69" s="131"/>
      <c r="AQ69" s="165" t="s">
        <v>48</v>
      </c>
    </row>
    <row r="70" spans="3:76" x14ac:dyDescent="0.3">
      <c r="F70" s="192"/>
      <c r="H70" s="110"/>
      <c r="I70" s="110"/>
      <c r="J70" s="217"/>
      <c r="K70" s="217"/>
      <c r="L70" s="192"/>
      <c r="M70" s="192"/>
      <c r="N70" s="192"/>
      <c r="O70" s="192"/>
      <c r="P70" s="192"/>
      <c r="Q70" s="192"/>
      <c r="R70" s="192"/>
      <c r="T70" s="100"/>
      <c r="U70" s="100"/>
      <c r="V70" s="100"/>
      <c r="W70" s="100"/>
      <c r="X70" s="100"/>
      <c r="Y70" s="100"/>
      <c r="Z70" s="100"/>
      <c r="AA70" s="100"/>
      <c r="AB70" s="100"/>
      <c r="AC70" s="100"/>
      <c r="AD70" s="100"/>
      <c r="AE70" s="100"/>
      <c r="AF70" s="100"/>
      <c r="AG70" s="150"/>
      <c r="AH70" s="100"/>
      <c r="AI70" s="100"/>
      <c r="AJ70" s="100"/>
      <c r="AK70" s="150"/>
      <c r="AL70" s="100"/>
      <c r="AM70" s="100"/>
      <c r="AN70" s="100"/>
      <c r="AO70" s="100"/>
      <c r="AP70" s="100"/>
      <c r="AQ70" s="150"/>
    </row>
    <row r="71" spans="3:76" ht="17.100000000000001" customHeight="1" x14ac:dyDescent="0.3">
      <c r="C71" s="99"/>
      <c r="F71" s="110"/>
      <c r="H71" s="110"/>
      <c r="I71" s="110"/>
      <c r="J71" s="217"/>
      <c r="K71" s="217"/>
      <c r="L71" s="110"/>
      <c r="M71" s="110"/>
      <c r="N71" s="141"/>
      <c r="O71" s="141"/>
      <c r="P71" s="110"/>
      <c r="Q71" s="110"/>
      <c r="R71" s="110"/>
      <c r="AA71" s="167" t="s">
        <v>196</v>
      </c>
      <c r="AB71" s="166"/>
      <c r="AC71" s="167" t="s">
        <v>331</v>
      </c>
      <c r="AD71" s="166"/>
      <c r="AE71" s="166" t="s">
        <v>50</v>
      </c>
      <c r="AF71" s="166"/>
      <c r="AG71" s="168" t="s">
        <v>51</v>
      </c>
      <c r="AH71" s="166"/>
      <c r="AI71" s="166" t="s">
        <v>50</v>
      </c>
      <c r="AJ71" s="166"/>
      <c r="AK71" s="168" t="s">
        <v>51</v>
      </c>
      <c r="AL71" s="166"/>
      <c r="AM71" s="166" t="s">
        <v>50</v>
      </c>
      <c r="AN71" s="166"/>
      <c r="AO71" s="166" t="s">
        <v>50</v>
      </c>
      <c r="AP71" s="166"/>
      <c r="AQ71" s="168" t="s">
        <v>51</v>
      </c>
    </row>
    <row r="72" spans="3:76" x14ac:dyDescent="0.3">
      <c r="F72" s="192"/>
      <c r="H72" s="110"/>
      <c r="I72" s="110"/>
      <c r="J72" s="217"/>
      <c r="K72" s="217"/>
      <c r="L72" s="192"/>
      <c r="M72" s="192"/>
      <c r="N72" s="192"/>
      <c r="O72" s="192"/>
      <c r="P72" s="192"/>
      <c r="Q72" s="192"/>
      <c r="R72" s="192"/>
      <c r="T72" s="98">
        <v>1</v>
      </c>
      <c r="V72" s="124" t="s">
        <v>92</v>
      </c>
      <c r="W72" s="124" t="s">
        <v>149</v>
      </c>
      <c r="X72" s="99"/>
      <c r="Y72" s="1"/>
      <c r="Z72" s="1"/>
      <c r="AA72" s="215"/>
      <c r="AB72" s="215"/>
      <c r="AC72" s="167" t="s">
        <v>328</v>
      </c>
      <c r="AD72" s="215"/>
      <c r="AE72" s="215"/>
      <c r="AF72" s="215"/>
      <c r="AG72" s="219"/>
      <c r="AH72" s="215"/>
      <c r="AI72" s="215"/>
      <c r="AJ72" s="215"/>
      <c r="AK72" s="219"/>
      <c r="AL72" s="215"/>
      <c r="AM72" s="215"/>
      <c r="AN72" s="215"/>
      <c r="AO72" s="215"/>
      <c r="AP72" s="215"/>
      <c r="AQ72" s="219"/>
      <c r="AU72" s="226"/>
    </row>
    <row r="73" spans="3:76" x14ac:dyDescent="0.3">
      <c r="F73" s="110"/>
      <c r="H73" s="110"/>
      <c r="I73" s="110"/>
      <c r="J73" s="217"/>
      <c r="K73" s="217"/>
      <c r="L73" s="110"/>
      <c r="M73" s="110"/>
      <c r="N73" s="141"/>
      <c r="O73" s="141"/>
      <c r="P73" s="110"/>
      <c r="Q73" s="110"/>
      <c r="R73" s="110"/>
      <c r="T73" s="98">
        <v>2</v>
      </c>
      <c r="V73" s="134"/>
      <c r="W73" s="124" t="s">
        <v>132</v>
      </c>
      <c r="X73" s="99"/>
      <c r="Y73" s="1"/>
      <c r="Z73" s="1"/>
      <c r="AA73" s="1"/>
      <c r="AB73" s="1"/>
      <c r="AC73" s="1"/>
      <c r="AD73" s="1"/>
      <c r="AE73" s="1"/>
      <c r="AF73" s="1"/>
      <c r="AG73" s="154"/>
      <c r="AH73" s="1"/>
      <c r="AI73" s="1"/>
      <c r="AJ73" s="1"/>
      <c r="AK73" s="154"/>
      <c r="AL73" s="1"/>
      <c r="AM73" s="1"/>
      <c r="AN73" s="1"/>
      <c r="AO73" s="1"/>
      <c r="AP73" s="1"/>
      <c r="AQ73" s="154"/>
      <c r="AU73" s="141"/>
      <c r="BX73" s="220"/>
    </row>
    <row r="74" spans="3:76" x14ac:dyDescent="0.3">
      <c r="C74" s="99"/>
      <c r="F74" s="172"/>
      <c r="H74" s="172"/>
      <c r="I74" s="172"/>
      <c r="J74" s="181"/>
      <c r="K74" s="181"/>
      <c r="L74" s="110"/>
      <c r="M74" s="110"/>
      <c r="N74" s="141"/>
      <c r="O74" s="141"/>
      <c r="P74" s="110"/>
      <c r="Q74" s="110"/>
      <c r="R74" s="110"/>
      <c r="Y74" s="1"/>
      <c r="Z74" s="1"/>
      <c r="AA74" s="1"/>
      <c r="AB74" s="1"/>
      <c r="AC74" s="1"/>
      <c r="AD74" s="1"/>
      <c r="AE74" s="1"/>
      <c r="AF74" s="1"/>
      <c r="AG74" s="154"/>
      <c r="AH74" s="1"/>
      <c r="AI74" s="1"/>
      <c r="AJ74" s="1"/>
      <c r="AK74" s="154"/>
      <c r="AL74" s="1"/>
      <c r="AM74" s="1"/>
      <c r="AN74" s="1"/>
      <c r="AO74" s="1"/>
      <c r="AP74" s="1"/>
      <c r="AQ74" s="154"/>
      <c r="AU74" s="141"/>
    </row>
    <row r="75" spans="3:76" x14ac:dyDescent="0.3">
      <c r="F75" s="110"/>
      <c r="H75" s="192"/>
      <c r="I75" s="192"/>
      <c r="J75" s="217"/>
      <c r="K75" s="217"/>
      <c r="L75" s="192"/>
      <c r="M75" s="192"/>
      <c r="N75" s="192"/>
      <c r="O75" s="192"/>
      <c r="P75" s="192"/>
      <c r="Q75" s="192"/>
      <c r="R75" s="192"/>
      <c r="T75" s="98">
        <v>3</v>
      </c>
      <c r="V75" s="124" t="s">
        <v>133</v>
      </c>
      <c r="Y75" s="106"/>
      <c r="Z75" s="1"/>
      <c r="AA75" s="147"/>
      <c r="AB75" s="147"/>
      <c r="AC75" s="180"/>
      <c r="AD75" s="180"/>
      <c r="AE75" s="106"/>
      <c r="AF75" s="106"/>
      <c r="AG75" s="154"/>
      <c r="AH75" s="175"/>
      <c r="AI75" s="106"/>
      <c r="AJ75" s="106"/>
      <c r="AK75" s="202"/>
      <c r="AL75" s="221"/>
      <c r="AM75" s="1"/>
      <c r="AN75" s="1"/>
      <c r="AO75" s="106"/>
      <c r="AP75" s="106"/>
      <c r="AQ75" s="202"/>
      <c r="AS75" s="110"/>
      <c r="AT75" s="110"/>
      <c r="AU75" s="141"/>
    </row>
    <row r="76" spans="3:76" x14ac:dyDescent="0.3">
      <c r="F76" s="110"/>
      <c r="H76" s="192"/>
      <c r="I76" s="192"/>
      <c r="J76" s="217"/>
      <c r="K76" s="217"/>
      <c r="L76" s="192"/>
      <c r="M76" s="192"/>
      <c r="N76" s="192"/>
      <c r="O76" s="192"/>
      <c r="P76" s="192"/>
      <c r="Q76" s="192"/>
      <c r="R76" s="192"/>
      <c r="T76" s="98">
        <v>4</v>
      </c>
      <c r="V76" s="99" t="s">
        <v>353</v>
      </c>
      <c r="Y76" s="106">
        <f>F24</f>
        <v>24</v>
      </c>
      <c r="Z76" s="1"/>
      <c r="AA76" s="147"/>
      <c r="AB76" s="147"/>
      <c r="AC76" s="181">
        <f>INPUT!C64</f>
        <v>5</v>
      </c>
      <c r="AD76" s="180"/>
      <c r="AE76" s="106">
        <f>ROUND(Y76*AC76,0)</f>
        <v>120</v>
      </c>
      <c r="AF76" s="106"/>
      <c r="AG76" s="154">
        <f>ROUND((AE76/$AE$98)*100,1)</f>
        <v>0</v>
      </c>
      <c r="AH76" s="175"/>
      <c r="AI76" s="106">
        <f>L24-AE76</f>
        <v>0</v>
      </c>
      <c r="AJ76" s="106"/>
      <c r="AK76" s="154">
        <f>ROUND((AI76/AE76)*100,1)</f>
        <v>0</v>
      </c>
      <c r="AL76" s="138"/>
      <c r="AM76" s="106"/>
      <c r="AN76" s="1"/>
      <c r="AO76" s="106">
        <f>AE76+AM76</f>
        <v>120</v>
      </c>
      <c r="AP76" s="106"/>
      <c r="AQ76" s="154">
        <f>ROUND((AI76/AO76)*100,1)</f>
        <v>0</v>
      </c>
      <c r="AS76" s="110"/>
      <c r="AT76" s="110"/>
      <c r="AU76" s="141"/>
    </row>
    <row r="77" spans="3:76" x14ac:dyDescent="0.3">
      <c r="C77" s="99"/>
      <c r="F77" s="110"/>
      <c r="H77" s="110"/>
      <c r="I77" s="110"/>
      <c r="J77" s="198"/>
      <c r="K77" s="198"/>
      <c r="L77" s="110"/>
      <c r="M77" s="110"/>
      <c r="N77" s="141"/>
      <c r="O77" s="141"/>
      <c r="P77" s="110"/>
      <c r="Q77" s="110"/>
      <c r="R77" s="110"/>
      <c r="T77" s="98">
        <v>5</v>
      </c>
      <c r="V77" s="99" t="s">
        <v>144</v>
      </c>
      <c r="Y77" s="106">
        <f>F25</f>
        <v>120</v>
      </c>
      <c r="Z77" s="1"/>
      <c r="AA77" s="147"/>
      <c r="AB77" s="147"/>
      <c r="AC77" s="181">
        <f>INPUT!C113</f>
        <v>117</v>
      </c>
      <c r="AD77" s="180"/>
      <c r="AE77" s="106">
        <f>ROUND(Y77*AC77,0)</f>
        <v>14040</v>
      </c>
      <c r="AF77" s="106"/>
      <c r="AG77" s="156">
        <f>ROUND((AE77/$AE$98)*100,1)</f>
        <v>1.6</v>
      </c>
      <c r="AH77" s="175"/>
      <c r="AI77" s="106">
        <f>L25-AE77</f>
        <v>360</v>
      </c>
      <c r="AJ77" s="106"/>
      <c r="AK77" s="156">
        <f>ROUND((AI77/AE77)*100,1)</f>
        <v>2.6</v>
      </c>
      <c r="AL77" s="138"/>
      <c r="AM77" s="106"/>
      <c r="AN77" s="1"/>
      <c r="AO77" s="106">
        <f>AE77+AM77</f>
        <v>14040</v>
      </c>
      <c r="AP77" s="106"/>
      <c r="AQ77" s="156">
        <f>ROUND((AI77/AO77)*100,1)</f>
        <v>2.6</v>
      </c>
      <c r="AS77" s="110"/>
      <c r="AT77" s="110"/>
      <c r="AU77" s="226"/>
    </row>
    <row r="78" spans="3:76" ht="20.100000000000001" customHeight="1" x14ac:dyDescent="0.3">
      <c r="C78" s="99"/>
      <c r="F78" s="172"/>
      <c r="H78" s="172"/>
      <c r="I78" s="172"/>
      <c r="J78" s="222"/>
      <c r="K78" s="222"/>
      <c r="L78" s="110"/>
      <c r="M78" s="110"/>
      <c r="N78" s="141"/>
      <c r="O78" s="141"/>
      <c r="P78" s="172"/>
      <c r="Q78" s="172"/>
      <c r="R78" s="110"/>
      <c r="T78" s="98">
        <v>6</v>
      </c>
      <c r="V78" s="124" t="s">
        <v>136</v>
      </c>
      <c r="Y78" s="112">
        <f>F26</f>
        <v>120</v>
      </c>
      <c r="Z78" s="1"/>
      <c r="AA78" s="106"/>
      <c r="AB78" s="106"/>
      <c r="AC78" s="136"/>
      <c r="AD78" s="136"/>
      <c r="AE78" s="112">
        <f>SUM(AE76:AE77)</f>
        <v>14160</v>
      </c>
      <c r="AF78" s="106"/>
      <c r="AG78" s="156">
        <f>ROUND((AE78/$AE$98)*100,1)+0.1</f>
        <v>1.7000000000000002</v>
      </c>
      <c r="AH78" s="175"/>
      <c r="AI78" s="112">
        <f>SUM(AI76:AI77)</f>
        <v>360</v>
      </c>
      <c r="AJ78" s="106"/>
      <c r="AK78" s="158">
        <f>SUM(AK76:AK77)</f>
        <v>2.6</v>
      </c>
      <c r="AL78" s="138"/>
      <c r="AM78" s="112"/>
      <c r="AN78" s="106"/>
      <c r="AO78" s="112">
        <f>SUM(AO76:AO77)</f>
        <v>14160</v>
      </c>
      <c r="AP78" s="106"/>
      <c r="AQ78" s="156">
        <f>ROUND((AI78/AO78)*100,1)</f>
        <v>2.5</v>
      </c>
      <c r="AR78" s="110"/>
      <c r="AS78" s="110"/>
      <c r="AT78" s="110"/>
      <c r="AU78" s="141"/>
    </row>
    <row r="79" spans="3:76" x14ac:dyDescent="0.3">
      <c r="C79" s="99"/>
      <c r="H79" s="172"/>
      <c r="I79" s="172"/>
      <c r="J79" s="222"/>
      <c r="K79" s="222"/>
      <c r="L79" s="110"/>
      <c r="M79" s="110"/>
      <c r="N79" s="141"/>
      <c r="O79" s="141"/>
      <c r="P79" s="172"/>
      <c r="Q79" s="172"/>
      <c r="R79" s="110"/>
      <c r="Y79" s="106"/>
      <c r="Z79" s="1"/>
      <c r="AA79" s="106"/>
      <c r="AB79" s="106"/>
      <c r="AC79" s="136"/>
      <c r="AD79" s="136"/>
      <c r="AE79" s="106"/>
      <c r="AF79" s="106"/>
      <c r="AG79" s="154"/>
      <c r="AH79" s="175"/>
      <c r="AI79" s="106"/>
      <c r="AJ79" s="106"/>
      <c r="AK79" s="154"/>
      <c r="AL79" s="138"/>
      <c r="AM79" s="106"/>
      <c r="AN79" s="106"/>
      <c r="AO79" s="106"/>
      <c r="AP79" s="106"/>
      <c r="AQ79" s="154"/>
      <c r="AR79" s="110"/>
      <c r="AS79" s="110"/>
      <c r="AT79" s="110"/>
      <c r="AU79" s="141"/>
    </row>
    <row r="80" spans="3:76" x14ac:dyDescent="0.3">
      <c r="C80" s="99"/>
      <c r="F80" s="110"/>
      <c r="H80" s="110"/>
      <c r="I80" s="110"/>
      <c r="J80" s="198"/>
      <c r="K80" s="198"/>
      <c r="L80" s="110"/>
      <c r="M80" s="110"/>
      <c r="N80" s="141"/>
      <c r="O80" s="141"/>
      <c r="P80" s="110"/>
      <c r="Q80" s="110"/>
      <c r="R80" s="110"/>
      <c r="T80" s="98">
        <v>7</v>
      </c>
      <c r="V80" s="124" t="s">
        <v>63</v>
      </c>
      <c r="Y80" s="147"/>
      <c r="Z80" s="1"/>
      <c r="AA80" s="106"/>
      <c r="AB80" s="106"/>
      <c r="AC80" s="180"/>
      <c r="AD80" s="180"/>
      <c r="AE80" s="106"/>
      <c r="AF80" s="106"/>
      <c r="AG80" s="154"/>
      <c r="AH80" s="175"/>
      <c r="AI80" s="106"/>
      <c r="AJ80" s="106"/>
      <c r="AK80" s="202"/>
      <c r="AL80" s="221"/>
      <c r="AM80" s="106"/>
      <c r="AN80" s="106"/>
      <c r="AO80" s="106"/>
      <c r="AP80" s="106"/>
      <c r="AQ80" s="202"/>
      <c r="AR80" s="110"/>
      <c r="AS80" s="110"/>
      <c r="AT80" s="110"/>
      <c r="AU80" s="141"/>
    </row>
    <row r="81" spans="1:47" x14ac:dyDescent="0.3">
      <c r="F81" s="192"/>
      <c r="H81" s="192"/>
      <c r="I81" s="192"/>
      <c r="J81" s="217"/>
      <c r="K81" s="217"/>
      <c r="L81" s="192"/>
      <c r="M81" s="192"/>
      <c r="N81" s="192"/>
      <c r="O81" s="192"/>
      <c r="P81" s="192"/>
      <c r="Q81" s="192"/>
      <c r="R81" s="192"/>
      <c r="T81" s="98">
        <v>8</v>
      </c>
      <c r="V81" s="99" t="s">
        <v>150</v>
      </c>
      <c r="Y81" s="147"/>
      <c r="Z81" s="1"/>
      <c r="AA81" s="106">
        <f>H29</f>
        <v>27922</v>
      </c>
      <c r="AB81" s="106"/>
      <c r="AC81" s="181">
        <f>INPUT!C119</f>
        <v>9.5</v>
      </c>
      <c r="AD81" s="180"/>
      <c r="AE81" s="106">
        <f>ROUND(AA81*AC81,0)</f>
        <v>265259</v>
      </c>
      <c r="AF81" s="106"/>
      <c r="AG81" s="156">
        <f>ROUND((AE81/$AE$98)*100,1)</f>
        <v>30</v>
      </c>
      <c r="AH81" s="175"/>
      <c r="AI81" s="106">
        <f>L29-AE81</f>
        <v>17591</v>
      </c>
      <c r="AJ81" s="106"/>
      <c r="AK81" s="156">
        <f>ROUND((AI81/AE81)*100,1)</f>
        <v>6.6</v>
      </c>
      <c r="AL81" s="138"/>
      <c r="AM81" s="106"/>
      <c r="AN81" s="106"/>
      <c r="AO81" s="106">
        <f>AE81+AM81</f>
        <v>265259</v>
      </c>
      <c r="AP81" s="106"/>
      <c r="AQ81" s="156">
        <f>ROUND((AI81/AO81)*100,1)</f>
        <v>6.6</v>
      </c>
      <c r="AR81" s="110"/>
      <c r="AS81" s="110"/>
      <c r="AT81" s="110"/>
      <c r="AU81" s="141"/>
    </row>
    <row r="82" spans="1:47" ht="20.100000000000001" customHeight="1" x14ac:dyDescent="0.3">
      <c r="C82" s="99"/>
      <c r="F82" s="110"/>
      <c r="H82" s="110"/>
      <c r="I82" s="110"/>
      <c r="J82" s="198"/>
      <c r="K82" s="198"/>
      <c r="L82" s="110"/>
      <c r="M82" s="110"/>
      <c r="N82" s="141"/>
      <c r="O82" s="141"/>
      <c r="P82" s="110"/>
      <c r="Q82" s="110"/>
      <c r="R82" s="110"/>
      <c r="T82" s="98">
        <v>9</v>
      </c>
      <c r="V82" s="124" t="s">
        <v>66</v>
      </c>
      <c r="Y82" s="106"/>
      <c r="Z82" s="1"/>
      <c r="AA82" s="112">
        <f>H30</f>
        <v>27922</v>
      </c>
      <c r="AB82" s="106"/>
      <c r="AC82" s="171"/>
      <c r="AD82" s="171"/>
      <c r="AE82" s="112">
        <f>SUM(AE81)</f>
        <v>265259</v>
      </c>
      <c r="AF82" s="106"/>
      <c r="AG82" s="156">
        <f>ROUND((AE82/$AE$98)*100,1)</f>
        <v>30</v>
      </c>
      <c r="AH82" s="175"/>
      <c r="AI82" s="112">
        <f>SUM(AI81)</f>
        <v>17591</v>
      </c>
      <c r="AJ82" s="106"/>
      <c r="AK82" s="158">
        <f>ROUND((AI82/AE82)*100,1)</f>
        <v>6.6</v>
      </c>
      <c r="AL82" s="138"/>
      <c r="AM82" s="112"/>
      <c r="AN82" s="106"/>
      <c r="AO82" s="112">
        <f>SUM(AO81)</f>
        <v>265259</v>
      </c>
      <c r="AP82" s="106"/>
      <c r="AQ82" s="156">
        <f>ROUND((AI82/AO82)*100,1)</f>
        <v>6.6</v>
      </c>
      <c r="AR82" s="110"/>
      <c r="AS82" s="110"/>
      <c r="AT82" s="110"/>
      <c r="AU82" s="141"/>
    </row>
    <row r="83" spans="1:47" x14ac:dyDescent="0.3">
      <c r="C83" s="99"/>
      <c r="F83" s="110"/>
      <c r="H83" s="110"/>
      <c r="I83" s="110"/>
      <c r="J83" s="198"/>
      <c r="K83" s="198"/>
      <c r="L83" s="110"/>
      <c r="M83" s="110"/>
      <c r="N83" s="141"/>
      <c r="O83" s="141"/>
      <c r="P83" s="110"/>
      <c r="Q83" s="110"/>
      <c r="R83" s="110"/>
      <c r="Y83" s="106"/>
      <c r="Z83" s="1"/>
      <c r="AA83" s="106"/>
      <c r="AB83" s="106"/>
      <c r="AC83" s="171"/>
      <c r="AD83" s="171"/>
      <c r="AE83" s="106"/>
      <c r="AF83" s="106"/>
      <c r="AG83" s="154"/>
      <c r="AH83" s="106"/>
      <c r="AI83" s="106"/>
      <c r="AJ83" s="106"/>
      <c r="AK83" s="154"/>
      <c r="AL83" s="138"/>
      <c r="AM83" s="106"/>
      <c r="AN83" s="106"/>
      <c r="AO83" s="106"/>
      <c r="AP83" s="106"/>
      <c r="AQ83" s="154"/>
      <c r="AR83" s="110"/>
      <c r="AS83" s="110"/>
      <c r="AT83" s="110"/>
      <c r="AU83" s="141"/>
    </row>
    <row r="84" spans="1:47" x14ac:dyDescent="0.3">
      <c r="A84" s="99"/>
      <c r="F84" s="110"/>
      <c r="H84" s="110"/>
      <c r="I84" s="110"/>
      <c r="J84" s="198"/>
      <c r="K84" s="198"/>
      <c r="L84" s="110"/>
      <c r="M84" s="110"/>
      <c r="N84" s="110"/>
      <c r="O84" s="110"/>
      <c r="P84" s="110"/>
      <c r="Q84" s="110"/>
      <c r="R84" s="110"/>
      <c r="T84" s="98">
        <v>10</v>
      </c>
      <c r="V84" s="124" t="s">
        <v>371</v>
      </c>
      <c r="Y84" s="147"/>
      <c r="Z84" s="1"/>
      <c r="AA84" s="147"/>
      <c r="AB84" s="147"/>
      <c r="AC84" s="240"/>
      <c r="AD84" s="240"/>
      <c r="AE84" s="106"/>
      <c r="AF84" s="106"/>
      <c r="AG84" s="154"/>
      <c r="AH84" s="175"/>
      <c r="AI84" s="106"/>
      <c r="AJ84" s="106"/>
      <c r="AK84" s="154"/>
      <c r="AL84" s="138"/>
      <c r="AM84" s="147"/>
      <c r="AN84" s="147"/>
      <c r="AO84" s="106"/>
      <c r="AP84" s="106"/>
      <c r="AQ84" s="154"/>
      <c r="AR84" s="172"/>
      <c r="AS84" s="110"/>
      <c r="AT84" s="110"/>
      <c r="AU84" s="141"/>
    </row>
    <row r="85" spans="1:47" x14ac:dyDescent="0.3">
      <c r="T85" s="98">
        <v>11</v>
      </c>
      <c r="V85" s="116" t="s">
        <v>151</v>
      </c>
      <c r="Y85" s="147"/>
      <c r="Z85" s="1"/>
      <c r="AA85" s="106">
        <f>H33</f>
        <v>6986215.7609999999</v>
      </c>
      <c r="AB85" s="106"/>
      <c r="AC85" s="189">
        <f>INPUT!C115</f>
        <v>7.1562000000000001E-2</v>
      </c>
      <c r="AD85" s="188"/>
      <c r="AE85" s="106">
        <f>ROUND((AA85*AC85),0)</f>
        <v>499948</v>
      </c>
      <c r="AF85" s="106"/>
      <c r="AG85" s="154">
        <f>ROUND((AE85/$AE$98)*100,1)</f>
        <v>56.5</v>
      </c>
      <c r="AH85" s="175"/>
      <c r="AI85" s="106">
        <f>L33-AE85</f>
        <v>33058</v>
      </c>
      <c r="AJ85" s="106"/>
      <c r="AK85" s="154">
        <f>ROUND((AI85/AE85)*100,1)</f>
        <v>6.6</v>
      </c>
      <c r="AL85" s="138"/>
      <c r="AM85" s="106"/>
      <c r="AN85" s="147"/>
      <c r="AO85" s="106">
        <f>AE85+AM85</f>
        <v>499948</v>
      </c>
      <c r="AP85" s="106"/>
      <c r="AQ85" s="154">
        <f>ROUND((AI85/AO85)*100,1)</f>
        <v>6.6</v>
      </c>
      <c r="AR85" s="172"/>
      <c r="AS85" s="110"/>
      <c r="AT85" s="110"/>
      <c r="AU85" s="141"/>
    </row>
    <row r="86" spans="1:47" x14ac:dyDescent="0.3">
      <c r="L86" s="110"/>
      <c r="M86" s="110"/>
      <c r="N86" s="110"/>
      <c r="O86" s="110"/>
      <c r="P86" s="110"/>
      <c r="Q86" s="110"/>
      <c r="R86" s="110"/>
      <c r="T86" s="98">
        <v>12</v>
      </c>
      <c r="V86" s="99" t="s">
        <v>141</v>
      </c>
      <c r="Y86" s="147"/>
      <c r="Z86" s="1"/>
      <c r="AA86" s="106">
        <f>H34</f>
        <v>882225</v>
      </c>
      <c r="AB86" s="106"/>
      <c r="AC86" s="189">
        <f>INPUT!C116</f>
        <v>6.2067999999999998E-2</v>
      </c>
      <c r="AD86" s="188"/>
      <c r="AE86" s="106">
        <f>ROUND((AA86*AC86),0)</f>
        <v>54758</v>
      </c>
      <c r="AF86" s="106"/>
      <c r="AG86" s="154">
        <f>ROUND((AE86/$AE$98)*100,1)</f>
        <v>6.2</v>
      </c>
      <c r="AH86" s="175"/>
      <c r="AI86" s="106">
        <f>L34-AE86</f>
        <v>3568</v>
      </c>
      <c r="AJ86" s="106"/>
      <c r="AK86" s="154">
        <f>ROUND((AI86/AE86)*100,1)</f>
        <v>6.5</v>
      </c>
      <c r="AL86" s="138"/>
      <c r="AM86" s="106"/>
      <c r="AN86" s="147"/>
      <c r="AO86" s="106">
        <f>AE86+AM86</f>
        <v>54758</v>
      </c>
      <c r="AP86" s="106"/>
      <c r="AQ86" s="154">
        <f>ROUND((AI86/AO86)*100,1)</f>
        <v>6.5</v>
      </c>
      <c r="AR86" s="172"/>
      <c r="AS86" s="110"/>
      <c r="AT86" s="110"/>
      <c r="AU86" s="141"/>
    </row>
    <row r="87" spans="1:47" x14ac:dyDescent="0.3">
      <c r="L87" s="110"/>
      <c r="M87" s="110"/>
      <c r="N87" s="110"/>
      <c r="O87" s="110"/>
      <c r="P87" s="110"/>
      <c r="Q87" s="110"/>
      <c r="R87" s="110"/>
      <c r="T87" s="98">
        <v>13</v>
      </c>
      <c r="V87" s="99" t="s">
        <v>526</v>
      </c>
      <c r="Y87" s="147"/>
      <c r="Z87" s="1"/>
      <c r="AA87" s="106">
        <f>H35</f>
        <v>0</v>
      </c>
      <c r="AB87" s="106"/>
      <c r="AC87" s="189">
        <f>INPUT!C117</f>
        <v>0.289184</v>
      </c>
      <c r="AD87" s="188"/>
      <c r="AE87" s="106">
        <f>ROUND((AA87*AC87),0)</f>
        <v>0</v>
      </c>
      <c r="AF87" s="106"/>
      <c r="AG87" s="156">
        <f>ROUND((AE87/$AE$98)*100,1)</f>
        <v>0</v>
      </c>
      <c r="AH87" s="175"/>
      <c r="AI87" s="106">
        <f>L35-AE87</f>
        <v>0</v>
      </c>
      <c r="AJ87" s="106"/>
      <c r="AK87" s="154">
        <f>IF(AE87=0,0,ROUND((AI87/AE87)*100,1))</f>
        <v>0</v>
      </c>
      <c r="AL87" s="138"/>
      <c r="AM87" s="117"/>
      <c r="AN87" s="147"/>
      <c r="AO87" s="106">
        <f>AE87+AM87</f>
        <v>0</v>
      </c>
      <c r="AP87" s="106"/>
      <c r="AQ87" s="156">
        <f>IF(AO87=0,0,ROUND((AI87/AO87)*100,1))</f>
        <v>0</v>
      </c>
      <c r="AR87" s="172"/>
      <c r="AS87" s="110"/>
      <c r="AT87" s="110"/>
      <c r="AU87" s="141"/>
    </row>
    <row r="88" spans="1:47" ht="20.100000000000001" customHeight="1" x14ac:dyDescent="0.3">
      <c r="T88" s="98">
        <v>14</v>
      </c>
      <c r="V88" s="124" t="s">
        <v>142</v>
      </c>
      <c r="Y88" s="106"/>
      <c r="Z88" s="1"/>
      <c r="AA88" s="112">
        <f>H36</f>
        <v>7868440.7609999999</v>
      </c>
      <c r="AB88" s="106"/>
      <c r="AC88" s="196"/>
      <c r="AD88" s="136"/>
      <c r="AE88" s="112">
        <f>SUM(AE85:AE87)</f>
        <v>554706</v>
      </c>
      <c r="AF88" s="106"/>
      <c r="AG88" s="156">
        <f>ROUND((AE88/$AE$98)*100,1)</f>
        <v>62.7</v>
      </c>
      <c r="AH88" s="175"/>
      <c r="AI88" s="112">
        <f>SUM(AI85:AI87)</f>
        <v>36626</v>
      </c>
      <c r="AJ88" s="106"/>
      <c r="AK88" s="158">
        <f>ROUND((AI88/AE88)*100,1)</f>
        <v>6.6</v>
      </c>
      <c r="AL88" s="138"/>
      <c r="AM88" s="112"/>
      <c r="AN88" s="106"/>
      <c r="AO88" s="112">
        <f>SUM(AO85:AO87)</f>
        <v>554706</v>
      </c>
      <c r="AP88" s="106"/>
      <c r="AQ88" s="156">
        <f>ROUND((AI88/AO88)*100,1)</f>
        <v>6.6</v>
      </c>
      <c r="AR88" s="110"/>
      <c r="AS88" s="110"/>
      <c r="AT88" s="110"/>
    </row>
    <row r="89" spans="1:47" ht="20.100000000000001" customHeight="1" x14ac:dyDescent="0.3">
      <c r="T89" s="98">
        <v>15</v>
      </c>
      <c r="V89" s="169" t="s">
        <v>447</v>
      </c>
      <c r="Y89" s="117">
        <f>Y78</f>
        <v>120</v>
      </c>
      <c r="Z89" s="1"/>
      <c r="AA89" s="112">
        <f>AA88</f>
        <v>7868440.7609999999</v>
      </c>
      <c r="AB89" s="106"/>
      <c r="AC89" s="196"/>
      <c r="AD89" s="136"/>
      <c r="AE89" s="112">
        <f>AE78+AE82+AE88</f>
        <v>834125</v>
      </c>
      <c r="AF89" s="106"/>
      <c r="AG89" s="158">
        <f>ROUND((AE89/$AE$98)*100,1)</f>
        <v>94.2</v>
      </c>
      <c r="AH89" s="175"/>
      <c r="AI89" s="112">
        <f>AI78+AI82+AI88</f>
        <v>54577</v>
      </c>
      <c r="AJ89" s="106"/>
      <c r="AK89" s="158">
        <f>ROUND((AI89/AE89)*100,1)</f>
        <v>6.5</v>
      </c>
      <c r="AL89" s="138"/>
      <c r="AM89" s="112"/>
      <c r="AN89" s="106"/>
      <c r="AO89" s="112">
        <f>AO78+AO82+AO88</f>
        <v>834125</v>
      </c>
      <c r="AP89" s="106"/>
      <c r="AQ89" s="156">
        <f>ROUND((AI89/AO89)*100,1)</f>
        <v>6.5</v>
      </c>
      <c r="AR89" s="110"/>
      <c r="AS89" s="110"/>
      <c r="AT89" s="110"/>
    </row>
    <row r="90" spans="1:47" ht="15.75" customHeight="1" x14ac:dyDescent="0.3">
      <c r="V90" s="99"/>
      <c r="Y90" s="106"/>
      <c r="Z90" s="1"/>
      <c r="AA90" s="106"/>
      <c r="AB90" s="106"/>
      <c r="AC90" s="196"/>
      <c r="AD90" s="136"/>
      <c r="AE90" s="106"/>
      <c r="AF90" s="106"/>
      <c r="AG90" s="154"/>
      <c r="AH90" s="175"/>
      <c r="AI90" s="106"/>
      <c r="AJ90" s="106"/>
      <c r="AK90" s="154"/>
      <c r="AL90" s="138"/>
      <c r="AM90" s="106"/>
      <c r="AN90" s="106"/>
      <c r="AO90" s="106"/>
      <c r="AP90" s="106"/>
      <c r="AQ90" s="154"/>
      <c r="AR90" s="110"/>
      <c r="AS90" s="110"/>
      <c r="AT90" s="110"/>
    </row>
    <row r="91" spans="1:47" ht="15.75" customHeight="1" x14ac:dyDescent="0.3">
      <c r="T91" s="98">
        <f t="shared" ref="T91:T96" si="0">A39</f>
        <v>16</v>
      </c>
      <c r="V91" s="124" t="s">
        <v>428</v>
      </c>
      <c r="Y91" s="106"/>
      <c r="Z91" s="1"/>
      <c r="AA91" s="106"/>
      <c r="AB91" s="106"/>
      <c r="AC91" s="196"/>
      <c r="AD91" s="136"/>
      <c r="AE91" s="106"/>
      <c r="AF91" s="106"/>
      <c r="AG91" s="154"/>
      <c r="AH91" s="175"/>
      <c r="AI91" s="106"/>
      <c r="AJ91" s="106"/>
      <c r="AK91" s="154"/>
      <c r="AL91" s="138"/>
      <c r="AM91" s="106"/>
      <c r="AN91" s="106"/>
      <c r="AO91" s="106"/>
      <c r="AP91" s="106"/>
      <c r="AQ91" s="154"/>
      <c r="AR91" s="110"/>
      <c r="AS91" s="110"/>
      <c r="AT91" s="110"/>
    </row>
    <row r="92" spans="1:47" ht="15.75" customHeight="1" x14ac:dyDescent="0.3">
      <c r="T92" s="98">
        <f t="shared" si="0"/>
        <v>17</v>
      </c>
      <c r="V92" s="176" t="str">
        <f>C40</f>
        <v>DEMAND SIDE MANAGEMENT RIDER (DSMR)</v>
      </c>
      <c r="Y92" s="106"/>
      <c r="Z92" s="1"/>
      <c r="AA92" s="106"/>
      <c r="AB92" s="106"/>
      <c r="AC92" s="218">
        <f>DSM_DIST</f>
        <v>3.503E-3</v>
      </c>
      <c r="AD92" s="136"/>
      <c r="AE92" s="106">
        <f>ROUND($AA$89*AC92,0)</f>
        <v>27563</v>
      </c>
      <c r="AF92" s="106"/>
      <c r="AG92" s="154">
        <f>ROUND((AE92/$AE$98)*100,1)-0.1</f>
        <v>3</v>
      </c>
      <c r="AH92" s="175"/>
      <c r="AI92" s="106">
        <f>L40-AE92</f>
        <v>0</v>
      </c>
      <c r="AJ92" s="106"/>
      <c r="AK92" s="154">
        <f>IF(AE92=0,0,ROUND((AI92/AE92)*100,1))</f>
        <v>0</v>
      </c>
      <c r="AL92" s="138"/>
      <c r="AM92" s="106"/>
      <c r="AN92" s="106"/>
      <c r="AO92" s="106">
        <f>AE92+AM92</f>
        <v>27563</v>
      </c>
      <c r="AP92" s="106"/>
      <c r="AQ92" s="154">
        <f>IF(AO92=0,0,ROUND((AI92/AO92)*100,1))</f>
        <v>0</v>
      </c>
      <c r="AR92" s="110"/>
      <c r="AS92" s="110"/>
      <c r="AT92" s="110"/>
    </row>
    <row r="93" spans="1:47" ht="15.75" customHeight="1" x14ac:dyDescent="0.3">
      <c r="T93" s="98">
        <f t="shared" si="0"/>
        <v>18</v>
      </c>
      <c r="V93" s="176" t="str">
        <f>C41</f>
        <v>ENVIRONMENTAL SURCHARGE MECHANISM RIDER (ESM)</v>
      </c>
      <c r="Y93" s="106"/>
      <c r="Z93" s="1"/>
      <c r="AA93" s="106"/>
      <c r="AB93" s="106"/>
      <c r="AC93" s="223">
        <f>CUR_ESM_NonRes</f>
        <v>6.3863133253205971E-3</v>
      </c>
      <c r="AD93" s="136"/>
      <c r="AE93" s="106">
        <f>ROUND((AO89-(CUR_BASE_FUEL*AA89)+AO92+AO95)*AC93,0)</f>
        <v>3930</v>
      </c>
      <c r="AF93" s="106"/>
      <c r="AG93" s="154">
        <f>ROUND((AE93/$AE$98)*100,1)</f>
        <v>0.4</v>
      </c>
      <c r="AH93" s="175"/>
      <c r="AI93" s="106">
        <f>L41-AE93</f>
        <v>-334</v>
      </c>
      <c r="AJ93" s="106"/>
      <c r="AK93" s="154">
        <f>IF(AE93=0,0,ROUND((AI93/AE93)*100,1))</f>
        <v>-8.5</v>
      </c>
      <c r="AL93" s="138"/>
      <c r="AM93" s="106"/>
      <c r="AN93" s="106"/>
      <c r="AO93" s="106">
        <f>AE93+AM93</f>
        <v>3930</v>
      </c>
      <c r="AP93" s="106"/>
      <c r="AQ93" s="154">
        <f>IF(AO93=0,0,ROUND((AI93/AO93)*100,1))</f>
        <v>-8.5</v>
      </c>
      <c r="AR93" s="110"/>
      <c r="AS93" s="110"/>
      <c r="AT93" s="110"/>
    </row>
    <row r="94" spans="1:47" ht="15.75" customHeight="1" x14ac:dyDescent="0.3">
      <c r="T94" s="98">
        <f t="shared" si="0"/>
        <v>19</v>
      </c>
      <c r="V94" s="176" t="str">
        <f>C42</f>
        <v>FUEL ADJUSTMENT CLAUSE (FAC)</v>
      </c>
      <c r="Y94" s="106"/>
      <c r="Z94" s="1"/>
      <c r="AA94" s="106"/>
      <c r="AB94" s="106"/>
      <c r="AC94" s="218">
        <f>CUR_FAC</f>
        <v>3.4872127999999998E-3</v>
      </c>
      <c r="AD94" s="136"/>
      <c r="AE94" s="106"/>
      <c r="AF94" s="106"/>
      <c r="AG94" s="154"/>
      <c r="AH94" s="175"/>
      <c r="AI94" s="106"/>
      <c r="AJ94" s="106"/>
      <c r="AK94" s="154"/>
      <c r="AL94" s="138"/>
      <c r="AM94" s="106">
        <f>ROUND(AA89*CUR_FAC,0)</f>
        <v>27439</v>
      </c>
      <c r="AN94" s="106"/>
      <c r="AO94" s="106">
        <f>AE94+AM94</f>
        <v>27439</v>
      </c>
      <c r="AP94" s="106"/>
      <c r="AQ94" s="154">
        <f>IF(AO94=0,0,ROUND((AI94/AO94)*100,1))</f>
        <v>0</v>
      </c>
      <c r="AR94" s="110"/>
      <c r="AS94" s="110"/>
      <c r="AT94" s="110"/>
    </row>
    <row r="95" spans="1:47" ht="15.75" customHeight="1" x14ac:dyDescent="0.3">
      <c r="T95" s="98">
        <f t="shared" si="0"/>
        <v>20</v>
      </c>
      <c r="V95" s="176" t="str">
        <f>C43</f>
        <v>PROFIT SHARING MECHANISM (PSM)</v>
      </c>
      <c r="Y95" s="106"/>
      <c r="Z95" s="1"/>
      <c r="AA95" s="106"/>
      <c r="AB95" s="106"/>
      <c r="AC95" s="218">
        <f>RS_PSM</f>
        <v>2.4750000000000002E-3</v>
      </c>
      <c r="AD95" s="136"/>
      <c r="AE95" s="117">
        <f>ROUND(AA89*RS_PSM,0)</f>
        <v>19474</v>
      </c>
      <c r="AF95" s="106"/>
      <c r="AG95" s="156">
        <f>ROUND((AE95/$AE$98)*100,1)</f>
        <v>2.2000000000000002</v>
      </c>
      <c r="AH95" s="175"/>
      <c r="AI95" s="106">
        <f>L43-AE95</f>
        <v>0</v>
      </c>
      <c r="AJ95" s="106"/>
      <c r="AK95" s="154">
        <f>IF(AE95=0,0,ROUND((AI95/AE95)*100,1))</f>
        <v>0</v>
      </c>
      <c r="AL95" s="138"/>
      <c r="AM95" s="117"/>
      <c r="AN95" s="106"/>
      <c r="AO95" s="106">
        <f>AE95+AM95</f>
        <v>19474</v>
      </c>
      <c r="AP95" s="106"/>
      <c r="AQ95" s="156">
        <f>IF(AO95=0,0,ROUND((AI95/AO95)*100,1))</f>
        <v>0</v>
      </c>
      <c r="AR95" s="110"/>
      <c r="AS95" s="110"/>
      <c r="AT95" s="110"/>
    </row>
    <row r="96" spans="1:47" ht="20.100000000000001" customHeight="1" x14ac:dyDescent="0.3">
      <c r="T96" s="98">
        <f t="shared" si="0"/>
        <v>21</v>
      </c>
      <c r="V96" s="124" t="s">
        <v>433</v>
      </c>
      <c r="Y96" s="117"/>
      <c r="Z96" s="1"/>
      <c r="AA96" s="117"/>
      <c r="AB96" s="106"/>
      <c r="AC96" s="136"/>
      <c r="AD96" s="136"/>
      <c r="AE96" s="112">
        <f>SUM(AE92:AE95)</f>
        <v>50967</v>
      </c>
      <c r="AF96" s="106"/>
      <c r="AG96" s="158">
        <f>ROUND((AE96/$AE$98)*100,1)</f>
        <v>5.8</v>
      </c>
      <c r="AH96" s="175"/>
      <c r="AI96" s="112">
        <f>SUM(AI92:AI95)</f>
        <v>-334</v>
      </c>
      <c r="AJ96" s="106"/>
      <c r="AK96" s="158">
        <f>ROUND((AI96/AE96)*100,1)</f>
        <v>-0.7</v>
      </c>
      <c r="AL96" s="138"/>
      <c r="AM96" s="112">
        <f>SUM(AM92:AM95)</f>
        <v>27439</v>
      </c>
      <c r="AN96" s="106"/>
      <c r="AO96" s="112">
        <f>SUM(AO92:AO95)</f>
        <v>78406</v>
      </c>
      <c r="AP96" s="106"/>
      <c r="AQ96" s="156">
        <f>IF(AO96=0,0,ROUND((AI96/AO96)*100,1))</f>
        <v>-0.4</v>
      </c>
      <c r="AR96" s="110"/>
      <c r="AS96" s="110"/>
      <c r="AT96" s="110"/>
    </row>
    <row r="97" spans="1:46" ht="15.75" customHeight="1" x14ac:dyDescent="0.3">
      <c r="V97" s="124"/>
      <c r="Y97" s="106"/>
      <c r="Z97" s="1"/>
      <c r="AA97" s="106"/>
      <c r="AB97" s="106"/>
      <c r="AC97" s="136"/>
      <c r="AD97" s="136"/>
      <c r="AE97" s="106"/>
      <c r="AF97" s="106"/>
      <c r="AG97" s="154"/>
      <c r="AH97" s="175"/>
      <c r="AI97" s="106"/>
      <c r="AJ97" s="106"/>
      <c r="AK97" s="154"/>
      <c r="AL97" s="138"/>
      <c r="AM97" s="106"/>
      <c r="AN97" s="106"/>
      <c r="AO97" s="106"/>
      <c r="AP97" s="106"/>
      <c r="AQ97" s="154"/>
      <c r="AR97" s="110"/>
      <c r="AS97" s="110"/>
      <c r="AT97" s="110"/>
    </row>
    <row r="98" spans="1:46" ht="20.100000000000001" customHeight="1" thickBot="1" x14ac:dyDescent="0.35">
      <c r="T98" s="98">
        <f>A46</f>
        <v>22</v>
      </c>
      <c r="V98" s="169" t="s">
        <v>449</v>
      </c>
      <c r="Y98" s="120">
        <f>F46</f>
        <v>120</v>
      </c>
      <c r="Z98" s="1"/>
      <c r="AA98" s="120">
        <f>H46</f>
        <v>7868440.7609999999</v>
      </c>
      <c r="AB98" s="106"/>
      <c r="AC98" s="136"/>
      <c r="AD98" s="136"/>
      <c r="AE98" s="120">
        <f>AE96+AE89</f>
        <v>885092</v>
      </c>
      <c r="AF98" s="106"/>
      <c r="AG98" s="162">
        <v>100</v>
      </c>
      <c r="AH98" s="175"/>
      <c r="AI98" s="120">
        <f>AI96+AI89</f>
        <v>54243</v>
      </c>
      <c r="AJ98" s="106"/>
      <c r="AK98" s="162">
        <f>ROUND((AI98/AE98)*100,1)</f>
        <v>6.1</v>
      </c>
      <c r="AL98" s="138"/>
      <c r="AM98" s="120">
        <f>AM96+AM89</f>
        <v>27439</v>
      </c>
      <c r="AN98" s="106"/>
      <c r="AO98" s="120">
        <f>AO96+AO89</f>
        <v>912531</v>
      </c>
      <c r="AP98" s="106"/>
      <c r="AQ98" s="162">
        <f>ROUND((AI98/AO98)*100,1)</f>
        <v>5.9</v>
      </c>
      <c r="AR98" s="110"/>
      <c r="AS98" s="110"/>
      <c r="AT98" s="110"/>
    </row>
    <row r="99" spans="1:46" ht="16.2" thickTop="1" x14ac:dyDescent="0.3">
      <c r="L99" s="99"/>
      <c r="M99" s="99"/>
      <c r="Y99" s="106"/>
      <c r="Z99" s="1"/>
      <c r="AA99" s="106"/>
      <c r="AB99" s="106"/>
      <c r="AC99" s="136"/>
      <c r="AD99" s="136"/>
      <c r="AE99" s="106"/>
      <c r="AF99" s="106"/>
      <c r="AG99" s="154"/>
      <c r="AH99" s="106"/>
      <c r="AI99" s="1"/>
      <c r="AJ99" s="1"/>
      <c r="AK99" s="154"/>
      <c r="AL99" s="1"/>
      <c r="AM99" s="1"/>
      <c r="AN99" s="1"/>
      <c r="AO99" s="1"/>
      <c r="AP99" s="1"/>
      <c r="AQ99" s="154"/>
    </row>
    <row r="100" spans="1:46" x14ac:dyDescent="0.3">
      <c r="R100" s="99"/>
      <c r="V100" s="178" t="s">
        <v>59</v>
      </c>
      <c r="Y100" s="110"/>
      <c r="AA100" s="110"/>
      <c r="AB100" s="110"/>
      <c r="AC100" s="198"/>
      <c r="AD100" s="198"/>
      <c r="AE100" s="110"/>
      <c r="AF100" s="110"/>
      <c r="AH100" s="110"/>
    </row>
    <row r="101" spans="1:46" x14ac:dyDescent="0.3">
      <c r="R101" s="99"/>
      <c r="V101" s="178" t="str">
        <f>"(2) REFLECTS FUEL COMPONENT OF "&amp;TEXT(CUR_FAC,"$0.000000;($0.000000)")&amp;"  PER KWH."</f>
        <v>(2) REFLECTS FUEL COMPONENT OF $0.003487  PER KWH.</v>
      </c>
      <c r="Y101" s="110"/>
      <c r="AA101" s="110"/>
      <c r="AB101" s="110"/>
      <c r="AC101" s="198"/>
      <c r="AD101" s="198"/>
      <c r="AE101" s="110"/>
      <c r="AF101" s="110"/>
      <c r="AH101" s="110"/>
    </row>
    <row r="102" spans="1:46" x14ac:dyDescent="0.3">
      <c r="R102" s="99"/>
      <c r="V102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3" spans="1:46" x14ac:dyDescent="0.3">
      <c r="A103" s="99"/>
      <c r="R103" s="99"/>
      <c r="AA103" s="99"/>
      <c r="AB103" s="99"/>
    </row>
    <row r="104" spans="1:46" x14ac:dyDescent="0.3">
      <c r="L104" s="99"/>
      <c r="M104" s="99"/>
      <c r="AK104" s="190"/>
      <c r="AL104" s="99"/>
    </row>
    <row r="105" spans="1:46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AK105" s="190"/>
      <c r="AL105" s="99"/>
    </row>
    <row r="106" spans="1:46" x14ac:dyDescent="0.3">
      <c r="L106" s="102"/>
      <c r="M106" s="102"/>
      <c r="N106" s="102"/>
      <c r="O106" s="102"/>
      <c r="R106" s="102"/>
      <c r="AK106" s="190"/>
      <c r="AL106" s="99"/>
    </row>
    <row r="107" spans="1:46" x14ac:dyDescent="0.3">
      <c r="L107" s="102"/>
      <c r="M107" s="102"/>
      <c r="N107" s="102"/>
      <c r="O107" s="102"/>
      <c r="R107" s="102"/>
      <c r="AA107" s="99"/>
      <c r="AB107" s="99"/>
    </row>
    <row r="108" spans="1:46" x14ac:dyDescent="0.3">
      <c r="A108" s="102"/>
      <c r="C108" s="102"/>
      <c r="D108" s="102"/>
      <c r="E108" s="102"/>
      <c r="F108" s="102"/>
      <c r="J108" s="102"/>
      <c r="K108" s="102"/>
      <c r="L108" s="102"/>
      <c r="M108" s="102"/>
      <c r="N108" s="102"/>
      <c r="O108" s="102"/>
      <c r="P108" s="102"/>
      <c r="Q108" s="102"/>
      <c r="R108" s="102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91"/>
      <c r="AH108" s="101"/>
      <c r="AI108" s="101"/>
      <c r="AJ108" s="101"/>
      <c r="AK108" s="191"/>
      <c r="AL108" s="101"/>
      <c r="AM108" s="101"/>
      <c r="AN108" s="101"/>
    </row>
    <row r="109" spans="1:46" x14ac:dyDescent="0.3">
      <c r="A109" s="102"/>
      <c r="C109" s="102"/>
      <c r="D109" s="102"/>
      <c r="E109" s="102"/>
      <c r="F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AA109" s="102"/>
      <c r="AB109" s="102"/>
      <c r="AC109" s="102"/>
      <c r="AD109" s="102"/>
      <c r="AE109" s="102"/>
      <c r="AF109" s="102"/>
      <c r="AG109" s="151"/>
      <c r="AH109" s="102"/>
      <c r="AK109" s="151"/>
      <c r="AL109" s="102"/>
      <c r="AM109" s="102"/>
      <c r="AN109" s="102"/>
    </row>
    <row r="110" spans="1:46" x14ac:dyDescent="0.3">
      <c r="C110" s="102"/>
      <c r="D110" s="102"/>
      <c r="E110" s="102"/>
      <c r="F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Z110" s="102"/>
      <c r="AA110" s="102"/>
      <c r="AB110" s="102"/>
      <c r="AC110" s="102"/>
      <c r="AD110" s="102"/>
      <c r="AE110" s="102"/>
      <c r="AF110" s="102"/>
      <c r="AG110" s="151"/>
      <c r="AH110" s="102"/>
      <c r="AK110" s="151"/>
      <c r="AL110" s="102"/>
      <c r="AM110" s="102"/>
      <c r="AN110" s="102"/>
    </row>
    <row r="111" spans="1:46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T111" s="102"/>
      <c r="U111" s="102"/>
      <c r="V111" s="102"/>
      <c r="Z111" s="102"/>
      <c r="AA111" s="102"/>
      <c r="AB111" s="102"/>
      <c r="AC111" s="102"/>
      <c r="AD111" s="102"/>
      <c r="AE111" s="102"/>
      <c r="AF111" s="102"/>
      <c r="AG111" s="151"/>
      <c r="AH111" s="102"/>
      <c r="AI111" s="102"/>
      <c r="AJ111" s="102"/>
      <c r="AK111" s="151"/>
      <c r="AL111" s="102"/>
      <c r="AM111" s="102"/>
      <c r="AN111" s="102"/>
    </row>
    <row r="112" spans="1:46" x14ac:dyDescent="0.3"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T112" s="102"/>
      <c r="U112" s="102"/>
      <c r="V112" s="102"/>
      <c r="Y112" s="102"/>
      <c r="Z112" s="102"/>
      <c r="AA112" s="102"/>
      <c r="AB112" s="102"/>
      <c r="AC112" s="102"/>
      <c r="AD112" s="102"/>
      <c r="AE112" s="102"/>
      <c r="AF112" s="102"/>
      <c r="AG112" s="151"/>
      <c r="AH112" s="102"/>
      <c r="AI112" s="102"/>
      <c r="AJ112" s="102"/>
      <c r="AK112" s="151"/>
      <c r="AL112" s="102"/>
      <c r="AM112" s="102"/>
      <c r="AN112" s="102"/>
    </row>
    <row r="113" spans="3:40" x14ac:dyDescent="0.3">
      <c r="C113" s="99"/>
      <c r="D113" s="99"/>
      <c r="E113" s="99"/>
      <c r="T113" s="102"/>
      <c r="U113" s="102"/>
      <c r="V113" s="102"/>
      <c r="Y113" s="102"/>
      <c r="Z113" s="102"/>
      <c r="AA113" s="102"/>
      <c r="AB113" s="102"/>
      <c r="AC113" s="102"/>
      <c r="AD113" s="102"/>
      <c r="AE113" s="102"/>
      <c r="AF113" s="102"/>
      <c r="AG113" s="151"/>
      <c r="AH113" s="102"/>
      <c r="AI113" s="102"/>
      <c r="AJ113" s="102"/>
      <c r="AK113" s="151"/>
      <c r="AL113" s="102"/>
      <c r="AM113" s="102"/>
      <c r="AN113" s="102"/>
    </row>
    <row r="114" spans="3:40" x14ac:dyDescent="0.3">
      <c r="C114" s="99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91"/>
      <c r="AH114" s="101"/>
      <c r="AI114" s="101"/>
      <c r="AJ114" s="101"/>
      <c r="AK114" s="191"/>
      <c r="AL114" s="101"/>
      <c r="AM114" s="101"/>
      <c r="AN114" s="101"/>
    </row>
    <row r="115" spans="3:40" x14ac:dyDescent="0.3">
      <c r="Y115" s="102"/>
      <c r="Z115" s="102"/>
      <c r="AA115" s="102"/>
      <c r="AB115" s="102"/>
      <c r="AC115" s="102"/>
      <c r="AD115" s="102"/>
      <c r="AE115" s="102"/>
      <c r="AF115" s="102"/>
      <c r="AG115" s="151"/>
      <c r="AH115" s="102"/>
      <c r="AI115" s="102"/>
      <c r="AJ115" s="102"/>
      <c r="AK115" s="151"/>
      <c r="AL115" s="102"/>
      <c r="AM115" s="102"/>
      <c r="AN115" s="102"/>
    </row>
    <row r="116" spans="3:40" x14ac:dyDescent="0.3">
      <c r="C116" s="99"/>
      <c r="T116" s="99"/>
      <c r="U116" s="99"/>
    </row>
    <row r="117" spans="3:40" x14ac:dyDescent="0.3">
      <c r="C117" s="99"/>
      <c r="F117" s="172"/>
      <c r="H117" s="172"/>
      <c r="I117" s="172"/>
      <c r="J117" s="181"/>
      <c r="K117" s="181"/>
      <c r="L117" s="110"/>
      <c r="M117" s="110"/>
      <c r="N117" s="141"/>
      <c r="O117" s="141"/>
      <c r="R117" s="110"/>
      <c r="T117" s="99"/>
    </row>
    <row r="118" spans="3:40" x14ac:dyDescent="0.3">
      <c r="C118" s="99"/>
      <c r="F118" s="172"/>
      <c r="H118" s="172"/>
      <c r="I118" s="172"/>
      <c r="J118" s="181"/>
      <c r="K118" s="181"/>
      <c r="L118" s="110"/>
      <c r="M118" s="110"/>
      <c r="N118" s="141"/>
      <c r="O118" s="141"/>
      <c r="R118" s="110"/>
    </row>
    <row r="119" spans="3:40" x14ac:dyDescent="0.3">
      <c r="C119" s="99"/>
      <c r="F119" s="172"/>
      <c r="H119" s="172"/>
      <c r="I119" s="172"/>
      <c r="J119" s="181"/>
      <c r="K119" s="181"/>
      <c r="L119" s="110"/>
      <c r="M119" s="110"/>
      <c r="N119" s="141"/>
      <c r="O119" s="141"/>
      <c r="R119" s="110"/>
      <c r="T119" s="99"/>
    </row>
    <row r="120" spans="3:40" x14ac:dyDescent="0.3">
      <c r="F120" s="192"/>
      <c r="H120" s="110"/>
      <c r="I120" s="110"/>
      <c r="J120" s="217"/>
      <c r="K120" s="217"/>
      <c r="L120" s="192"/>
      <c r="M120" s="192"/>
      <c r="N120" s="192"/>
      <c r="O120" s="192"/>
      <c r="P120" s="192"/>
      <c r="Q120" s="192"/>
      <c r="R120" s="192"/>
      <c r="T120" s="99"/>
      <c r="V120" s="110"/>
      <c r="Y120" s="172"/>
      <c r="Z120" s="181"/>
      <c r="AA120" s="110"/>
      <c r="AB120" s="110"/>
      <c r="AC120" s="141"/>
      <c r="AD120" s="141"/>
      <c r="AE120" s="110"/>
      <c r="AF120" s="110"/>
      <c r="AG120" s="224"/>
      <c r="AH120" s="225"/>
      <c r="AL120" s="110"/>
      <c r="AM120" s="226"/>
      <c r="AN120" s="226"/>
    </row>
    <row r="121" spans="3:40" x14ac:dyDescent="0.3">
      <c r="C121" s="99"/>
      <c r="F121" s="110"/>
      <c r="H121" s="110"/>
      <c r="I121" s="110"/>
      <c r="J121" s="217"/>
      <c r="K121" s="217"/>
      <c r="L121" s="110"/>
      <c r="M121" s="110"/>
      <c r="N121" s="141"/>
      <c r="O121" s="141"/>
      <c r="P121" s="110"/>
      <c r="Q121" s="110"/>
      <c r="R121" s="110"/>
      <c r="T121" s="99"/>
      <c r="V121" s="110"/>
      <c r="Y121" s="172"/>
      <c r="Z121" s="181"/>
      <c r="AA121" s="110"/>
      <c r="AB121" s="110"/>
      <c r="AC121" s="141"/>
      <c r="AD121" s="141"/>
      <c r="AE121" s="110"/>
      <c r="AF121" s="110"/>
      <c r="AH121" s="207"/>
      <c r="AL121" s="110"/>
      <c r="AM121" s="141"/>
      <c r="AN121" s="141"/>
    </row>
    <row r="122" spans="3:40" x14ac:dyDescent="0.3">
      <c r="F122" s="192"/>
      <c r="H122" s="110"/>
      <c r="I122" s="110"/>
      <c r="J122" s="217"/>
      <c r="K122" s="217"/>
      <c r="L122" s="192"/>
      <c r="M122" s="192"/>
      <c r="N122" s="192"/>
      <c r="O122" s="192"/>
      <c r="P122" s="192"/>
      <c r="Q122" s="192"/>
      <c r="R122" s="192"/>
      <c r="T122" s="99"/>
      <c r="V122" s="110"/>
      <c r="Y122" s="172"/>
      <c r="Z122" s="181"/>
      <c r="AA122" s="110"/>
      <c r="AB122" s="110"/>
      <c r="AC122" s="141"/>
      <c r="AD122" s="141"/>
      <c r="AE122" s="110"/>
      <c r="AF122" s="110"/>
      <c r="AH122" s="207"/>
      <c r="AL122" s="110"/>
      <c r="AM122" s="141"/>
      <c r="AN122" s="141"/>
    </row>
    <row r="123" spans="3:40" x14ac:dyDescent="0.3">
      <c r="C123" s="99"/>
      <c r="F123" s="172"/>
      <c r="H123" s="172"/>
      <c r="I123" s="172"/>
      <c r="J123" s="227"/>
      <c r="K123" s="227"/>
      <c r="L123" s="110"/>
      <c r="M123" s="110"/>
      <c r="N123" s="141"/>
      <c r="O123" s="141"/>
      <c r="P123" s="110"/>
      <c r="Q123" s="110"/>
      <c r="R123" s="110"/>
      <c r="S123" s="110"/>
      <c r="V123" s="192"/>
      <c r="Y123" s="110"/>
      <c r="Z123" s="217"/>
      <c r="AA123" s="192"/>
      <c r="AB123" s="192"/>
      <c r="AC123" s="192"/>
      <c r="AD123" s="192"/>
      <c r="AE123" s="192"/>
      <c r="AF123" s="192"/>
      <c r="AI123" s="192"/>
      <c r="AJ123" s="192"/>
      <c r="AK123" s="194"/>
      <c r="AL123" s="192"/>
      <c r="AM123" s="141"/>
      <c r="AN123" s="141"/>
    </row>
    <row r="124" spans="3:40" x14ac:dyDescent="0.3">
      <c r="C124" s="99"/>
      <c r="F124" s="172"/>
      <c r="H124" s="172"/>
      <c r="I124" s="172"/>
      <c r="J124" s="181"/>
      <c r="K124" s="181"/>
      <c r="L124" s="110"/>
      <c r="M124" s="110"/>
      <c r="N124" s="141"/>
      <c r="O124" s="141"/>
      <c r="P124" s="110"/>
      <c r="Q124" s="110"/>
      <c r="R124" s="110"/>
      <c r="T124" s="99"/>
      <c r="V124" s="110"/>
      <c r="Y124" s="110"/>
      <c r="Z124" s="198"/>
      <c r="AA124" s="110"/>
      <c r="AB124" s="110"/>
      <c r="AC124" s="141"/>
      <c r="AD124" s="141"/>
      <c r="AE124" s="110"/>
      <c r="AF124" s="110"/>
      <c r="AH124" s="207"/>
      <c r="AI124" s="110"/>
      <c r="AJ124" s="110"/>
      <c r="AL124" s="110"/>
      <c r="AM124" s="141"/>
      <c r="AN124" s="141"/>
    </row>
    <row r="125" spans="3:40" x14ac:dyDescent="0.3">
      <c r="C125" s="99"/>
      <c r="F125" s="172"/>
      <c r="H125" s="172"/>
      <c r="I125" s="172"/>
      <c r="J125" s="181"/>
      <c r="K125" s="181"/>
      <c r="L125" s="110"/>
      <c r="M125" s="110"/>
      <c r="N125" s="141"/>
      <c r="O125" s="141"/>
      <c r="P125" s="110"/>
      <c r="Q125" s="110"/>
      <c r="R125" s="110"/>
      <c r="V125" s="192"/>
      <c r="Y125" s="110"/>
      <c r="Z125" s="217"/>
      <c r="AA125" s="192"/>
      <c r="AB125" s="192"/>
      <c r="AC125" s="192"/>
      <c r="AD125" s="192"/>
      <c r="AE125" s="192"/>
      <c r="AF125" s="192"/>
      <c r="AI125" s="192"/>
      <c r="AJ125" s="192"/>
      <c r="AK125" s="194"/>
      <c r="AL125" s="192"/>
      <c r="AM125" s="141"/>
      <c r="AN125" s="141"/>
    </row>
    <row r="126" spans="3:40" x14ac:dyDescent="0.3">
      <c r="F126" s="110"/>
      <c r="H126" s="192"/>
      <c r="I126" s="192"/>
      <c r="J126" s="217"/>
      <c r="K126" s="217"/>
      <c r="L126" s="192"/>
      <c r="M126" s="192"/>
      <c r="N126" s="192"/>
      <c r="O126" s="192"/>
      <c r="P126" s="192"/>
      <c r="Q126" s="192"/>
      <c r="R126" s="192"/>
      <c r="T126" s="99"/>
      <c r="V126" s="172"/>
      <c r="Y126" s="172"/>
      <c r="Z126" s="227"/>
      <c r="AA126" s="110"/>
      <c r="AB126" s="110"/>
      <c r="AC126" s="141"/>
      <c r="AD126" s="141"/>
      <c r="AE126" s="110"/>
      <c r="AF126" s="110"/>
      <c r="AH126" s="141"/>
      <c r="AI126" s="110"/>
      <c r="AJ126" s="110"/>
      <c r="AL126" s="110"/>
      <c r="AM126" s="141"/>
      <c r="AN126" s="141"/>
    </row>
    <row r="127" spans="3:40" x14ac:dyDescent="0.3">
      <c r="C127" s="99"/>
      <c r="F127" s="110"/>
      <c r="H127" s="110"/>
      <c r="I127" s="110"/>
      <c r="J127" s="217"/>
      <c r="K127" s="217"/>
      <c r="L127" s="110"/>
      <c r="M127" s="110"/>
      <c r="N127" s="141"/>
      <c r="O127" s="141"/>
      <c r="P127" s="110"/>
      <c r="Q127" s="110"/>
      <c r="R127" s="110"/>
      <c r="T127" s="99"/>
      <c r="V127" s="172"/>
      <c r="Y127" s="110"/>
      <c r="Z127" s="181"/>
      <c r="AA127" s="110"/>
      <c r="AB127" s="110"/>
      <c r="AC127" s="141"/>
      <c r="AD127" s="141"/>
      <c r="AE127" s="110"/>
      <c r="AF127" s="110"/>
      <c r="AH127" s="207"/>
      <c r="AI127" s="110"/>
      <c r="AJ127" s="110"/>
      <c r="AL127" s="110"/>
      <c r="AM127" s="141"/>
      <c r="AN127" s="141"/>
    </row>
    <row r="128" spans="3:40" x14ac:dyDescent="0.3">
      <c r="F128" s="110"/>
      <c r="H128" s="192"/>
      <c r="I128" s="192"/>
      <c r="J128" s="217"/>
      <c r="K128" s="217"/>
      <c r="L128" s="192"/>
      <c r="M128" s="192"/>
      <c r="N128" s="192"/>
      <c r="O128" s="192"/>
      <c r="P128" s="192"/>
      <c r="Q128" s="192"/>
      <c r="R128" s="192"/>
      <c r="T128" s="99"/>
      <c r="V128" s="172"/>
      <c r="Y128" s="110"/>
      <c r="Z128" s="181"/>
      <c r="AA128" s="110"/>
      <c r="AB128" s="110"/>
      <c r="AC128" s="141"/>
      <c r="AD128" s="141"/>
      <c r="AE128" s="110"/>
      <c r="AF128" s="110"/>
      <c r="AH128" s="207"/>
      <c r="AI128" s="110"/>
      <c r="AJ128" s="110"/>
      <c r="AL128" s="110"/>
      <c r="AM128" s="141"/>
      <c r="AN128" s="141"/>
    </row>
    <row r="129" spans="3:40" x14ac:dyDescent="0.3">
      <c r="C129" s="99"/>
      <c r="F129" s="110"/>
      <c r="H129" s="110"/>
      <c r="I129" s="110"/>
      <c r="J129" s="217"/>
      <c r="K129" s="217"/>
      <c r="L129" s="110"/>
      <c r="M129" s="110"/>
      <c r="N129" s="110"/>
      <c r="O129" s="110"/>
      <c r="P129" s="110"/>
      <c r="Q129" s="110"/>
      <c r="R129" s="110"/>
      <c r="V129" s="110"/>
      <c r="Y129" s="192"/>
      <c r="Z129" s="217"/>
      <c r="AA129" s="192"/>
      <c r="AB129" s="192"/>
      <c r="AC129" s="192"/>
      <c r="AD129" s="192"/>
      <c r="AE129" s="192"/>
      <c r="AF129" s="192"/>
      <c r="AI129" s="192"/>
      <c r="AJ129" s="192"/>
      <c r="AK129" s="194"/>
      <c r="AL129" s="192"/>
      <c r="AM129" s="141"/>
      <c r="AN129" s="141"/>
    </row>
    <row r="130" spans="3:40" x14ac:dyDescent="0.3">
      <c r="C130" s="99"/>
      <c r="F130" s="110"/>
      <c r="H130" s="172"/>
      <c r="I130" s="172"/>
      <c r="J130" s="228"/>
      <c r="K130" s="228"/>
      <c r="L130" s="110"/>
      <c r="M130" s="110"/>
      <c r="N130" s="141"/>
      <c r="O130" s="141"/>
      <c r="P130" s="110"/>
      <c r="Q130" s="110"/>
      <c r="R130" s="110"/>
      <c r="T130" s="99"/>
      <c r="V130" s="110"/>
      <c r="Y130" s="110"/>
      <c r="Z130" s="217"/>
      <c r="AA130" s="110"/>
      <c r="AB130" s="110"/>
      <c r="AC130" s="141"/>
      <c r="AD130" s="141"/>
      <c r="AE130" s="110"/>
      <c r="AF130" s="110"/>
      <c r="AH130" s="207"/>
      <c r="AI130" s="110"/>
      <c r="AJ130" s="110"/>
      <c r="AL130" s="110"/>
      <c r="AM130" s="141"/>
      <c r="AN130" s="141"/>
    </row>
    <row r="131" spans="3:40" x14ac:dyDescent="0.3">
      <c r="C131" s="99"/>
      <c r="H131" s="172"/>
      <c r="I131" s="172"/>
      <c r="J131" s="228"/>
      <c r="K131" s="228"/>
      <c r="L131" s="110"/>
      <c r="M131" s="110"/>
      <c r="N131" s="141"/>
      <c r="O131" s="141"/>
      <c r="P131" s="110"/>
      <c r="Q131" s="110"/>
      <c r="R131" s="110"/>
      <c r="V131" s="110"/>
      <c r="Y131" s="192"/>
      <c r="Z131" s="217"/>
      <c r="AA131" s="192"/>
      <c r="AB131" s="192"/>
      <c r="AC131" s="192"/>
      <c r="AD131" s="192"/>
      <c r="AE131" s="192"/>
      <c r="AF131" s="192"/>
      <c r="AI131" s="192"/>
      <c r="AJ131" s="192"/>
      <c r="AK131" s="194"/>
      <c r="AL131" s="192"/>
      <c r="AM131" s="141"/>
      <c r="AN131" s="141"/>
    </row>
    <row r="132" spans="3:40" x14ac:dyDescent="0.3">
      <c r="F132" s="110"/>
      <c r="H132" s="110"/>
      <c r="I132" s="110"/>
      <c r="J132" s="217"/>
      <c r="K132" s="217"/>
      <c r="L132" s="192"/>
      <c r="M132" s="192"/>
      <c r="N132" s="192"/>
      <c r="O132" s="192"/>
      <c r="P132" s="192"/>
      <c r="Q132" s="192"/>
      <c r="R132" s="192"/>
      <c r="T132" s="99"/>
      <c r="V132" s="110"/>
      <c r="Y132" s="110"/>
      <c r="Z132" s="217"/>
      <c r="AA132" s="110"/>
      <c r="AB132" s="110"/>
      <c r="AC132" s="110"/>
      <c r="AD132" s="110"/>
      <c r="AE132" s="110"/>
      <c r="AF132" s="110"/>
      <c r="AH132" s="207"/>
      <c r="AI132" s="110"/>
      <c r="AJ132" s="110"/>
      <c r="AL132" s="110"/>
      <c r="AM132" s="141"/>
      <c r="AN132" s="141"/>
    </row>
    <row r="133" spans="3:40" x14ac:dyDescent="0.3">
      <c r="C133" s="99"/>
      <c r="F133" s="110"/>
      <c r="H133" s="110"/>
      <c r="I133" s="110"/>
      <c r="J133" s="198"/>
      <c r="K133" s="198"/>
      <c r="L133" s="110"/>
      <c r="M133" s="110"/>
      <c r="N133" s="141"/>
      <c r="O133" s="141"/>
      <c r="P133" s="110"/>
      <c r="Q133" s="110"/>
      <c r="R133" s="110"/>
      <c r="T133" s="99"/>
      <c r="V133" s="110"/>
      <c r="Y133" s="110"/>
      <c r="Z133" s="228"/>
      <c r="AA133" s="110"/>
      <c r="AB133" s="110"/>
      <c r="AC133" s="141"/>
      <c r="AD133" s="141"/>
      <c r="AE133" s="110"/>
      <c r="AF133" s="110"/>
      <c r="AH133" s="207"/>
      <c r="AI133" s="110"/>
      <c r="AJ133" s="110"/>
      <c r="AL133" s="110"/>
      <c r="AM133" s="141"/>
      <c r="AN133" s="141"/>
    </row>
    <row r="134" spans="3:40" x14ac:dyDescent="0.3">
      <c r="F134" s="110"/>
      <c r="H134" s="110"/>
      <c r="I134" s="110"/>
      <c r="J134" s="217"/>
      <c r="K134" s="217"/>
      <c r="L134" s="192"/>
      <c r="M134" s="192"/>
      <c r="N134" s="192"/>
      <c r="O134" s="192"/>
      <c r="P134" s="192"/>
      <c r="Q134" s="192"/>
      <c r="R134" s="192"/>
      <c r="T134" s="99"/>
      <c r="Y134" s="110"/>
      <c r="Z134" s="228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C135" s="99"/>
      <c r="F135" s="110"/>
      <c r="H135" s="110"/>
      <c r="I135" s="110"/>
      <c r="J135" s="198"/>
      <c r="K135" s="198"/>
      <c r="L135" s="110"/>
      <c r="M135" s="110"/>
      <c r="N135" s="141"/>
      <c r="O135" s="141"/>
      <c r="P135" s="110"/>
      <c r="Q135" s="110"/>
      <c r="R135" s="110"/>
      <c r="V135" s="110"/>
      <c r="Y135" s="110"/>
      <c r="Z135" s="217"/>
      <c r="AA135" s="192"/>
      <c r="AB135" s="192"/>
      <c r="AC135" s="192"/>
      <c r="AD135" s="192"/>
      <c r="AE135" s="192"/>
      <c r="AF135" s="192"/>
      <c r="AI135" s="192"/>
      <c r="AJ135" s="192"/>
      <c r="AK135" s="194"/>
      <c r="AL135" s="192"/>
      <c r="AM135" s="141"/>
      <c r="AN135" s="141"/>
    </row>
    <row r="136" spans="3:40" x14ac:dyDescent="0.3">
      <c r="C136" s="99"/>
      <c r="F136" s="110"/>
      <c r="H136" s="172"/>
      <c r="I136" s="172"/>
      <c r="J136" s="222"/>
      <c r="K136" s="222"/>
      <c r="L136" s="110"/>
      <c r="M136" s="110"/>
      <c r="N136" s="141"/>
      <c r="O136" s="141"/>
      <c r="P136" s="110"/>
      <c r="Q136" s="110"/>
      <c r="R136" s="110"/>
      <c r="T136" s="99"/>
      <c r="V136" s="110"/>
      <c r="Y136" s="110"/>
      <c r="Z136" s="198"/>
      <c r="AA136" s="110"/>
      <c r="AB136" s="110"/>
      <c r="AC136" s="141"/>
      <c r="AD136" s="141"/>
      <c r="AE136" s="110"/>
      <c r="AF136" s="110"/>
      <c r="AH136" s="207"/>
      <c r="AI136" s="110"/>
      <c r="AJ136" s="110"/>
      <c r="AL136" s="110"/>
      <c r="AM136" s="141"/>
      <c r="AN136" s="141"/>
    </row>
    <row r="137" spans="3:40" x14ac:dyDescent="0.3">
      <c r="F137" s="192"/>
      <c r="H137" s="192"/>
      <c r="I137" s="192"/>
      <c r="J137" s="217"/>
      <c r="K137" s="217"/>
      <c r="L137" s="192"/>
      <c r="M137" s="192"/>
      <c r="N137" s="192"/>
      <c r="O137" s="192"/>
      <c r="P137" s="192"/>
      <c r="Q137" s="192"/>
      <c r="R137" s="192"/>
      <c r="V137" s="110"/>
      <c r="Y137" s="110"/>
      <c r="Z137" s="217"/>
      <c r="AA137" s="192"/>
      <c r="AB137" s="192"/>
      <c r="AC137" s="192"/>
      <c r="AD137" s="192"/>
      <c r="AE137" s="192"/>
      <c r="AF137" s="192"/>
      <c r="AI137" s="192"/>
      <c r="AJ137" s="192"/>
      <c r="AK137" s="194"/>
      <c r="AL137" s="192"/>
      <c r="AM137" s="141"/>
      <c r="AN137" s="141"/>
    </row>
    <row r="138" spans="3:40" x14ac:dyDescent="0.3">
      <c r="C138" s="99"/>
      <c r="F138" s="110"/>
      <c r="H138" s="110"/>
      <c r="I138" s="110"/>
      <c r="J138" s="217"/>
      <c r="K138" s="217"/>
      <c r="L138" s="110"/>
      <c r="M138" s="110"/>
      <c r="N138" s="141"/>
      <c r="O138" s="141"/>
      <c r="P138" s="110"/>
      <c r="Q138" s="110"/>
      <c r="R138" s="110"/>
      <c r="S138" s="110"/>
      <c r="T138" s="99"/>
      <c r="V138" s="110"/>
      <c r="Y138" s="110"/>
      <c r="Z138" s="198"/>
      <c r="AA138" s="110"/>
      <c r="AB138" s="110"/>
      <c r="AC138" s="141"/>
      <c r="AD138" s="141"/>
      <c r="AE138" s="110"/>
      <c r="AF138" s="110"/>
      <c r="AH138" s="207"/>
      <c r="AI138" s="110"/>
      <c r="AJ138" s="110"/>
      <c r="AL138" s="110"/>
      <c r="AM138" s="141"/>
      <c r="AN138" s="141"/>
    </row>
    <row r="139" spans="3:40" x14ac:dyDescent="0.3">
      <c r="F139" s="192"/>
      <c r="H139" s="192"/>
      <c r="I139" s="192"/>
      <c r="J139" s="217"/>
      <c r="K139" s="217"/>
      <c r="L139" s="192"/>
      <c r="M139" s="192"/>
      <c r="N139" s="192"/>
      <c r="O139" s="192"/>
      <c r="P139" s="192"/>
      <c r="Q139" s="192"/>
      <c r="R139" s="192"/>
      <c r="S139" s="110"/>
      <c r="T139" s="99"/>
      <c r="V139" s="172"/>
      <c r="Y139" s="110"/>
      <c r="Z139" s="222"/>
      <c r="AA139" s="110"/>
      <c r="AB139" s="110"/>
      <c r="AC139" s="141"/>
      <c r="AD139" s="141"/>
      <c r="AE139" s="110"/>
      <c r="AF139" s="110"/>
      <c r="AH139" s="207"/>
      <c r="AI139" s="110"/>
      <c r="AJ139" s="110"/>
      <c r="AL139" s="110"/>
      <c r="AM139" s="141"/>
      <c r="AN139" s="141"/>
    </row>
    <row r="140" spans="3:40" x14ac:dyDescent="0.3">
      <c r="C140" s="99"/>
      <c r="F140" s="172"/>
      <c r="H140" s="229"/>
      <c r="I140" s="229"/>
      <c r="J140" s="217"/>
      <c r="K140" s="217"/>
      <c r="L140" s="110"/>
      <c r="M140" s="110"/>
      <c r="N140" s="141"/>
      <c r="O140" s="141"/>
      <c r="P140" s="110"/>
      <c r="Q140" s="110"/>
      <c r="R140" s="110"/>
      <c r="S140" s="110"/>
      <c r="V140" s="192"/>
      <c r="Y140" s="192"/>
      <c r="Z140" s="217"/>
      <c r="AA140" s="192"/>
      <c r="AB140" s="192"/>
      <c r="AC140" s="192"/>
      <c r="AD140" s="192"/>
      <c r="AE140" s="192"/>
      <c r="AF140" s="192"/>
      <c r="AI140" s="192"/>
      <c r="AJ140" s="192"/>
      <c r="AK140" s="194"/>
      <c r="AL140" s="192"/>
      <c r="AM140" s="141"/>
      <c r="AN140" s="141"/>
    </row>
    <row r="141" spans="3:40" x14ac:dyDescent="0.3">
      <c r="T141" s="99"/>
      <c r="V141" s="110"/>
      <c r="Y141" s="110"/>
      <c r="Z141" s="217"/>
      <c r="AA141" s="110"/>
      <c r="AB141" s="110"/>
      <c r="AC141" s="141"/>
      <c r="AD141" s="141"/>
      <c r="AE141" s="110"/>
      <c r="AF141" s="110"/>
      <c r="AH141" s="141"/>
      <c r="AI141" s="110"/>
      <c r="AJ141" s="110"/>
      <c r="AL141" s="110"/>
      <c r="AM141" s="141"/>
      <c r="AN141" s="141"/>
    </row>
    <row r="142" spans="3:40" x14ac:dyDescent="0.3">
      <c r="C142" s="99"/>
      <c r="V142" s="192"/>
      <c r="Y142" s="192"/>
      <c r="Z142" s="217"/>
      <c r="AA142" s="192"/>
      <c r="AB142" s="192"/>
      <c r="AC142" s="192"/>
      <c r="AD142" s="192"/>
      <c r="AE142" s="192"/>
      <c r="AF142" s="192"/>
      <c r="AI142" s="192"/>
      <c r="AJ142" s="192"/>
      <c r="AK142" s="194"/>
      <c r="AL142" s="192"/>
      <c r="AM142" s="141"/>
      <c r="AN142" s="141"/>
    </row>
    <row r="143" spans="3:40" x14ac:dyDescent="0.3">
      <c r="C143" s="99"/>
      <c r="F143" s="172"/>
      <c r="H143" s="172"/>
      <c r="I143" s="172"/>
      <c r="J143" s="181"/>
      <c r="K143" s="181"/>
      <c r="L143" s="110"/>
      <c r="M143" s="110"/>
      <c r="N143" s="141"/>
      <c r="O143" s="141"/>
      <c r="R143" s="110"/>
      <c r="T143" s="99"/>
      <c r="V143" s="172"/>
      <c r="Y143" s="172"/>
      <c r="Z143" s="217"/>
      <c r="AA143" s="110"/>
      <c r="AB143" s="110"/>
      <c r="AC143" s="141"/>
      <c r="AD143" s="141"/>
      <c r="AE143" s="110"/>
      <c r="AF143" s="110"/>
      <c r="AI143" s="110"/>
      <c r="AJ143" s="110"/>
      <c r="AL143" s="110"/>
      <c r="AM143" s="141"/>
      <c r="AN143" s="141"/>
    </row>
    <row r="144" spans="3:40" x14ac:dyDescent="0.3">
      <c r="C144" s="99"/>
      <c r="F144" s="172"/>
      <c r="H144" s="172"/>
      <c r="I144" s="172"/>
      <c r="J144" s="181"/>
      <c r="K144" s="181"/>
      <c r="L144" s="110"/>
      <c r="M144" s="110"/>
      <c r="N144" s="141"/>
      <c r="O144" s="141"/>
      <c r="R144" s="110"/>
    </row>
    <row r="145" spans="3:40" x14ac:dyDescent="0.3">
      <c r="C145" s="99"/>
      <c r="F145" s="172"/>
      <c r="H145" s="172"/>
      <c r="I145" s="172"/>
      <c r="J145" s="181"/>
      <c r="K145" s="181"/>
      <c r="L145" s="110"/>
      <c r="M145" s="110"/>
      <c r="N145" s="141"/>
      <c r="O145" s="141"/>
      <c r="R145" s="110"/>
      <c r="T145" s="99"/>
    </row>
    <row r="146" spans="3:40" x14ac:dyDescent="0.3">
      <c r="F146" s="192"/>
      <c r="H146" s="110"/>
      <c r="I146" s="110"/>
      <c r="J146" s="217"/>
      <c r="K146" s="217"/>
      <c r="L146" s="192"/>
      <c r="M146" s="192"/>
      <c r="N146" s="192"/>
      <c r="O146" s="192"/>
      <c r="P146" s="192"/>
      <c r="Q146" s="192"/>
      <c r="R146" s="192"/>
      <c r="T146" s="99"/>
      <c r="V146" s="110"/>
      <c r="Y146" s="172"/>
      <c r="Z146" s="181"/>
      <c r="AA146" s="110"/>
      <c r="AB146" s="110"/>
      <c r="AC146" s="141"/>
      <c r="AD146" s="141"/>
      <c r="AE146" s="110"/>
      <c r="AF146" s="110"/>
      <c r="AG146" s="224"/>
      <c r="AH146" s="225"/>
      <c r="AL146" s="110"/>
      <c r="AM146" s="226"/>
      <c r="AN146" s="226"/>
    </row>
    <row r="147" spans="3:40" x14ac:dyDescent="0.3">
      <c r="C147" s="99"/>
      <c r="F147" s="110"/>
      <c r="H147" s="110"/>
      <c r="I147" s="110"/>
      <c r="J147" s="217"/>
      <c r="K147" s="217"/>
      <c r="L147" s="110"/>
      <c r="M147" s="110"/>
      <c r="N147" s="141"/>
      <c r="O147" s="141"/>
      <c r="P147" s="110"/>
      <c r="Q147" s="110"/>
      <c r="R147" s="110"/>
      <c r="T147" s="99"/>
      <c r="V147" s="110"/>
      <c r="Y147" s="172"/>
      <c r="Z147" s="181"/>
      <c r="AA147" s="110"/>
      <c r="AB147" s="110"/>
      <c r="AC147" s="141"/>
      <c r="AD147" s="141"/>
      <c r="AE147" s="110"/>
      <c r="AF147" s="110"/>
      <c r="AH147" s="207"/>
      <c r="AL147" s="110"/>
      <c r="AM147" s="141"/>
      <c r="AN147" s="141"/>
    </row>
    <row r="148" spans="3:40" x14ac:dyDescent="0.3">
      <c r="F148" s="192"/>
      <c r="H148" s="110"/>
      <c r="I148" s="110"/>
      <c r="J148" s="217"/>
      <c r="K148" s="217"/>
      <c r="L148" s="192"/>
      <c r="M148" s="192"/>
      <c r="N148" s="192"/>
      <c r="O148" s="192"/>
      <c r="P148" s="192"/>
      <c r="Q148" s="192"/>
      <c r="R148" s="192"/>
      <c r="T148" s="99"/>
      <c r="V148" s="110"/>
      <c r="Y148" s="172"/>
      <c r="Z148" s="181"/>
      <c r="AA148" s="110"/>
      <c r="AB148" s="110"/>
      <c r="AC148" s="141"/>
      <c r="AD148" s="141"/>
      <c r="AE148" s="110"/>
      <c r="AF148" s="110"/>
      <c r="AH148" s="207"/>
      <c r="AL148" s="110"/>
      <c r="AM148" s="141"/>
      <c r="AN148" s="141"/>
    </row>
    <row r="149" spans="3:40" x14ac:dyDescent="0.3">
      <c r="C149" s="99"/>
      <c r="F149" s="172"/>
      <c r="H149" s="172"/>
      <c r="I149" s="172"/>
      <c r="J149" s="227"/>
      <c r="K149" s="227"/>
      <c r="L149" s="110"/>
      <c r="M149" s="110"/>
      <c r="N149" s="141"/>
      <c r="O149" s="141"/>
      <c r="P149" s="110"/>
      <c r="Q149" s="110"/>
      <c r="R149" s="110"/>
      <c r="S149" s="110"/>
      <c r="V149" s="192"/>
      <c r="Y149" s="110"/>
      <c r="Z149" s="217"/>
      <c r="AA149" s="192"/>
      <c r="AB149" s="192"/>
      <c r="AC149" s="192"/>
      <c r="AD149" s="192"/>
      <c r="AE149" s="192"/>
      <c r="AF149" s="192"/>
      <c r="AI149" s="192"/>
      <c r="AJ149" s="192"/>
      <c r="AK149" s="194"/>
      <c r="AL149" s="192"/>
      <c r="AM149" s="141"/>
      <c r="AN149" s="141"/>
    </row>
    <row r="150" spans="3:40" x14ac:dyDescent="0.3">
      <c r="C150" s="99"/>
      <c r="F150" s="172"/>
      <c r="H150" s="172"/>
      <c r="I150" s="172"/>
      <c r="J150" s="181"/>
      <c r="K150" s="181"/>
      <c r="L150" s="110"/>
      <c r="M150" s="110"/>
      <c r="N150" s="141"/>
      <c r="O150" s="141"/>
      <c r="P150" s="110"/>
      <c r="Q150" s="110"/>
      <c r="R150" s="110"/>
      <c r="T150" s="99"/>
      <c r="V150" s="110"/>
      <c r="Y150" s="110"/>
      <c r="Z150" s="217"/>
      <c r="AA150" s="110"/>
      <c r="AB150" s="110"/>
      <c r="AC150" s="141"/>
      <c r="AD150" s="141"/>
      <c r="AE150" s="110"/>
      <c r="AF150" s="110"/>
      <c r="AH150" s="207"/>
      <c r="AI150" s="110"/>
      <c r="AJ150" s="110"/>
      <c r="AL150" s="110"/>
      <c r="AM150" s="141"/>
      <c r="AN150" s="141"/>
    </row>
    <row r="151" spans="3:40" x14ac:dyDescent="0.3">
      <c r="C151" s="99"/>
      <c r="F151" s="172"/>
      <c r="H151" s="172"/>
      <c r="I151" s="172"/>
      <c r="J151" s="181"/>
      <c r="K151" s="181"/>
      <c r="L151" s="110"/>
      <c r="M151" s="110"/>
      <c r="N151" s="141"/>
      <c r="O151" s="141"/>
      <c r="P151" s="110"/>
      <c r="Q151" s="110"/>
      <c r="R151" s="110"/>
      <c r="V151" s="192"/>
      <c r="Y151" s="110"/>
      <c r="Z151" s="217"/>
      <c r="AA151" s="192"/>
      <c r="AB151" s="192"/>
      <c r="AC151" s="192"/>
      <c r="AD151" s="192"/>
      <c r="AE151" s="192"/>
      <c r="AF151" s="192"/>
      <c r="AI151" s="192"/>
      <c r="AJ151" s="192"/>
      <c r="AK151" s="194"/>
      <c r="AL151" s="192"/>
      <c r="AM151" s="141"/>
      <c r="AN151" s="141"/>
    </row>
    <row r="152" spans="3:40" x14ac:dyDescent="0.3">
      <c r="F152" s="110"/>
      <c r="H152" s="192"/>
      <c r="I152" s="192"/>
      <c r="J152" s="217"/>
      <c r="K152" s="217"/>
      <c r="L152" s="192"/>
      <c r="M152" s="192"/>
      <c r="N152" s="192"/>
      <c r="O152" s="192"/>
      <c r="P152" s="192"/>
      <c r="Q152" s="192"/>
      <c r="R152" s="192"/>
      <c r="T152" s="99"/>
      <c r="V152" s="172"/>
      <c r="Y152" s="172"/>
      <c r="Z152" s="227"/>
      <c r="AA152" s="110"/>
      <c r="AB152" s="110"/>
      <c r="AC152" s="141"/>
      <c r="AD152" s="141"/>
      <c r="AE152" s="110"/>
      <c r="AF152" s="110"/>
      <c r="AH152" s="141"/>
      <c r="AI152" s="110"/>
      <c r="AJ152" s="110"/>
      <c r="AL152" s="110"/>
      <c r="AM152" s="141"/>
      <c r="AN152" s="141"/>
    </row>
    <row r="153" spans="3:40" x14ac:dyDescent="0.3">
      <c r="C153" s="99"/>
      <c r="F153" s="110"/>
      <c r="H153" s="110"/>
      <c r="I153" s="110"/>
      <c r="J153" s="217"/>
      <c r="K153" s="217"/>
      <c r="L153" s="110"/>
      <c r="M153" s="110"/>
      <c r="N153" s="141"/>
      <c r="O153" s="141"/>
      <c r="P153" s="110"/>
      <c r="Q153" s="110"/>
      <c r="R153" s="110"/>
      <c r="T153" s="99"/>
      <c r="V153" s="172"/>
      <c r="Y153" s="110"/>
      <c r="Z153" s="181"/>
      <c r="AA153" s="110"/>
      <c r="AB153" s="110"/>
      <c r="AC153" s="141"/>
      <c r="AD153" s="141"/>
      <c r="AE153" s="110"/>
      <c r="AF153" s="110"/>
      <c r="AH153" s="207"/>
      <c r="AI153" s="110"/>
      <c r="AJ153" s="110"/>
      <c r="AL153" s="110"/>
      <c r="AM153" s="141"/>
      <c r="AN153" s="141"/>
    </row>
    <row r="154" spans="3:40" x14ac:dyDescent="0.3">
      <c r="F154" s="110"/>
      <c r="H154" s="192"/>
      <c r="I154" s="192"/>
      <c r="J154" s="217"/>
      <c r="K154" s="217"/>
      <c r="L154" s="192"/>
      <c r="M154" s="192"/>
      <c r="N154" s="192"/>
      <c r="O154" s="192"/>
      <c r="P154" s="192"/>
      <c r="Q154" s="192"/>
      <c r="R154" s="192"/>
      <c r="T154" s="99"/>
      <c r="V154" s="172"/>
      <c r="Y154" s="110"/>
      <c r="Z154" s="181"/>
      <c r="AA154" s="110"/>
      <c r="AB154" s="110"/>
      <c r="AC154" s="141"/>
      <c r="AD154" s="141"/>
      <c r="AE154" s="110"/>
      <c r="AF154" s="110"/>
      <c r="AH154" s="207"/>
      <c r="AI154" s="110"/>
      <c r="AJ154" s="110"/>
      <c r="AL154" s="110"/>
      <c r="AM154" s="141"/>
      <c r="AN154" s="141"/>
    </row>
    <row r="155" spans="3:40" x14ac:dyDescent="0.3">
      <c r="C155" s="99"/>
      <c r="F155" s="110"/>
      <c r="H155" s="110"/>
      <c r="I155" s="110"/>
      <c r="J155" s="217"/>
      <c r="K155" s="217"/>
      <c r="L155" s="110"/>
      <c r="M155" s="110"/>
      <c r="N155" s="110"/>
      <c r="O155" s="110"/>
      <c r="P155" s="110"/>
      <c r="Q155" s="110"/>
      <c r="R155" s="110"/>
      <c r="V155" s="110"/>
      <c r="Y155" s="192"/>
      <c r="Z155" s="217"/>
      <c r="AA155" s="192"/>
      <c r="AB155" s="192"/>
      <c r="AC155" s="192"/>
      <c r="AD155" s="192"/>
      <c r="AE155" s="192"/>
      <c r="AF155" s="192"/>
      <c r="AI155" s="192"/>
      <c r="AJ155" s="192"/>
      <c r="AK155" s="194"/>
      <c r="AL155" s="192"/>
      <c r="AM155" s="141"/>
      <c r="AN155" s="141"/>
    </row>
    <row r="156" spans="3:40" x14ac:dyDescent="0.3">
      <c r="C156" s="99"/>
      <c r="F156" s="110"/>
      <c r="H156" s="172"/>
      <c r="I156" s="172"/>
      <c r="J156" s="228"/>
      <c r="K156" s="228"/>
      <c r="L156" s="110"/>
      <c r="M156" s="110"/>
      <c r="N156" s="141"/>
      <c r="O156" s="141"/>
      <c r="P156" s="110"/>
      <c r="Q156" s="110"/>
      <c r="R156" s="110"/>
      <c r="T156" s="99"/>
      <c r="V156" s="110"/>
      <c r="Y156" s="110"/>
      <c r="Z156" s="217"/>
      <c r="AA156" s="110"/>
      <c r="AB156" s="110"/>
      <c r="AC156" s="141"/>
      <c r="AD156" s="141"/>
      <c r="AE156" s="110"/>
      <c r="AF156" s="110"/>
      <c r="AH156" s="207"/>
      <c r="AI156" s="110"/>
      <c r="AJ156" s="110"/>
      <c r="AL156" s="110"/>
      <c r="AM156" s="141"/>
      <c r="AN156" s="141"/>
    </row>
    <row r="157" spans="3:40" x14ac:dyDescent="0.3">
      <c r="C157" s="99"/>
      <c r="H157" s="172"/>
      <c r="I157" s="172"/>
      <c r="J157" s="228"/>
      <c r="K157" s="228"/>
      <c r="L157" s="110"/>
      <c r="M157" s="110"/>
      <c r="N157" s="141"/>
      <c r="O157" s="141"/>
      <c r="P157" s="110"/>
      <c r="Q157" s="110"/>
      <c r="R157" s="110"/>
      <c r="V157" s="110"/>
      <c r="Y157" s="192"/>
      <c r="Z157" s="217"/>
      <c r="AA157" s="192"/>
      <c r="AB157" s="192"/>
      <c r="AC157" s="192"/>
      <c r="AD157" s="192"/>
      <c r="AE157" s="192"/>
      <c r="AF157" s="192"/>
      <c r="AI157" s="192"/>
      <c r="AJ157" s="192"/>
      <c r="AK157" s="194"/>
      <c r="AL157" s="192"/>
      <c r="AM157" s="141"/>
      <c r="AN157" s="141"/>
    </row>
    <row r="158" spans="3:40" x14ac:dyDescent="0.3">
      <c r="F158" s="110"/>
      <c r="H158" s="110"/>
      <c r="I158" s="110"/>
      <c r="J158" s="217"/>
      <c r="K158" s="217"/>
      <c r="L158" s="192"/>
      <c r="M158" s="192"/>
      <c r="N158" s="192"/>
      <c r="O158" s="192"/>
      <c r="P158" s="192"/>
      <c r="Q158" s="192"/>
      <c r="R158" s="192"/>
      <c r="T158" s="99"/>
      <c r="V158" s="110"/>
      <c r="Y158" s="110"/>
      <c r="Z158" s="217"/>
      <c r="AA158" s="110"/>
      <c r="AB158" s="110"/>
      <c r="AC158" s="110"/>
      <c r="AD158" s="110"/>
      <c r="AE158" s="110"/>
      <c r="AF158" s="110"/>
      <c r="AH158" s="207"/>
      <c r="AI158" s="110"/>
      <c r="AJ158" s="110"/>
      <c r="AL158" s="110"/>
      <c r="AM158" s="141"/>
      <c r="AN158" s="141"/>
    </row>
    <row r="159" spans="3:40" x14ac:dyDescent="0.3">
      <c r="C159" s="99"/>
      <c r="F159" s="110"/>
      <c r="H159" s="110"/>
      <c r="I159" s="110"/>
      <c r="J159" s="198"/>
      <c r="K159" s="198"/>
      <c r="L159" s="110"/>
      <c r="M159" s="110"/>
      <c r="N159" s="141"/>
      <c r="O159" s="141"/>
      <c r="P159" s="110"/>
      <c r="Q159" s="110"/>
      <c r="R159" s="110"/>
      <c r="T159" s="99"/>
      <c r="V159" s="110"/>
      <c r="Y159" s="110"/>
      <c r="Z159" s="228"/>
      <c r="AA159" s="110"/>
      <c r="AB159" s="110"/>
      <c r="AC159" s="141"/>
      <c r="AD159" s="141"/>
      <c r="AE159" s="110"/>
      <c r="AF159" s="110"/>
      <c r="AH159" s="207"/>
      <c r="AI159" s="110"/>
      <c r="AJ159" s="110"/>
      <c r="AL159" s="110"/>
      <c r="AM159" s="141"/>
      <c r="AN159" s="141"/>
    </row>
    <row r="160" spans="3:40" x14ac:dyDescent="0.3">
      <c r="F160" s="110"/>
      <c r="H160" s="110"/>
      <c r="I160" s="110"/>
      <c r="J160" s="217"/>
      <c r="K160" s="217"/>
      <c r="L160" s="192"/>
      <c r="M160" s="192"/>
      <c r="N160" s="192"/>
      <c r="O160" s="192"/>
      <c r="P160" s="192"/>
      <c r="Q160" s="192"/>
      <c r="R160" s="192"/>
      <c r="T160" s="99"/>
      <c r="Y160" s="110"/>
      <c r="Z160" s="228"/>
      <c r="AA160" s="110"/>
      <c r="AB160" s="110"/>
      <c r="AC160" s="141"/>
      <c r="AD160" s="141"/>
      <c r="AE160" s="110"/>
      <c r="AF160" s="110"/>
      <c r="AH160" s="207"/>
      <c r="AI160" s="110"/>
      <c r="AJ160" s="110"/>
      <c r="AL160" s="110"/>
      <c r="AM160" s="141"/>
      <c r="AN160" s="141"/>
    </row>
    <row r="161" spans="1:40" x14ac:dyDescent="0.3">
      <c r="C161" s="99"/>
      <c r="F161" s="110"/>
      <c r="H161" s="110"/>
      <c r="I161" s="110"/>
      <c r="J161" s="198"/>
      <c r="K161" s="198"/>
      <c r="L161" s="110"/>
      <c r="M161" s="110"/>
      <c r="N161" s="141"/>
      <c r="O161" s="141"/>
      <c r="P161" s="110"/>
      <c r="Q161" s="110"/>
      <c r="R161" s="110"/>
      <c r="V161" s="110"/>
      <c r="Y161" s="110"/>
      <c r="Z161" s="217"/>
      <c r="AA161" s="192"/>
      <c r="AB161" s="192"/>
      <c r="AC161" s="192"/>
      <c r="AD161" s="192"/>
      <c r="AE161" s="192"/>
      <c r="AF161" s="192"/>
      <c r="AI161" s="192"/>
      <c r="AJ161" s="192"/>
      <c r="AK161" s="194"/>
      <c r="AL161" s="192"/>
      <c r="AM161" s="141"/>
      <c r="AN161" s="141"/>
    </row>
    <row r="162" spans="1:40" x14ac:dyDescent="0.3">
      <c r="C162" s="99"/>
      <c r="F162" s="172"/>
      <c r="H162" s="172"/>
      <c r="I162" s="172"/>
      <c r="J162" s="222"/>
      <c r="K162" s="222"/>
      <c r="L162" s="110"/>
      <c r="M162" s="110"/>
      <c r="N162" s="141"/>
      <c r="O162" s="141"/>
      <c r="P162" s="110"/>
      <c r="Q162" s="110"/>
      <c r="R162" s="110"/>
      <c r="T162" s="99"/>
      <c r="V162" s="110"/>
      <c r="Y162" s="110"/>
      <c r="Z162" s="198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1:40" x14ac:dyDescent="0.3">
      <c r="F163" s="192"/>
      <c r="H163" s="192"/>
      <c r="I163" s="192"/>
      <c r="J163" s="217"/>
      <c r="K163" s="217"/>
      <c r="L163" s="192"/>
      <c r="M163" s="192"/>
      <c r="N163" s="192"/>
      <c r="O163" s="192"/>
      <c r="P163" s="192"/>
      <c r="Q163" s="192"/>
      <c r="R163" s="192"/>
      <c r="V163" s="110"/>
      <c r="Y163" s="110"/>
      <c r="Z163" s="217"/>
      <c r="AA163" s="192"/>
      <c r="AB163" s="192"/>
      <c r="AC163" s="192"/>
      <c r="AD163" s="192"/>
      <c r="AE163" s="192"/>
      <c r="AF163" s="192"/>
      <c r="AI163" s="192"/>
      <c r="AJ163" s="192"/>
      <c r="AK163" s="194"/>
      <c r="AL163" s="192"/>
      <c r="AM163" s="141"/>
      <c r="AN163" s="141"/>
    </row>
    <row r="164" spans="1:40" x14ac:dyDescent="0.3">
      <c r="C164" s="99"/>
      <c r="F164" s="110"/>
      <c r="H164" s="110"/>
      <c r="I164" s="110"/>
      <c r="J164" s="217"/>
      <c r="K164" s="217"/>
      <c r="L164" s="110"/>
      <c r="M164" s="110"/>
      <c r="N164" s="141"/>
      <c r="O164" s="141"/>
      <c r="P164" s="110"/>
      <c r="Q164" s="110"/>
      <c r="R164" s="110"/>
      <c r="S164" s="110"/>
      <c r="T164" s="99"/>
      <c r="V164" s="110"/>
      <c r="Y164" s="110"/>
      <c r="Z164" s="198"/>
      <c r="AA164" s="110"/>
      <c r="AB164" s="110"/>
      <c r="AC164" s="141"/>
      <c r="AD164" s="141"/>
      <c r="AE164" s="110"/>
      <c r="AF164" s="110"/>
      <c r="AH164" s="207"/>
      <c r="AI164" s="110"/>
      <c r="AJ164" s="110"/>
      <c r="AL164" s="110"/>
      <c r="AM164" s="141"/>
      <c r="AN164" s="141"/>
    </row>
    <row r="165" spans="1:40" x14ac:dyDescent="0.3">
      <c r="F165" s="192"/>
      <c r="H165" s="192"/>
      <c r="I165" s="192"/>
      <c r="J165" s="217"/>
      <c r="K165" s="217"/>
      <c r="L165" s="192"/>
      <c r="M165" s="192"/>
      <c r="N165" s="192"/>
      <c r="O165" s="192"/>
      <c r="P165" s="192"/>
      <c r="Q165" s="192"/>
      <c r="R165" s="192"/>
      <c r="S165" s="110"/>
      <c r="T165" s="99"/>
      <c r="V165" s="172"/>
      <c r="Y165" s="110"/>
      <c r="Z165" s="222"/>
      <c r="AA165" s="110"/>
      <c r="AB165" s="110"/>
      <c r="AC165" s="141"/>
      <c r="AD165" s="141"/>
      <c r="AE165" s="110"/>
      <c r="AF165" s="110"/>
      <c r="AH165" s="207"/>
      <c r="AI165" s="110"/>
      <c r="AJ165" s="110"/>
      <c r="AL165" s="110"/>
      <c r="AM165" s="141"/>
      <c r="AN165" s="141"/>
    </row>
    <row r="166" spans="1:40" x14ac:dyDescent="0.3">
      <c r="C166" s="99"/>
      <c r="V166" s="192"/>
      <c r="Y166" s="192"/>
      <c r="Z166" s="217"/>
      <c r="AA166" s="192"/>
      <c r="AB166" s="192"/>
      <c r="AC166" s="192"/>
      <c r="AD166" s="192"/>
      <c r="AE166" s="192"/>
      <c r="AF166" s="192"/>
      <c r="AI166" s="192"/>
      <c r="AJ166" s="192"/>
      <c r="AK166" s="194"/>
      <c r="AL166" s="192"/>
      <c r="AM166" s="141"/>
      <c r="AN166" s="141"/>
    </row>
    <row r="167" spans="1:40" x14ac:dyDescent="0.3">
      <c r="C167" s="99"/>
      <c r="F167" s="110"/>
      <c r="H167" s="110"/>
      <c r="I167" s="110"/>
      <c r="L167" s="110"/>
      <c r="M167" s="110"/>
      <c r="N167" s="141"/>
      <c r="O167" s="141"/>
      <c r="P167" s="172"/>
      <c r="Q167" s="172"/>
      <c r="R167" s="110"/>
      <c r="T167" s="99"/>
      <c r="V167" s="110"/>
      <c r="Y167" s="110"/>
      <c r="Z167" s="217"/>
      <c r="AA167" s="110"/>
      <c r="AB167" s="110"/>
      <c r="AC167" s="141"/>
      <c r="AD167" s="141"/>
      <c r="AE167" s="110"/>
      <c r="AF167" s="110"/>
      <c r="AH167" s="141"/>
      <c r="AI167" s="110"/>
      <c r="AJ167" s="110"/>
      <c r="AL167" s="110"/>
      <c r="AM167" s="141"/>
      <c r="AN167" s="141"/>
    </row>
    <row r="168" spans="1:40" x14ac:dyDescent="0.3">
      <c r="F168" s="192"/>
      <c r="H168" s="192"/>
      <c r="I168" s="192"/>
      <c r="J168" s="217"/>
      <c r="K168" s="217"/>
      <c r="L168" s="192"/>
      <c r="M168" s="192"/>
      <c r="N168" s="192"/>
      <c r="O168" s="192"/>
      <c r="P168" s="192"/>
      <c r="Q168" s="192"/>
      <c r="R168" s="192"/>
      <c r="V168" s="192"/>
      <c r="Y168" s="192"/>
      <c r="Z168" s="217"/>
      <c r="AA168" s="192"/>
      <c r="AB168" s="192"/>
      <c r="AC168" s="192"/>
      <c r="AD168" s="192"/>
      <c r="AE168" s="192"/>
      <c r="AF168" s="192"/>
      <c r="AI168" s="192"/>
      <c r="AJ168" s="192"/>
      <c r="AK168" s="194"/>
      <c r="AL168" s="192"/>
      <c r="AM168" s="141"/>
      <c r="AN168" s="141"/>
    </row>
    <row r="169" spans="1:40" x14ac:dyDescent="0.3">
      <c r="T169" s="99"/>
    </row>
    <row r="170" spans="1:40" x14ac:dyDescent="0.3">
      <c r="C170" s="99"/>
      <c r="L170" s="110"/>
      <c r="M170" s="110"/>
      <c r="N170" s="110"/>
      <c r="O170" s="110"/>
      <c r="P170" s="110"/>
      <c r="Q170" s="110"/>
      <c r="R170" s="110"/>
      <c r="S170" s="110"/>
      <c r="T170" s="99"/>
      <c r="V170" s="110"/>
      <c r="Y170" s="110"/>
      <c r="AA170" s="110"/>
      <c r="AB170" s="110"/>
      <c r="AC170" s="141"/>
      <c r="AD170" s="141"/>
      <c r="AE170" s="110"/>
      <c r="AF170" s="110"/>
      <c r="AH170" s="141"/>
      <c r="AI170" s="172"/>
      <c r="AJ170" s="172"/>
      <c r="AL170" s="110"/>
      <c r="AM170" s="141"/>
      <c r="AN170" s="141"/>
    </row>
    <row r="171" spans="1:40" x14ac:dyDescent="0.3">
      <c r="A171" s="99"/>
      <c r="V171" s="192"/>
      <c r="Y171" s="192"/>
      <c r="Z171" s="217"/>
      <c r="AA171" s="192"/>
      <c r="AB171" s="192"/>
      <c r="AC171" s="192"/>
      <c r="AD171" s="192"/>
      <c r="AE171" s="192"/>
      <c r="AF171" s="192"/>
      <c r="AI171" s="192"/>
      <c r="AJ171" s="192"/>
      <c r="AK171" s="194"/>
      <c r="AL171" s="192"/>
    </row>
    <row r="173" spans="1:40" x14ac:dyDescent="0.3">
      <c r="H173" s="99"/>
      <c r="I173" s="99"/>
      <c r="T173" s="99"/>
      <c r="AA173" s="110"/>
      <c r="AB173" s="110"/>
      <c r="AC173" s="110"/>
      <c r="AD173" s="110"/>
      <c r="AI173" s="110"/>
      <c r="AJ173" s="110"/>
      <c r="AL173" s="110"/>
    </row>
    <row r="175" spans="1:40" x14ac:dyDescent="0.3">
      <c r="L175" s="99"/>
      <c r="M175" s="99"/>
    </row>
    <row r="176" spans="1:40" x14ac:dyDescent="0.3">
      <c r="R176" s="99"/>
      <c r="Y176" s="99"/>
    </row>
    <row r="177" spans="1:40" x14ac:dyDescent="0.3">
      <c r="R177" s="99"/>
    </row>
    <row r="178" spans="1:40" x14ac:dyDescent="0.3">
      <c r="A178" s="99"/>
      <c r="R178" s="99"/>
      <c r="AK178" s="190"/>
      <c r="AL178" s="99"/>
    </row>
    <row r="179" spans="1:40" x14ac:dyDescent="0.3">
      <c r="L179" s="99"/>
      <c r="M179" s="99"/>
      <c r="AA179" s="99"/>
      <c r="AB179" s="99"/>
    </row>
    <row r="180" spans="1:4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91"/>
      <c r="AH180" s="101"/>
      <c r="AI180" s="101"/>
      <c r="AJ180" s="101"/>
      <c r="AK180" s="191"/>
      <c r="AL180" s="101"/>
      <c r="AM180" s="101"/>
      <c r="AN180" s="101"/>
    </row>
    <row r="181" spans="1:40" x14ac:dyDescent="0.3">
      <c r="L181" s="102"/>
      <c r="M181" s="102"/>
      <c r="N181" s="102"/>
      <c r="O181" s="102"/>
      <c r="R181" s="102"/>
      <c r="AA181" s="102"/>
      <c r="AB181" s="102"/>
      <c r="AC181" s="102"/>
      <c r="AD181" s="102"/>
      <c r="AE181" s="102"/>
      <c r="AF181" s="102"/>
      <c r="AG181" s="151"/>
      <c r="AH181" s="102"/>
      <c r="AK181" s="151"/>
      <c r="AL181" s="102"/>
      <c r="AM181" s="102"/>
      <c r="AN181" s="102"/>
    </row>
    <row r="182" spans="1:40" x14ac:dyDescent="0.3">
      <c r="L182" s="102"/>
      <c r="M182" s="102"/>
      <c r="N182" s="102"/>
      <c r="O182" s="102"/>
      <c r="R182" s="102"/>
      <c r="Z182" s="102"/>
      <c r="AA182" s="102"/>
      <c r="AB182" s="102"/>
      <c r="AC182" s="102"/>
      <c r="AD182" s="102"/>
      <c r="AE182" s="102"/>
      <c r="AF182" s="102"/>
      <c r="AG182" s="151"/>
      <c r="AH182" s="102"/>
      <c r="AK182" s="151"/>
      <c r="AL182" s="102"/>
      <c r="AM182" s="102"/>
      <c r="AN182" s="102"/>
    </row>
    <row r="183" spans="1:40" x14ac:dyDescent="0.3">
      <c r="A183" s="102"/>
      <c r="C183" s="102"/>
      <c r="D183" s="102"/>
      <c r="E183" s="102"/>
      <c r="F183" s="102"/>
      <c r="J183" s="102"/>
      <c r="K183" s="102"/>
      <c r="L183" s="102"/>
      <c r="M183" s="102"/>
      <c r="N183" s="102"/>
      <c r="O183" s="102"/>
      <c r="P183" s="102"/>
      <c r="Q183" s="102"/>
      <c r="R183" s="102"/>
      <c r="T183" s="102"/>
      <c r="U183" s="102"/>
      <c r="V183" s="102"/>
      <c r="Z183" s="102"/>
      <c r="AA183" s="102"/>
      <c r="AB183" s="102"/>
      <c r="AC183" s="102"/>
      <c r="AD183" s="102"/>
      <c r="AE183" s="102"/>
      <c r="AF183" s="102"/>
      <c r="AG183" s="151"/>
      <c r="AH183" s="102"/>
      <c r="AI183" s="102"/>
      <c r="AJ183" s="102"/>
      <c r="AK183" s="151"/>
      <c r="AL183" s="102"/>
      <c r="AM183" s="102"/>
      <c r="AN183" s="102"/>
    </row>
    <row r="184" spans="1:40" x14ac:dyDescent="0.3">
      <c r="A184" s="102"/>
      <c r="C184" s="102"/>
      <c r="D184" s="102"/>
      <c r="E184" s="102"/>
      <c r="F184" s="102"/>
      <c r="H184" s="102"/>
      <c r="I184" s="102"/>
      <c r="J184" s="102"/>
      <c r="K184" s="102"/>
      <c r="L184" s="102"/>
      <c r="M184" s="102"/>
      <c r="N184" s="102"/>
      <c r="O184" s="102"/>
      <c r="P184" s="102"/>
      <c r="Q184" s="102"/>
      <c r="R184" s="102"/>
      <c r="T184" s="102"/>
      <c r="U184" s="102"/>
      <c r="V184" s="102"/>
      <c r="Y184" s="102"/>
      <c r="Z184" s="102"/>
      <c r="AA184" s="102"/>
      <c r="AB184" s="102"/>
      <c r="AC184" s="102"/>
      <c r="AD184" s="102"/>
      <c r="AE184" s="102"/>
      <c r="AF184" s="102"/>
      <c r="AG184" s="151"/>
      <c r="AH184" s="102"/>
      <c r="AI184" s="102"/>
      <c r="AJ184" s="102"/>
      <c r="AK184" s="151"/>
      <c r="AL184" s="102"/>
      <c r="AM184" s="102"/>
      <c r="AN184" s="102"/>
    </row>
    <row r="185" spans="1:40" x14ac:dyDescent="0.3">
      <c r="C185" s="102"/>
      <c r="D185" s="102"/>
      <c r="E185" s="102"/>
      <c r="F185" s="102"/>
      <c r="H185" s="102"/>
      <c r="I185" s="102"/>
      <c r="J185" s="102"/>
      <c r="K185" s="102"/>
      <c r="L185" s="102"/>
      <c r="M185" s="102"/>
      <c r="N185" s="102"/>
      <c r="O185" s="102"/>
      <c r="P185" s="102"/>
      <c r="Q185" s="102"/>
      <c r="R185" s="102"/>
      <c r="T185" s="102"/>
      <c r="U185" s="102"/>
      <c r="V185" s="102"/>
      <c r="Y185" s="102"/>
      <c r="Z185" s="102"/>
      <c r="AA185" s="102"/>
      <c r="AB185" s="102"/>
      <c r="AC185" s="102"/>
      <c r="AD185" s="102"/>
      <c r="AE185" s="102"/>
      <c r="AF185" s="102"/>
      <c r="AG185" s="151"/>
      <c r="AH185" s="102"/>
      <c r="AI185" s="102"/>
      <c r="AJ185" s="102"/>
      <c r="AK185" s="151"/>
      <c r="AL185" s="102"/>
      <c r="AM185" s="102"/>
      <c r="AN185" s="102"/>
    </row>
    <row r="186" spans="1:40" x14ac:dyDescent="0.3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91"/>
      <c r="AH186" s="101"/>
      <c r="AI186" s="101"/>
      <c r="AJ186" s="101"/>
      <c r="AK186" s="191"/>
      <c r="AL186" s="101"/>
      <c r="AM186" s="101"/>
      <c r="AN186" s="101"/>
    </row>
    <row r="187" spans="1:40" x14ac:dyDescent="0.3">
      <c r="H187" s="102"/>
      <c r="I187" s="102"/>
      <c r="J187" s="102"/>
      <c r="K187" s="102"/>
      <c r="L187" s="102"/>
      <c r="M187" s="102"/>
      <c r="N187" s="102"/>
      <c r="O187" s="102"/>
      <c r="P187" s="102"/>
      <c r="Q187" s="102"/>
      <c r="R187" s="102"/>
      <c r="Y187" s="102"/>
      <c r="Z187" s="102"/>
      <c r="AA187" s="102"/>
      <c r="AB187" s="102"/>
      <c r="AC187" s="102"/>
      <c r="AD187" s="102"/>
      <c r="AE187" s="102"/>
      <c r="AF187" s="102"/>
      <c r="AG187" s="151"/>
      <c r="AH187" s="102"/>
      <c r="AI187" s="102"/>
      <c r="AJ187" s="102"/>
      <c r="AK187" s="151"/>
      <c r="AL187" s="102"/>
      <c r="AM187" s="102"/>
      <c r="AN187" s="102"/>
    </row>
    <row r="188" spans="1:40" x14ac:dyDescent="0.3">
      <c r="C188" s="99"/>
      <c r="D188" s="99"/>
      <c r="E188" s="99"/>
      <c r="T188" s="99"/>
      <c r="U188" s="99"/>
    </row>
    <row r="189" spans="1:40" x14ac:dyDescent="0.3">
      <c r="D189" s="99"/>
      <c r="E189" s="99"/>
      <c r="U189" s="99"/>
    </row>
    <row r="191" spans="1:40" x14ac:dyDescent="0.3">
      <c r="C191" s="99"/>
      <c r="F191" s="172"/>
      <c r="H191" s="172"/>
      <c r="I191" s="172"/>
      <c r="J191" s="181"/>
      <c r="K191" s="181"/>
      <c r="L191" s="110"/>
      <c r="M191" s="110"/>
      <c r="N191" s="141"/>
      <c r="O191" s="141"/>
      <c r="R191" s="110"/>
      <c r="T191" s="99"/>
      <c r="V191" s="110"/>
      <c r="Y191" s="172"/>
      <c r="Z191" s="181"/>
      <c r="AA191" s="110"/>
      <c r="AB191" s="110"/>
      <c r="AC191" s="141"/>
      <c r="AD191" s="141"/>
      <c r="AE191" s="110"/>
      <c r="AF191" s="110"/>
      <c r="AG191" s="224"/>
      <c r="AH191" s="225"/>
      <c r="AL191" s="110"/>
      <c r="AM191" s="226"/>
      <c r="AN191" s="226"/>
    </row>
    <row r="192" spans="1:40" x14ac:dyDescent="0.3">
      <c r="C192" s="99"/>
      <c r="F192" s="172"/>
      <c r="H192" s="172"/>
      <c r="I192" s="172"/>
      <c r="J192" s="181"/>
      <c r="K192" s="181"/>
      <c r="L192" s="110"/>
      <c r="M192" s="110"/>
      <c r="N192" s="141"/>
      <c r="O192" s="141"/>
      <c r="R192" s="110"/>
      <c r="T192" s="99"/>
      <c r="V192" s="110"/>
      <c r="Y192" s="172"/>
      <c r="Z192" s="181"/>
      <c r="AA192" s="110"/>
      <c r="AB192" s="110"/>
      <c r="AC192" s="141"/>
      <c r="AD192" s="141"/>
      <c r="AE192" s="110"/>
      <c r="AF192" s="110"/>
      <c r="AH192" s="207"/>
      <c r="AL192" s="110"/>
      <c r="AM192" s="141"/>
      <c r="AN192" s="141"/>
    </row>
    <row r="193" spans="3:40" x14ac:dyDescent="0.3">
      <c r="F193" s="192"/>
      <c r="H193" s="110"/>
      <c r="I193" s="110"/>
      <c r="J193" s="217"/>
      <c r="K193" s="217"/>
      <c r="L193" s="192"/>
      <c r="M193" s="192"/>
      <c r="N193" s="192"/>
      <c r="O193" s="192"/>
      <c r="P193" s="192"/>
      <c r="Q193" s="192"/>
      <c r="R193" s="192"/>
      <c r="V193" s="192"/>
      <c r="Y193" s="110"/>
      <c r="Z193" s="217"/>
      <c r="AA193" s="192"/>
      <c r="AB193" s="192"/>
      <c r="AC193" s="192"/>
      <c r="AD193" s="192"/>
      <c r="AE193" s="192"/>
      <c r="AF193" s="192"/>
      <c r="AI193" s="192"/>
      <c r="AJ193" s="192"/>
      <c r="AK193" s="194"/>
      <c r="AL193" s="192"/>
      <c r="AM193" s="141"/>
      <c r="AN193" s="141"/>
    </row>
    <row r="194" spans="3:40" x14ac:dyDescent="0.3">
      <c r="C194" s="99"/>
      <c r="F194" s="110"/>
      <c r="H194" s="110"/>
      <c r="I194" s="110"/>
      <c r="J194" s="217"/>
      <c r="K194" s="217"/>
      <c r="L194" s="110"/>
      <c r="M194" s="110"/>
      <c r="N194" s="141"/>
      <c r="O194" s="141"/>
      <c r="P194" s="110"/>
      <c r="Q194" s="110"/>
      <c r="R194" s="110"/>
      <c r="T194" s="99"/>
      <c r="V194" s="110"/>
      <c r="Y194" s="110"/>
      <c r="Z194" s="198"/>
      <c r="AA194" s="110"/>
      <c r="AB194" s="110"/>
      <c r="AC194" s="141"/>
      <c r="AD194" s="141"/>
      <c r="AE194" s="110"/>
      <c r="AF194" s="110"/>
      <c r="AH194" s="207"/>
      <c r="AI194" s="110"/>
      <c r="AJ194" s="110"/>
      <c r="AL194" s="110"/>
      <c r="AM194" s="141"/>
      <c r="AN194" s="141"/>
    </row>
    <row r="195" spans="3:40" x14ac:dyDescent="0.3">
      <c r="F195" s="192"/>
      <c r="H195" s="110"/>
      <c r="I195" s="110"/>
      <c r="J195" s="217"/>
      <c r="K195" s="217"/>
      <c r="L195" s="192"/>
      <c r="M195" s="192"/>
      <c r="N195" s="192"/>
      <c r="O195" s="192"/>
      <c r="P195" s="192"/>
      <c r="Q195" s="192"/>
      <c r="R195" s="192"/>
      <c r="V195" s="192"/>
      <c r="Y195" s="110"/>
      <c r="Z195" s="217"/>
      <c r="AA195" s="192"/>
      <c r="AB195" s="192"/>
      <c r="AC195" s="192"/>
      <c r="AD195" s="192"/>
      <c r="AE195" s="192"/>
      <c r="AF195" s="192"/>
      <c r="AI195" s="192"/>
      <c r="AJ195" s="192"/>
      <c r="AK195" s="194"/>
      <c r="AL195" s="192"/>
      <c r="AM195" s="141"/>
      <c r="AN195" s="141"/>
    </row>
    <row r="196" spans="3:40" x14ac:dyDescent="0.3">
      <c r="F196" s="110"/>
      <c r="H196" s="110"/>
      <c r="I196" s="110"/>
      <c r="J196" s="217"/>
      <c r="K196" s="217"/>
      <c r="L196" s="110"/>
      <c r="M196" s="110"/>
      <c r="N196" s="141"/>
      <c r="O196" s="141"/>
      <c r="P196" s="110"/>
      <c r="Q196" s="110"/>
      <c r="R196" s="110"/>
      <c r="V196" s="110"/>
      <c r="Y196" s="110"/>
      <c r="Z196" s="198"/>
      <c r="AA196" s="110"/>
      <c r="AB196" s="110"/>
      <c r="AC196" s="141"/>
      <c r="AD196" s="141"/>
      <c r="AE196" s="110"/>
      <c r="AF196" s="110"/>
      <c r="AH196" s="207"/>
      <c r="AI196" s="110"/>
      <c r="AJ196" s="110"/>
      <c r="AL196" s="110"/>
      <c r="AM196" s="141"/>
      <c r="AN196" s="141"/>
    </row>
    <row r="197" spans="3:40" x14ac:dyDescent="0.3">
      <c r="C197" s="99"/>
      <c r="F197" s="172"/>
      <c r="H197" s="172"/>
      <c r="I197" s="172"/>
      <c r="J197" s="181"/>
      <c r="K197" s="181"/>
      <c r="L197" s="110"/>
      <c r="M197" s="110"/>
      <c r="N197" s="141"/>
      <c r="O197" s="141"/>
      <c r="P197" s="110"/>
      <c r="Q197" s="110"/>
      <c r="R197" s="110"/>
      <c r="T197" s="99"/>
      <c r="V197" s="172"/>
      <c r="Y197" s="110"/>
      <c r="Z197" s="181"/>
      <c r="AA197" s="110"/>
      <c r="AB197" s="110"/>
      <c r="AC197" s="141"/>
      <c r="AD197" s="141"/>
      <c r="AE197" s="110"/>
      <c r="AF197" s="110"/>
      <c r="AG197" s="224"/>
      <c r="AH197" s="225"/>
      <c r="AI197" s="110"/>
      <c r="AJ197" s="110"/>
      <c r="AL197" s="110"/>
      <c r="AM197" s="226"/>
      <c r="AN197" s="226"/>
    </row>
    <row r="198" spans="3:40" x14ac:dyDescent="0.3">
      <c r="C198" s="99"/>
      <c r="F198" s="172"/>
      <c r="H198" s="172"/>
      <c r="I198" s="172"/>
      <c r="J198" s="181"/>
      <c r="K198" s="181"/>
      <c r="L198" s="110"/>
      <c r="M198" s="110"/>
      <c r="N198" s="141"/>
      <c r="O198" s="141"/>
      <c r="P198" s="110"/>
      <c r="Q198" s="110"/>
      <c r="R198" s="110"/>
      <c r="T198" s="99"/>
      <c r="V198" s="172"/>
      <c r="Y198" s="110"/>
      <c r="Z198" s="181"/>
      <c r="AA198" s="110"/>
      <c r="AB198" s="110"/>
      <c r="AC198" s="141"/>
      <c r="AD198" s="141"/>
      <c r="AE198" s="110"/>
      <c r="AF198" s="110"/>
      <c r="AH198" s="207"/>
      <c r="AI198" s="110"/>
      <c r="AJ198" s="110"/>
      <c r="AL198" s="110"/>
      <c r="AM198" s="141"/>
      <c r="AN198" s="141"/>
    </row>
    <row r="199" spans="3:40" x14ac:dyDescent="0.3">
      <c r="F199" s="110"/>
      <c r="H199" s="192"/>
      <c r="I199" s="192"/>
      <c r="J199" s="217"/>
      <c r="K199" s="217"/>
      <c r="L199" s="192"/>
      <c r="M199" s="192"/>
      <c r="N199" s="192"/>
      <c r="O199" s="192"/>
      <c r="P199" s="192"/>
      <c r="Q199" s="192"/>
      <c r="R199" s="192"/>
      <c r="V199" s="110"/>
      <c r="Y199" s="192"/>
      <c r="Z199" s="217"/>
      <c r="AA199" s="192"/>
      <c r="AB199" s="192"/>
      <c r="AC199" s="192"/>
      <c r="AD199" s="192"/>
      <c r="AE199" s="192"/>
      <c r="AF199" s="192"/>
      <c r="AI199" s="192"/>
      <c r="AJ199" s="192"/>
      <c r="AK199" s="194"/>
      <c r="AL199" s="192"/>
      <c r="AM199" s="141"/>
      <c r="AN199" s="141"/>
    </row>
    <row r="200" spans="3:40" x14ac:dyDescent="0.3">
      <c r="C200" s="99"/>
      <c r="F200" s="110"/>
      <c r="H200" s="110"/>
      <c r="I200" s="110"/>
      <c r="J200" s="217"/>
      <c r="K200" s="217"/>
      <c r="L200" s="110"/>
      <c r="M200" s="110"/>
      <c r="N200" s="141"/>
      <c r="O200" s="141"/>
      <c r="P200" s="110"/>
      <c r="Q200" s="110"/>
      <c r="R200" s="110"/>
      <c r="T200" s="99"/>
      <c r="V200" s="110"/>
      <c r="Y200" s="110"/>
      <c r="Z200" s="217"/>
      <c r="AA200" s="110"/>
      <c r="AB200" s="110"/>
      <c r="AC200" s="141"/>
      <c r="AD200" s="141"/>
      <c r="AE200" s="110"/>
      <c r="AF200" s="110"/>
      <c r="AH200" s="207"/>
      <c r="AI200" s="110"/>
      <c r="AJ200" s="110"/>
      <c r="AL200" s="110"/>
      <c r="AM200" s="141"/>
      <c r="AN200" s="141"/>
    </row>
    <row r="201" spans="3:40" x14ac:dyDescent="0.3">
      <c r="F201" s="110"/>
      <c r="H201" s="192"/>
      <c r="I201" s="192"/>
      <c r="J201" s="217"/>
      <c r="K201" s="217"/>
      <c r="L201" s="192"/>
      <c r="M201" s="192"/>
      <c r="N201" s="192"/>
      <c r="O201" s="192"/>
      <c r="P201" s="192"/>
      <c r="Q201" s="192"/>
      <c r="R201" s="192"/>
      <c r="V201" s="110"/>
      <c r="Y201" s="192"/>
      <c r="Z201" s="217"/>
      <c r="AA201" s="192"/>
      <c r="AB201" s="192"/>
      <c r="AC201" s="192"/>
      <c r="AD201" s="192"/>
      <c r="AE201" s="192"/>
      <c r="AF201" s="192"/>
      <c r="AI201" s="192"/>
      <c r="AJ201" s="192"/>
      <c r="AK201" s="194"/>
      <c r="AL201" s="192"/>
      <c r="AM201" s="141"/>
      <c r="AN201" s="141"/>
    </row>
    <row r="202" spans="3:40" x14ac:dyDescent="0.3">
      <c r="F202" s="110"/>
      <c r="H202" s="110"/>
      <c r="I202" s="110"/>
      <c r="J202" s="217"/>
      <c r="K202" s="217"/>
      <c r="L202" s="110"/>
      <c r="M202" s="110"/>
      <c r="N202" s="110"/>
      <c r="O202" s="110"/>
      <c r="P202" s="110"/>
      <c r="Q202" s="110"/>
      <c r="R202" s="110"/>
      <c r="V202" s="110"/>
      <c r="Y202" s="110"/>
      <c r="Z202" s="217"/>
      <c r="AA202" s="110"/>
      <c r="AB202" s="110"/>
      <c r="AC202" s="110"/>
      <c r="AD202" s="110"/>
      <c r="AE202" s="110"/>
      <c r="AF202" s="110"/>
      <c r="AH202" s="207"/>
      <c r="AI202" s="110"/>
      <c r="AJ202" s="110"/>
      <c r="AL202" s="110"/>
      <c r="AM202" s="141"/>
      <c r="AN202" s="141"/>
    </row>
    <row r="203" spans="3:40" x14ac:dyDescent="0.3">
      <c r="C203" s="99"/>
      <c r="F203" s="172"/>
      <c r="H203" s="172"/>
      <c r="I203" s="172"/>
      <c r="J203" s="222"/>
      <c r="K203" s="222"/>
      <c r="L203" s="110"/>
      <c r="M203" s="110"/>
      <c r="N203" s="141"/>
      <c r="O203" s="141"/>
      <c r="P203" s="172"/>
      <c r="Q203" s="172"/>
      <c r="R203" s="110"/>
      <c r="T203" s="99"/>
      <c r="V203" s="172"/>
      <c r="Y203" s="172"/>
      <c r="Z203" s="227"/>
      <c r="AA203" s="110"/>
      <c r="AB203" s="110"/>
      <c r="AC203" s="141"/>
      <c r="AD203" s="141"/>
      <c r="AE203" s="110"/>
      <c r="AF203" s="110"/>
      <c r="AH203" s="207"/>
      <c r="AI203" s="172"/>
      <c r="AJ203" s="172"/>
      <c r="AL203" s="110"/>
      <c r="AM203" s="141"/>
      <c r="AN203" s="141"/>
    </row>
    <row r="204" spans="3:40" x14ac:dyDescent="0.3">
      <c r="C204" s="99"/>
      <c r="F204" s="172"/>
      <c r="H204" s="172"/>
      <c r="I204" s="172"/>
      <c r="J204" s="222"/>
      <c r="K204" s="222"/>
      <c r="L204" s="110"/>
      <c r="M204" s="110"/>
      <c r="N204" s="141"/>
      <c r="O204" s="141"/>
      <c r="P204" s="172"/>
      <c r="Q204" s="172"/>
      <c r="R204" s="110"/>
      <c r="T204" s="99"/>
      <c r="V204" s="172"/>
      <c r="Y204" s="110"/>
      <c r="Z204" s="216"/>
      <c r="AA204" s="110"/>
      <c r="AB204" s="110"/>
      <c r="AC204" s="141"/>
      <c r="AD204" s="141"/>
      <c r="AE204" s="110"/>
      <c r="AF204" s="110"/>
      <c r="AH204" s="207"/>
      <c r="AI204" s="172"/>
      <c r="AJ204" s="172"/>
      <c r="AL204" s="110"/>
      <c r="AM204" s="141"/>
      <c r="AN204" s="141"/>
    </row>
    <row r="205" spans="3:40" x14ac:dyDescent="0.3">
      <c r="C205" s="99"/>
      <c r="F205" s="172"/>
      <c r="H205" s="172"/>
      <c r="I205" s="172"/>
      <c r="J205" s="222"/>
      <c r="K205" s="222"/>
      <c r="L205" s="110"/>
      <c r="M205" s="110"/>
      <c r="N205" s="141"/>
      <c r="O205" s="141"/>
      <c r="P205" s="172"/>
      <c r="Q205" s="172"/>
      <c r="R205" s="110"/>
      <c r="T205" s="99"/>
      <c r="V205" s="172"/>
      <c r="Y205" s="110"/>
      <c r="Z205" s="216"/>
      <c r="AA205" s="110"/>
      <c r="AB205" s="110"/>
      <c r="AC205" s="141"/>
      <c r="AD205" s="141"/>
      <c r="AE205" s="110"/>
      <c r="AF205" s="110"/>
      <c r="AH205" s="207"/>
      <c r="AI205" s="172"/>
      <c r="AJ205" s="172"/>
      <c r="AL205" s="110"/>
      <c r="AM205" s="141"/>
      <c r="AN205" s="141"/>
    </row>
    <row r="206" spans="3:40" x14ac:dyDescent="0.3">
      <c r="F206" s="192"/>
      <c r="H206" s="192"/>
      <c r="I206" s="192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92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  <c r="AM206" s="141"/>
      <c r="AN206" s="141"/>
    </row>
    <row r="207" spans="3:40" x14ac:dyDescent="0.3">
      <c r="C207" s="99"/>
      <c r="F207" s="110"/>
      <c r="H207" s="110"/>
      <c r="I207" s="110"/>
      <c r="J207" s="198"/>
      <c r="K207" s="198"/>
      <c r="L207" s="110"/>
      <c r="M207" s="110"/>
      <c r="N207" s="141"/>
      <c r="O207" s="141"/>
      <c r="P207" s="110"/>
      <c r="Q207" s="110"/>
      <c r="R207" s="110"/>
      <c r="T207" s="99"/>
      <c r="V207" s="110"/>
      <c r="Y207" s="110"/>
      <c r="Z207" s="198"/>
      <c r="AA207" s="110"/>
      <c r="AB207" s="110"/>
      <c r="AC207" s="141"/>
      <c r="AD207" s="141"/>
      <c r="AE207" s="110"/>
      <c r="AF207" s="110"/>
      <c r="AH207" s="207"/>
      <c r="AI207" s="110"/>
      <c r="AJ207" s="110"/>
      <c r="AL207" s="110"/>
      <c r="AM207" s="141"/>
      <c r="AN207" s="141"/>
    </row>
    <row r="208" spans="3:40" x14ac:dyDescent="0.3">
      <c r="F208" s="192"/>
      <c r="H208" s="192"/>
      <c r="I208" s="192"/>
      <c r="J208" s="217"/>
      <c r="K208" s="217"/>
      <c r="L208" s="192"/>
      <c r="M208" s="192"/>
      <c r="N208" s="192"/>
      <c r="O208" s="192"/>
      <c r="P208" s="192"/>
      <c r="Q208" s="192"/>
      <c r="R208" s="192"/>
      <c r="V208" s="192"/>
      <c r="Y208" s="192"/>
      <c r="Z208" s="217"/>
      <c r="AA208" s="192"/>
      <c r="AB208" s="192"/>
      <c r="AC208" s="192"/>
      <c r="AD208" s="192"/>
      <c r="AE208" s="192"/>
      <c r="AF208" s="192"/>
      <c r="AI208" s="192"/>
      <c r="AJ208" s="192"/>
      <c r="AK208" s="194"/>
      <c r="AL208" s="192"/>
      <c r="AM208" s="141"/>
      <c r="AN208" s="141"/>
    </row>
    <row r="209" spans="1:40" x14ac:dyDescent="0.3">
      <c r="C209" s="99"/>
      <c r="F209" s="110"/>
      <c r="H209" s="110"/>
      <c r="I209" s="110"/>
      <c r="J209" s="198"/>
      <c r="K209" s="198"/>
      <c r="L209" s="110"/>
      <c r="M209" s="110"/>
      <c r="N209" s="141"/>
      <c r="O209" s="141"/>
      <c r="P209" s="110"/>
      <c r="Q209" s="110"/>
      <c r="R209" s="110"/>
      <c r="T209" s="99"/>
      <c r="V209" s="110"/>
      <c r="Y209" s="110"/>
      <c r="Z209" s="198"/>
      <c r="AA209" s="110"/>
      <c r="AB209" s="110"/>
      <c r="AC209" s="141"/>
      <c r="AD209" s="141"/>
      <c r="AE209" s="110"/>
      <c r="AF209" s="110"/>
      <c r="AH209" s="207"/>
      <c r="AI209" s="110"/>
      <c r="AJ209" s="110"/>
      <c r="AL209" s="110"/>
      <c r="AM209" s="141"/>
      <c r="AN209" s="141"/>
    </row>
    <row r="210" spans="1:40" x14ac:dyDescent="0.3">
      <c r="C210" s="99"/>
      <c r="F210" s="110"/>
      <c r="H210" s="110"/>
      <c r="I210" s="110"/>
      <c r="J210" s="198"/>
      <c r="K210" s="198"/>
      <c r="L210" s="110"/>
      <c r="M210" s="110"/>
      <c r="N210" s="141"/>
      <c r="O210" s="141"/>
      <c r="P210" s="110"/>
      <c r="Q210" s="110"/>
      <c r="R210" s="110"/>
      <c r="T210" s="99"/>
      <c r="V210" s="110"/>
      <c r="Y210" s="110"/>
      <c r="Z210" s="198"/>
      <c r="AA210" s="110"/>
      <c r="AB210" s="110"/>
      <c r="AC210" s="141"/>
      <c r="AD210" s="141"/>
      <c r="AE210" s="110"/>
      <c r="AF210" s="110"/>
      <c r="AH210" s="207"/>
      <c r="AI210" s="110"/>
      <c r="AJ210" s="110"/>
      <c r="AL210" s="110"/>
      <c r="AM210" s="141"/>
      <c r="AN210" s="141"/>
    </row>
    <row r="211" spans="1:40" x14ac:dyDescent="0.3">
      <c r="F211" s="192"/>
      <c r="H211" s="192"/>
      <c r="I211" s="192"/>
      <c r="J211" s="217"/>
      <c r="K211" s="217"/>
      <c r="L211" s="192"/>
      <c r="M211" s="192"/>
      <c r="N211" s="192"/>
      <c r="O211" s="192"/>
      <c r="P211" s="192"/>
      <c r="Q211" s="192"/>
      <c r="R211" s="192"/>
      <c r="V211" s="192"/>
      <c r="Y211" s="192"/>
      <c r="Z211" s="217"/>
      <c r="AA211" s="192"/>
      <c r="AB211" s="192"/>
      <c r="AC211" s="192"/>
      <c r="AD211" s="192"/>
      <c r="AE211" s="192"/>
      <c r="AF211" s="192"/>
      <c r="AI211" s="192"/>
      <c r="AJ211" s="192"/>
      <c r="AK211" s="194"/>
      <c r="AL211" s="192"/>
      <c r="AM211" s="110"/>
      <c r="AN211" s="110"/>
    </row>
    <row r="212" spans="1:40" x14ac:dyDescent="0.3">
      <c r="F212" s="110"/>
      <c r="H212" s="110"/>
      <c r="I212" s="110"/>
      <c r="J212" s="198"/>
      <c r="K212" s="198"/>
      <c r="L212" s="110"/>
      <c r="M212" s="110"/>
      <c r="N212" s="110"/>
      <c r="O212" s="110"/>
      <c r="P212" s="110"/>
      <c r="Q212" s="110"/>
      <c r="R212" s="110"/>
      <c r="V212" s="110"/>
      <c r="Y212" s="110"/>
      <c r="Z212" s="198"/>
      <c r="AA212" s="110"/>
      <c r="AB212" s="110"/>
      <c r="AC212" s="110"/>
      <c r="AD212" s="110"/>
    </row>
    <row r="213" spans="1:40" x14ac:dyDescent="0.3">
      <c r="C213" s="99"/>
      <c r="F213" s="110"/>
      <c r="H213" s="110"/>
      <c r="I213" s="110"/>
      <c r="J213" s="198"/>
      <c r="K213" s="198"/>
      <c r="L213" s="110"/>
      <c r="M213" s="110"/>
      <c r="N213" s="110"/>
      <c r="O213" s="110"/>
      <c r="P213" s="110"/>
      <c r="Q213" s="110"/>
      <c r="R213" s="110"/>
      <c r="T213" s="99"/>
      <c r="V213" s="110"/>
      <c r="Y213" s="110"/>
      <c r="Z213" s="198"/>
      <c r="AA213" s="110"/>
      <c r="AB213" s="110"/>
      <c r="AC213" s="110"/>
      <c r="AD213" s="110"/>
    </row>
    <row r="214" spans="1:40" x14ac:dyDescent="0.3">
      <c r="A214" s="99"/>
    </row>
    <row r="216" spans="1:40" x14ac:dyDescent="0.3">
      <c r="H216" s="99"/>
      <c r="I216" s="99"/>
      <c r="Y216" s="99"/>
    </row>
    <row r="218" spans="1:40" x14ac:dyDescent="0.3">
      <c r="L218" s="99"/>
      <c r="M218" s="99"/>
      <c r="AA218" s="99"/>
      <c r="AB218" s="99"/>
    </row>
    <row r="219" spans="1:40" x14ac:dyDescent="0.3">
      <c r="R219" s="99"/>
      <c r="AK219" s="190"/>
      <c r="AL219" s="99"/>
    </row>
    <row r="220" spans="1:40" x14ac:dyDescent="0.3">
      <c r="R220" s="99"/>
      <c r="AK220" s="190"/>
      <c r="AL220" s="99"/>
    </row>
    <row r="221" spans="1:40" x14ac:dyDescent="0.3">
      <c r="A221" s="99"/>
      <c r="R221" s="99"/>
      <c r="AK221" s="190"/>
      <c r="AL221" s="99"/>
    </row>
    <row r="222" spans="1:40" x14ac:dyDescent="0.3">
      <c r="L222" s="99"/>
      <c r="M222" s="99"/>
      <c r="AA222" s="99"/>
      <c r="AB222" s="99"/>
    </row>
    <row r="223" spans="1:40" x14ac:dyDescent="0.3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91"/>
      <c r="AH223" s="101"/>
      <c r="AI223" s="101"/>
      <c r="AJ223" s="101"/>
      <c r="AK223" s="191"/>
      <c r="AL223" s="101"/>
      <c r="AM223" s="101"/>
      <c r="AN223" s="101"/>
    </row>
    <row r="224" spans="1:40" x14ac:dyDescent="0.3">
      <c r="L224" s="102"/>
      <c r="M224" s="102"/>
      <c r="N224" s="102"/>
      <c r="O224" s="102"/>
      <c r="R224" s="102"/>
      <c r="AA224" s="102"/>
      <c r="AB224" s="102"/>
      <c r="AC224" s="102"/>
      <c r="AD224" s="102"/>
      <c r="AE224" s="102"/>
      <c r="AF224" s="102"/>
      <c r="AG224" s="151"/>
      <c r="AH224" s="102"/>
      <c r="AK224" s="151"/>
      <c r="AL224" s="102"/>
      <c r="AM224" s="102"/>
      <c r="AN224" s="102"/>
    </row>
    <row r="225" spans="1:40" x14ac:dyDescent="0.3">
      <c r="L225" s="102"/>
      <c r="M225" s="102"/>
      <c r="N225" s="102"/>
      <c r="O225" s="102"/>
      <c r="R225" s="102"/>
      <c r="Z225" s="102"/>
      <c r="AA225" s="102"/>
      <c r="AB225" s="102"/>
      <c r="AC225" s="102"/>
      <c r="AD225" s="102"/>
      <c r="AE225" s="102"/>
      <c r="AF225" s="102"/>
      <c r="AG225" s="151"/>
      <c r="AH225" s="102"/>
      <c r="AK225" s="151"/>
      <c r="AL225" s="102"/>
      <c r="AM225" s="102"/>
      <c r="AN225" s="102"/>
    </row>
    <row r="226" spans="1:40" x14ac:dyDescent="0.3">
      <c r="A226" s="102"/>
      <c r="C226" s="102"/>
      <c r="D226" s="102"/>
      <c r="E226" s="102"/>
      <c r="F226" s="102"/>
      <c r="J226" s="102"/>
      <c r="K226" s="102"/>
      <c r="L226" s="102"/>
      <c r="M226" s="102"/>
      <c r="N226" s="102"/>
      <c r="O226" s="102"/>
      <c r="P226" s="102"/>
      <c r="Q226" s="102"/>
      <c r="R226" s="102"/>
      <c r="T226" s="102"/>
      <c r="U226" s="102"/>
      <c r="V226" s="102"/>
      <c r="Z226" s="102"/>
      <c r="AA226" s="102"/>
      <c r="AB226" s="102"/>
      <c r="AC226" s="102"/>
      <c r="AD226" s="102"/>
      <c r="AE226" s="102"/>
      <c r="AF226" s="102"/>
      <c r="AG226" s="151"/>
      <c r="AH226" s="102"/>
      <c r="AI226" s="102"/>
      <c r="AJ226" s="102"/>
      <c r="AK226" s="151"/>
      <c r="AL226" s="102"/>
      <c r="AM226" s="102"/>
      <c r="AN226" s="102"/>
    </row>
    <row r="227" spans="1:40" x14ac:dyDescent="0.3">
      <c r="A227" s="102"/>
      <c r="C227" s="102"/>
      <c r="D227" s="102"/>
      <c r="E227" s="102"/>
      <c r="F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T227" s="102"/>
      <c r="U227" s="102"/>
      <c r="V227" s="102"/>
      <c r="Y227" s="102"/>
      <c r="Z227" s="102"/>
      <c r="AA227" s="102"/>
      <c r="AB227" s="102"/>
      <c r="AC227" s="102"/>
      <c r="AD227" s="102"/>
      <c r="AE227" s="102"/>
      <c r="AF227" s="102"/>
      <c r="AG227" s="151"/>
      <c r="AH227" s="102"/>
      <c r="AI227" s="102"/>
      <c r="AJ227" s="102"/>
      <c r="AK227" s="151"/>
      <c r="AL227" s="102"/>
      <c r="AM227" s="102"/>
      <c r="AN227" s="102"/>
    </row>
    <row r="228" spans="1:40" x14ac:dyDescent="0.3">
      <c r="C228" s="102"/>
      <c r="D228" s="102"/>
      <c r="E228" s="102"/>
      <c r="F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T228" s="102"/>
      <c r="U228" s="102"/>
      <c r="V228" s="102"/>
      <c r="Y228" s="102"/>
      <c r="Z228" s="102"/>
      <c r="AA228" s="102"/>
      <c r="AB228" s="102"/>
      <c r="AC228" s="102"/>
      <c r="AD228" s="102"/>
      <c r="AE228" s="102"/>
      <c r="AF228" s="102"/>
      <c r="AG228" s="151"/>
      <c r="AH228" s="102"/>
      <c r="AI228" s="102"/>
      <c r="AJ228" s="102"/>
      <c r="AK228" s="151"/>
      <c r="AL228" s="102"/>
      <c r="AM228" s="102"/>
      <c r="AN228" s="102"/>
    </row>
    <row r="229" spans="1:40" x14ac:dyDescent="0.3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91"/>
      <c r="AH229" s="101"/>
      <c r="AI229" s="101"/>
      <c r="AJ229" s="101"/>
      <c r="AK229" s="191"/>
      <c r="AL229" s="101"/>
      <c r="AM229" s="101"/>
      <c r="AN229" s="101"/>
    </row>
    <row r="230" spans="1:40" x14ac:dyDescent="0.3"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Y230" s="102"/>
      <c r="Z230" s="102"/>
      <c r="AA230" s="102"/>
      <c r="AB230" s="102"/>
      <c r="AC230" s="102"/>
      <c r="AD230" s="102"/>
      <c r="AE230" s="102"/>
      <c r="AF230" s="102"/>
      <c r="AG230" s="151"/>
      <c r="AH230" s="102"/>
      <c r="AI230" s="102"/>
      <c r="AJ230" s="102"/>
      <c r="AK230" s="151"/>
      <c r="AL230" s="102"/>
      <c r="AM230" s="102"/>
      <c r="AN230" s="102"/>
    </row>
    <row r="231" spans="1:40" x14ac:dyDescent="0.3">
      <c r="C231" s="99"/>
      <c r="D231" s="99"/>
      <c r="E231" s="99"/>
      <c r="T231" s="99"/>
      <c r="U231" s="99"/>
    </row>
    <row r="233" spans="1:40" x14ac:dyDescent="0.3">
      <c r="C233" s="99"/>
      <c r="F233" s="172"/>
      <c r="H233" s="220"/>
      <c r="I233" s="220"/>
      <c r="J233" s="181"/>
      <c r="K233" s="181"/>
      <c r="L233" s="110"/>
      <c r="M233" s="110"/>
      <c r="R233" s="110"/>
      <c r="T233" s="99"/>
      <c r="V233" s="110"/>
      <c r="Z233" s="181"/>
      <c r="AA233" s="110"/>
      <c r="AB233" s="110"/>
      <c r="AE233" s="110"/>
      <c r="AF233" s="110"/>
      <c r="AG233" s="224"/>
      <c r="AH233" s="225"/>
      <c r="AI233" s="110"/>
      <c r="AJ233" s="110"/>
      <c r="AL233" s="110"/>
      <c r="AM233" s="226"/>
      <c r="AN233" s="226"/>
    </row>
    <row r="234" spans="1:40" x14ac:dyDescent="0.3">
      <c r="F234" s="172"/>
      <c r="H234" s="220"/>
      <c r="I234" s="220"/>
      <c r="J234" s="220"/>
      <c r="K234" s="220"/>
      <c r="R234" s="110"/>
      <c r="V234" s="110"/>
      <c r="Z234" s="220"/>
    </row>
    <row r="235" spans="1:40" x14ac:dyDescent="0.3">
      <c r="C235" s="99"/>
      <c r="F235" s="172"/>
      <c r="H235" s="172"/>
      <c r="I235" s="172"/>
      <c r="J235" s="222"/>
      <c r="K235" s="222"/>
      <c r="L235" s="110"/>
      <c r="M235" s="110"/>
      <c r="N235" s="141"/>
      <c r="O235" s="141"/>
      <c r="P235" s="172"/>
      <c r="Q235" s="172"/>
      <c r="R235" s="110"/>
      <c r="T235" s="99"/>
      <c r="V235" s="110"/>
      <c r="Y235" s="110"/>
      <c r="Z235" s="216"/>
      <c r="AA235" s="110"/>
      <c r="AB235" s="110"/>
      <c r="AC235" s="141"/>
      <c r="AD235" s="141"/>
      <c r="AE235" s="110"/>
      <c r="AF235" s="110"/>
      <c r="AH235" s="207"/>
      <c r="AI235" s="172"/>
      <c r="AJ235" s="172"/>
      <c r="AL235" s="110"/>
      <c r="AM235" s="141"/>
      <c r="AN235" s="141"/>
    </row>
    <row r="236" spans="1:40" x14ac:dyDescent="0.3">
      <c r="F236" s="192"/>
      <c r="H236" s="192"/>
      <c r="I236" s="192"/>
      <c r="J236" s="217"/>
      <c r="K236" s="217"/>
      <c r="L236" s="192"/>
      <c r="M236" s="192"/>
      <c r="N236" s="192"/>
      <c r="O236" s="192"/>
      <c r="P236" s="192"/>
      <c r="Q236" s="192"/>
      <c r="R236" s="192"/>
      <c r="V236" s="192"/>
      <c r="Y236" s="192"/>
      <c r="Z236" s="217"/>
      <c r="AA236" s="192"/>
      <c r="AB236" s="192"/>
      <c r="AC236" s="192"/>
      <c r="AD236" s="192"/>
      <c r="AE236" s="192"/>
      <c r="AF236" s="192"/>
      <c r="AI236" s="192"/>
      <c r="AJ236" s="192"/>
      <c r="AK236" s="194"/>
      <c r="AL236" s="192"/>
    </row>
    <row r="237" spans="1:40" x14ac:dyDescent="0.3">
      <c r="D237" s="99"/>
      <c r="E237" s="99"/>
      <c r="F237" s="110"/>
      <c r="H237" s="110"/>
      <c r="I237" s="110"/>
      <c r="J237" s="198"/>
      <c r="K237" s="198"/>
      <c r="L237" s="110"/>
      <c r="M237" s="110"/>
      <c r="N237" s="141"/>
      <c r="O237" s="141"/>
      <c r="P237" s="110"/>
      <c r="Q237" s="110"/>
      <c r="R237" s="110"/>
      <c r="U237" s="99"/>
      <c r="V237" s="110"/>
      <c r="Y237" s="110"/>
      <c r="Z237" s="198"/>
      <c r="AA237" s="110"/>
      <c r="AB237" s="110"/>
      <c r="AC237" s="141"/>
      <c r="AD237" s="141"/>
      <c r="AE237" s="110"/>
      <c r="AF237" s="110"/>
      <c r="AH237" s="207"/>
      <c r="AI237" s="110"/>
      <c r="AJ237" s="110"/>
      <c r="AL237" s="110"/>
      <c r="AM237" s="141"/>
      <c r="AN237" s="141"/>
    </row>
    <row r="238" spans="1:40" x14ac:dyDescent="0.3">
      <c r="F238" s="192"/>
      <c r="H238" s="192"/>
      <c r="I238" s="192"/>
      <c r="J238" s="217"/>
      <c r="K238" s="217"/>
      <c r="L238" s="192"/>
      <c r="M238" s="192"/>
      <c r="N238" s="192"/>
      <c r="O238" s="192"/>
      <c r="P238" s="192"/>
      <c r="Q238" s="192"/>
      <c r="R238" s="192"/>
      <c r="V238" s="192"/>
      <c r="Y238" s="192"/>
      <c r="Z238" s="217"/>
      <c r="AA238" s="192"/>
      <c r="AB238" s="192"/>
      <c r="AC238" s="192"/>
      <c r="AD238" s="192"/>
      <c r="AE238" s="192"/>
      <c r="AF238" s="192"/>
      <c r="AI238" s="192"/>
      <c r="AJ238" s="192"/>
      <c r="AK238" s="194"/>
      <c r="AL238" s="192"/>
    </row>
    <row r="239" spans="1:40" x14ac:dyDescent="0.3">
      <c r="R239" s="110"/>
    </row>
    <row r="240" spans="1:40" x14ac:dyDescent="0.3">
      <c r="R240" s="110"/>
    </row>
    <row r="241" spans="1:40" x14ac:dyDescent="0.3">
      <c r="R241" s="110"/>
    </row>
    <row r="242" spans="1:40" x14ac:dyDescent="0.3">
      <c r="C242" s="99"/>
      <c r="D242" s="99"/>
      <c r="E242" s="99"/>
      <c r="H242" s="110"/>
      <c r="I242" s="110"/>
      <c r="J242" s="198"/>
      <c r="K242" s="198"/>
      <c r="L242" s="110"/>
      <c r="M242" s="110"/>
      <c r="N242" s="141"/>
      <c r="O242" s="141"/>
      <c r="P242" s="110"/>
      <c r="Q242" s="110"/>
      <c r="R242" s="110"/>
      <c r="T242" s="99"/>
      <c r="U242" s="99"/>
      <c r="Y242" s="110"/>
      <c r="Z242" s="198"/>
      <c r="AA242" s="110"/>
      <c r="AB242" s="110"/>
      <c r="AC242" s="141"/>
      <c r="AD242" s="141"/>
    </row>
    <row r="243" spans="1:40" x14ac:dyDescent="0.3">
      <c r="H243" s="110"/>
      <c r="I243" s="110"/>
      <c r="J243" s="198"/>
      <c r="K243" s="198"/>
      <c r="L243" s="110"/>
      <c r="M243" s="110"/>
      <c r="N243" s="141"/>
      <c r="O243" s="141"/>
      <c r="P243" s="110"/>
      <c r="Q243" s="110"/>
      <c r="R243" s="110"/>
      <c r="Y243" s="110"/>
      <c r="Z243" s="198"/>
      <c r="AA243" s="110"/>
      <c r="AB243" s="110"/>
      <c r="AC243" s="141"/>
      <c r="AD243" s="141"/>
    </row>
    <row r="244" spans="1:40" x14ac:dyDescent="0.3">
      <c r="C244" s="99"/>
      <c r="F244" s="172"/>
      <c r="H244" s="172"/>
      <c r="I244" s="172"/>
      <c r="J244" s="208"/>
      <c r="K244" s="208"/>
      <c r="L244" s="172"/>
      <c r="M244" s="172"/>
      <c r="N244" s="141"/>
      <c r="O244" s="141"/>
      <c r="P244" s="110"/>
      <c r="Q244" s="110"/>
      <c r="R244" s="110"/>
      <c r="T244" s="99"/>
      <c r="V244" s="110"/>
      <c r="Y244" s="110"/>
      <c r="Z244" s="208"/>
      <c r="AA244" s="110"/>
      <c r="AB244" s="110"/>
      <c r="AC244" s="141"/>
      <c r="AD244" s="141"/>
      <c r="AE244" s="110"/>
      <c r="AF244" s="110"/>
      <c r="AH244" s="207"/>
      <c r="AI244" s="110"/>
      <c r="AJ244" s="110"/>
      <c r="AL244" s="110"/>
      <c r="AM244" s="141"/>
      <c r="AN244" s="141"/>
    </row>
    <row r="245" spans="1:40" x14ac:dyDescent="0.3">
      <c r="F245" s="172"/>
      <c r="H245" s="220"/>
      <c r="I245" s="220"/>
      <c r="J245" s="220"/>
      <c r="K245" s="220"/>
      <c r="R245" s="110"/>
      <c r="V245" s="110"/>
      <c r="Z245" s="220"/>
    </row>
    <row r="246" spans="1:40" x14ac:dyDescent="0.3">
      <c r="C246" s="99"/>
      <c r="F246" s="172"/>
      <c r="H246" s="172"/>
      <c r="I246" s="172"/>
      <c r="J246" s="181"/>
      <c r="K246" s="181"/>
      <c r="L246" s="110"/>
      <c r="M246" s="110"/>
      <c r="N246" s="141"/>
      <c r="O246" s="141"/>
      <c r="P246" s="110"/>
      <c r="Q246" s="110"/>
      <c r="R246" s="110"/>
      <c r="T246" s="99"/>
      <c r="V246" s="110"/>
      <c r="Y246" s="110"/>
      <c r="Z246" s="181"/>
      <c r="AA246" s="110"/>
      <c r="AB246" s="110"/>
      <c r="AC246" s="141"/>
      <c r="AD246" s="141"/>
      <c r="AE246" s="110"/>
      <c r="AF246" s="110"/>
      <c r="AH246" s="207"/>
      <c r="AI246" s="110"/>
      <c r="AJ246" s="110"/>
      <c r="AL246" s="110"/>
      <c r="AM246" s="141"/>
      <c r="AN246" s="141"/>
    </row>
    <row r="247" spans="1:40" x14ac:dyDescent="0.3">
      <c r="F247" s="172"/>
      <c r="H247" s="220"/>
      <c r="I247" s="220"/>
      <c r="J247" s="220"/>
      <c r="K247" s="220"/>
      <c r="R247" s="110"/>
      <c r="V247" s="110"/>
      <c r="Z247" s="220"/>
    </row>
    <row r="248" spans="1:40" x14ac:dyDescent="0.3">
      <c r="C248" s="99"/>
      <c r="F248" s="172"/>
      <c r="H248" s="172"/>
      <c r="I248" s="172"/>
      <c r="J248" s="222"/>
      <c r="K248" s="222"/>
      <c r="L248" s="110"/>
      <c r="M248" s="110"/>
      <c r="N248" s="141"/>
      <c r="O248" s="141"/>
      <c r="P248" s="110"/>
      <c r="Q248" s="110"/>
      <c r="R248" s="110"/>
      <c r="T248" s="99"/>
      <c r="V248" s="110"/>
      <c r="Y248" s="110"/>
      <c r="Z248" s="216"/>
      <c r="AA248" s="110"/>
      <c r="AB248" s="110"/>
      <c r="AC248" s="141"/>
      <c r="AD248" s="141"/>
      <c r="AE248" s="110"/>
      <c r="AF248" s="110"/>
      <c r="AH248" s="207"/>
      <c r="AI248" s="110"/>
      <c r="AJ248" s="110"/>
      <c r="AL248" s="110"/>
      <c r="AM248" s="141"/>
      <c r="AN248" s="141"/>
    </row>
    <row r="249" spans="1:40" x14ac:dyDescent="0.3">
      <c r="F249" s="192"/>
      <c r="H249" s="192"/>
      <c r="I249" s="192"/>
      <c r="J249" s="217"/>
      <c r="K249" s="217"/>
      <c r="L249" s="192"/>
      <c r="M249" s="192"/>
      <c r="N249" s="192"/>
      <c r="O249" s="192"/>
      <c r="P249" s="192"/>
      <c r="Q249" s="192"/>
      <c r="R249" s="192"/>
      <c r="S249" s="110"/>
      <c r="V249" s="192"/>
      <c r="Y249" s="192"/>
      <c r="Z249" s="217"/>
      <c r="AA249" s="192"/>
      <c r="AB249" s="192"/>
      <c r="AC249" s="192"/>
      <c r="AD249" s="192"/>
      <c r="AE249" s="192"/>
      <c r="AF249" s="192"/>
      <c r="AI249" s="192"/>
      <c r="AJ249" s="192"/>
      <c r="AK249" s="194"/>
      <c r="AL249" s="192"/>
    </row>
    <row r="250" spans="1:40" x14ac:dyDescent="0.3">
      <c r="D250" s="99"/>
      <c r="E250" s="99"/>
      <c r="F250" s="110"/>
      <c r="H250" s="110"/>
      <c r="I250" s="110"/>
      <c r="J250" s="198"/>
      <c r="K250" s="198"/>
      <c r="L250" s="110"/>
      <c r="M250" s="110"/>
      <c r="N250" s="141"/>
      <c r="O250" s="141"/>
      <c r="P250" s="172"/>
      <c r="Q250" s="172"/>
      <c r="R250" s="110"/>
      <c r="S250" s="110"/>
      <c r="U250" s="99"/>
      <c r="V250" s="110"/>
      <c r="Y250" s="110"/>
      <c r="Z250" s="198"/>
      <c r="AA250" s="110"/>
      <c r="AB250" s="110"/>
      <c r="AC250" s="141"/>
      <c r="AD250" s="141"/>
      <c r="AE250" s="110"/>
      <c r="AF250" s="110"/>
      <c r="AH250" s="207"/>
      <c r="AI250" s="172"/>
      <c r="AJ250" s="172"/>
      <c r="AL250" s="110"/>
      <c r="AM250" s="141"/>
      <c r="AN250" s="141"/>
    </row>
    <row r="251" spans="1:40" x14ac:dyDescent="0.3">
      <c r="F251" s="192"/>
      <c r="H251" s="192"/>
      <c r="I251" s="192"/>
      <c r="J251" s="217"/>
      <c r="K251" s="217"/>
      <c r="L251" s="192"/>
      <c r="M251" s="192"/>
      <c r="N251" s="192"/>
      <c r="O251" s="192"/>
      <c r="P251" s="192"/>
      <c r="Q251" s="192"/>
      <c r="R251" s="192"/>
      <c r="S251" s="110"/>
      <c r="V251" s="192"/>
      <c r="Y251" s="192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</row>
    <row r="252" spans="1:40" x14ac:dyDescent="0.3">
      <c r="R252" s="110"/>
    </row>
    <row r="253" spans="1:40" x14ac:dyDescent="0.3">
      <c r="F253" s="110"/>
      <c r="H253" s="110"/>
      <c r="I253" s="110"/>
      <c r="J253" s="198"/>
      <c r="K253" s="198"/>
      <c r="L253" s="110"/>
      <c r="M253" s="110"/>
      <c r="N253" s="110"/>
      <c r="O253" s="110"/>
      <c r="P253" s="110"/>
      <c r="Q253" s="110"/>
      <c r="R253" s="110"/>
      <c r="V253" s="110"/>
      <c r="Y253" s="110"/>
      <c r="Z253" s="198"/>
      <c r="AA253" s="110"/>
      <c r="AB253" s="110"/>
      <c r="AC253" s="110"/>
      <c r="AD253" s="110"/>
    </row>
    <row r="254" spans="1:40" x14ac:dyDescent="0.3">
      <c r="C254" s="99"/>
      <c r="F254" s="110"/>
      <c r="H254" s="110"/>
      <c r="I254" s="110"/>
      <c r="J254" s="198"/>
      <c r="K254" s="198"/>
      <c r="L254" s="110"/>
      <c r="M254" s="110"/>
      <c r="N254" s="110"/>
      <c r="O254" s="110"/>
      <c r="P254" s="110"/>
      <c r="Q254" s="110"/>
      <c r="R254" s="110"/>
      <c r="T254" s="99"/>
      <c r="V254" s="110"/>
      <c r="Y254" s="110"/>
      <c r="Z254" s="198"/>
      <c r="AA254" s="110"/>
      <c r="AB254" s="110"/>
      <c r="AC254" s="110"/>
      <c r="AD254" s="110"/>
    </row>
    <row r="255" spans="1:40" x14ac:dyDescent="0.3">
      <c r="C255" s="99"/>
      <c r="T255" s="99"/>
    </row>
    <row r="256" spans="1:40" x14ac:dyDescent="0.3">
      <c r="A256" s="99"/>
    </row>
    <row r="259" spans="1:40" x14ac:dyDescent="0.3">
      <c r="H259" s="99"/>
      <c r="I259" s="99"/>
      <c r="Y259" s="99"/>
    </row>
    <row r="261" spans="1:40" x14ac:dyDescent="0.3">
      <c r="L261" s="99"/>
      <c r="M261" s="99"/>
      <c r="AA261" s="99"/>
      <c r="AB261" s="99"/>
    </row>
    <row r="262" spans="1:40" x14ac:dyDescent="0.3">
      <c r="R262" s="99"/>
      <c r="AK262" s="190"/>
      <c r="AL262" s="99"/>
    </row>
    <row r="263" spans="1:40" x14ac:dyDescent="0.3">
      <c r="R263" s="99"/>
      <c r="AK263" s="190"/>
      <c r="AL263" s="99"/>
    </row>
    <row r="264" spans="1:40" x14ac:dyDescent="0.3">
      <c r="A264" s="99"/>
      <c r="R264" s="99"/>
      <c r="AK264" s="190"/>
      <c r="AL264" s="99"/>
    </row>
    <row r="265" spans="1:40" x14ac:dyDescent="0.3">
      <c r="L265" s="99"/>
      <c r="M265" s="99"/>
      <c r="AA265" s="99"/>
      <c r="AB265" s="99"/>
    </row>
    <row r="266" spans="1:40" x14ac:dyDescent="0.3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91"/>
      <c r="AH266" s="101"/>
      <c r="AI266" s="101"/>
      <c r="AJ266" s="101"/>
      <c r="AK266" s="191"/>
      <c r="AL266" s="101"/>
      <c r="AM266" s="101"/>
      <c r="AN266" s="101"/>
    </row>
    <row r="267" spans="1:40" x14ac:dyDescent="0.3">
      <c r="L267" s="102"/>
      <c r="M267" s="102"/>
      <c r="N267" s="102"/>
      <c r="O267" s="102"/>
      <c r="R267" s="102"/>
      <c r="AA267" s="102"/>
      <c r="AB267" s="102"/>
      <c r="AC267" s="102"/>
      <c r="AD267" s="102"/>
      <c r="AE267" s="102"/>
      <c r="AF267" s="102"/>
      <c r="AG267" s="151"/>
      <c r="AH267" s="102"/>
      <c r="AK267" s="151"/>
      <c r="AL267" s="102"/>
      <c r="AM267" s="102"/>
      <c r="AN267" s="102"/>
    </row>
    <row r="268" spans="1:40" x14ac:dyDescent="0.3">
      <c r="L268" s="102"/>
      <c r="M268" s="102"/>
      <c r="N268" s="102"/>
      <c r="O268" s="102"/>
      <c r="R268" s="102"/>
      <c r="Z268" s="102"/>
      <c r="AA268" s="102"/>
      <c r="AB268" s="102"/>
      <c r="AC268" s="102"/>
      <c r="AD268" s="102"/>
      <c r="AE268" s="102"/>
      <c r="AF268" s="102"/>
      <c r="AG268" s="151"/>
      <c r="AH268" s="102"/>
      <c r="AK268" s="151"/>
      <c r="AL268" s="102"/>
      <c r="AM268" s="102"/>
      <c r="AN268" s="102"/>
    </row>
    <row r="269" spans="1:40" x14ac:dyDescent="0.3">
      <c r="A269" s="102"/>
      <c r="C269" s="102"/>
      <c r="D269" s="102"/>
      <c r="E269" s="102"/>
      <c r="F269" s="102"/>
      <c r="J269" s="102"/>
      <c r="K269" s="102"/>
      <c r="L269" s="102"/>
      <c r="M269" s="102"/>
      <c r="N269" s="102"/>
      <c r="O269" s="102"/>
      <c r="P269" s="102"/>
      <c r="Q269" s="102"/>
      <c r="R269" s="102"/>
      <c r="T269" s="102"/>
      <c r="U269" s="102"/>
      <c r="V269" s="102"/>
      <c r="Z269" s="102"/>
      <c r="AA269" s="102"/>
      <c r="AB269" s="102"/>
      <c r="AC269" s="102"/>
      <c r="AD269" s="102"/>
      <c r="AE269" s="102"/>
      <c r="AF269" s="102"/>
      <c r="AG269" s="151"/>
      <c r="AH269" s="102"/>
      <c r="AI269" s="102"/>
      <c r="AJ269" s="102"/>
      <c r="AK269" s="151"/>
      <c r="AL269" s="102"/>
      <c r="AM269" s="102"/>
      <c r="AN269" s="102"/>
    </row>
    <row r="270" spans="1:40" x14ac:dyDescent="0.3">
      <c r="A270" s="102"/>
      <c r="C270" s="102"/>
      <c r="D270" s="102"/>
      <c r="E270" s="102"/>
      <c r="F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T270" s="102"/>
      <c r="U270" s="102"/>
      <c r="V270" s="102"/>
      <c r="Y270" s="102"/>
      <c r="Z270" s="102"/>
      <c r="AA270" s="102"/>
      <c r="AB270" s="102"/>
      <c r="AC270" s="102"/>
      <c r="AD270" s="102"/>
      <c r="AE270" s="102"/>
      <c r="AF270" s="102"/>
      <c r="AG270" s="151"/>
      <c r="AH270" s="102"/>
      <c r="AI270" s="102"/>
      <c r="AJ270" s="102"/>
      <c r="AK270" s="151"/>
      <c r="AL270" s="102"/>
      <c r="AM270" s="102"/>
      <c r="AN270" s="102"/>
    </row>
    <row r="271" spans="1:40" x14ac:dyDescent="0.3">
      <c r="C271" s="102"/>
      <c r="D271" s="102"/>
      <c r="E271" s="102"/>
      <c r="F271" s="102"/>
      <c r="H271" s="102"/>
      <c r="I271" s="102"/>
      <c r="J271" s="102"/>
      <c r="K271" s="102"/>
      <c r="L271" s="102"/>
      <c r="M271" s="102"/>
      <c r="N271" s="102"/>
      <c r="O271" s="102"/>
      <c r="P271" s="102"/>
      <c r="Q271" s="102"/>
      <c r="R271" s="102"/>
      <c r="T271" s="102"/>
      <c r="U271" s="102"/>
      <c r="V271" s="102"/>
      <c r="Y271" s="102"/>
      <c r="Z271" s="102"/>
      <c r="AA271" s="102"/>
      <c r="AB271" s="102"/>
      <c r="AC271" s="102"/>
      <c r="AD271" s="102"/>
      <c r="AE271" s="102"/>
      <c r="AF271" s="102"/>
      <c r="AG271" s="151"/>
      <c r="AH271" s="102"/>
      <c r="AI271" s="102"/>
      <c r="AJ271" s="102"/>
      <c r="AK271" s="151"/>
      <c r="AL271" s="102"/>
      <c r="AM271" s="102"/>
      <c r="AN271" s="102"/>
    </row>
    <row r="272" spans="1:40" x14ac:dyDescent="0.3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91"/>
      <c r="AH272" s="101"/>
      <c r="AI272" s="101"/>
      <c r="AJ272" s="101"/>
      <c r="AK272" s="191"/>
      <c r="AL272" s="101"/>
      <c r="AM272" s="101"/>
      <c r="AN272" s="101"/>
    </row>
    <row r="273" spans="3:40" x14ac:dyDescent="0.3">
      <c r="H273" s="102"/>
      <c r="I273" s="102"/>
      <c r="J273" s="102"/>
      <c r="K273" s="102"/>
      <c r="L273" s="102"/>
      <c r="M273" s="102"/>
      <c r="N273" s="102"/>
      <c r="O273" s="102"/>
      <c r="P273" s="102"/>
      <c r="Q273" s="102"/>
      <c r="R273" s="102"/>
      <c r="Y273" s="102"/>
      <c r="Z273" s="102"/>
      <c r="AA273" s="102"/>
      <c r="AB273" s="102"/>
      <c r="AC273" s="102"/>
      <c r="AD273" s="102"/>
      <c r="AE273" s="102"/>
      <c r="AF273" s="102"/>
      <c r="AG273" s="151"/>
      <c r="AH273" s="102"/>
      <c r="AI273" s="102"/>
      <c r="AJ273" s="102"/>
      <c r="AK273" s="151"/>
      <c r="AL273" s="102"/>
      <c r="AM273" s="102"/>
      <c r="AN273" s="102"/>
    </row>
    <row r="274" spans="3:40" x14ac:dyDescent="0.3">
      <c r="C274" s="99"/>
      <c r="D274" s="99"/>
      <c r="E274" s="99"/>
      <c r="T274" s="99"/>
      <c r="U274" s="99"/>
    </row>
    <row r="275" spans="3:40" x14ac:dyDescent="0.3">
      <c r="D275" s="99"/>
      <c r="E275" s="99"/>
      <c r="U275" s="99"/>
    </row>
    <row r="277" spans="3:40" x14ac:dyDescent="0.3">
      <c r="C277" s="99"/>
      <c r="F277" s="110"/>
      <c r="J277" s="209"/>
      <c r="K277" s="209"/>
      <c r="L277" s="110"/>
      <c r="M277" s="110"/>
      <c r="R277" s="110"/>
      <c r="T277" s="99"/>
      <c r="V277" s="110"/>
      <c r="Z277" s="209"/>
      <c r="AA277" s="110"/>
      <c r="AB277" s="110"/>
      <c r="AL277" s="110"/>
    </row>
    <row r="278" spans="3:40" x14ac:dyDescent="0.3">
      <c r="F278" s="110"/>
      <c r="R278" s="110"/>
      <c r="V278" s="110"/>
      <c r="AL278" s="110"/>
    </row>
    <row r="279" spans="3:40" x14ac:dyDescent="0.3">
      <c r="C279" s="99"/>
      <c r="F279" s="172"/>
      <c r="H279" s="172"/>
      <c r="I279" s="172"/>
      <c r="J279" s="181"/>
      <c r="K279" s="181"/>
      <c r="L279" s="110"/>
      <c r="M279" s="110"/>
      <c r="N279" s="141"/>
      <c r="O279" s="141"/>
      <c r="P279" s="110"/>
      <c r="Q279" s="110"/>
      <c r="R279" s="110"/>
      <c r="T279" s="99"/>
      <c r="V279" s="110"/>
      <c r="Y279" s="110"/>
      <c r="Z279" s="181"/>
      <c r="AA279" s="110"/>
      <c r="AB279" s="110"/>
      <c r="AC279" s="141"/>
      <c r="AD279" s="141"/>
      <c r="AE279" s="110"/>
      <c r="AF279" s="110"/>
      <c r="AH279" s="207"/>
      <c r="AI279" s="110"/>
      <c r="AJ279" s="110"/>
      <c r="AL279" s="110"/>
      <c r="AM279" s="141"/>
      <c r="AN279" s="141"/>
    </row>
    <row r="280" spans="3:40" x14ac:dyDescent="0.3">
      <c r="C280" s="99"/>
      <c r="F280" s="172"/>
      <c r="H280" s="220"/>
      <c r="I280" s="220"/>
      <c r="J280" s="181"/>
      <c r="K280" s="181"/>
      <c r="L280" s="110"/>
      <c r="M280" s="110"/>
      <c r="N280" s="141"/>
      <c r="O280" s="141"/>
      <c r="P280" s="110"/>
      <c r="Q280" s="110"/>
      <c r="R280" s="110"/>
      <c r="T280" s="99"/>
      <c r="V280" s="110"/>
      <c r="Y280" s="110"/>
      <c r="Z280" s="181"/>
      <c r="AA280" s="110"/>
      <c r="AB280" s="110"/>
      <c r="AC280" s="141"/>
      <c r="AD280" s="141"/>
      <c r="AE280" s="110"/>
      <c r="AF280" s="110"/>
      <c r="AH280" s="207"/>
      <c r="AI280" s="110"/>
      <c r="AJ280" s="110"/>
      <c r="AL280" s="110"/>
      <c r="AM280" s="141"/>
      <c r="AN280" s="141"/>
    </row>
    <row r="281" spans="3:40" x14ac:dyDescent="0.3">
      <c r="F281" s="192"/>
      <c r="H281" s="110"/>
      <c r="I281" s="110"/>
      <c r="J281" s="217"/>
      <c r="K281" s="217"/>
      <c r="L281" s="192"/>
      <c r="M281" s="192"/>
      <c r="N281" s="192"/>
      <c r="O281" s="192"/>
      <c r="P281" s="192"/>
      <c r="Q281" s="192"/>
      <c r="R281" s="192"/>
      <c r="V281" s="192"/>
      <c r="Y281" s="110"/>
      <c r="Z281" s="217"/>
      <c r="AA281" s="192"/>
      <c r="AB281" s="192"/>
      <c r="AC281" s="192"/>
      <c r="AD281" s="192"/>
      <c r="AE281" s="192"/>
      <c r="AF281" s="192"/>
      <c r="AI281" s="192"/>
      <c r="AJ281" s="192"/>
      <c r="AK281" s="194"/>
      <c r="AL281" s="192"/>
    </row>
    <row r="282" spans="3:40" x14ac:dyDescent="0.3">
      <c r="C282" s="99"/>
      <c r="F282" s="110"/>
      <c r="H282" s="110"/>
      <c r="I282" s="110"/>
      <c r="J282" s="198"/>
      <c r="K282" s="198"/>
      <c r="L282" s="110"/>
      <c r="M282" s="110"/>
      <c r="N282" s="141"/>
      <c r="O282" s="141"/>
      <c r="P282" s="110"/>
      <c r="Q282" s="110"/>
      <c r="R282" s="110"/>
      <c r="T282" s="99"/>
      <c r="V282" s="110"/>
      <c r="Y282" s="110"/>
      <c r="Z282" s="198"/>
      <c r="AA282" s="110"/>
      <c r="AB282" s="110"/>
      <c r="AC282" s="141"/>
      <c r="AD282" s="141"/>
      <c r="AE282" s="110"/>
      <c r="AF282" s="110"/>
      <c r="AH282" s="207"/>
      <c r="AI282" s="110"/>
      <c r="AJ282" s="110"/>
      <c r="AL282" s="110"/>
      <c r="AM282" s="141"/>
      <c r="AN282" s="141"/>
    </row>
    <row r="283" spans="3:40" x14ac:dyDescent="0.3">
      <c r="F283" s="192"/>
      <c r="H283" s="110"/>
      <c r="I283" s="110"/>
      <c r="J283" s="217"/>
      <c r="K283" s="217"/>
      <c r="L283" s="192"/>
      <c r="M283" s="192"/>
      <c r="N283" s="192"/>
      <c r="O283" s="192"/>
      <c r="P283" s="192"/>
      <c r="Q283" s="192"/>
      <c r="R283" s="192"/>
      <c r="V283" s="192"/>
      <c r="Y283" s="110"/>
      <c r="Z283" s="217"/>
      <c r="AA283" s="192"/>
      <c r="AB283" s="192"/>
      <c r="AC283" s="192"/>
      <c r="AD283" s="192"/>
      <c r="AE283" s="192"/>
      <c r="AF283" s="192"/>
      <c r="AI283" s="192"/>
      <c r="AJ283" s="192"/>
      <c r="AK283" s="194"/>
      <c r="AL283" s="192"/>
    </row>
    <row r="284" spans="3:40" x14ac:dyDescent="0.3">
      <c r="F284" s="110"/>
      <c r="R284" s="110"/>
      <c r="V284" s="110"/>
      <c r="AL284" s="110"/>
    </row>
    <row r="285" spans="3:40" x14ac:dyDescent="0.3">
      <c r="C285" s="99"/>
      <c r="F285" s="110"/>
      <c r="R285" s="110"/>
      <c r="T285" s="99"/>
      <c r="V285" s="110"/>
      <c r="AL285" s="110"/>
    </row>
    <row r="286" spans="3:40" x14ac:dyDescent="0.3">
      <c r="F286" s="110"/>
      <c r="R286" s="110"/>
      <c r="V286" s="110"/>
      <c r="AL286" s="110"/>
    </row>
    <row r="287" spans="3:40" x14ac:dyDescent="0.3">
      <c r="C287" s="99"/>
      <c r="F287" s="110"/>
      <c r="H287" s="172"/>
      <c r="I287" s="172"/>
      <c r="J287" s="222"/>
      <c r="K287" s="222"/>
      <c r="L287" s="110"/>
      <c r="M287" s="110"/>
      <c r="N287" s="141"/>
      <c r="O287" s="141"/>
      <c r="P287" s="172"/>
      <c r="Q287" s="172"/>
      <c r="R287" s="110"/>
      <c r="T287" s="99"/>
      <c r="V287" s="110"/>
      <c r="Y287" s="110"/>
      <c r="Z287" s="216"/>
      <c r="AA287" s="110"/>
      <c r="AB287" s="110"/>
      <c r="AC287" s="141"/>
      <c r="AD287" s="141"/>
      <c r="AE287" s="110"/>
      <c r="AF287" s="110"/>
      <c r="AH287" s="207"/>
      <c r="AI287" s="172"/>
      <c r="AJ287" s="172"/>
      <c r="AL287" s="110"/>
      <c r="AM287" s="141"/>
      <c r="AN287" s="141"/>
    </row>
    <row r="288" spans="3:40" x14ac:dyDescent="0.3">
      <c r="F288" s="192"/>
      <c r="H288" s="192"/>
      <c r="I288" s="192"/>
      <c r="J288" s="217"/>
      <c r="K288" s="217"/>
      <c r="L288" s="192"/>
      <c r="M288" s="192"/>
      <c r="N288" s="192"/>
      <c r="O288" s="192"/>
      <c r="P288" s="192"/>
      <c r="Q288" s="192"/>
      <c r="R288" s="192"/>
      <c r="V288" s="192"/>
      <c r="Y288" s="192"/>
      <c r="Z288" s="217"/>
      <c r="AA288" s="192"/>
      <c r="AB288" s="192"/>
      <c r="AC288" s="192"/>
      <c r="AD288" s="192"/>
      <c r="AE288" s="192"/>
      <c r="AF288" s="192"/>
      <c r="AI288" s="192"/>
      <c r="AJ288" s="192"/>
      <c r="AK288" s="194"/>
      <c r="AL288" s="192"/>
    </row>
    <row r="290" spans="1:40" x14ac:dyDescent="0.3">
      <c r="C290" s="99"/>
      <c r="F290" s="110"/>
      <c r="H290" s="110"/>
      <c r="I290" s="110"/>
      <c r="J290" s="209"/>
      <c r="K290" s="209"/>
      <c r="L290" s="110"/>
      <c r="M290" s="110"/>
      <c r="N290" s="141"/>
      <c r="O290" s="141"/>
      <c r="P290" s="110"/>
      <c r="Q290" s="110"/>
      <c r="R290" s="110"/>
      <c r="T290" s="99"/>
      <c r="V290" s="110"/>
      <c r="Y290" s="110"/>
      <c r="Z290" s="209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1:40" x14ac:dyDescent="0.3">
      <c r="F291" s="192"/>
      <c r="H291" s="192"/>
      <c r="I291" s="192"/>
      <c r="J291" s="217"/>
      <c r="K291" s="217"/>
      <c r="L291" s="192"/>
      <c r="M291" s="192"/>
      <c r="N291" s="192"/>
      <c r="O291" s="192"/>
      <c r="P291" s="192"/>
      <c r="Q291" s="192"/>
      <c r="R291" s="192"/>
      <c r="V291" s="192"/>
      <c r="Y291" s="192"/>
      <c r="Z291" s="217"/>
      <c r="AA291" s="192"/>
      <c r="AB291" s="192"/>
      <c r="AC291" s="192"/>
      <c r="AD291" s="192"/>
      <c r="AE291" s="192"/>
      <c r="AF291" s="192"/>
      <c r="AI291" s="192"/>
      <c r="AJ291" s="192"/>
      <c r="AK291" s="194"/>
      <c r="AL291" s="192"/>
    </row>
    <row r="292" spans="1:40" x14ac:dyDescent="0.3">
      <c r="R292" s="110"/>
      <c r="AH292" s="110"/>
    </row>
    <row r="293" spans="1:40" x14ac:dyDescent="0.3">
      <c r="F293" s="110"/>
      <c r="H293" s="110"/>
      <c r="I293" s="110"/>
      <c r="J293" s="198"/>
      <c r="K293" s="198"/>
      <c r="L293" s="110"/>
      <c r="M293" s="110"/>
      <c r="N293" s="110"/>
      <c r="O293" s="110"/>
      <c r="P293" s="110"/>
      <c r="Q293" s="110"/>
      <c r="R293" s="110"/>
      <c r="V293" s="110"/>
      <c r="Y293" s="110"/>
      <c r="Z293" s="198"/>
      <c r="AA293" s="110"/>
      <c r="AB293" s="110"/>
      <c r="AC293" s="110"/>
      <c r="AD293" s="110"/>
      <c r="AE293" s="110"/>
      <c r="AF293" s="110"/>
      <c r="AH293" s="110"/>
    </row>
    <row r="294" spans="1:40" x14ac:dyDescent="0.3">
      <c r="C294" s="99"/>
      <c r="F294" s="110"/>
      <c r="H294" s="110"/>
      <c r="I294" s="110"/>
      <c r="J294" s="198"/>
      <c r="K294" s="198"/>
      <c r="L294" s="110"/>
      <c r="M294" s="110"/>
      <c r="N294" s="110"/>
      <c r="O294" s="110"/>
      <c r="P294" s="110"/>
      <c r="Q294" s="110"/>
      <c r="R294" s="110"/>
      <c r="T294" s="99"/>
      <c r="V294" s="110"/>
      <c r="Y294" s="110"/>
      <c r="Z294" s="198"/>
      <c r="AA294" s="110"/>
      <c r="AB294" s="110"/>
      <c r="AC294" s="110"/>
      <c r="AD294" s="110"/>
      <c r="AE294" s="110"/>
      <c r="AF294" s="110"/>
      <c r="AH294" s="110"/>
    </row>
    <row r="295" spans="1:40" x14ac:dyDescent="0.3">
      <c r="A295" s="99"/>
    </row>
    <row r="298" spans="1:40" x14ac:dyDescent="0.3">
      <c r="H298" s="99"/>
      <c r="I298" s="99"/>
      <c r="Y298" s="99"/>
    </row>
    <row r="300" spans="1:40" x14ac:dyDescent="0.3">
      <c r="L300" s="99"/>
      <c r="M300" s="99"/>
      <c r="AA300" s="99"/>
      <c r="AB300" s="99"/>
    </row>
    <row r="301" spans="1:40" x14ac:dyDescent="0.3">
      <c r="R301" s="99"/>
      <c r="AK301" s="190"/>
      <c r="AL301" s="99"/>
    </row>
    <row r="302" spans="1:40" x14ac:dyDescent="0.3">
      <c r="R302" s="99"/>
      <c r="AK302" s="190"/>
      <c r="AL302" s="99"/>
    </row>
    <row r="303" spans="1:40" x14ac:dyDescent="0.3">
      <c r="A303" s="99"/>
      <c r="R303" s="99"/>
      <c r="AK303" s="190"/>
      <c r="AL303" s="99"/>
    </row>
    <row r="304" spans="1:40" x14ac:dyDescent="0.3">
      <c r="L304" s="99"/>
      <c r="M304" s="99"/>
      <c r="AA304" s="99"/>
      <c r="AB304" s="99"/>
    </row>
    <row r="305" spans="1:40" x14ac:dyDescent="0.3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91"/>
      <c r="AH305" s="101"/>
      <c r="AI305" s="101"/>
      <c r="AJ305" s="101"/>
      <c r="AK305" s="191"/>
      <c r="AL305" s="101"/>
      <c r="AM305" s="101"/>
      <c r="AN305" s="101"/>
    </row>
    <row r="306" spans="1:40" x14ac:dyDescent="0.3">
      <c r="L306" s="102"/>
      <c r="M306" s="102"/>
      <c r="N306" s="102"/>
      <c r="O306" s="102"/>
      <c r="R306" s="102"/>
      <c r="AA306" s="102"/>
      <c r="AB306" s="102"/>
      <c r="AC306" s="102"/>
      <c r="AD306" s="102"/>
      <c r="AE306" s="102"/>
      <c r="AF306" s="102"/>
      <c r="AG306" s="151"/>
      <c r="AH306" s="102"/>
      <c r="AK306" s="151"/>
      <c r="AL306" s="102"/>
      <c r="AM306" s="102"/>
      <c r="AN306" s="102"/>
    </row>
    <row r="307" spans="1:40" x14ac:dyDescent="0.3">
      <c r="L307" s="102"/>
      <c r="M307" s="102"/>
      <c r="N307" s="102"/>
      <c r="O307" s="102"/>
      <c r="R307" s="102"/>
      <c r="Z307" s="102"/>
      <c r="AA307" s="102"/>
      <c r="AB307" s="102"/>
      <c r="AC307" s="102"/>
      <c r="AD307" s="102"/>
      <c r="AE307" s="102"/>
      <c r="AF307" s="102"/>
      <c r="AG307" s="151"/>
      <c r="AH307" s="102"/>
      <c r="AK307" s="151"/>
      <c r="AL307" s="102"/>
      <c r="AM307" s="102"/>
      <c r="AN307" s="102"/>
    </row>
    <row r="308" spans="1:40" x14ac:dyDescent="0.3">
      <c r="A308" s="102"/>
      <c r="C308" s="102"/>
      <c r="D308" s="102"/>
      <c r="E308" s="102"/>
      <c r="F308" s="102"/>
      <c r="J308" s="102"/>
      <c r="K308" s="102"/>
      <c r="L308" s="102"/>
      <c r="M308" s="102"/>
      <c r="N308" s="102"/>
      <c r="O308" s="102"/>
      <c r="P308" s="102"/>
      <c r="Q308" s="102"/>
      <c r="R308" s="102"/>
      <c r="T308" s="102"/>
      <c r="U308" s="102"/>
      <c r="V308" s="102"/>
      <c r="Z308" s="102"/>
      <c r="AA308" s="102"/>
      <c r="AB308" s="102"/>
      <c r="AC308" s="102"/>
      <c r="AD308" s="102"/>
      <c r="AE308" s="102"/>
      <c r="AF308" s="102"/>
      <c r="AG308" s="151"/>
      <c r="AH308" s="102"/>
      <c r="AI308" s="102"/>
      <c r="AJ308" s="102"/>
      <c r="AK308" s="151"/>
      <c r="AL308" s="102"/>
      <c r="AM308" s="102"/>
      <c r="AN308" s="102"/>
    </row>
    <row r="309" spans="1:40" x14ac:dyDescent="0.3">
      <c r="A309" s="102"/>
      <c r="C309" s="102"/>
      <c r="D309" s="102"/>
      <c r="E309" s="102"/>
      <c r="F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T309" s="102"/>
      <c r="U309" s="102"/>
      <c r="V309" s="102"/>
      <c r="Y309" s="102"/>
      <c r="Z309" s="102"/>
      <c r="AA309" s="102"/>
      <c r="AB309" s="102"/>
      <c r="AC309" s="102"/>
      <c r="AD309" s="102"/>
      <c r="AE309" s="102"/>
      <c r="AF309" s="102"/>
      <c r="AG309" s="151"/>
      <c r="AH309" s="102"/>
      <c r="AI309" s="102"/>
      <c r="AJ309" s="102"/>
      <c r="AK309" s="151"/>
      <c r="AL309" s="102"/>
      <c r="AM309" s="102"/>
      <c r="AN309" s="102"/>
    </row>
    <row r="310" spans="1:40" x14ac:dyDescent="0.3">
      <c r="C310" s="102"/>
      <c r="D310" s="102"/>
      <c r="E310" s="102"/>
      <c r="F310" s="102"/>
      <c r="H310" s="102"/>
      <c r="I310" s="102"/>
      <c r="J310" s="102"/>
      <c r="K310" s="102"/>
      <c r="L310" s="102"/>
      <c r="M310" s="102"/>
      <c r="N310" s="102"/>
      <c r="O310" s="102"/>
      <c r="P310" s="102"/>
      <c r="Q310" s="102"/>
      <c r="R310" s="102"/>
      <c r="T310" s="102"/>
      <c r="U310" s="102"/>
      <c r="V310" s="102"/>
      <c r="Y310" s="102"/>
      <c r="Z310" s="102"/>
      <c r="AA310" s="102"/>
      <c r="AB310" s="102"/>
      <c r="AC310" s="102"/>
      <c r="AD310" s="102"/>
      <c r="AE310" s="102"/>
      <c r="AF310" s="102"/>
      <c r="AG310" s="151"/>
      <c r="AH310" s="102"/>
      <c r="AI310" s="102"/>
      <c r="AJ310" s="102"/>
      <c r="AK310" s="151"/>
      <c r="AL310" s="102"/>
      <c r="AM310" s="102"/>
      <c r="AN310" s="102"/>
    </row>
    <row r="311" spans="1:40" x14ac:dyDescent="0.3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91"/>
      <c r="AH311" s="101"/>
      <c r="AI311" s="101"/>
      <c r="AJ311" s="101"/>
      <c r="AK311" s="191"/>
      <c r="AL311" s="101"/>
      <c r="AM311" s="101"/>
      <c r="AN311" s="101"/>
    </row>
    <row r="312" spans="1:40" x14ac:dyDescent="0.3">
      <c r="H312" s="102"/>
      <c r="I312" s="102"/>
      <c r="J312" s="102"/>
      <c r="K312" s="102"/>
      <c r="L312" s="102"/>
      <c r="M312" s="102"/>
      <c r="N312" s="102"/>
      <c r="O312" s="102"/>
      <c r="P312" s="102"/>
      <c r="Q312" s="102"/>
      <c r="R312" s="102"/>
      <c r="Y312" s="102"/>
      <c r="Z312" s="102"/>
      <c r="AA312" s="102"/>
      <c r="AB312" s="102"/>
      <c r="AC312" s="102"/>
      <c r="AD312" s="102"/>
      <c r="AE312" s="102"/>
      <c r="AF312" s="102"/>
      <c r="AG312" s="151"/>
      <c r="AH312" s="102"/>
      <c r="AI312" s="102"/>
      <c r="AJ312" s="102"/>
      <c r="AK312" s="151"/>
      <c r="AL312" s="102"/>
      <c r="AM312" s="102"/>
      <c r="AN312" s="102"/>
    </row>
    <row r="313" spans="1:40" x14ac:dyDescent="0.3">
      <c r="C313" s="99"/>
      <c r="D313" s="99"/>
      <c r="E313" s="99"/>
      <c r="T313" s="99"/>
      <c r="U313" s="99"/>
    </row>
    <row r="314" spans="1:40" x14ac:dyDescent="0.3">
      <c r="C314" s="99"/>
      <c r="T314" s="99"/>
    </row>
    <row r="316" spans="1:40" x14ac:dyDescent="0.3">
      <c r="C316" s="99"/>
      <c r="F316" s="172"/>
      <c r="H316" s="172"/>
      <c r="I316" s="172"/>
      <c r="J316" s="181"/>
      <c r="K316" s="181"/>
      <c r="L316" s="110"/>
      <c r="M316" s="110"/>
      <c r="N316" s="141"/>
      <c r="O316" s="141"/>
      <c r="R316" s="110"/>
      <c r="T316" s="99"/>
      <c r="V316" s="110"/>
      <c r="Y316" s="172"/>
      <c r="Z316" s="181"/>
      <c r="AA316" s="110"/>
      <c r="AB316" s="110"/>
      <c r="AC316" s="141"/>
      <c r="AD316" s="141"/>
      <c r="AE316" s="110"/>
      <c r="AF316" s="110"/>
      <c r="AH316" s="207"/>
      <c r="AL316" s="110"/>
      <c r="AM316" s="141"/>
      <c r="AN316" s="141"/>
    </row>
    <row r="317" spans="1:40" x14ac:dyDescent="0.3">
      <c r="F317" s="192"/>
      <c r="H317" s="110"/>
      <c r="I317" s="110"/>
      <c r="J317" s="217"/>
      <c r="K317" s="217"/>
      <c r="L317" s="192"/>
      <c r="M317" s="192"/>
      <c r="N317" s="192"/>
      <c r="O317" s="192"/>
      <c r="P317" s="192"/>
      <c r="Q317" s="192"/>
      <c r="R317" s="192"/>
      <c r="V317" s="192"/>
      <c r="Y317" s="110"/>
      <c r="Z317" s="217"/>
      <c r="AA317" s="192"/>
      <c r="AB317" s="192"/>
      <c r="AC317" s="192"/>
      <c r="AD317" s="192"/>
      <c r="AE317" s="192"/>
      <c r="AF317" s="192"/>
      <c r="AI317" s="192"/>
      <c r="AJ317" s="192"/>
      <c r="AK317" s="194"/>
      <c r="AL317" s="192"/>
      <c r="AM317" s="141"/>
      <c r="AN317" s="141"/>
    </row>
    <row r="318" spans="1:40" x14ac:dyDescent="0.3">
      <c r="C318" s="99"/>
      <c r="F318" s="172"/>
      <c r="H318" s="172"/>
      <c r="I318" s="172"/>
      <c r="J318" s="227"/>
      <c r="K318" s="227"/>
      <c r="L318" s="110"/>
      <c r="M318" s="110"/>
      <c r="N318" s="141"/>
      <c r="O318" s="141"/>
      <c r="P318" s="110"/>
      <c r="Q318" s="110"/>
      <c r="R318" s="110"/>
      <c r="S318" s="110"/>
      <c r="T318" s="99"/>
      <c r="V318" s="172"/>
      <c r="Y318" s="172"/>
      <c r="Z318" s="227"/>
      <c r="AA318" s="110"/>
      <c r="AB318" s="110"/>
      <c r="AC318" s="141"/>
      <c r="AD318" s="141"/>
      <c r="AE318" s="110"/>
      <c r="AF318" s="110"/>
      <c r="AH318" s="141"/>
      <c r="AI318" s="110"/>
      <c r="AJ318" s="110"/>
      <c r="AL318" s="110"/>
      <c r="AM318" s="141"/>
      <c r="AN318" s="141"/>
    </row>
    <row r="319" spans="1:40" x14ac:dyDescent="0.3">
      <c r="C319" s="99"/>
      <c r="F319" s="172"/>
      <c r="H319" s="172"/>
      <c r="I319" s="172"/>
      <c r="J319" s="181"/>
      <c r="K319" s="181"/>
      <c r="L319" s="110"/>
      <c r="M319" s="110"/>
      <c r="N319" s="141"/>
      <c r="O319" s="141"/>
      <c r="P319" s="110"/>
      <c r="Q319" s="110"/>
      <c r="R319" s="110"/>
      <c r="T319" s="99"/>
      <c r="V319" s="172"/>
      <c r="Y319" s="110"/>
      <c r="Z319" s="181"/>
      <c r="AA319" s="110"/>
      <c r="AB319" s="110"/>
      <c r="AC319" s="141"/>
      <c r="AD319" s="141"/>
      <c r="AE319" s="110"/>
      <c r="AF319" s="110"/>
      <c r="AH319" s="207"/>
      <c r="AI319" s="110"/>
      <c r="AJ319" s="110"/>
      <c r="AL319" s="110"/>
      <c r="AM319" s="141"/>
      <c r="AN319" s="141"/>
    </row>
    <row r="320" spans="1:40" x14ac:dyDescent="0.3">
      <c r="C320" s="99"/>
      <c r="F320" s="172"/>
      <c r="H320" s="172"/>
      <c r="I320" s="172"/>
      <c r="J320" s="181"/>
      <c r="K320" s="181"/>
      <c r="L320" s="110"/>
      <c r="M320" s="110"/>
      <c r="N320" s="141"/>
      <c r="O320" s="141"/>
      <c r="P320" s="110"/>
      <c r="Q320" s="110"/>
      <c r="R320" s="110"/>
      <c r="T320" s="99"/>
      <c r="V320" s="172"/>
      <c r="Y320" s="110"/>
      <c r="Z320" s="181"/>
      <c r="AA320" s="110"/>
      <c r="AB320" s="110"/>
      <c r="AC320" s="141"/>
      <c r="AD320" s="141"/>
      <c r="AE320" s="110"/>
      <c r="AF320" s="110"/>
      <c r="AH320" s="207"/>
      <c r="AI320" s="110"/>
      <c r="AJ320" s="110"/>
      <c r="AL320" s="110"/>
      <c r="AM320" s="141"/>
      <c r="AN320" s="141"/>
    </row>
    <row r="321" spans="3:40" x14ac:dyDescent="0.3">
      <c r="F321" s="192"/>
      <c r="H321" s="192"/>
      <c r="I321" s="192"/>
      <c r="J321" s="217"/>
      <c r="K321" s="217"/>
      <c r="L321" s="192"/>
      <c r="M321" s="192"/>
      <c r="N321" s="192"/>
      <c r="O321" s="192"/>
      <c r="P321" s="192"/>
      <c r="Q321" s="192"/>
      <c r="R321" s="192"/>
      <c r="V321" s="192"/>
      <c r="Y321" s="192"/>
      <c r="Z321" s="217"/>
      <c r="AA321" s="192"/>
      <c r="AB321" s="192"/>
      <c r="AC321" s="192"/>
      <c r="AD321" s="192"/>
      <c r="AE321" s="192"/>
      <c r="AF321" s="192"/>
      <c r="AI321" s="192"/>
      <c r="AJ321" s="192"/>
      <c r="AK321" s="194"/>
      <c r="AL321" s="192"/>
      <c r="AM321" s="141"/>
      <c r="AN321" s="141"/>
    </row>
    <row r="322" spans="3:40" x14ac:dyDescent="0.3">
      <c r="C322" s="99"/>
      <c r="F322" s="110"/>
      <c r="H322" s="110"/>
      <c r="I322" s="110"/>
      <c r="J322" s="198"/>
      <c r="K322" s="198"/>
      <c r="L322" s="110"/>
      <c r="M322" s="110"/>
      <c r="N322" s="141"/>
      <c r="O322" s="141"/>
      <c r="P322" s="110"/>
      <c r="Q322" s="110"/>
      <c r="R322" s="110"/>
      <c r="T322" s="99"/>
      <c r="V322" s="110"/>
      <c r="Y322" s="110"/>
      <c r="Z322" s="198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3:40" x14ac:dyDescent="0.3">
      <c r="F323" s="192"/>
      <c r="H323" s="192"/>
      <c r="I323" s="192"/>
      <c r="J323" s="217"/>
      <c r="K323" s="217"/>
      <c r="L323" s="192"/>
      <c r="M323" s="192"/>
      <c r="N323" s="192"/>
      <c r="O323" s="192"/>
      <c r="P323" s="192"/>
      <c r="Q323" s="192"/>
      <c r="R323" s="192"/>
      <c r="V323" s="192"/>
      <c r="Y323" s="192"/>
      <c r="Z323" s="217"/>
      <c r="AA323" s="192"/>
      <c r="AB323" s="192"/>
      <c r="AC323" s="192"/>
      <c r="AD323" s="192"/>
      <c r="AE323" s="192"/>
      <c r="AF323" s="192"/>
      <c r="AI323" s="192"/>
      <c r="AJ323" s="192"/>
      <c r="AK323" s="194"/>
      <c r="AL323" s="192"/>
      <c r="AM323" s="141"/>
      <c r="AN323" s="141"/>
    </row>
    <row r="324" spans="3:40" x14ac:dyDescent="0.3">
      <c r="C324" s="99"/>
      <c r="F324" s="110"/>
      <c r="H324" s="110"/>
      <c r="I324" s="110"/>
      <c r="J324" s="198"/>
      <c r="K324" s="198"/>
      <c r="L324" s="110"/>
      <c r="M324" s="110"/>
      <c r="N324" s="141"/>
      <c r="O324" s="141"/>
      <c r="P324" s="110"/>
      <c r="Q324" s="110"/>
      <c r="R324" s="110"/>
      <c r="T324" s="99"/>
      <c r="V324" s="110"/>
      <c r="Y324" s="110"/>
      <c r="Z324" s="198"/>
      <c r="AA324" s="110"/>
      <c r="AB324" s="110"/>
      <c r="AC324" s="141"/>
      <c r="AD324" s="141"/>
      <c r="AE324" s="110"/>
      <c r="AF324" s="110"/>
      <c r="AH324" s="207"/>
      <c r="AI324" s="110"/>
      <c r="AJ324" s="110"/>
      <c r="AL324" s="110"/>
      <c r="AM324" s="141"/>
      <c r="AN324" s="141"/>
    </row>
    <row r="325" spans="3:40" x14ac:dyDescent="0.3">
      <c r="C325" s="99"/>
      <c r="F325" s="110"/>
      <c r="H325" s="172"/>
      <c r="I325" s="172"/>
      <c r="J325" s="222"/>
      <c r="K325" s="222"/>
      <c r="L325" s="110"/>
      <c r="M325" s="110"/>
      <c r="N325" s="141"/>
      <c r="O325" s="141"/>
      <c r="P325" s="110"/>
      <c r="Q325" s="110"/>
      <c r="R325" s="110"/>
      <c r="T325" s="99"/>
      <c r="V325" s="110"/>
      <c r="Y325" s="110"/>
      <c r="Z325" s="216"/>
      <c r="AA325" s="110"/>
      <c r="AB325" s="110"/>
      <c r="AC325" s="141"/>
      <c r="AD325" s="141"/>
      <c r="AE325" s="110"/>
      <c r="AF325" s="110"/>
      <c r="AH325" s="207"/>
      <c r="AI325" s="110"/>
      <c r="AJ325" s="110"/>
      <c r="AL325" s="110"/>
      <c r="AM325" s="141"/>
      <c r="AN325" s="141"/>
    </row>
    <row r="326" spans="3:40" x14ac:dyDescent="0.3">
      <c r="F326" s="192"/>
      <c r="H326" s="192"/>
      <c r="I326" s="192"/>
      <c r="J326" s="217"/>
      <c r="K326" s="217"/>
      <c r="L326" s="192"/>
      <c r="M326" s="192"/>
      <c r="N326" s="192"/>
      <c r="O326" s="192"/>
      <c r="P326" s="192"/>
      <c r="Q326" s="192"/>
      <c r="R326" s="192"/>
      <c r="V326" s="192"/>
      <c r="Y326" s="192"/>
      <c r="Z326" s="217"/>
      <c r="AA326" s="192"/>
      <c r="AB326" s="192"/>
      <c r="AC326" s="192"/>
      <c r="AD326" s="192"/>
      <c r="AE326" s="192"/>
      <c r="AF326" s="192"/>
      <c r="AI326" s="192"/>
      <c r="AJ326" s="192"/>
      <c r="AK326" s="194"/>
      <c r="AL326" s="192"/>
      <c r="AM326" s="141"/>
      <c r="AN326" s="141"/>
    </row>
    <row r="328" spans="3:40" x14ac:dyDescent="0.3">
      <c r="C328" s="99"/>
      <c r="F328" s="110"/>
      <c r="H328" s="110"/>
      <c r="I328" s="110"/>
      <c r="J328" s="217"/>
      <c r="K328" s="217"/>
      <c r="L328" s="110"/>
      <c r="M328" s="110"/>
      <c r="N328" s="141"/>
      <c r="O328" s="141"/>
      <c r="P328" s="110"/>
      <c r="Q328" s="110"/>
      <c r="R328" s="110"/>
      <c r="S328" s="110"/>
      <c r="T328" s="99"/>
      <c r="V328" s="110"/>
      <c r="Y328" s="110"/>
      <c r="Z328" s="217"/>
      <c r="AA328" s="110"/>
      <c r="AB328" s="110"/>
      <c r="AC328" s="141"/>
      <c r="AD328" s="141"/>
      <c r="AE328" s="110"/>
      <c r="AF328" s="110"/>
      <c r="AH328" s="141"/>
      <c r="AI328" s="110"/>
      <c r="AJ328" s="110"/>
      <c r="AL328" s="110"/>
      <c r="AM328" s="141"/>
      <c r="AN328" s="141"/>
    </row>
    <row r="329" spans="3:40" x14ac:dyDescent="0.3">
      <c r="F329" s="192"/>
      <c r="H329" s="192"/>
      <c r="I329" s="192"/>
      <c r="J329" s="217"/>
      <c r="K329" s="217"/>
      <c r="L329" s="192"/>
      <c r="M329" s="192"/>
      <c r="N329" s="192"/>
      <c r="O329" s="192"/>
      <c r="P329" s="192"/>
      <c r="Q329" s="192"/>
      <c r="R329" s="192"/>
      <c r="S329" s="110"/>
      <c r="V329" s="192"/>
      <c r="Y329" s="192"/>
      <c r="Z329" s="217"/>
      <c r="AA329" s="192"/>
      <c r="AB329" s="192"/>
      <c r="AC329" s="192"/>
      <c r="AD329" s="192"/>
      <c r="AE329" s="192"/>
      <c r="AF329" s="192"/>
      <c r="AI329" s="192"/>
      <c r="AJ329" s="192"/>
      <c r="AK329" s="194"/>
      <c r="AL329" s="192"/>
      <c r="AM329" s="141"/>
      <c r="AN329" s="141"/>
    </row>
    <row r="330" spans="3:40" x14ac:dyDescent="0.3">
      <c r="C330" s="99"/>
      <c r="F330" s="172"/>
      <c r="H330" s="172"/>
      <c r="I330" s="172"/>
      <c r="J330" s="217"/>
      <c r="K330" s="217"/>
      <c r="L330" s="110"/>
      <c r="M330" s="110"/>
      <c r="N330" s="141"/>
      <c r="O330" s="141"/>
      <c r="P330" s="110"/>
      <c r="Q330" s="110"/>
      <c r="R330" s="110"/>
      <c r="S330" s="110"/>
      <c r="T330" s="99"/>
      <c r="V330" s="172"/>
      <c r="Y330" s="172"/>
      <c r="Z330" s="217"/>
      <c r="AA330" s="110"/>
      <c r="AB330" s="110"/>
      <c r="AC330" s="141"/>
      <c r="AD330" s="141"/>
      <c r="AE330" s="110"/>
      <c r="AF330" s="110"/>
      <c r="AI330" s="110"/>
      <c r="AJ330" s="110"/>
      <c r="AL330" s="110"/>
      <c r="AM330" s="141"/>
      <c r="AN330" s="141"/>
    </row>
    <row r="332" spans="3:40" x14ac:dyDescent="0.3">
      <c r="C332" s="99"/>
      <c r="F332" s="172"/>
      <c r="H332" s="172"/>
      <c r="I332" s="172"/>
      <c r="J332" s="181"/>
      <c r="K332" s="181"/>
      <c r="L332" s="110"/>
      <c r="M332" s="110"/>
      <c r="N332" s="141"/>
      <c r="O332" s="141"/>
      <c r="R332" s="110"/>
      <c r="T332" s="99"/>
      <c r="V332" s="110"/>
      <c r="Y332" s="172"/>
      <c r="Z332" s="181"/>
      <c r="AA332" s="110"/>
      <c r="AB332" s="110"/>
      <c r="AC332" s="141"/>
      <c r="AD332" s="141"/>
      <c r="AE332" s="110"/>
      <c r="AF332" s="110"/>
      <c r="AH332" s="207"/>
      <c r="AL332" s="110"/>
      <c r="AM332" s="141"/>
      <c r="AN332" s="141"/>
    </row>
    <row r="333" spans="3:40" x14ac:dyDescent="0.3">
      <c r="F333" s="192"/>
      <c r="H333" s="110"/>
      <c r="I333" s="110"/>
      <c r="J333" s="217"/>
      <c r="K333" s="217"/>
      <c r="L333" s="192"/>
      <c r="M333" s="192"/>
      <c r="N333" s="192"/>
      <c r="O333" s="192"/>
      <c r="P333" s="192"/>
      <c r="Q333" s="192"/>
      <c r="R333" s="192"/>
      <c r="V333" s="192"/>
      <c r="Y333" s="110"/>
      <c r="Z333" s="217"/>
      <c r="AA333" s="192"/>
      <c r="AB333" s="192"/>
      <c r="AC333" s="192"/>
      <c r="AD333" s="192"/>
      <c r="AE333" s="192"/>
      <c r="AF333" s="192"/>
      <c r="AI333" s="192"/>
      <c r="AJ333" s="192"/>
      <c r="AK333" s="194"/>
      <c r="AL333" s="192"/>
      <c r="AM333" s="141"/>
      <c r="AN333" s="141"/>
    </row>
    <row r="334" spans="3:40" x14ac:dyDescent="0.3">
      <c r="C334" s="99"/>
      <c r="F334" s="172"/>
      <c r="H334" s="172"/>
      <c r="I334" s="172"/>
      <c r="J334" s="227"/>
      <c r="K334" s="227"/>
      <c r="L334" s="110"/>
      <c r="M334" s="110"/>
      <c r="N334" s="141"/>
      <c r="O334" s="141"/>
      <c r="P334" s="110"/>
      <c r="Q334" s="110"/>
      <c r="R334" s="110"/>
      <c r="S334" s="110"/>
      <c r="T334" s="99"/>
      <c r="V334" s="172"/>
      <c r="Y334" s="172"/>
      <c r="Z334" s="227"/>
      <c r="AA334" s="110"/>
      <c r="AB334" s="110"/>
      <c r="AC334" s="141"/>
      <c r="AD334" s="141"/>
      <c r="AE334" s="110"/>
      <c r="AF334" s="110"/>
      <c r="AH334" s="141"/>
      <c r="AI334" s="110"/>
      <c r="AJ334" s="110"/>
      <c r="AL334" s="110"/>
      <c r="AM334" s="141"/>
      <c r="AN334" s="141"/>
    </row>
    <row r="335" spans="3:40" x14ac:dyDescent="0.3">
      <c r="C335" s="99"/>
      <c r="F335" s="172"/>
      <c r="H335" s="172"/>
      <c r="I335" s="172"/>
      <c r="J335" s="181"/>
      <c r="K335" s="181"/>
      <c r="L335" s="110"/>
      <c r="M335" s="110"/>
      <c r="N335" s="141"/>
      <c r="O335" s="141"/>
      <c r="P335" s="110"/>
      <c r="Q335" s="110"/>
      <c r="R335" s="110"/>
      <c r="T335" s="99"/>
      <c r="V335" s="172"/>
      <c r="Y335" s="110"/>
      <c r="Z335" s="181"/>
      <c r="AA335" s="110"/>
      <c r="AB335" s="110"/>
      <c r="AC335" s="141"/>
      <c r="AD335" s="141"/>
      <c r="AE335" s="110"/>
      <c r="AF335" s="110"/>
      <c r="AH335" s="207"/>
      <c r="AI335" s="110"/>
      <c r="AJ335" s="110"/>
      <c r="AL335" s="110"/>
      <c r="AM335" s="141"/>
      <c r="AN335" s="141"/>
    </row>
    <row r="336" spans="3:40" x14ac:dyDescent="0.3">
      <c r="C336" s="99"/>
      <c r="F336" s="172"/>
      <c r="H336" s="172"/>
      <c r="I336" s="172"/>
      <c r="J336" s="181"/>
      <c r="K336" s="181"/>
      <c r="L336" s="110"/>
      <c r="M336" s="110"/>
      <c r="N336" s="141"/>
      <c r="O336" s="141"/>
      <c r="P336" s="110"/>
      <c r="Q336" s="110"/>
      <c r="R336" s="110"/>
      <c r="T336" s="99"/>
      <c r="V336" s="172"/>
      <c r="Y336" s="110"/>
      <c r="Z336" s="181"/>
      <c r="AA336" s="110"/>
      <c r="AB336" s="110"/>
      <c r="AC336" s="141"/>
      <c r="AD336" s="141"/>
      <c r="AE336" s="110"/>
      <c r="AF336" s="110"/>
      <c r="AH336" s="207"/>
      <c r="AI336" s="110"/>
      <c r="AJ336" s="110"/>
      <c r="AL336" s="110"/>
      <c r="AM336" s="141"/>
      <c r="AN336" s="141"/>
    </row>
    <row r="337" spans="1:40" x14ac:dyDescent="0.3">
      <c r="F337" s="192"/>
      <c r="H337" s="192"/>
      <c r="I337" s="192"/>
      <c r="J337" s="217"/>
      <c r="K337" s="217"/>
      <c r="L337" s="192"/>
      <c r="M337" s="192"/>
      <c r="N337" s="192"/>
      <c r="O337" s="192"/>
      <c r="P337" s="192"/>
      <c r="Q337" s="192"/>
      <c r="R337" s="192"/>
      <c r="V337" s="192"/>
      <c r="Y337" s="192"/>
      <c r="Z337" s="217"/>
      <c r="AA337" s="192"/>
      <c r="AB337" s="192"/>
      <c r="AC337" s="192"/>
      <c r="AD337" s="192"/>
      <c r="AE337" s="192"/>
      <c r="AF337" s="192"/>
      <c r="AI337" s="192"/>
      <c r="AJ337" s="192"/>
      <c r="AK337" s="194"/>
      <c r="AL337" s="192"/>
      <c r="AM337" s="141"/>
      <c r="AN337" s="141"/>
    </row>
    <row r="338" spans="1:40" x14ac:dyDescent="0.3">
      <c r="C338" s="99"/>
      <c r="F338" s="110"/>
      <c r="H338" s="110"/>
      <c r="I338" s="110"/>
      <c r="J338" s="198"/>
      <c r="K338" s="198"/>
      <c r="L338" s="110"/>
      <c r="M338" s="110"/>
      <c r="N338" s="141"/>
      <c r="O338" s="141"/>
      <c r="P338" s="110"/>
      <c r="Q338" s="110"/>
      <c r="R338" s="110"/>
      <c r="T338" s="99"/>
      <c r="V338" s="110"/>
      <c r="Y338" s="110"/>
      <c r="Z338" s="198"/>
      <c r="AA338" s="110"/>
      <c r="AB338" s="110"/>
      <c r="AC338" s="141"/>
      <c r="AD338" s="141"/>
      <c r="AE338" s="110"/>
      <c r="AF338" s="110"/>
      <c r="AH338" s="207"/>
      <c r="AI338" s="110"/>
      <c r="AJ338" s="110"/>
      <c r="AL338" s="110"/>
      <c r="AM338" s="141"/>
      <c r="AN338" s="141"/>
    </row>
    <row r="339" spans="1:40" x14ac:dyDescent="0.3">
      <c r="F339" s="192"/>
      <c r="H339" s="192"/>
      <c r="I339" s="192"/>
      <c r="J339" s="217"/>
      <c r="K339" s="217"/>
      <c r="L339" s="192"/>
      <c r="M339" s="192"/>
      <c r="N339" s="192"/>
      <c r="O339" s="192"/>
      <c r="P339" s="192"/>
      <c r="Q339" s="192"/>
      <c r="R339" s="192"/>
      <c r="V339" s="192"/>
      <c r="Y339" s="192"/>
      <c r="Z339" s="217"/>
      <c r="AA339" s="192"/>
      <c r="AB339" s="192"/>
      <c r="AC339" s="192"/>
      <c r="AD339" s="192"/>
      <c r="AE339" s="192"/>
      <c r="AF339" s="192"/>
      <c r="AI339" s="192"/>
      <c r="AJ339" s="192"/>
      <c r="AK339" s="194"/>
      <c r="AL339" s="192"/>
      <c r="AM339" s="141"/>
      <c r="AN339" s="141"/>
    </row>
    <row r="340" spans="1:40" x14ac:dyDescent="0.3">
      <c r="C340" s="99"/>
      <c r="F340" s="110"/>
      <c r="H340" s="110"/>
      <c r="I340" s="110"/>
      <c r="J340" s="198"/>
      <c r="K340" s="198"/>
      <c r="L340" s="110"/>
      <c r="M340" s="110"/>
      <c r="N340" s="141"/>
      <c r="O340" s="141"/>
      <c r="P340" s="110"/>
      <c r="Q340" s="110"/>
      <c r="R340" s="110"/>
      <c r="T340" s="99"/>
      <c r="V340" s="110"/>
      <c r="Y340" s="110"/>
      <c r="Z340" s="198"/>
      <c r="AA340" s="110"/>
      <c r="AB340" s="110"/>
      <c r="AC340" s="141"/>
      <c r="AD340" s="141"/>
      <c r="AE340" s="110"/>
      <c r="AF340" s="110"/>
      <c r="AH340" s="207"/>
      <c r="AI340" s="110"/>
      <c r="AJ340" s="110"/>
      <c r="AL340" s="110"/>
      <c r="AM340" s="141"/>
      <c r="AN340" s="141"/>
    </row>
    <row r="341" spans="1:40" x14ac:dyDescent="0.3">
      <c r="C341" s="99"/>
      <c r="F341" s="110"/>
      <c r="H341" s="172"/>
      <c r="I341" s="172"/>
      <c r="J341" s="222"/>
      <c r="K341" s="222"/>
      <c r="L341" s="110"/>
      <c r="M341" s="110"/>
      <c r="N341" s="141"/>
      <c r="O341" s="141"/>
      <c r="P341" s="110"/>
      <c r="Q341" s="110"/>
      <c r="R341" s="110"/>
      <c r="T341" s="99"/>
      <c r="V341" s="110"/>
      <c r="Y341" s="110"/>
      <c r="Z341" s="216"/>
      <c r="AA341" s="110"/>
      <c r="AB341" s="110"/>
      <c r="AC341" s="141"/>
      <c r="AD341" s="141"/>
      <c r="AE341" s="110"/>
      <c r="AF341" s="110"/>
      <c r="AH341" s="207"/>
      <c r="AI341" s="110"/>
      <c r="AJ341" s="110"/>
      <c r="AL341" s="110"/>
      <c r="AM341" s="141"/>
      <c r="AN341" s="141"/>
    </row>
    <row r="342" spans="1:40" x14ac:dyDescent="0.3">
      <c r="F342" s="192"/>
      <c r="H342" s="192"/>
      <c r="I342" s="192"/>
      <c r="J342" s="217"/>
      <c r="K342" s="217"/>
      <c r="L342" s="192"/>
      <c r="M342" s="192"/>
      <c r="N342" s="192"/>
      <c r="O342" s="192"/>
      <c r="P342" s="192"/>
      <c r="Q342" s="192"/>
      <c r="R342" s="192"/>
      <c r="V342" s="192"/>
      <c r="Y342" s="192"/>
      <c r="Z342" s="217"/>
      <c r="AA342" s="192"/>
      <c r="AB342" s="192"/>
      <c r="AC342" s="192"/>
      <c r="AD342" s="192"/>
      <c r="AE342" s="192"/>
      <c r="AF342" s="192"/>
      <c r="AI342" s="192"/>
      <c r="AJ342" s="192"/>
      <c r="AK342" s="194"/>
      <c r="AL342" s="192"/>
      <c r="AM342" s="141"/>
      <c r="AN342" s="141"/>
    </row>
    <row r="344" spans="1:40" x14ac:dyDescent="0.3">
      <c r="C344" s="99"/>
      <c r="F344" s="110"/>
      <c r="H344" s="110"/>
      <c r="I344" s="110"/>
      <c r="J344" s="217"/>
      <c r="K344" s="217"/>
      <c r="L344" s="110"/>
      <c r="M344" s="110"/>
      <c r="N344" s="141"/>
      <c r="O344" s="141"/>
      <c r="P344" s="110"/>
      <c r="Q344" s="110"/>
      <c r="R344" s="110"/>
      <c r="S344" s="110"/>
      <c r="T344" s="99"/>
      <c r="V344" s="110"/>
      <c r="Y344" s="110"/>
      <c r="Z344" s="217"/>
      <c r="AA344" s="110"/>
      <c r="AB344" s="110"/>
      <c r="AC344" s="141"/>
      <c r="AD344" s="141"/>
      <c r="AE344" s="110"/>
      <c r="AF344" s="110"/>
      <c r="AH344" s="141"/>
      <c r="AI344" s="110"/>
      <c r="AJ344" s="110"/>
      <c r="AL344" s="110"/>
      <c r="AM344" s="141"/>
      <c r="AN344" s="141"/>
    </row>
    <row r="345" spans="1:40" x14ac:dyDescent="0.3">
      <c r="F345" s="192"/>
      <c r="H345" s="192"/>
      <c r="I345" s="192"/>
      <c r="J345" s="217"/>
      <c r="K345" s="217"/>
      <c r="L345" s="192"/>
      <c r="M345" s="192"/>
      <c r="N345" s="192"/>
      <c r="O345" s="192"/>
      <c r="P345" s="192"/>
      <c r="Q345" s="192"/>
      <c r="R345" s="192"/>
      <c r="S345" s="110"/>
      <c r="V345" s="192"/>
      <c r="Y345" s="192"/>
      <c r="Z345" s="217"/>
      <c r="AA345" s="192"/>
      <c r="AB345" s="192"/>
      <c r="AC345" s="192"/>
      <c r="AD345" s="192"/>
      <c r="AE345" s="192"/>
      <c r="AF345" s="192"/>
      <c r="AI345" s="192"/>
      <c r="AJ345" s="192"/>
      <c r="AK345" s="194"/>
      <c r="AL345" s="192"/>
      <c r="AM345" s="141"/>
      <c r="AN345" s="141"/>
    </row>
    <row r="346" spans="1:40" x14ac:dyDescent="0.3">
      <c r="C346" s="99"/>
      <c r="T346" s="99"/>
    </row>
    <row r="347" spans="1:40" x14ac:dyDescent="0.3">
      <c r="C347" s="99"/>
      <c r="F347" s="110"/>
      <c r="H347" s="110"/>
      <c r="I347" s="110"/>
      <c r="L347" s="110"/>
      <c r="M347" s="110"/>
      <c r="N347" s="141"/>
      <c r="O347" s="141"/>
      <c r="P347" s="172"/>
      <c r="Q347" s="172"/>
      <c r="R347" s="110"/>
      <c r="T347" s="99"/>
      <c r="V347" s="110"/>
      <c r="Y347" s="110"/>
      <c r="AA347" s="110"/>
      <c r="AB347" s="110"/>
      <c r="AC347" s="141"/>
      <c r="AD347" s="141"/>
      <c r="AE347" s="110"/>
      <c r="AF347" s="110"/>
      <c r="AH347" s="141"/>
      <c r="AI347" s="172"/>
      <c r="AJ347" s="172"/>
      <c r="AL347" s="110"/>
      <c r="AM347" s="141"/>
      <c r="AN347" s="141"/>
    </row>
    <row r="348" spans="1:40" x14ac:dyDescent="0.3">
      <c r="F348" s="192"/>
      <c r="H348" s="192"/>
      <c r="I348" s="192"/>
      <c r="J348" s="217"/>
      <c r="K348" s="217"/>
      <c r="L348" s="192"/>
      <c r="M348" s="192"/>
      <c r="N348" s="192"/>
      <c r="O348" s="192"/>
      <c r="P348" s="192"/>
      <c r="Q348" s="192"/>
      <c r="R348" s="192"/>
      <c r="V348" s="192"/>
      <c r="Y348" s="192"/>
      <c r="Z348" s="217"/>
      <c r="AA348" s="192"/>
      <c r="AB348" s="192"/>
      <c r="AC348" s="192"/>
      <c r="AD348" s="192"/>
      <c r="AE348" s="192"/>
      <c r="AF348" s="192"/>
      <c r="AI348" s="192"/>
      <c r="AJ348" s="192"/>
      <c r="AK348" s="194"/>
      <c r="AL348" s="192"/>
    </row>
    <row r="350" spans="1:40" x14ac:dyDescent="0.3">
      <c r="C350" s="99"/>
      <c r="L350" s="110"/>
      <c r="M350" s="110"/>
      <c r="N350" s="110"/>
      <c r="O350" s="110"/>
      <c r="P350" s="110"/>
      <c r="Q350" s="110"/>
      <c r="R350" s="110"/>
      <c r="S350" s="110"/>
      <c r="T350" s="99"/>
      <c r="AA350" s="110"/>
      <c r="AB350" s="110"/>
      <c r="AC350" s="110"/>
      <c r="AD350" s="110"/>
      <c r="AI350" s="110"/>
      <c r="AJ350" s="110"/>
      <c r="AL350" s="110"/>
    </row>
    <row r="351" spans="1:40" x14ac:dyDescent="0.3">
      <c r="A351" s="99"/>
    </row>
    <row r="353" spans="1:40" x14ac:dyDescent="0.3">
      <c r="H353" s="99"/>
      <c r="I353" s="99"/>
      <c r="Y353" s="99"/>
    </row>
    <row r="355" spans="1:40" x14ac:dyDescent="0.3">
      <c r="L355" s="99"/>
      <c r="M355" s="99"/>
      <c r="AA355" s="99"/>
      <c r="AB355" s="99"/>
    </row>
    <row r="356" spans="1:40" x14ac:dyDescent="0.3">
      <c r="R356" s="99"/>
      <c r="AK356" s="190"/>
      <c r="AL356" s="99"/>
    </row>
    <row r="357" spans="1:40" x14ac:dyDescent="0.3">
      <c r="R357" s="99"/>
      <c r="AK357" s="190"/>
      <c r="AL357" s="99"/>
    </row>
    <row r="358" spans="1:40" x14ac:dyDescent="0.3">
      <c r="A358" s="99"/>
      <c r="R358" s="99"/>
      <c r="AK358" s="190"/>
      <c r="AL358" s="99"/>
    </row>
    <row r="359" spans="1:40" x14ac:dyDescent="0.3">
      <c r="L359" s="99"/>
      <c r="M359" s="99"/>
      <c r="AA359" s="99"/>
      <c r="AB359" s="99"/>
    </row>
    <row r="360" spans="1:40" x14ac:dyDescent="0.3">
      <c r="A360" s="101"/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T360" s="101"/>
      <c r="U360" s="101"/>
      <c r="V360" s="101"/>
      <c r="W360" s="101"/>
      <c r="X360" s="101"/>
      <c r="Y360" s="101"/>
      <c r="Z360" s="101"/>
      <c r="AA360" s="101"/>
      <c r="AB360" s="101"/>
      <c r="AC360" s="101"/>
      <c r="AD360" s="101"/>
      <c r="AE360" s="101"/>
      <c r="AF360" s="101"/>
      <c r="AG360" s="191"/>
      <c r="AH360" s="101"/>
      <c r="AI360" s="101"/>
      <c r="AJ360" s="101"/>
      <c r="AK360" s="191"/>
      <c r="AL360" s="101"/>
      <c r="AM360" s="101"/>
      <c r="AN360" s="101"/>
    </row>
    <row r="361" spans="1:40" x14ac:dyDescent="0.3">
      <c r="L361" s="102"/>
      <c r="M361" s="102"/>
      <c r="N361" s="102"/>
      <c r="O361" s="102"/>
      <c r="R361" s="102"/>
      <c r="AA361" s="102"/>
      <c r="AB361" s="102"/>
      <c r="AC361" s="102"/>
      <c r="AD361" s="102"/>
      <c r="AE361" s="102"/>
      <c r="AF361" s="102"/>
      <c r="AG361" s="151"/>
      <c r="AH361" s="102"/>
      <c r="AK361" s="151"/>
      <c r="AL361" s="102"/>
      <c r="AM361" s="102"/>
      <c r="AN361" s="102"/>
    </row>
    <row r="362" spans="1:40" x14ac:dyDescent="0.3">
      <c r="L362" s="102"/>
      <c r="M362" s="102"/>
      <c r="N362" s="102"/>
      <c r="O362" s="102"/>
      <c r="R362" s="102"/>
      <c r="Z362" s="102"/>
      <c r="AA362" s="102"/>
      <c r="AB362" s="102"/>
      <c r="AC362" s="102"/>
      <c r="AD362" s="102"/>
      <c r="AE362" s="102"/>
      <c r="AF362" s="102"/>
      <c r="AG362" s="151"/>
      <c r="AH362" s="102"/>
      <c r="AK362" s="151"/>
      <c r="AL362" s="102"/>
      <c r="AM362" s="102"/>
      <c r="AN362" s="102"/>
    </row>
    <row r="363" spans="1:40" x14ac:dyDescent="0.3">
      <c r="A363" s="102"/>
      <c r="C363" s="102"/>
      <c r="D363" s="102"/>
      <c r="E363" s="102"/>
      <c r="F363" s="102"/>
      <c r="J363" s="102"/>
      <c r="K363" s="102"/>
      <c r="L363" s="102"/>
      <c r="M363" s="102"/>
      <c r="N363" s="102"/>
      <c r="O363" s="102"/>
      <c r="P363" s="102"/>
      <c r="Q363" s="102"/>
      <c r="R363" s="102"/>
      <c r="T363" s="102"/>
      <c r="U363" s="102"/>
      <c r="V363" s="102"/>
      <c r="Z363" s="102"/>
      <c r="AA363" s="102"/>
      <c r="AB363" s="102"/>
      <c r="AC363" s="102"/>
      <c r="AD363" s="102"/>
      <c r="AE363" s="102"/>
      <c r="AF363" s="102"/>
      <c r="AG363" s="151"/>
      <c r="AH363" s="102"/>
      <c r="AI363" s="102"/>
      <c r="AJ363" s="102"/>
      <c r="AK363" s="151"/>
      <c r="AL363" s="102"/>
      <c r="AM363" s="102"/>
      <c r="AN363" s="102"/>
    </row>
    <row r="364" spans="1:40" x14ac:dyDescent="0.3">
      <c r="A364" s="102"/>
      <c r="C364" s="102"/>
      <c r="D364" s="102"/>
      <c r="E364" s="102"/>
      <c r="F364" s="102"/>
      <c r="H364" s="102"/>
      <c r="I364" s="102"/>
      <c r="J364" s="102"/>
      <c r="K364" s="102"/>
      <c r="L364" s="102"/>
      <c r="M364" s="102"/>
      <c r="N364" s="102"/>
      <c r="O364" s="102"/>
      <c r="P364" s="102"/>
      <c r="Q364" s="102"/>
      <c r="R364" s="102"/>
      <c r="T364" s="102"/>
      <c r="U364" s="102"/>
      <c r="V364" s="102"/>
      <c r="Y364" s="102"/>
      <c r="Z364" s="102"/>
      <c r="AA364" s="102"/>
      <c r="AB364" s="102"/>
      <c r="AC364" s="102"/>
      <c r="AD364" s="102"/>
      <c r="AE364" s="102"/>
      <c r="AF364" s="102"/>
      <c r="AG364" s="151"/>
      <c r="AH364" s="102"/>
      <c r="AI364" s="102"/>
      <c r="AJ364" s="102"/>
      <c r="AK364" s="151"/>
      <c r="AL364" s="102"/>
      <c r="AM364" s="102"/>
      <c r="AN364" s="102"/>
    </row>
    <row r="365" spans="1:40" x14ac:dyDescent="0.3">
      <c r="C365" s="102"/>
      <c r="D365" s="102"/>
      <c r="E365" s="102"/>
      <c r="F365" s="102"/>
      <c r="H365" s="102"/>
      <c r="I365" s="102"/>
      <c r="J365" s="102"/>
      <c r="K365" s="102"/>
      <c r="L365" s="102"/>
      <c r="M365" s="102"/>
      <c r="N365" s="102"/>
      <c r="O365" s="102"/>
      <c r="P365" s="102"/>
      <c r="Q365" s="102"/>
      <c r="R365" s="102"/>
      <c r="T365" s="102"/>
      <c r="U365" s="102"/>
      <c r="V365" s="102"/>
      <c r="Y365" s="102"/>
      <c r="Z365" s="102"/>
      <c r="AA365" s="102"/>
      <c r="AB365" s="102"/>
      <c r="AC365" s="102"/>
      <c r="AD365" s="102"/>
      <c r="AE365" s="102"/>
      <c r="AF365" s="102"/>
      <c r="AG365" s="151"/>
      <c r="AH365" s="102"/>
      <c r="AI365" s="102"/>
      <c r="AJ365" s="102"/>
      <c r="AK365" s="151"/>
      <c r="AL365" s="102"/>
      <c r="AM365" s="102"/>
      <c r="AN365" s="102"/>
    </row>
    <row r="366" spans="1:40" x14ac:dyDescent="0.3">
      <c r="A366" s="101"/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T366" s="101"/>
      <c r="U366" s="101"/>
      <c r="V366" s="101"/>
      <c r="W366" s="101"/>
      <c r="X366" s="101"/>
      <c r="Y366" s="101"/>
      <c r="Z366" s="101"/>
      <c r="AA366" s="101"/>
      <c r="AB366" s="101"/>
      <c r="AC366" s="101"/>
      <c r="AD366" s="101"/>
      <c r="AE366" s="101"/>
      <c r="AF366" s="101"/>
      <c r="AG366" s="191"/>
      <c r="AH366" s="101"/>
      <c r="AI366" s="101"/>
      <c r="AJ366" s="101"/>
      <c r="AK366" s="191"/>
      <c r="AL366" s="101"/>
      <c r="AM366" s="101"/>
      <c r="AN366" s="101"/>
    </row>
    <row r="367" spans="1:40" x14ac:dyDescent="0.3">
      <c r="H367" s="102"/>
      <c r="I367" s="102"/>
      <c r="J367" s="102"/>
      <c r="K367" s="102"/>
      <c r="L367" s="102"/>
      <c r="M367" s="102"/>
      <c r="N367" s="102"/>
      <c r="O367" s="102"/>
      <c r="P367" s="102"/>
      <c r="Q367" s="102"/>
      <c r="R367" s="102"/>
      <c r="Y367" s="102"/>
      <c r="Z367" s="102"/>
      <c r="AA367" s="102"/>
      <c r="AB367" s="102"/>
      <c r="AC367" s="102"/>
      <c r="AD367" s="102"/>
      <c r="AE367" s="102"/>
      <c r="AF367" s="102"/>
      <c r="AG367" s="151"/>
      <c r="AH367" s="102"/>
      <c r="AI367" s="102"/>
      <c r="AJ367" s="102"/>
      <c r="AK367" s="151"/>
      <c r="AL367" s="102"/>
      <c r="AM367" s="102"/>
      <c r="AN367" s="102"/>
    </row>
    <row r="368" spans="1:40" x14ac:dyDescent="0.3">
      <c r="C368" s="99"/>
      <c r="D368" s="99"/>
      <c r="E368" s="99"/>
      <c r="T368" s="99"/>
      <c r="U368" s="99"/>
    </row>
    <row r="369" spans="3:40" x14ac:dyDescent="0.3">
      <c r="D369" s="99"/>
      <c r="E369" s="99"/>
      <c r="U369" s="99"/>
    </row>
    <row r="371" spans="3:40" x14ac:dyDescent="0.3">
      <c r="C371" s="99"/>
      <c r="T371" s="99"/>
    </row>
    <row r="372" spans="3:40" x14ac:dyDescent="0.3">
      <c r="C372" s="99"/>
      <c r="F372" s="172"/>
      <c r="H372" s="172"/>
      <c r="I372" s="172"/>
      <c r="J372" s="228"/>
      <c r="K372" s="228"/>
      <c r="L372" s="110"/>
      <c r="M372" s="110"/>
      <c r="N372" s="141"/>
      <c r="O372" s="141"/>
      <c r="P372" s="110"/>
      <c r="Q372" s="110"/>
      <c r="R372" s="110"/>
      <c r="T372" s="99"/>
      <c r="V372" s="172"/>
      <c r="W372" s="110"/>
      <c r="X372" s="110"/>
      <c r="Y372" s="172"/>
      <c r="Z372" s="228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C373" s="99"/>
      <c r="F373" s="110"/>
      <c r="H373" s="110"/>
      <c r="I373" s="110"/>
      <c r="J373" s="217"/>
      <c r="K373" s="217"/>
      <c r="L373" s="110"/>
      <c r="M373" s="110"/>
      <c r="N373" s="141"/>
      <c r="O373" s="141"/>
      <c r="P373" s="110"/>
      <c r="Q373" s="110"/>
      <c r="R373" s="110"/>
      <c r="T373" s="99"/>
      <c r="V373" s="172"/>
      <c r="W373" s="110"/>
      <c r="X373" s="110"/>
      <c r="Y373" s="172"/>
      <c r="Z373" s="217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3:40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72"/>
      <c r="W374" s="110"/>
      <c r="X374" s="110"/>
      <c r="Y374" s="172"/>
      <c r="Z374" s="228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3:40" x14ac:dyDescent="0.3">
      <c r="C375" s="99"/>
      <c r="F375" s="172"/>
      <c r="H375" s="172"/>
      <c r="I375" s="172"/>
      <c r="J375" s="228"/>
      <c r="K375" s="228"/>
      <c r="L375" s="110"/>
      <c r="M375" s="110"/>
      <c r="N375" s="141"/>
      <c r="O375" s="141"/>
      <c r="P375" s="110"/>
      <c r="Q375" s="110"/>
      <c r="R375" s="110"/>
      <c r="T375" s="99"/>
      <c r="V375" s="172"/>
      <c r="W375" s="110"/>
      <c r="X375" s="110"/>
      <c r="Y375" s="172"/>
      <c r="Z375" s="228"/>
      <c r="AA375" s="110"/>
      <c r="AB375" s="110"/>
      <c r="AC375" s="141"/>
      <c r="AD375" s="141"/>
      <c r="AE375" s="110"/>
      <c r="AF375" s="110"/>
      <c r="AH375" s="207"/>
      <c r="AI375" s="110"/>
      <c r="AJ375" s="110"/>
      <c r="AL375" s="110"/>
      <c r="AM375" s="141"/>
      <c r="AN375" s="141"/>
    </row>
    <row r="376" spans="3:40" x14ac:dyDescent="0.3">
      <c r="C376" s="99"/>
      <c r="F376" s="172"/>
      <c r="H376" s="172"/>
      <c r="I376" s="172"/>
      <c r="J376" s="228"/>
      <c r="K376" s="228"/>
      <c r="L376" s="110"/>
      <c r="M376" s="110"/>
      <c r="N376" s="141"/>
      <c r="O376" s="141"/>
      <c r="P376" s="110"/>
      <c r="Q376" s="110"/>
      <c r="R376" s="110"/>
      <c r="T376" s="99"/>
      <c r="V376" s="172"/>
      <c r="W376" s="110"/>
      <c r="X376" s="110"/>
      <c r="Y376" s="172"/>
      <c r="Z376" s="22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F377" s="110"/>
      <c r="H377" s="110"/>
      <c r="I377" s="110"/>
      <c r="J377" s="228"/>
      <c r="K377" s="228"/>
      <c r="L377" s="110"/>
      <c r="M377" s="110"/>
      <c r="N377" s="141"/>
      <c r="O377" s="141"/>
      <c r="P377" s="110"/>
      <c r="Q377" s="110"/>
      <c r="R377" s="110"/>
      <c r="T377" s="99"/>
      <c r="V377" s="172"/>
      <c r="W377" s="110"/>
      <c r="X377" s="110"/>
      <c r="Y377" s="172"/>
      <c r="Z377" s="228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C378" s="99"/>
      <c r="F378" s="110"/>
      <c r="H378" s="110"/>
      <c r="I378" s="110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72"/>
      <c r="W378" s="110"/>
      <c r="X378" s="110"/>
      <c r="Y378" s="172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F379" s="210"/>
      <c r="H379" s="230"/>
      <c r="I379" s="230"/>
      <c r="J379" s="228"/>
      <c r="K379" s="228"/>
      <c r="L379" s="210"/>
      <c r="M379" s="210"/>
      <c r="N379" s="192"/>
      <c r="O379" s="192"/>
      <c r="P379" s="210"/>
      <c r="Q379" s="210"/>
      <c r="R379" s="210"/>
      <c r="V379" s="210"/>
      <c r="W379" s="110"/>
      <c r="X379" s="110"/>
      <c r="Y379" s="210"/>
      <c r="Z379" s="228"/>
      <c r="AA379" s="210"/>
      <c r="AB379" s="210"/>
      <c r="AC379" s="211"/>
      <c r="AD379" s="211"/>
      <c r="AE379" s="210"/>
      <c r="AF379" s="210"/>
      <c r="AH379" s="207"/>
      <c r="AI379" s="210"/>
      <c r="AJ379" s="210"/>
      <c r="AK379" s="191"/>
      <c r="AL379" s="210"/>
      <c r="AM379" s="141"/>
      <c r="AN379" s="141"/>
    </row>
    <row r="380" spans="3:40" x14ac:dyDescent="0.3">
      <c r="C380" s="99"/>
      <c r="F380" s="110"/>
      <c r="H380" s="110"/>
      <c r="I380" s="110"/>
      <c r="J380" s="228"/>
      <c r="K380" s="228"/>
      <c r="L380" s="110"/>
      <c r="M380" s="110"/>
      <c r="N380" s="207"/>
      <c r="O380" s="207"/>
      <c r="P380" s="110"/>
      <c r="Q380" s="110"/>
      <c r="R380" s="110"/>
      <c r="T380" s="102"/>
      <c r="V380" s="110"/>
      <c r="W380" s="110"/>
      <c r="X380" s="110"/>
      <c r="Y380" s="110"/>
      <c r="Z380" s="228"/>
      <c r="AA380" s="110"/>
      <c r="AB380" s="110"/>
      <c r="AC380" s="207"/>
      <c r="AD380" s="207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F381" s="101"/>
      <c r="H381" s="101"/>
      <c r="I381" s="101"/>
      <c r="L381" s="101"/>
      <c r="M381" s="101"/>
      <c r="N381" s="211"/>
      <c r="O381" s="211"/>
      <c r="P381" s="210"/>
      <c r="Q381" s="210"/>
      <c r="R381" s="210"/>
      <c r="V381" s="210"/>
      <c r="Y381" s="210"/>
      <c r="Z381" s="217"/>
      <c r="AA381" s="210"/>
      <c r="AB381" s="210"/>
      <c r="AC381" s="210"/>
      <c r="AD381" s="210"/>
      <c r="AE381" s="210"/>
      <c r="AF381" s="210"/>
      <c r="AI381" s="210"/>
      <c r="AJ381" s="210"/>
      <c r="AK381" s="191"/>
      <c r="AL381" s="210"/>
      <c r="AM381" s="211"/>
      <c r="AN381" s="211"/>
    </row>
    <row r="386" spans="1:40" x14ac:dyDescent="0.3">
      <c r="N386" s="110"/>
      <c r="O386" s="110"/>
      <c r="P386" s="110"/>
      <c r="Q386" s="110"/>
      <c r="R386" s="110"/>
      <c r="V386" s="110"/>
      <c r="Y386" s="110"/>
      <c r="Z386" s="198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1:40" x14ac:dyDescent="0.3">
      <c r="C387" s="99"/>
      <c r="D387" s="99"/>
      <c r="E387" s="99"/>
      <c r="J387" s="163"/>
      <c r="K387" s="163"/>
      <c r="T387" s="99"/>
      <c r="U387" s="99"/>
      <c r="Z387" s="163"/>
      <c r="AE387" s="110"/>
      <c r="AF387" s="110"/>
      <c r="AI387" s="110"/>
      <c r="AJ387" s="110"/>
      <c r="AL387" s="110"/>
      <c r="AM387" s="141"/>
      <c r="AN387" s="141"/>
    </row>
    <row r="388" spans="1:40" x14ac:dyDescent="0.3">
      <c r="D388" s="99"/>
      <c r="E388" s="99"/>
      <c r="F388" s="110"/>
      <c r="H388" s="110"/>
      <c r="I388" s="110"/>
      <c r="J388" s="228"/>
      <c r="K388" s="228"/>
      <c r="L388" s="110"/>
      <c r="M388" s="110"/>
      <c r="N388" s="141"/>
      <c r="O388" s="141"/>
      <c r="P388" s="110"/>
      <c r="Q388" s="110"/>
      <c r="R388" s="110"/>
      <c r="U388" s="99"/>
      <c r="V388" s="110"/>
      <c r="Y388" s="110"/>
      <c r="Z388" s="228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1:40" x14ac:dyDescent="0.3">
      <c r="F389" s="110"/>
      <c r="H389" s="110"/>
      <c r="I389" s="110"/>
      <c r="J389" s="217"/>
      <c r="K389" s="217"/>
      <c r="L389" s="110"/>
      <c r="M389" s="110"/>
      <c r="N389" s="110"/>
      <c r="O389" s="110"/>
      <c r="P389" s="110"/>
      <c r="Q389" s="110"/>
      <c r="R389" s="110"/>
      <c r="V389" s="110"/>
      <c r="Y389" s="110"/>
      <c r="Z389" s="217"/>
      <c r="AA389" s="110"/>
      <c r="AB389" s="110"/>
      <c r="AC389" s="110"/>
      <c r="AD389" s="110"/>
      <c r="AE389" s="110"/>
      <c r="AF389" s="110"/>
      <c r="AH389" s="207"/>
      <c r="AI389" s="172"/>
      <c r="AJ389" s="172"/>
      <c r="AL389" s="110"/>
      <c r="AM389" s="141"/>
      <c r="AN389" s="141"/>
    </row>
    <row r="390" spans="1:40" x14ac:dyDescent="0.3">
      <c r="C390" s="99"/>
      <c r="F390" s="172"/>
      <c r="H390" s="172"/>
      <c r="I390" s="172"/>
      <c r="J390" s="216"/>
      <c r="K390" s="216"/>
      <c r="L390" s="110"/>
      <c r="M390" s="110"/>
      <c r="N390" s="141"/>
      <c r="O390" s="141"/>
      <c r="P390" s="110"/>
      <c r="Q390" s="110"/>
      <c r="R390" s="110"/>
      <c r="T390" s="99"/>
      <c r="V390" s="172"/>
      <c r="Y390" s="172"/>
      <c r="Z390" s="216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1:40" x14ac:dyDescent="0.3">
      <c r="F391" s="101"/>
      <c r="H391" s="101"/>
      <c r="I391" s="101"/>
      <c r="L391" s="101"/>
      <c r="M391" s="101"/>
      <c r="N391" s="101"/>
      <c r="O391" s="101"/>
      <c r="P391" s="101"/>
      <c r="Q391" s="101"/>
      <c r="R391" s="101"/>
      <c r="V391" s="101"/>
      <c r="Y391" s="101"/>
      <c r="AA391" s="101"/>
      <c r="AB391" s="101"/>
      <c r="AC391" s="101"/>
      <c r="AD391" s="101"/>
      <c r="AE391" s="101"/>
      <c r="AF391" s="101"/>
      <c r="AG391" s="191"/>
      <c r="AH391" s="101"/>
      <c r="AI391" s="101"/>
      <c r="AJ391" s="101"/>
      <c r="AK391" s="191"/>
      <c r="AL391" s="101"/>
      <c r="AM391" s="101"/>
      <c r="AN391" s="101"/>
    </row>
    <row r="392" spans="1:40" x14ac:dyDescent="0.3">
      <c r="C392" s="102"/>
      <c r="F392" s="172"/>
      <c r="H392" s="172"/>
      <c r="I392" s="172"/>
      <c r="J392" s="181"/>
      <c r="K392" s="181"/>
      <c r="L392" s="172"/>
      <c r="M392" s="172"/>
      <c r="N392" s="141"/>
      <c r="O392" s="141"/>
      <c r="P392" s="172"/>
      <c r="Q392" s="172"/>
      <c r="R392" s="172"/>
      <c r="T392" s="102"/>
      <c r="V392" s="110"/>
      <c r="Y392" s="110"/>
      <c r="Z392" s="198"/>
      <c r="AA392" s="110"/>
      <c r="AB392" s="110"/>
      <c r="AC392" s="141"/>
      <c r="AD392" s="141"/>
      <c r="AH392" s="207"/>
      <c r="AI392" s="110"/>
      <c r="AJ392" s="110"/>
      <c r="AL392" s="110"/>
      <c r="AM392" s="141"/>
      <c r="AN392" s="141"/>
    </row>
    <row r="393" spans="1:40" x14ac:dyDescent="0.3">
      <c r="F393" s="210"/>
      <c r="H393" s="210"/>
      <c r="I393" s="210"/>
      <c r="J393" s="217"/>
      <c r="K393" s="217"/>
      <c r="L393" s="210"/>
      <c r="M393" s="210"/>
      <c r="N393" s="210"/>
      <c r="O393" s="210"/>
      <c r="P393" s="210"/>
      <c r="Q393" s="210"/>
      <c r="R393" s="210"/>
      <c r="V393" s="101"/>
      <c r="Y393" s="101"/>
      <c r="AA393" s="101"/>
      <c r="AB393" s="101"/>
      <c r="AC393" s="101"/>
      <c r="AD393" s="101"/>
      <c r="AE393" s="101"/>
      <c r="AF393" s="101"/>
      <c r="AG393" s="191"/>
      <c r="AH393" s="101"/>
      <c r="AI393" s="101"/>
      <c r="AJ393" s="101"/>
      <c r="AK393" s="191"/>
      <c r="AL393" s="101"/>
      <c r="AM393" s="101"/>
      <c r="AN393" s="101"/>
    </row>
    <row r="394" spans="1:40" x14ac:dyDescent="0.3">
      <c r="F394" s="172"/>
      <c r="H394" s="172"/>
      <c r="I394" s="172"/>
      <c r="J394" s="227"/>
      <c r="K394" s="227"/>
      <c r="L394" s="110"/>
      <c r="M394" s="110"/>
      <c r="N394" s="141"/>
      <c r="O394" s="141"/>
      <c r="P394" s="110"/>
      <c r="Q394" s="110"/>
      <c r="R394" s="110"/>
    </row>
    <row r="395" spans="1:40" x14ac:dyDescent="0.3">
      <c r="A395" s="99"/>
      <c r="F395" s="172"/>
      <c r="H395" s="172"/>
      <c r="I395" s="172"/>
      <c r="J395" s="181"/>
      <c r="K395" s="181"/>
      <c r="L395" s="110"/>
      <c r="M395" s="110"/>
      <c r="N395" s="141"/>
      <c r="O395" s="141"/>
      <c r="P395" s="110"/>
      <c r="Q395" s="110"/>
      <c r="R395" s="110"/>
    </row>
    <row r="396" spans="1:40" x14ac:dyDescent="0.3">
      <c r="F396" s="172"/>
      <c r="H396" s="172"/>
      <c r="I396" s="172"/>
      <c r="J396" s="181"/>
      <c r="K396" s="181"/>
      <c r="L396" s="110"/>
      <c r="M396" s="110"/>
      <c r="N396" s="141"/>
      <c r="O396" s="141"/>
      <c r="P396" s="110"/>
      <c r="Q396" s="110"/>
      <c r="R396" s="110"/>
    </row>
    <row r="397" spans="1:40" x14ac:dyDescent="0.3">
      <c r="A397" s="99"/>
    </row>
    <row r="400" spans="1:40" x14ac:dyDescent="0.3">
      <c r="H400" s="99"/>
      <c r="I400" s="99"/>
      <c r="Y400" s="99"/>
    </row>
    <row r="402" spans="1:40" x14ac:dyDescent="0.3">
      <c r="L402" s="99"/>
      <c r="M402" s="99"/>
      <c r="AA402" s="99"/>
      <c r="AB402" s="99"/>
    </row>
    <row r="403" spans="1:40" x14ac:dyDescent="0.3">
      <c r="R403" s="99"/>
      <c r="AK403" s="190"/>
      <c r="AL403" s="99"/>
    </row>
    <row r="404" spans="1:40" x14ac:dyDescent="0.3">
      <c r="R404" s="99"/>
      <c r="AK404" s="190"/>
      <c r="AL404" s="99"/>
    </row>
    <row r="405" spans="1:40" x14ac:dyDescent="0.3">
      <c r="A405" s="99"/>
      <c r="R405" s="99"/>
      <c r="AK405" s="190"/>
      <c r="AL405" s="99"/>
    </row>
    <row r="406" spans="1:40" x14ac:dyDescent="0.3">
      <c r="L406" s="99"/>
      <c r="M406" s="99"/>
      <c r="AA406" s="99"/>
      <c r="AB406" s="99"/>
    </row>
    <row r="407" spans="1:40" x14ac:dyDescent="0.3">
      <c r="A407" s="101"/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T407" s="101"/>
      <c r="U407" s="101"/>
      <c r="V407" s="101"/>
      <c r="W407" s="101"/>
      <c r="X407" s="101"/>
      <c r="Y407" s="101"/>
      <c r="Z407" s="101"/>
      <c r="AA407" s="101"/>
      <c r="AB407" s="101"/>
      <c r="AC407" s="101"/>
      <c r="AD407" s="101"/>
      <c r="AE407" s="101"/>
      <c r="AF407" s="101"/>
      <c r="AG407" s="191"/>
      <c r="AH407" s="101"/>
      <c r="AI407" s="101"/>
      <c r="AJ407" s="101"/>
      <c r="AK407" s="191"/>
      <c r="AL407" s="101"/>
      <c r="AM407" s="101"/>
      <c r="AN407" s="101"/>
    </row>
    <row r="408" spans="1:40" x14ac:dyDescent="0.3">
      <c r="L408" s="102"/>
      <c r="M408" s="102"/>
      <c r="N408" s="102"/>
      <c r="O408" s="102"/>
      <c r="R408" s="102"/>
      <c r="AA408" s="102"/>
      <c r="AB408" s="102"/>
      <c r="AC408" s="102"/>
      <c r="AD408" s="102"/>
      <c r="AE408" s="102"/>
      <c r="AF408" s="102"/>
      <c r="AG408" s="151"/>
      <c r="AH408" s="102"/>
      <c r="AK408" s="151"/>
      <c r="AL408" s="102"/>
      <c r="AM408" s="102"/>
      <c r="AN408" s="102"/>
    </row>
    <row r="409" spans="1:40" x14ac:dyDescent="0.3">
      <c r="L409" s="102"/>
      <c r="M409" s="102"/>
      <c r="N409" s="102"/>
      <c r="O409" s="102"/>
      <c r="R409" s="102"/>
      <c r="Z409" s="102"/>
      <c r="AA409" s="102"/>
      <c r="AB409" s="102"/>
      <c r="AC409" s="102"/>
      <c r="AD409" s="102"/>
      <c r="AE409" s="102"/>
      <c r="AF409" s="102"/>
      <c r="AG409" s="151"/>
      <c r="AH409" s="102"/>
      <c r="AK409" s="151"/>
      <c r="AL409" s="102"/>
      <c r="AM409" s="102"/>
      <c r="AN409" s="102"/>
    </row>
    <row r="410" spans="1:40" x14ac:dyDescent="0.3">
      <c r="A410" s="102"/>
      <c r="C410" s="102"/>
      <c r="D410" s="102"/>
      <c r="E410" s="102"/>
      <c r="F410" s="102"/>
      <c r="J410" s="102"/>
      <c r="K410" s="102"/>
      <c r="L410" s="102"/>
      <c r="M410" s="102"/>
      <c r="N410" s="102"/>
      <c r="O410" s="102"/>
      <c r="P410" s="102"/>
      <c r="Q410" s="102"/>
      <c r="R410" s="102"/>
      <c r="T410" s="102"/>
      <c r="U410" s="102"/>
      <c r="V410" s="102"/>
      <c r="Z410" s="102"/>
      <c r="AA410" s="102"/>
      <c r="AB410" s="102"/>
      <c r="AC410" s="102"/>
      <c r="AD410" s="102"/>
      <c r="AE410" s="102"/>
      <c r="AF410" s="102"/>
      <c r="AG410" s="151"/>
      <c r="AH410" s="102"/>
      <c r="AI410" s="102"/>
      <c r="AJ410" s="102"/>
      <c r="AK410" s="151"/>
      <c r="AL410" s="102"/>
      <c r="AM410" s="102"/>
      <c r="AN410" s="102"/>
    </row>
    <row r="411" spans="1:40" x14ac:dyDescent="0.3">
      <c r="A411" s="102"/>
      <c r="C411" s="102"/>
      <c r="D411" s="102"/>
      <c r="E411" s="102"/>
      <c r="F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T411" s="102"/>
      <c r="U411" s="102"/>
      <c r="V411" s="102"/>
      <c r="Y411" s="102"/>
      <c r="Z411" s="102"/>
      <c r="AA411" s="102"/>
      <c r="AB411" s="102"/>
      <c r="AC411" s="102"/>
      <c r="AD411" s="102"/>
      <c r="AE411" s="102"/>
      <c r="AF411" s="102"/>
      <c r="AG411" s="151"/>
      <c r="AH411" s="102"/>
      <c r="AI411" s="102"/>
      <c r="AJ411" s="102"/>
      <c r="AK411" s="151"/>
      <c r="AL411" s="102"/>
      <c r="AM411" s="102"/>
      <c r="AN411" s="102"/>
    </row>
    <row r="412" spans="1:40" x14ac:dyDescent="0.3">
      <c r="C412" s="102"/>
      <c r="D412" s="102"/>
      <c r="E412" s="102"/>
      <c r="F412" s="102"/>
      <c r="H412" s="102"/>
      <c r="I412" s="102"/>
      <c r="J412" s="102"/>
      <c r="K412" s="102"/>
      <c r="L412" s="102"/>
      <c r="M412" s="102"/>
      <c r="N412" s="102"/>
      <c r="O412" s="102"/>
      <c r="P412" s="102"/>
      <c r="Q412" s="102"/>
      <c r="R412" s="102"/>
      <c r="T412" s="102"/>
      <c r="U412" s="102"/>
      <c r="V412" s="102"/>
      <c r="Y412" s="102"/>
      <c r="Z412" s="102"/>
      <c r="AA412" s="102"/>
      <c r="AB412" s="102"/>
      <c r="AC412" s="102"/>
      <c r="AD412" s="102"/>
      <c r="AE412" s="102"/>
      <c r="AF412" s="102"/>
      <c r="AG412" s="151"/>
      <c r="AH412" s="102"/>
      <c r="AI412" s="102"/>
      <c r="AJ412" s="102"/>
      <c r="AK412" s="151"/>
      <c r="AL412" s="102"/>
      <c r="AM412" s="102"/>
      <c r="AN412" s="102"/>
    </row>
    <row r="413" spans="1:40" x14ac:dyDescent="0.3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91"/>
      <c r="AH413" s="101"/>
      <c r="AI413" s="101"/>
      <c r="AJ413" s="101"/>
      <c r="AK413" s="191"/>
      <c r="AL413" s="101"/>
      <c r="AM413" s="101"/>
      <c r="AN413" s="101"/>
    </row>
    <row r="414" spans="1:40" x14ac:dyDescent="0.3"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Y414" s="102"/>
      <c r="Z414" s="102"/>
      <c r="AA414" s="102"/>
      <c r="AB414" s="102"/>
      <c r="AC414" s="102"/>
      <c r="AD414" s="102"/>
      <c r="AE414" s="102"/>
      <c r="AF414" s="102"/>
      <c r="AG414" s="151"/>
      <c r="AH414" s="102"/>
      <c r="AI414" s="102"/>
      <c r="AJ414" s="102"/>
      <c r="AK414" s="151"/>
      <c r="AL414" s="102"/>
      <c r="AM414" s="102"/>
      <c r="AN414" s="102"/>
    </row>
    <row r="415" spans="1:40" x14ac:dyDescent="0.3">
      <c r="C415" s="99"/>
      <c r="D415" s="99"/>
      <c r="E415" s="99"/>
      <c r="T415" s="99"/>
      <c r="U415" s="99"/>
    </row>
    <row r="417" spans="3:40" x14ac:dyDescent="0.3">
      <c r="C417" s="99"/>
      <c r="T417" s="99"/>
    </row>
    <row r="418" spans="3:40" x14ac:dyDescent="0.3">
      <c r="C418" s="99"/>
      <c r="F418" s="172"/>
      <c r="H418" s="172"/>
      <c r="I418" s="172"/>
      <c r="J418" s="217"/>
      <c r="K418" s="217"/>
      <c r="L418" s="110"/>
      <c r="M418" s="110"/>
      <c r="N418" s="141"/>
      <c r="O418" s="141"/>
      <c r="P418" s="110"/>
      <c r="Q418" s="110"/>
      <c r="R418" s="110"/>
      <c r="T418" s="99"/>
      <c r="V418" s="172"/>
      <c r="Y418" s="172"/>
      <c r="Z418" s="217"/>
      <c r="AA418" s="110"/>
      <c r="AB418" s="110"/>
      <c r="AC418" s="141"/>
      <c r="AD418" s="141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C419" s="99"/>
      <c r="T419" s="99"/>
    </row>
    <row r="420" spans="3:40" x14ac:dyDescent="0.3">
      <c r="C420" s="99"/>
      <c r="F420" s="172"/>
      <c r="H420" s="172"/>
      <c r="I420" s="172"/>
      <c r="J420" s="228"/>
      <c r="K420" s="228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28"/>
      <c r="AA420" s="110"/>
      <c r="AB420" s="110"/>
      <c r="AC420" s="141"/>
      <c r="AD420" s="141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C421" s="99"/>
      <c r="F421" s="172"/>
      <c r="H421" s="172"/>
      <c r="I421" s="172"/>
      <c r="J421" s="228"/>
      <c r="K421" s="228"/>
      <c r="L421" s="110"/>
      <c r="M421" s="110"/>
      <c r="N421" s="141"/>
      <c r="O421" s="141"/>
      <c r="P421" s="110"/>
      <c r="Q421" s="110"/>
      <c r="R421" s="110"/>
      <c r="T421" s="99"/>
      <c r="V421" s="110"/>
      <c r="Y421" s="110"/>
      <c r="Z421" s="228"/>
      <c r="AA421" s="110"/>
      <c r="AB421" s="110"/>
      <c r="AC421" s="141"/>
      <c r="AD421" s="141"/>
      <c r="AE421" s="110"/>
      <c r="AF421" s="110"/>
      <c r="AH421" s="207"/>
      <c r="AI421" s="110"/>
      <c r="AJ421" s="110"/>
      <c r="AL421" s="110"/>
      <c r="AM421" s="141"/>
      <c r="AN421" s="141"/>
    </row>
    <row r="422" spans="3:40" x14ac:dyDescent="0.3">
      <c r="C422" s="99"/>
      <c r="F422" s="172"/>
      <c r="H422" s="172"/>
      <c r="I422" s="172"/>
      <c r="J422" s="228"/>
      <c r="K422" s="228"/>
      <c r="L422" s="110"/>
      <c r="M422" s="110"/>
      <c r="N422" s="141"/>
      <c r="O422" s="141"/>
      <c r="P422" s="110"/>
      <c r="Q422" s="110"/>
      <c r="R422" s="110"/>
      <c r="T422" s="99"/>
      <c r="V422" s="110"/>
      <c r="Y422" s="110"/>
      <c r="Z422" s="228"/>
      <c r="AA422" s="110"/>
      <c r="AB422" s="110"/>
      <c r="AC422" s="141"/>
      <c r="AD422" s="141"/>
      <c r="AE422" s="110"/>
      <c r="AF422" s="110"/>
      <c r="AH422" s="207"/>
      <c r="AI422" s="110"/>
      <c r="AJ422" s="110"/>
      <c r="AL422" s="110"/>
      <c r="AM422" s="141"/>
      <c r="AN422" s="141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J424" s="163"/>
      <c r="K424" s="163"/>
      <c r="T424" s="99"/>
      <c r="Z424" s="163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C426" s="99"/>
      <c r="F426" s="172"/>
      <c r="H426" s="172"/>
      <c r="I426" s="172"/>
      <c r="J426" s="228"/>
      <c r="K426" s="228"/>
      <c r="L426" s="110"/>
      <c r="M426" s="110"/>
      <c r="N426" s="141"/>
      <c r="O426" s="141"/>
      <c r="P426" s="110"/>
      <c r="Q426" s="110"/>
      <c r="R426" s="110"/>
      <c r="T426" s="99"/>
      <c r="V426" s="110"/>
      <c r="Y426" s="110"/>
      <c r="Z426" s="228"/>
      <c r="AA426" s="110"/>
      <c r="AB426" s="110"/>
      <c r="AC426" s="141"/>
      <c r="AD426" s="141"/>
      <c r="AE426" s="110"/>
      <c r="AF426" s="110"/>
      <c r="AH426" s="207"/>
      <c r="AI426" s="110"/>
      <c r="AJ426" s="110"/>
      <c r="AL426" s="110"/>
      <c r="AM426" s="141"/>
      <c r="AN426" s="141"/>
    </row>
    <row r="427" spans="3:40" x14ac:dyDescent="0.3">
      <c r="C427" s="99"/>
      <c r="F427" s="172"/>
      <c r="H427" s="172"/>
      <c r="I427" s="172"/>
      <c r="J427" s="228"/>
      <c r="K427" s="228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8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C428" s="99"/>
      <c r="J428" s="163"/>
      <c r="K428" s="163"/>
      <c r="T428" s="99"/>
      <c r="Z428" s="163"/>
    </row>
    <row r="429" spans="3:40" x14ac:dyDescent="0.3">
      <c r="C429" s="99"/>
      <c r="F429" s="172"/>
      <c r="H429" s="172"/>
      <c r="I429" s="172"/>
      <c r="J429" s="228"/>
      <c r="K429" s="228"/>
      <c r="L429" s="110"/>
      <c r="M429" s="110"/>
      <c r="N429" s="141"/>
      <c r="O429" s="141"/>
      <c r="P429" s="110"/>
      <c r="Q429" s="110"/>
      <c r="R429" s="110"/>
      <c r="T429" s="99"/>
      <c r="V429" s="110"/>
      <c r="Y429" s="110"/>
      <c r="Z429" s="228"/>
      <c r="AA429" s="110"/>
      <c r="AB429" s="110"/>
      <c r="AC429" s="141"/>
      <c r="AD429" s="141"/>
      <c r="AE429" s="110"/>
      <c r="AF429" s="110"/>
      <c r="AH429" s="207"/>
      <c r="AI429" s="110"/>
      <c r="AJ429" s="110"/>
      <c r="AL429" s="110"/>
      <c r="AM429" s="141"/>
      <c r="AN429" s="141"/>
    </row>
    <row r="430" spans="3:40" x14ac:dyDescent="0.3">
      <c r="C430" s="99"/>
      <c r="F430" s="172"/>
      <c r="H430" s="172"/>
      <c r="I430" s="172"/>
      <c r="J430" s="228"/>
      <c r="K430" s="228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228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J431" s="163"/>
      <c r="K431" s="163"/>
      <c r="T431" s="99"/>
      <c r="Z431" s="163"/>
    </row>
    <row r="432" spans="3:40" x14ac:dyDescent="0.3">
      <c r="C432" s="99"/>
      <c r="F432" s="172"/>
      <c r="H432" s="172"/>
      <c r="I432" s="172"/>
      <c r="J432" s="228"/>
      <c r="K432" s="228"/>
      <c r="L432" s="110"/>
      <c r="M432" s="110"/>
      <c r="N432" s="141"/>
      <c r="O432" s="141"/>
      <c r="P432" s="110"/>
      <c r="Q432" s="110"/>
      <c r="R432" s="110"/>
      <c r="T432" s="99"/>
      <c r="V432" s="110"/>
      <c r="Y432" s="110"/>
      <c r="Z432" s="228"/>
      <c r="AA432" s="110"/>
      <c r="AB432" s="110"/>
      <c r="AC432" s="141"/>
      <c r="AD432" s="141"/>
      <c r="AE432" s="110"/>
      <c r="AF432" s="110"/>
      <c r="AH432" s="207"/>
      <c r="AI432" s="110"/>
      <c r="AJ432" s="110"/>
      <c r="AL432" s="110"/>
      <c r="AM432" s="141"/>
      <c r="AN432" s="141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8"/>
      <c r="K434" s="228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8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F435" s="192"/>
      <c r="H435" s="192"/>
      <c r="I435" s="192"/>
      <c r="J435" s="228"/>
      <c r="K435" s="228"/>
      <c r="L435" s="192"/>
      <c r="M435" s="192"/>
      <c r="N435" s="192"/>
      <c r="O435" s="192"/>
      <c r="P435" s="192"/>
      <c r="Q435" s="192"/>
      <c r="R435" s="192"/>
      <c r="V435" s="192"/>
      <c r="Y435" s="192"/>
      <c r="Z435" s="228"/>
      <c r="AA435" s="192"/>
      <c r="AB435" s="192"/>
      <c r="AC435" s="192"/>
      <c r="AD435" s="192"/>
      <c r="AE435" s="192"/>
      <c r="AF435" s="192"/>
      <c r="AI435" s="192"/>
      <c r="AJ435" s="192"/>
      <c r="AK435" s="194"/>
      <c r="AL435" s="192"/>
    </row>
    <row r="436" spans="3:40" x14ac:dyDescent="0.3">
      <c r="C436" s="102"/>
      <c r="F436" s="110"/>
      <c r="H436" s="110"/>
      <c r="I436" s="110"/>
      <c r="J436" s="163"/>
      <c r="K436" s="163"/>
      <c r="L436" s="110"/>
      <c r="M436" s="110"/>
      <c r="N436" s="207"/>
      <c r="O436" s="207"/>
      <c r="P436" s="110"/>
      <c r="Q436" s="110"/>
      <c r="R436" s="110"/>
      <c r="T436" s="102"/>
      <c r="V436" s="110"/>
      <c r="Y436" s="110"/>
      <c r="Z436" s="163"/>
      <c r="AA436" s="110"/>
      <c r="AB436" s="110"/>
      <c r="AC436" s="110"/>
      <c r="AD436" s="110"/>
      <c r="AE436" s="110"/>
      <c r="AF436" s="110"/>
      <c r="AH436" s="207"/>
      <c r="AI436" s="110"/>
      <c r="AJ436" s="110"/>
      <c r="AL436" s="110"/>
      <c r="AM436" s="141"/>
      <c r="AN436" s="141"/>
    </row>
    <row r="437" spans="3:40" x14ac:dyDescent="0.3">
      <c r="F437" s="192"/>
      <c r="H437" s="192"/>
      <c r="I437" s="192"/>
      <c r="J437" s="228"/>
      <c r="K437" s="228"/>
      <c r="L437" s="192"/>
      <c r="M437" s="192"/>
      <c r="N437" s="192"/>
      <c r="O437" s="192"/>
      <c r="P437" s="192"/>
      <c r="Q437" s="192"/>
      <c r="R437" s="192"/>
      <c r="V437" s="192"/>
      <c r="Y437" s="192"/>
      <c r="Z437" s="228"/>
      <c r="AA437" s="192"/>
      <c r="AB437" s="192"/>
      <c r="AC437" s="192"/>
      <c r="AD437" s="192"/>
      <c r="AE437" s="192"/>
      <c r="AF437" s="192"/>
      <c r="AI437" s="192"/>
      <c r="AJ437" s="192"/>
      <c r="AK437" s="194"/>
      <c r="AL437" s="192"/>
    </row>
    <row r="438" spans="3:40" x14ac:dyDescent="0.3">
      <c r="C438" s="99"/>
      <c r="J438" s="163"/>
      <c r="K438" s="163"/>
      <c r="T438" s="99"/>
      <c r="Z438" s="163"/>
    </row>
    <row r="439" spans="3:40" x14ac:dyDescent="0.3">
      <c r="C439" s="99"/>
      <c r="J439" s="163"/>
      <c r="K439" s="163"/>
      <c r="T439" s="99"/>
      <c r="Z439" s="163"/>
    </row>
    <row r="440" spans="3:40" x14ac:dyDescent="0.3">
      <c r="C440" s="99"/>
      <c r="F440" s="172"/>
      <c r="H440" s="172"/>
      <c r="I440" s="172"/>
      <c r="J440" s="228"/>
      <c r="K440" s="228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Z440" s="228"/>
      <c r="AA440" s="110"/>
      <c r="AB440" s="110"/>
      <c r="AC440" s="141"/>
      <c r="AD440" s="141"/>
      <c r="AE440" s="110"/>
      <c r="AF440" s="110"/>
      <c r="AH440" s="207"/>
      <c r="AI440" s="110"/>
      <c r="AJ440" s="110"/>
      <c r="AL440" s="110"/>
      <c r="AM440" s="141"/>
      <c r="AN440" s="141"/>
    </row>
    <row r="441" spans="3:40" x14ac:dyDescent="0.3">
      <c r="C441" s="99"/>
      <c r="F441" s="172"/>
      <c r="H441" s="172"/>
      <c r="I441" s="172"/>
      <c r="J441" s="228"/>
      <c r="K441" s="228"/>
      <c r="L441" s="110"/>
      <c r="M441" s="110"/>
      <c r="N441" s="141"/>
      <c r="O441" s="141"/>
      <c r="P441" s="110"/>
      <c r="Q441" s="110"/>
      <c r="R441" s="110"/>
      <c r="T441" s="99"/>
      <c r="V441" s="110"/>
      <c r="Y441" s="110"/>
      <c r="Z441" s="228"/>
      <c r="AA441" s="110"/>
      <c r="AB441" s="110"/>
      <c r="AC441" s="141"/>
      <c r="AD441" s="141"/>
      <c r="AE441" s="110"/>
      <c r="AF441" s="110"/>
      <c r="AH441" s="207"/>
      <c r="AI441" s="110"/>
      <c r="AJ441" s="110"/>
      <c r="AL441" s="110"/>
      <c r="AM441" s="141"/>
      <c r="AN441" s="141"/>
    </row>
    <row r="442" spans="3:40" x14ac:dyDescent="0.3">
      <c r="C442" s="99"/>
      <c r="F442" s="172"/>
      <c r="H442" s="172"/>
      <c r="I442" s="172"/>
      <c r="J442" s="228"/>
      <c r="K442" s="228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28"/>
      <c r="AA442" s="110"/>
      <c r="AB442" s="110"/>
      <c r="AC442" s="141"/>
      <c r="AD442" s="141"/>
      <c r="AE442" s="110"/>
      <c r="AF442" s="110"/>
      <c r="AH442" s="207"/>
      <c r="AI442" s="110"/>
      <c r="AJ442" s="110"/>
      <c r="AL442" s="110"/>
      <c r="AM442" s="141"/>
      <c r="AN442" s="141"/>
    </row>
    <row r="443" spans="3:40" x14ac:dyDescent="0.3">
      <c r="C443" s="99"/>
      <c r="F443" s="172"/>
      <c r="H443" s="172"/>
      <c r="I443" s="172"/>
      <c r="J443" s="228"/>
      <c r="K443" s="228"/>
      <c r="L443" s="110"/>
      <c r="M443" s="110"/>
      <c r="N443" s="141"/>
      <c r="O443" s="141"/>
      <c r="P443" s="110"/>
      <c r="Q443" s="110"/>
      <c r="R443" s="110"/>
      <c r="T443" s="99"/>
      <c r="V443" s="110"/>
      <c r="Y443" s="110"/>
      <c r="Z443" s="228"/>
      <c r="AA443" s="110"/>
      <c r="AB443" s="110"/>
      <c r="AC443" s="141"/>
      <c r="AD443" s="141"/>
      <c r="AE443" s="110"/>
      <c r="AF443" s="110"/>
      <c r="AH443" s="207"/>
      <c r="AI443" s="110"/>
      <c r="AJ443" s="110"/>
      <c r="AL443" s="110"/>
      <c r="AM443" s="141"/>
      <c r="AN443" s="141"/>
    </row>
    <row r="444" spans="3:40" x14ac:dyDescent="0.3">
      <c r="C444" s="99"/>
      <c r="F444" s="172"/>
      <c r="H444" s="172"/>
      <c r="I444" s="172"/>
      <c r="J444" s="228"/>
      <c r="K444" s="228"/>
      <c r="L444" s="110"/>
      <c r="M444" s="110"/>
      <c r="N444" s="141"/>
      <c r="O444" s="141"/>
      <c r="P444" s="110"/>
      <c r="Q444" s="110"/>
      <c r="R444" s="110"/>
      <c r="T444" s="99"/>
      <c r="V444" s="110"/>
      <c r="Y444" s="110"/>
      <c r="Z444" s="228"/>
      <c r="AA444" s="110"/>
      <c r="AB444" s="110"/>
      <c r="AC444" s="141"/>
      <c r="AD444" s="141"/>
      <c r="AE444" s="110"/>
      <c r="AF444" s="110"/>
      <c r="AH444" s="207"/>
      <c r="AI444" s="110"/>
      <c r="AJ444" s="110"/>
      <c r="AL444" s="110"/>
      <c r="AM444" s="141"/>
      <c r="AN444" s="141"/>
    </row>
    <row r="445" spans="3:40" x14ac:dyDescent="0.3">
      <c r="C445" s="99"/>
      <c r="F445" s="172"/>
      <c r="H445" s="172"/>
      <c r="I445" s="172"/>
      <c r="J445" s="228"/>
      <c r="K445" s="228"/>
      <c r="L445" s="110"/>
      <c r="M445" s="110"/>
      <c r="N445" s="141"/>
      <c r="O445" s="141"/>
      <c r="P445" s="110"/>
      <c r="Q445" s="110"/>
      <c r="R445" s="110"/>
      <c r="T445" s="99"/>
      <c r="V445" s="110"/>
      <c r="Y445" s="110"/>
      <c r="Z445" s="228"/>
      <c r="AA445" s="110"/>
      <c r="AB445" s="110"/>
      <c r="AC445" s="141"/>
      <c r="AD445" s="141"/>
      <c r="AE445" s="110"/>
      <c r="AF445" s="110"/>
      <c r="AH445" s="207"/>
      <c r="AI445" s="110"/>
      <c r="AJ445" s="110"/>
      <c r="AL445" s="110"/>
      <c r="AM445" s="141"/>
      <c r="AN445" s="141"/>
    </row>
    <row r="446" spans="3:40" x14ac:dyDescent="0.3">
      <c r="C446" s="99"/>
      <c r="F446" s="172"/>
      <c r="H446" s="172"/>
      <c r="I446" s="172"/>
      <c r="J446" s="228"/>
      <c r="K446" s="228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8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C447" s="99"/>
      <c r="J447" s="163"/>
      <c r="K447" s="163"/>
      <c r="T447" s="99"/>
      <c r="Z447" s="163"/>
    </row>
    <row r="448" spans="3:40" x14ac:dyDescent="0.3">
      <c r="C448" s="99"/>
      <c r="F448" s="172"/>
      <c r="H448" s="172"/>
      <c r="I448" s="172"/>
      <c r="J448" s="228"/>
      <c r="K448" s="228"/>
      <c r="L448" s="110"/>
      <c r="M448" s="110"/>
      <c r="N448" s="141"/>
      <c r="O448" s="141"/>
      <c r="P448" s="110"/>
      <c r="Q448" s="110"/>
      <c r="R448" s="110"/>
      <c r="T448" s="99"/>
      <c r="V448" s="110"/>
      <c r="Y448" s="110"/>
      <c r="Z448" s="228"/>
      <c r="AA448" s="110"/>
      <c r="AB448" s="110"/>
      <c r="AC448" s="141"/>
      <c r="AD448" s="141"/>
      <c r="AE448" s="110"/>
      <c r="AF448" s="110"/>
      <c r="AH448" s="207"/>
      <c r="AI448" s="110"/>
      <c r="AJ448" s="110"/>
      <c r="AL448" s="110"/>
      <c r="AM448" s="141"/>
      <c r="AN448" s="141"/>
    </row>
    <row r="449" spans="3:40" x14ac:dyDescent="0.3">
      <c r="C449" s="99"/>
      <c r="F449" s="172"/>
      <c r="H449" s="172"/>
      <c r="I449" s="172"/>
      <c r="J449" s="228"/>
      <c r="K449" s="228"/>
      <c r="L449" s="110"/>
      <c r="M449" s="110"/>
      <c r="N449" s="141"/>
      <c r="O449" s="141"/>
      <c r="P449" s="110"/>
      <c r="Q449" s="110"/>
      <c r="R449" s="110"/>
      <c r="T449" s="99"/>
      <c r="V449" s="110"/>
      <c r="Y449" s="110"/>
      <c r="Z449" s="228"/>
      <c r="AA449" s="110"/>
      <c r="AB449" s="110"/>
      <c r="AC449" s="141"/>
      <c r="AD449" s="141"/>
      <c r="AE449" s="110"/>
      <c r="AF449" s="110"/>
      <c r="AH449" s="207"/>
      <c r="AI449" s="110"/>
      <c r="AJ449" s="110"/>
      <c r="AL449" s="110"/>
      <c r="AM449" s="141"/>
      <c r="AN449" s="141"/>
    </row>
    <row r="450" spans="3:40" x14ac:dyDescent="0.3">
      <c r="C450" s="99"/>
      <c r="F450" s="172"/>
      <c r="H450" s="172"/>
      <c r="I450" s="172"/>
      <c r="J450" s="228"/>
      <c r="K450" s="228"/>
      <c r="L450" s="110"/>
      <c r="M450" s="110"/>
      <c r="N450" s="141"/>
      <c r="O450" s="141"/>
      <c r="P450" s="110"/>
      <c r="Q450" s="110"/>
      <c r="R450" s="110"/>
      <c r="T450" s="99"/>
      <c r="V450" s="110"/>
      <c r="Y450" s="110"/>
      <c r="Z450" s="228"/>
      <c r="AA450" s="110"/>
      <c r="AB450" s="110"/>
      <c r="AC450" s="141"/>
      <c r="AD450" s="141"/>
      <c r="AE450" s="110"/>
      <c r="AF450" s="110"/>
      <c r="AH450" s="207"/>
      <c r="AI450" s="110"/>
      <c r="AJ450" s="110"/>
      <c r="AL450" s="110"/>
      <c r="AM450" s="141"/>
      <c r="AN450" s="141"/>
    </row>
    <row r="451" spans="3:40" x14ac:dyDescent="0.3">
      <c r="C451" s="99"/>
      <c r="F451" s="172"/>
      <c r="H451" s="172"/>
      <c r="I451" s="172"/>
      <c r="J451" s="228"/>
      <c r="K451" s="228"/>
      <c r="L451" s="110"/>
      <c r="M451" s="110"/>
      <c r="N451" s="141"/>
      <c r="O451" s="141"/>
      <c r="P451" s="110"/>
      <c r="Q451" s="110"/>
      <c r="R451" s="110"/>
      <c r="T451" s="99"/>
      <c r="V451" s="110"/>
      <c r="Y451" s="110"/>
      <c r="Z451" s="228"/>
      <c r="AA451" s="110"/>
      <c r="AB451" s="110"/>
      <c r="AC451" s="141"/>
      <c r="AD451" s="141"/>
      <c r="AE451" s="110"/>
      <c r="AF451" s="110"/>
      <c r="AH451" s="207"/>
      <c r="AI451" s="110"/>
      <c r="AJ451" s="110"/>
      <c r="AL451" s="110"/>
      <c r="AM451" s="141"/>
      <c r="AN451" s="141"/>
    </row>
    <row r="452" spans="3:40" x14ac:dyDescent="0.3">
      <c r="C452" s="99"/>
      <c r="J452" s="163"/>
      <c r="K452" s="163"/>
      <c r="T452" s="99"/>
      <c r="Z452" s="163"/>
    </row>
    <row r="453" spans="3:40" x14ac:dyDescent="0.3">
      <c r="C453" s="99"/>
      <c r="F453" s="172"/>
      <c r="H453" s="172"/>
      <c r="I453" s="172"/>
      <c r="J453" s="228"/>
      <c r="K453" s="228"/>
      <c r="L453" s="110"/>
      <c r="M453" s="110"/>
      <c r="N453" s="141"/>
      <c r="O453" s="141"/>
      <c r="P453" s="110"/>
      <c r="Q453" s="110"/>
      <c r="R453" s="110"/>
      <c r="T453" s="99"/>
      <c r="V453" s="110"/>
      <c r="Y453" s="110"/>
      <c r="Z453" s="228"/>
      <c r="AA453" s="110"/>
      <c r="AB453" s="110"/>
      <c r="AC453" s="141"/>
      <c r="AD453" s="141"/>
      <c r="AE453" s="110"/>
      <c r="AF453" s="110"/>
      <c r="AH453" s="207"/>
      <c r="AI453" s="110"/>
      <c r="AJ453" s="110"/>
      <c r="AL453" s="110"/>
      <c r="AM453" s="141"/>
      <c r="AN453" s="141"/>
    </row>
    <row r="454" spans="3:40" x14ac:dyDescent="0.3">
      <c r="C454" s="99"/>
      <c r="F454" s="172"/>
      <c r="H454" s="172"/>
      <c r="I454" s="172"/>
      <c r="J454" s="228"/>
      <c r="K454" s="228"/>
      <c r="L454" s="110"/>
      <c r="M454" s="110"/>
      <c r="N454" s="141"/>
      <c r="O454" s="141"/>
      <c r="P454" s="110"/>
      <c r="Q454" s="110"/>
      <c r="R454" s="110"/>
      <c r="T454" s="99"/>
      <c r="V454" s="110"/>
      <c r="Y454" s="110"/>
      <c r="Z454" s="228"/>
      <c r="AA454" s="110"/>
      <c r="AB454" s="110"/>
      <c r="AC454" s="141"/>
      <c r="AD454" s="141"/>
      <c r="AE454" s="110"/>
      <c r="AF454" s="110"/>
      <c r="AH454" s="207"/>
      <c r="AI454" s="110"/>
      <c r="AJ454" s="110"/>
      <c r="AL454" s="110"/>
      <c r="AM454" s="141"/>
      <c r="AN454" s="141"/>
    </row>
    <row r="455" spans="3:40" x14ac:dyDescent="0.3">
      <c r="C455" s="99"/>
      <c r="F455" s="172"/>
      <c r="H455" s="172"/>
      <c r="I455" s="172"/>
      <c r="J455" s="228"/>
      <c r="K455" s="228"/>
      <c r="L455" s="110"/>
      <c r="M455" s="110"/>
      <c r="N455" s="141"/>
      <c r="O455" s="141"/>
      <c r="P455" s="110"/>
      <c r="Q455" s="110"/>
      <c r="R455" s="110"/>
      <c r="T455" s="99"/>
      <c r="V455" s="110"/>
      <c r="Y455" s="110"/>
      <c r="Z455" s="228"/>
      <c r="AA455" s="110"/>
      <c r="AB455" s="110"/>
      <c r="AC455" s="141"/>
      <c r="AD455" s="141"/>
      <c r="AE455" s="110"/>
      <c r="AF455" s="110"/>
      <c r="AH455" s="207"/>
      <c r="AI455" s="110"/>
      <c r="AJ455" s="110"/>
      <c r="AL455" s="110"/>
      <c r="AM455" s="141"/>
      <c r="AN455" s="141"/>
    </row>
    <row r="456" spans="3:40" x14ac:dyDescent="0.3">
      <c r="C456" s="99"/>
      <c r="F456" s="172"/>
      <c r="H456" s="172"/>
      <c r="I456" s="172"/>
      <c r="J456" s="228"/>
      <c r="K456" s="228"/>
      <c r="L456" s="110"/>
      <c r="M456" s="110"/>
      <c r="N456" s="141"/>
      <c r="O456" s="141"/>
      <c r="P456" s="110"/>
      <c r="Q456" s="110"/>
      <c r="R456" s="110"/>
      <c r="T456" s="99"/>
      <c r="V456" s="110"/>
      <c r="Y456" s="110"/>
      <c r="Z456" s="228"/>
      <c r="AA456" s="110"/>
      <c r="AB456" s="110"/>
      <c r="AC456" s="141"/>
      <c r="AD456" s="141"/>
      <c r="AE456" s="110"/>
      <c r="AF456" s="110"/>
      <c r="AH456" s="207"/>
      <c r="AI456" s="110"/>
      <c r="AJ456" s="110"/>
      <c r="AL456" s="110"/>
      <c r="AM456" s="141"/>
      <c r="AN456" s="141"/>
    </row>
    <row r="457" spans="3:40" x14ac:dyDescent="0.3">
      <c r="C457" s="99"/>
      <c r="F457" s="172"/>
      <c r="H457" s="172"/>
      <c r="I457" s="172"/>
      <c r="J457" s="228"/>
      <c r="K457" s="228"/>
      <c r="L457" s="110"/>
      <c r="M457" s="110"/>
      <c r="N457" s="141"/>
      <c r="O457" s="141"/>
      <c r="P457" s="110"/>
      <c r="Q457" s="110"/>
      <c r="R457" s="110"/>
      <c r="T457" s="99"/>
      <c r="V457" s="110"/>
      <c r="Y457" s="110"/>
      <c r="Z457" s="228"/>
      <c r="AA457" s="110"/>
      <c r="AB457" s="110"/>
      <c r="AC457" s="141"/>
      <c r="AD457" s="141"/>
      <c r="AE457" s="110"/>
      <c r="AF457" s="110"/>
      <c r="AH457" s="207"/>
      <c r="AI457" s="110"/>
      <c r="AJ457" s="110"/>
      <c r="AL457" s="110"/>
      <c r="AM457" s="141"/>
      <c r="AN457" s="141"/>
    </row>
    <row r="458" spans="3:40" x14ac:dyDescent="0.3">
      <c r="F458" s="192"/>
      <c r="H458" s="192"/>
      <c r="I458" s="192"/>
      <c r="J458" s="217"/>
      <c r="K458" s="217"/>
      <c r="L458" s="192"/>
      <c r="M458" s="192"/>
      <c r="N458" s="192"/>
      <c r="O458" s="192"/>
      <c r="P458" s="192"/>
      <c r="Q458" s="192"/>
      <c r="R458" s="192"/>
      <c r="V458" s="192"/>
      <c r="Y458" s="192"/>
      <c r="Z458" s="228"/>
      <c r="AA458" s="192"/>
      <c r="AB458" s="192"/>
      <c r="AC458" s="192"/>
      <c r="AD458" s="192"/>
      <c r="AE458" s="192"/>
      <c r="AF458" s="192"/>
      <c r="AI458" s="192"/>
      <c r="AJ458" s="192"/>
      <c r="AK458" s="194"/>
      <c r="AL458" s="192"/>
    </row>
    <row r="459" spans="3:40" x14ac:dyDescent="0.3">
      <c r="C459" s="99"/>
      <c r="F459" s="110"/>
      <c r="H459" s="110"/>
      <c r="I459" s="110"/>
      <c r="L459" s="110"/>
      <c r="M459" s="110"/>
      <c r="N459" s="207"/>
      <c r="O459" s="207"/>
      <c r="P459" s="110"/>
      <c r="Q459" s="110"/>
      <c r="R459" s="110"/>
      <c r="T459" s="99"/>
      <c r="V459" s="110"/>
      <c r="Y459" s="110"/>
      <c r="AA459" s="110"/>
      <c r="AB459" s="110"/>
      <c r="AC459" s="141"/>
      <c r="AD459" s="141"/>
      <c r="AE459" s="110"/>
      <c r="AF459" s="110"/>
      <c r="AH459" s="207"/>
      <c r="AI459" s="110"/>
      <c r="AJ459" s="110"/>
      <c r="AL459" s="110"/>
      <c r="AM459" s="141"/>
      <c r="AN459" s="141"/>
    </row>
    <row r="460" spans="3:40" x14ac:dyDescent="0.3">
      <c r="F460" s="192"/>
      <c r="H460" s="192"/>
      <c r="I460" s="192"/>
      <c r="J460" s="217"/>
      <c r="K460" s="217"/>
      <c r="L460" s="192"/>
      <c r="M460" s="192"/>
      <c r="N460" s="192"/>
      <c r="O460" s="192"/>
      <c r="P460" s="192"/>
      <c r="Q460" s="192"/>
      <c r="R460" s="192"/>
      <c r="V460" s="192"/>
      <c r="Y460" s="192"/>
      <c r="Z460" s="217"/>
      <c r="AA460" s="192"/>
      <c r="AB460" s="192"/>
      <c r="AC460" s="192"/>
      <c r="AD460" s="192"/>
      <c r="AE460" s="192"/>
      <c r="AF460" s="192"/>
      <c r="AI460" s="192"/>
      <c r="AJ460" s="192"/>
      <c r="AK460" s="194"/>
      <c r="AL460" s="192"/>
    </row>
    <row r="461" spans="3:40" x14ac:dyDescent="0.3">
      <c r="C461" s="99"/>
      <c r="T461" s="99"/>
    </row>
    <row r="462" spans="3:40" x14ac:dyDescent="0.3">
      <c r="C462" s="99"/>
      <c r="F462" s="172"/>
      <c r="H462" s="172"/>
      <c r="I462" s="172"/>
      <c r="J462" s="181"/>
      <c r="K462" s="181"/>
      <c r="L462" s="110"/>
      <c r="M462" s="110"/>
      <c r="N462" s="141"/>
      <c r="O462" s="141"/>
      <c r="P462" s="110"/>
      <c r="Q462" s="110"/>
      <c r="R462" s="110"/>
      <c r="T462" s="99"/>
      <c r="V462" s="110"/>
      <c r="Y462" s="110"/>
      <c r="Z462" s="181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141"/>
      <c r="AN462" s="141"/>
    </row>
    <row r="463" spans="3:40" x14ac:dyDescent="0.3">
      <c r="C463" s="99"/>
      <c r="F463" s="172"/>
      <c r="H463" s="172"/>
      <c r="I463" s="172"/>
      <c r="J463" s="181"/>
      <c r="K463" s="181"/>
      <c r="L463" s="110"/>
      <c r="M463" s="110"/>
      <c r="N463" s="141"/>
      <c r="O463" s="141"/>
      <c r="P463" s="110"/>
      <c r="Q463" s="110"/>
      <c r="R463" s="110"/>
      <c r="T463" s="99"/>
      <c r="V463" s="110"/>
      <c r="Y463" s="110"/>
      <c r="Z463" s="181"/>
      <c r="AA463" s="110"/>
      <c r="AB463" s="110"/>
      <c r="AC463" s="141"/>
      <c r="AD463" s="141"/>
      <c r="AE463" s="110"/>
      <c r="AF463" s="110"/>
      <c r="AH463" s="207"/>
      <c r="AI463" s="110"/>
      <c r="AJ463" s="110"/>
      <c r="AL463" s="110"/>
      <c r="AM463" s="141"/>
      <c r="AN463" s="141"/>
    </row>
    <row r="464" spans="3:40" x14ac:dyDescent="0.3">
      <c r="F464" s="192"/>
      <c r="H464" s="110"/>
      <c r="I464" s="110"/>
      <c r="J464" s="217"/>
      <c r="K464" s="217"/>
      <c r="L464" s="192"/>
      <c r="M464" s="192"/>
      <c r="N464" s="192"/>
      <c r="O464" s="192"/>
      <c r="P464" s="192"/>
      <c r="Q464" s="192"/>
      <c r="R464" s="192"/>
      <c r="V464" s="192"/>
      <c r="Y464" s="110"/>
      <c r="Z464" s="217"/>
      <c r="AA464" s="192"/>
      <c r="AB464" s="192"/>
      <c r="AC464" s="192"/>
      <c r="AD464" s="192"/>
      <c r="AE464" s="192"/>
      <c r="AF464" s="192"/>
      <c r="AI464" s="192"/>
      <c r="AJ464" s="192"/>
      <c r="AK464" s="194"/>
      <c r="AL464" s="192"/>
    </row>
    <row r="465" spans="1:40" x14ac:dyDescent="0.3">
      <c r="F465" s="110"/>
      <c r="H465" s="110"/>
      <c r="I465" s="110"/>
      <c r="J465" s="217"/>
      <c r="K465" s="217"/>
      <c r="L465" s="110"/>
      <c r="M465" s="110"/>
      <c r="N465" s="110"/>
      <c r="O465" s="110"/>
      <c r="P465" s="110"/>
      <c r="Q465" s="110"/>
      <c r="R465" s="110"/>
      <c r="V465" s="110"/>
      <c r="Y465" s="110"/>
      <c r="Z465" s="217"/>
      <c r="AA465" s="110"/>
      <c r="AB465" s="110"/>
      <c r="AC465" s="110"/>
      <c r="AD465" s="110"/>
      <c r="AE465" s="110"/>
      <c r="AF465" s="110"/>
      <c r="AI465" s="110"/>
      <c r="AJ465" s="110"/>
      <c r="AL465" s="110"/>
    </row>
    <row r="466" spans="1:40" x14ac:dyDescent="0.3">
      <c r="C466" s="99"/>
      <c r="F466" s="110"/>
      <c r="H466" s="110"/>
      <c r="I466" s="110"/>
      <c r="L466" s="110"/>
      <c r="M466" s="110"/>
      <c r="N466" s="141"/>
      <c r="O466" s="141"/>
      <c r="P466" s="110"/>
      <c r="Q466" s="110"/>
      <c r="R466" s="110"/>
      <c r="T466" s="99"/>
      <c r="V466" s="110"/>
      <c r="Y466" s="110"/>
      <c r="AA466" s="110"/>
      <c r="AB466" s="110"/>
      <c r="AC466" s="141"/>
      <c r="AD466" s="141"/>
      <c r="AE466" s="110"/>
      <c r="AF466" s="110"/>
      <c r="AH466" s="207"/>
      <c r="AI466" s="172"/>
      <c r="AJ466" s="172"/>
      <c r="AL466" s="110"/>
      <c r="AM466" s="141"/>
      <c r="AN466" s="141"/>
    </row>
    <row r="467" spans="1:40" x14ac:dyDescent="0.3">
      <c r="F467" s="192"/>
      <c r="H467" s="192"/>
      <c r="I467" s="192"/>
      <c r="J467" s="217"/>
      <c r="K467" s="217"/>
      <c r="L467" s="192"/>
      <c r="M467" s="192"/>
      <c r="N467" s="192"/>
      <c r="O467" s="192"/>
      <c r="P467" s="192"/>
      <c r="Q467" s="192"/>
      <c r="R467" s="192"/>
      <c r="V467" s="192"/>
      <c r="Y467" s="192"/>
      <c r="Z467" s="217"/>
      <c r="AA467" s="192"/>
      <c r="AB467" s="192"/>
      <c r="AC467" s="192"/>
      <c r="AD467" s="192"/>
      <c r="AE467" s="192"/>
      <c r="AF467" s="192"/>
      <c r="AI467" s="192"/>
      <c r="AJ467" s="192"/>
      <c r="AK467" s="194"/>
      <c r="AL467" s="192"/>
    </row>
    <row r="469" spans="1:40" x14ac:dyDescent="0.3">
      <c r="A469" s="99"/>
      <c r="T469" s="99"/>
    </row>
    <row r="470" spans="1:40" x14ac:dyDescent="0.3">
      <c r="A470" s="99"/>
      <c r="T470" s="99"/>
    </row>
    <row r="471" spans="1:40" x14ac:dyDescent="0.3">
      <c r="A471" s="99"/>
      <c r="T471" s="99"/>
    </row>
    <row r="472" spans="1:40" x14ac:dyDescent="0.3">
      <c r="A472" s="99"/>
      <c r="T472" s="99"/>
    </row>
    <row r="473" spans="1:40" x14ac:dyDescent="0.3">
      <c r="A473" s="99"/>
      <c r="T473" s="99"/>
    </row>
    <row r="474" spans="1:40" x14ac:dyDescent="0.3">
      <c r="A474" s="99"/>
      <c r="T474" s="99"/>
    </row>
    <row r="475" spans="1:40" x14ac:dyDescent="0.3">
      <c r="A475" s="99"/>
      <c r="T475" s="99"/>
    </row>
    <row r="476" spans="1:40" x14ac:dyDescent="0.3">
      <c r="A476" s="99"/>
      <c r="T476" s="99"/>
    </row>
    <row r="477" spans="1:40" x14ac:dyDescent="0.3">
      <c r="A477" s="99"/>
      <c r="T477" s="99"/>
    </row>
    <row r="479" spans="1:40" x14ac:dyDescent="0.3">
      <c r="A479" s="99"/>
    </row>
    <row r="481" spans="1:40" x14ac:dyDescent="0.3">
      <c r="H481" s="99"/>
      <c r="I481" s="99"/>
      <c r="Y481" s="99"/>
    </row>
    <row r="483" spans="1:40" x14ac:dyDescent="0.3">
      <c r="L483" s="99"/>
      <c r="M483" s="99"/>
      <c r="AA483" s="99"/>
      <c r="AB483" s="99"/>
    </row>
    <row r="484" spans="1:40" x14ac:dyDescent="0.3">
      <c r="R484" s="99"/>
      <c r="AK484" s="190"/>
      <c r="AL484" s="99"/>
    </row>
    <row r="485" spans="1:40" x14ac:dyDescent="0.3">
      <c r="R485" s="99"/>
      <c r="AK485" s="190"/>
      <c r="AL485" s="99"/>
    </row>
    <row r="486" spans="1:40" x14ac:dyDescent="0.3">
      <c r="A486" s="99"/>
      <c r="R486" s="99"/>
      <c r="AK486" s="190"/>
      <c r="AL486" s="99"/>
    </row>
    <row r="487" spans="1:40" x14ac:dyDescent="0.3">
      <c r="L487" s="99"/>
      <c r="M487" s="99"/>
      <c r="AA487" s="99"/>
      <c r="AB487" s="99"/>
    </row>
    <row r="488" spans="1:40" x14ac:dyDescent="0.3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91"/>
      <c r="AH488" s="101"/>
      <c r="AI488" s="101"/>
      <c r="AJ488" s="101"/>
      <c r="AK488" s="191"/>
      <c r="AL488" s="101"/>
      <c r="AM488" s="101"/>
      <c r="AN488" s="101"/>
    </row>
    <row r="489" spans="1:40" x14ac:dyDescent="0.3">
      <c r="L489" s="102"/>
      <c r="M489" s="102"/>
      <c r="N489" s="102"/>
      <c r="O489" s="102"/>
      <c r="R489" s="102"/>
      <c r="AA489" s="102"/>
      <c r="AB489" s="102"/>
      <c r="AC489" s="102"/>
      <c r="AD489" s="102"/>
      <c r="AE489" s="102"/>
      <c r="AF489" s="102"/>
      <c r="AG489" s="151"/>
      <c r="AH489" s="102"/>
      <c r="AK489" s="151"/>
      <c r="AL489" s="102"/>
      <c r="AM489" s="102"/>
      <c r="AN489" s="102"/>
    </row>
    <row r="490" spans="1:40" x14ac:dyDescent="0.3">
      <c r="L490" s="102"/>
      <c r="M490" s="102"/>
      <c r="N490" s="102"/>
      <c r="O490" s="102"/>
      <c r="R490" s="102"/>
      <c r="Z490" s="102"/>
      <c r="AA490" s="102"/>
      <c r="AB490" s="102"/>
      <c r="AC490" s="102"/>
      <c r="AD490" s="102"/>
      <c r="AE490" s="102"/>
      <c r="AF490" s="102"/>
      <c r="AG490" s="151"/>
      <c r="AH490" s="102"/>
      <c r="AK490" s="151"/>
      <c r="AL490" s="102"/>
      <c r="AM490" s="102"/>
      <c r="AN490" s="102"/>
    </row>
    <row r="491" spans="1:40" x14ac:dyDescent="0.3">
      <c r="A491" s="102"/>
      <c r="C491" s="102"/>
      <c r="D491" s="102"/>
      <c r="E491" s="102"/>
      <c r="F491" s="102"/>
      <c r="J491" s="102"/>
      <c r="K491" s="102"/>
      <c r="L491" s="102"/>
      <c r="M491" s="102"/>
      <c r="N491" s="102"/>
      <c r="O491" s="102"/>
      <c r="P491" s="102"/>
      <c r="Q491" s="102"/>
      <c r="R491" s="102"/>
      <c r="T491" s="102"/>
      <c r="U491" s="102"/>
      <c r="V491" s="102"/>
      <c r="Z491" s="102"/>
      <c r="AA491" s="102"/>
      <c r="AB491" s="102"/>
      <c r="AC491" s="102"/>
      <c r="AD491" s="102"/>
      <c r="AE491" s="102"/>
      <c r="AF491" s="102"/>
      <c r="AG491" s="151"/>
      <c r="AH491" s="102"/>
      <c r="AI491" s="102"/>
      <c r="AJ491" s="102"/>
      <c r="AK491" s="151"/>
      <c r="AL491" s="102"/>
      <c r="AM491" s="102"/>
      <c r="AN491" s="102"/>
    </row>
    <row r="492" spans="1:40" x14ac:dyDescent="0.3">
      <c r="A492" s="102"/>
      <c r="C492" s="102"/>
      <c r="D492" s="102"/>
      <c r="E492" s="102"/>
      <c r="F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T492" s="102"/>
      <c r="U492" s="102"/>
      <c r="V492" s="102"/>
      <c r="Y492" s="102"/>
      <c r="Z492" s="102"/>
      <c r="AA492" s="102"/>
      <c r="AB492" s="102"/>
      <c r="AC492" s="102"/>
      <c r="AD492" s="102"/>
      <c r="AE492" s="102"/>
      <c r="AF492" s="102"/>
      <c r="AG492" s="151"/>
      <c r="AH492" s="102"/>
      <c r="AI492" s="102"/>
      <c r="AJ492" s="102"/>
      <c r="AK492" s="151"/>
      <c r="AL492" s="102"/>
      <c r="AM492" s="102"/>
      <c r="AN492" s="102"/>
    </row>
    <row r="493" spans="1:40" x14ac:dyDescent="0.3">
      <c r="C493" s="102"/>
      <c r="D493" s="102"/>
      <c r="E493" s="102"/>
      <c r="F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T493" s="102"/>
      <c r="U493" s="102"/>
      <c r="V493" s="102"/>
      <c r="Y493" s="102"/>
      <c r="Z493" s="102"/>
      <c r="AA493" s="102"/>
      <c r="AB493" s="102"/>
      <c r="AC493" s="102"/>
      <c r="AD493" s="102"/>
      <c r="AE493" s="102"/>
      <c r="AF493" s="102"/>
      <c r="AG493" s="151"/>
      <c r="AH493" s="102"/>
      <c r="AI493" s="102"/>
      <c r="AJ493" s="102"/>
      <c r="AK493" s="151"/>
      <c r="AL493" s="102"/>
      <c r="AM493" s="102"/>
      <c r="AN493" s="102"/>
    </row>
    <row r="494" spans="1:40" x14ac:dyDescent="0.3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91"/>
      <c r="AH494" s="101"/>
      <c r="AI494" s="101"/>
      <c r="AJ494" s="101"/>
      <c r="AK494" s="191"/>
      <c r="AL494" s="101"/>
      <c r="AM494" s="101"/>
      <c r="AN494" s="101"/>
    </row>
    <row r="495" spans="1:40" x14ac:dyDescent="0.3"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Y495" s="102"/>
      <c r="Z495" s="102"/>
      <c r="AA495" s="102"/>
      <c r="AB495" s="102"/>
      <c r="AC495" s="102"/>
      <c r="AD495" s="102"/>
      <c r="AE495" s="102"/>
      <c r="AF495" s="102"/>
      <c r="AG495" s="151"/>
      <c r="AH495" s="102"/>
      <c r="AI495" s="102"/>
      <c r="AJ495" s="102"/>
      <c r="AK495" s="151"/>
      <c r="AL495" s="102"/>
      <c r="AM495" s="102"/>
      <c r="AN495" s="102"/>
    </row>
    <row r="496" spans="1:40" x14ac:dyDescent="0.3">
      <c r="C496" s="99"/>
      <c r="D496" s="99"/>
      <c r="E496" s="99"/>
      <c r="T496" s="99"/>
      <c r="U496" s="99"/>
    </row>
    <row r="497" spans="3:40" x14ac:dyDescent="0.3">
      <c r="D497" s="99"/>
      <c r="E497" s="99"/>
      <c r="U497" s="99"/>
    </row>
    <row r="499" spans="3:40" x14ac:dyDescent="0.3">
      <c r="C499" s="99"/>
      <c r="F499" s="110"/>
      <c r="J499" s="209"/>
      <c r="K499" s="209"/>
      <c r="L499" s="110"/>
      <c r="M499" s="110"/>
      <c r="R499" s="110"/>
      <c r="T499" s="99"/>
      <c r="V499" s="110"/>
      <c r="Z499" s="209"/>
      <c r="AA499" s="110"/>
      <c r="AB499" s="110"/>
      <c r="AH499" s="110"/>
      <c r="AL499" s="110"/>
    </row>
    <row r="500" spans="3:40" x14ac:dyDescent="0.3">
      <c r="C500" s="99"/>
      <c r="F500" s="110"/>
      <c r="R500" s="110"/>
      <c r="T500" s="99"/>
      <c r="V500" s="110"/>
      <c r="AH500" s="110"/>
      <c r="AL500" s="110"/>
    </row>
    <row r="501" spans="3:40" x14ac:dyDescent="0.3">
      <c r="AI501" s="110"/>
      <c r="AJ501" s="110"/>
      <c r="AL501" s="110"/>
      <c r="AM501" s="141"/>
      <c r="AN501" s="141"/>
    </row>
    <row r="502" spans="3:40" x14ac:dyDescent="0.3">
      <c r="C502" s="99"/>
      <c r="F502" s="172"/>
      <c r="H502" s="172"/>
      <c r="I502" s="172"/>
      <c r="J502" s="227"/>
      <c r="K502" s="227"/>
      <c r="L502" s="110"/>
      <c r="M502" s="110"/>
      <c r="N502" s="141"/>
      <c r="O502" s="141"/>
      <c r="P502" s="110"/>
      <c r="Q502" s="110"/>
      <c r="R502" s="110"/>
      <c r="T502" s="99"/>
      <c r="V502" s="110"/>
      <c r="Y502" s="110"/>
      <c r="Z502" s="227"/>
      <c r="AA502" s="110"/>
      <c r="AB502" s="110"/>
      <c r="AC502" s="141"/>
      <c r="AD502" s="141"/>
      <c r="AE502" s="110"/>
      <c r="AF502" s="110"/>
      <c r="AH502" s="207"/>
      <c r="AI502" s="110"/>
      <c r="AJ502" s="110"/>
      <c r="AL502" s="110"/>
      <c r="AM502" s="141"/>
      <c r="AN502" s="141"/>
    </row>
    <row r="503" spans="3:40" x14ac:dyDescent="0.3">
      <c r="F503" s="110"/>
      <c r="H503" s="110"/>
      <c r="I503" s="110"/>
      <c r="J503" s="198"/>
      <c r="K503" s="198"/>
      <c r="L503" s="110"/>
      <c r="M503" s="110"/>
      <c r="P503" s="110"/>
      <c r="Q503" s="110"/>
      <c r="R503" s="110"/>
      <c r="V503" s="110"/>
      <c r="Y503" s="110"/>
      <c r="Z503" s="198"/>
      <c r="AA503" s="110"/>
      <c r="AB503" s="110"/>
      <c r="AI503" s="110"/>
      <c r="AJ503" s="110"/>
      <c r="AL503" s="110"/>
      <c r="AM503" s="141"/>
      <c r="AN503" s="141"/>
    </row>
    <row r="504" spans="3:40" x14ac:dyDescent="0.3">
      <c r="F504" s="110"/>
      <c r="R504" s="110"/>
      <c r="V504" s="110"/>
      <c r="AL504" s="110"/>
      <c r="AM504" s="141"/>
      <c r="AN504" s="141"/>
    </row>
    <row r="505" spans="3:40" x14ac:dyDescent="0.3">
      <c r="C505" s="99"/>
      <c r="F505" s="110"/>
      <c r="J505" s="209"/>
      <c r="K505" s="209"/>
      <c r="L505" s="110"/>
      <c r="M505" s="110"/>
      <c r="N505" s="141"/>
      <c r="O505" s="141"/>
      <c r="R505" s="110"/>
      <c r="T505" s="99"/>
      <c r="V505" s="110"/>
      <c r="Z505" s="209"/>
      <c r="AA505" s="110"/>
      <c r="AB505" s="110"/>
      <c r="AC505" s="141"/>
      <c r="AD505" s="141"/>
      <c r="AL505" s="110"/>
      <c r="AM505" s="141"/>
      <c r="AN505" s="141"/>
    </row>
    <row r="506" spans="3:40" x14ac:dyDescent="0.3">
      <c r="C506" s="99"/>
      <c r="F506" s="110"/>
      <c r="H506" s="110"/>
      <c r="I506" s="110"/>
      <c r="J506" s="209"/>
      <c r="K506" s="209"/>
      <c r="L506" s="110"/>
      <c r="M506" s="110"/>
      <c r="N506" s="141"/>
      <c r="O506" s="141"/>
      <c r="P506" s="110"/>
      <c r="Q506" s="110"/>
      <c r="R506" s="110"/>
      <c r="T506" s="99"/>
      <c r="V506" s="110"/>
      <c r="Y506" s="110"/>
      <c r="Z506" s="209"/>
      <c r="AA506" s="110"/>
      <c r="AB506" s="110"/>
      <c r="AC506" s="141"/>
      <c r="AD506" s="141"/>
      <c r="AI506" s="110"/>
      <c r="AJ506" s="110"/>
      <c r="AL506" s="110"/>
      <c r="AM506" s="141"/>
      <c r="AN506" s="141"/>
    </row>
    <row r="507" spans="3:40" x14ac:dyDescent="0.3">
      <c r="C507" s="99"/>
      <c r="T507" s="99"/>
      <c r="AM507" s="141"/>
      <c r="AN507" s="141"/>
    </row>
    <row r="508" spans="3:40" x14ac:dyDescent="0.3">
      <c r="C508" s="99"/>
      <c r="T508" s="99"/>
      <c r="AM508" s="141"/>
      <c r="AN508" s="141"/>
    </row>
    <row r="509" spans="3:40" x14ac:dyDescent="0.3">
      <c r="AM509" s="141"/>
      <c r="AN509" s="141"/>
    </row>
    <row r="510" spans="3:40" x14ac:dyDescent="0.3">
      <c r="C510" s="99"/>
      <c r="F510" s="172"/>
      <c r="H510" s="172"/>
      <c r="I510" s="172"/>
      <c r="J510" s="227"/>
      <c r="K510" s="227"/>
      <c r="L510" s="110"/>
      <c r="M510" s="110"/>
      <c r="N510" s="141"/>
      <c r="O510" s="141"/>
      <c r="P510" s="110"/>
      <c r="Q510" s="110"/>
      <c r="R510" s="110"/>
      <c r="T510" s="99"/>
      <c r="V510" s="110"/>
      <c r="Y510" s="110"/>
      <c r="Z510" s="227"/>
      <c r="AA510" s="110"/>
      <c r="AB510" s="110"/>
      <c r="AC510" s="141"/>
      <c r="AD510" s="141"/>
      <c r="AE510" s="110"/>
      <c r="AF510" s="110"/>
      <c r="AH510" s="207"/>
      <c r="AI510" s="110"/>
      <c r="AJ510" s="110"/>
      <c r="AL510" s="110"/>
      <c r="AM510" s="141"/>
      <c r="AN510" s="141"/>
    </row>
    <row r="511" spans="3:40" x14ac:dyDescent="0.3">
      <c r="F511" s="192"/>
      <c r="H511" s="192"/>
      <c r="I511" s="192"/>
      <c r="J511" s="217"/>
      <c r="K511" s="217"/>
      <c r="L511" s="192"/>
      <c r="M511" s="192"/>
      <c r="N511" s="192"/>
      <c r="O511" s="192"/>
      <c r="P511" s="192"/>
      <c r="Q511" s="192"/>
      <c r="R511" s="192"/>
      <c r="V511" s="192"/>
      <c r="Y511" s="192"/>
      <c r="Z511" s="217"/>
      <c r="AA511" s="192"/>
      <c r="AB511" s="192"/>
      <c r="AC511" s="192"/>
      <c r="AD511" s="192"/>
      <c r="AE511" s="192"/>
      <c r="AF511" s="192"/>
      <c r="AI511" s="192"/>
      <c r="AJ511" s="192"/>
      <c r="AK511" s="194"/>
      <c r="AL511" s="192"/>
      <c r="AM511" s="141"/>
      <c r="AN511" s="141"/>
    </row>
    <row r="512" spans="3:40" x14ac:dyDescent="0.3">
      <c r="H512" s="110"/>
      <c r="I512" s="110"/>
      <c r="Y512" s="110"/>
      <c r="AM512" s="141"/>
      <c r="AN512" s="141"/>
    </row>
    <row r="513" spans="1:40" x14ac:dyDescent="0.3">
      <c r="C513" s="99"/>
      <c r="F513" s="110"/>
      <c r="H513" s="110"/>
      <c r="I513" s="110"/>
      <c r="L513" s="110"/>
      <c r="M513" s="110"/>
      <c r="N513" s="141"/>
      <c r="O513" s="141"/>
      <c r="P513" s="172"/>
      <c r="Q513" s="172"/>
      <c r="R513" s="110"/>
      <c r="T513" s="99"/>
      <c r="V513" s="110"/>
      <c r="Y513" s="110"/>
      <c r="AA513" s="110"/>
      <c r="AB513" s="110"/>
      <c r="AC513" s="141"/>
      <c r="AD513" s="141"/>
      <c r="AE513" s="110"/>
      <c r="AF513" s="110"/>
      <c r="AH513" s="207"/>
      <c r="AI513" s="172"/>
      <c r="AJ513" s="172"/>
      <c r="AL513" s="110"/>
      <c r="AM513" s="141"/>
      <c r="AN513" s="141"/>
    </row>
    <row r="514" spans="1:40" x14ac:dyDescent="0.3">
      <c r="F514" s="192"/>
      <c r="H514" s="192"/>
      <c r="I514" s="192"/>
      <c r="J514" s="217"/>
      <c r="K514" s="217"/>
      <c r="L514" s="192"/>
      <c r="M514" s="192"/>
      <c r="N514" s="192"/>
      <c r="O514" s="192"/>
      <c r="P514" s="192"/>
      <c r="Q514" s="192"/>
      <c r="R514" s="192"/>
      <c r="V514" s="192"/>
      <c r="Y514" s="192"/>
      <c r="Z514" s="217"/>
      <c r="AA514" s="192"/>
      <c r="AB514" s="192"/>
      <c r="AC514" s="192"/>
      <c r="AD514" s="192"/>
      <c r="AE514" s="192"/>
      <c r="AF514" s="192"/>
      <c r="AI514" s="192"/>
      <c r="AJ514" s="192"/>
      <c r="AK514" s="194"/>
      <c r="AL514" s="192"/>
      <c r="AM514" s="141"/>
      <c r="AN514" s="141"/>
    </row>
    <row r="516" spans="1:40" x14ac:dyDescent="0.3">
      <c r="F516" s="110"/>
      <c r="H516" s="110"/>
      <c r="I516" s="110"/>
      <c r="J516" s="198"/>
      <c r="K516" s="198"/>
      <c r="L516" s="110"/>
      <c r="M516" s="110"/>
      <c r="N516" s="110"/>
      <c r="O516" s="110"/>
      <c r="P516" s="110"/>
      <c r="Q516" s="110"/>
      <c r="R516" s="110"/>
      <c r="V516" s="110"/>
      <c r="Y516" s="110"/>
      <c r="Z516" s="198"/>
      <c r="AA516" s="110"/>
      <c r="AB516" s="110"/>
      <c r="AC516" s="110"/>
      <c r="AD516" s="110"/>
      <c r="AE516" s="110"/>
      <c r="AF516" s="110"/>
      <c r="AH516" s="110"/>
      <c r="AI516" s="110"/>
      <c r="AJ516" s="110"/>
      <c r="AL516" s="110"/>
    </row>
    <row r="517" spans="1:40" x14ac:dyDescent="0.3">
      <c r="A517" s="99"/>
    </row>
    <row r="519" spans="1:40" x14ac:dyDescent="0.3">
      <c r="H519" s="99"/>
      <c r="I519" s="99"/>
      <c r="Y519" s="99"/>
    </row>
    <row r="521" spans="1:40" x14ac:dyDescent="0.3">
      <c r="L521" s="99"/>
      <c r="M521" s="99"/>
      <c r="AA521" s="99"/>
      <c r="AB521" s="99"/>
    </row>
    <row r="522" spans="1:40" x14ac:dyDescent="0.3">
      <c r="R522" s="99"/>
      <c r="AK522" s="190"/>
      <c r="AL522" s="99"/>
    </row>
    <row r="523" spans="1:40" x14ac:dyDescent="0.3">
      <c r="R523" s="99"/>
      <c r="AK523" s="190"/>
      <c r="AL523" s="99"/>
    </row>
    <row r="524" spans="1:40" x14ac:dyDescent="0.3">
      <c r="A524" s="99"/>
      <c r="R524" s="99"/>
      <c r="AK524" s="190"/>
      <c r="AL524" s="99"/>
    </row>
    <row r="525" spans="1:40" x14ac:dyDescent="0.3">
      <c r="L525" s="99"/>
      <c r="M525" s="99"/>
      <c r="AA525" s="99"/>
      <c r="AB525" s="99"/>
    </row>
    <row r="526" spans="1:40" x14ac:dyDescent="0.3">
      <c r="A526" s="101"/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T526" s="101"/>
      <c r="U526" s="101"/>
      <c r="V526" s="101"/>
      <c r="W526" s="101"/>
      <c r="X526" s="101"/>
      <c r="Y526" s="101"/>
      <c r="Z526" s="101"/>
      <c r="AA526" s="101"/>
      <c r="AB526" s="101"/>
      <c r="AC526" s="101"/>
      <c r="AD526" s="101"/>
      <c r="AE526" s="101"/>
      <c r="AF526" s="101"/>
      <c r="AG526" s="191"/>
      <c r="AH526" s="101"/>
      <c r="AI526" s="101"/>
      <c r="AJ526" s="101"/>
      <c r="AK526" s="191"/>
      <c r="AL526" s="101"/>
      <c r="AM526" s="101"/>
      <c r="AN526" s="101"/>
    </row>
    <row r="527" spans="1:40" x14ac:dyDescent="0.3">
      <c r="L527" s="102"/>
      <c r="M527" s="102"/>
      <c r="N527" s="102"/>
      <c r="O527" s="102"/>
      <c r="R527" s="102"/>
      <c r="AA527" s="102"/>
      <c r="AB527" s="102"/>
      <c r="AC527" s="102"/>
      <c r="AD527" s="102"/>
      <c r="AE527" s="102"/>
      <c r="AF527" s="102"/>
      <c r="AG527" s="151"/>
      <c r="AH527" s="102"/>
      <c r="AK527" s="151"/>
      <c r="AL527" s="102"/>
      <c r="AM527" s="102"/>
      <c r="AN527" s="102"/>
    </row>
    <row r="528" spans="1:40" x14ac:dyDescent="0.3">
      <c r="L528" s="102"/>
      <c r="M528" s="102"/>
      <c r="N528" s="102"/>
      <c r="O528" s="102"/>
      <c r="R528" s="102"/>
      <c r="Z528" s="102"/>
      <c r="AA528" s="102"/>
      <c r="AB528" s="102"/>
      <c r="AC528" s="102"/>
      <c r="AD528" s="102"/>
      <c r="AE528" s="102"/>
      <c r="AF528" s="102"/>
      <c r="AG528" s="151"/>
      <c r="AH528" s="102"/>
      <c r="AK528" s="151"/>
      <c r="AL528" s="102"/>
      <c r="AM528" s="102"/>
      <c r="AN528" s="102"/>
    </row>
    <row r="529" spans="1:40" x14ac:dyDescent="0.3">
      <c r="A529" s="102"/>
      <c r="C529" s="102"/>
      <c r="D529" s="102"/>
      <c r="E529" s="102"/>
      <c r="F529" s="102"/>
      <c r="J529" s="102"/>
      <c r="K529" s="102"/>
      <c r="L529" s="102"/>
      <c r="M529" s="102"/>
      <c r="N529" s="102"/>
      <c r="O529" s="102"/>
      <c r="P529" s="102"/>
      <c r="Q529" s="102"/>
      <c r="R529" s="102"/>
      <c r="T529" s="102"/>
      <c r="U529" s="102"/>
      <c r="V529" s="102"/>
      <c r="Z529" s="102"/>
      <c r="AA529" s="102"/>
      <c r="AB529" s="102"/>
      <c r="AC529" s="102"/>
      <c r="AD529" s="102"/>
      <c r="AE529" s="102"/>
      <c r="AF529" s="102"/>
      <c r="AG529" s="151"/>
      <c r="AH529" s="102"/>
      <c r="AI529" s="102"/>
      <c r="AJ529" s="102"/>
      <c r="AK529" s="151"/>
      <c r="AL529" s="102"/>
      <c r="AM529" s="102"/>
      <c r="AN529" s="102"/>
    </row>
    <row r="530" spans="1:40" x14ac:dyDescent="0.3">
      <c r="A530" s="102"/>
      <c r="C530" s="102"/>
      <c r="D530" s="102"/>
      <c r="E530" s="102"/>
      <c r="F530" s="102"/>
      <c r="H530" s="102"/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T530" s="102"/>
      <c r="U530" s="102"/>
      <c r="V530" s="102"/>
      <c r="Y530" s="102"/>
      <c r="Z530" s="102"/>
      <c r="AA530" s="102"/>
      <c r="AB530" s="102"/>
      <c r="AC530" s="102"/>
      <c r="AD530" s="102"/>
      <c r="AE530" s="102"/>
      <c r="AF530" s="102"/>
      <c r="AG530" s="151"/>
      <c r="AH530" s="102"/>
      <c r="AI530" s="102"/>
      <c r="AJ530" s="102"/>
      <c r="AK530" s="151"/>
      <c r="AL530" s="102"/>
      <c r="AM530" s="102"/>
      <c r="AN530" s="102"/>
    </row>
    <row r="531" spans="1:40" x14ac:dyDescent="0.3">
      <c r="C531" s="102"/>
      <c r="D531" s="102"/>
      <c r="E531" s="102"/>
      <c r="F531" s="102"/>
      <c r="H531" s="102"/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T531" s="102"/>
      <c r="U531" s="102"/>
      <c r="V531" s="102"/>
      <c r="Y531" s="102"/>
      <c r="Z531" s="102"/>
      <c r="AA531" s="102"/>
      <c r="AB531" s="102"/>
      <c r="AC531" s="102"/>
      <c r="AD531" s="102"/>
      <c r="AE531" s="102"/>
      <c r="AF531" s="102"/>
      <c r="AG531" s="151"/>
      <c r="AH531" s="102"/>
      <c r="AI531" s="102"/>
      <c r="AJ531" s="102"/>
      <c r="AK531" s="151"/>
      <c r="AL531" s="102"/>
      <c r="AM531" s="102"/>
      <c r="AN531" s="102"/>
    </row>
    <row r="532" spans="1:40" x14ac:dyDescent="0.3">
      <c r="A532" s="101"/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T532" s="101"/>
      <c r="U532" s="101"/>
      <c r="V532" s="101"/>
      <c r="W532" s="101"/>
      <c r="X532" s="101"/>
      <c r="Y532" s="101"/>
      <c r="Z532" s="101"/>
      <c r="AA532" s="101"/>
      <c r="AB532" s="101"/>
      <c r="AC532" s="101"/>
      <c r="AD532" s="101"/>
      <c r="AE532" s="101"/>
      <c r="AF532" s="101"/>
      <c r="AG532" s="191"/>
      <c r="AH532" s="101"/>
      <c r="AI532" s="101"/>
      <c r="AJ532" s="101"/>
      <c r="AK532" s="191"/>
      <c r="AL532" s="101"/>
      <c r="AM532" s="101"/>
      <c r="AN532" s="101"/>
    </row>
    <row r="533" spans="1:40" x14ac:dyDescent="0.3"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Y533" s="102"/>
      <c r="Z533" s="102"/>
      <c r="AA533" s="102"/>
      <c r="AB533" s="102"/>
      <c r="AC533" s="102"/>
      <c r="AD533" s="102"/>
      <c r="AE533" s="102"/>
      <c r="AF533" s="102"/>
      <c r="AG533" s="151"/>
      <c r="AH533" s="102"/>
      <c r="AI533" s="102"/>
      <c r="AJ533" s="102"/>
      <c r="AK533" s="151"/>
      <c r="AL533" s="102"/>
      <c r="AM533" s="102"/>
      <c r="AN533" s="102"/>
    </row>
    <row r="534" spans="1:40" x14ac:dyDescent="0.3">
      <c r="C534" s="99"/>
      <c r="D534" s="99"/>
      <c r="E534" s="99"/>
      <c r="T534" s="99"/>
      <c r="U534" s="99"/>
      <c r="V534" s="110"/>
      <c r="W534" s="110"/>
      <c r="X534" s="110"/>
      <c r="Y534" s="110"/>
      <c r="Z534" s="227"/>
    </row>
    <row r="536" spans="1:40" x14ac:dyDescent="0.3">
      <c r="C536" s="99"/>
      <c r="T536" s="99"/>
      <c r="V536" s="110"/>
      <c r="W536" s="110"/>
      <c r="X536" s="110"/>
      <c r="Y536" s="110"/>
      <c r="Z536" s="227"/>
    </row>
    <row r="537" spans="1:40" x14ac:dyDescent="0.3">
      <c r="C537" s="99"/>
      <c r="F537" s="172"/>
      <c r="H537" s="172"/>
      <c r="I537" s="172"/>
      <c r="J537" s="228"/>
      <c r="K537" s="228"/>
      <c r="L537" s="110"/>
      <c r="M537" s="110"/>
      <c r="N537" s="141"/>
      <c r="O537" s="141"/>
      <c r="P537" s="110"/>
      <c r="Q537" s="110"/>
      <c r="R537" s="110"/>
      <c r="T537" s="99"/>
      <c r="V537" s="110"/>
      <c r="W537" s="110"/>
      <c r="X537" s="110"/>
      <c r="Y537" s="110"/>
      <c r="Z537" s="228"/>
      <c r="AA537" s="110"/>
      <c r="AB537" s="110"/>
      <c r="AC537" s="141"/>
      <c r="AD537" s="141"/>
      <c r="AE537" s="110"/>
      <c r="AF537" s="110"/>
      <c r="AH537" s="207"/>
      <c r="AI537" s="110"/>
      <c r="AJ537" s="110"/>
      <c r="AL537" s="110"/>
      <c r="AM537" s="141"/>
      <c r="AN537" s="141"/>
    </row>
    <row r="538" spans="1:40" x14ac:dyDescent="0.3">
      <c r="C538" s="99"/>
      <c r="F538" s="172"/>
      <c r="H538" s="172"/>
      <c r="I538" s="172"/>
      <c r="J538" s="228"/>
      <c r="K538" s="228"/>
      <c r="L538" s="110"/>
      <c r="M538" s="110"/>
      <c r="N538" s="141"/>
      <c r="O538" s="141"/>
      <c r="P538" s="110"/>
      <c r="Q538" s="110"/>
      <c r="R538" s="110"/>
      <c r="T538" s="99"/>
      <c r="V538" s="110"/>
      <c r="W538" s="110"/>
      <c r="X538" s="110"/>
      <c r="Y538" s="110"/>
      <c r="Z538" s="228"/>
      <c r="AA538" s="110"/>
      <c r="AB538" s="110"/>
      <c r="AC538" s="141"/>
      <c r="AD538" s="141"/>
      <c r="AE538" s="110"/>
      <c r="AF538" s="110"/>
      <c r="AH538" s="207"/>
      <c r="AI538" s="110"/>
      <c r="AJ538" s="110"/>
      <c r="AL538" s="110"/>
      <c r="AM538" s="141"/>
      <c r="AN538" s="141"/>
    </row>
    <row r="539" spans="1:40" x14ac:dyDescent="0.3">
      <c r="C539" s="99"/>
      <c r="F539" s="172"/>
      <c r="H539" s="172"/>
      <c r="I539" s="172"/>
      <c r="J539" s="228"/>
      <c r="K539" s="228"/>
      <c r="L539" s="110"/>
      <c r="M539" s="110"/>
      <c r="N539" s="141"/>
      <c r="O539" s="141"/>
      <c r="P539" s="110"/>
      <c r="Q539" s="110"/>
      <c r="R539" s="110"/>
      <c r="T539" s="99"/>
      <c r="V539" s="110"/>
      <c r="W539" s="110"/>
      <c r="X539" s="110"/>
      <c r="Y539" s="110"/>
      <c r="Z539" s="228"/>
      <c r="AA539" s="110"/>
      <c r="AB539" s="110"/>
      <c r="AC539" s="141"/>
      <c r="AD539" s="141"/>
      <c r="AE539" s="110"/>
      <c r="AF539" s="110"/>
      <c r="AH539" s="207"/>
      <c r="AI539" s="110"/>
      <c r="AJ539" s="110"/>
      <c r="AL539" s="110"/>
      <c r="AM539" s="141"/>
      <c r="AN539" s="141"/>
    </row>
    <row r="540" spans="1:40" x14ac:dyDescent="0.3">
      <c r="C540" s="99"/>
      <c r="F540" s="172"/>
      <c r="H540" s="172"/>
      <c r="I540" s="172"/>
      <c r="J540" s="228"/>
      <c r="K540" s="228"/>
      <c r="L540" s="110"/>
      <c r="M540" s="110"/>
      <c r="N540" s="141"/>
      <c r="O540" s="141"/>
      <c r="P540" s="110"/>
      <c r="Q540" s="110"/>
      <c r="R540" s="110"/>
      <c r="T540" s="99"/>
      <c r="V540" s="110"/>
      <c r="W540" s="110"/>
      <c r="X540" s="110"/>
      <c r="Y540" s="110"/>
      <c r="Z540" s="228"/>
      <c r="AA540" s="110"/>
      <c r="AB540" s="110"/>
      <c r="AC540" s="141"/>
      <c r="AD540" s="141"/>
      <c r="AE540" s="110"/>
      <c r="AF540" s="110"/>
      <c r="AH540" s="207"/>
      <c r="AI540" s="110"/>
      <c r="AJ540" s="110"/>
      <c r="AL540" s="110"/>
      <c r="AM540" s="141"/>
      <c r="AN540" s="141"/>
    </row>
    <row r="541" spans="1:40" x14ac:dyDescent="0.3">
      <c r="J541" s="163"/>
      <c r="K541" s="163"/>
      <c r="V541" s="110"/>
      <c r="W541" s="110"/>
      <c r="X541" s="110"/>
      <c r="Y541" s="110"/>
      <c r="Z541" s="228"/>
    </row>
    <row r="542" spans="1:40" x14ac:dyDescent="0.3">
      <c r="C542" s="99"/>
      <c r="F542" s="172"/>
      <c r="H542" s="172"/>
      <c r="I542" s="172"/>
      <c r="J542" s="228"/>
      <c r="K542" s="228"/>
      <c r="L542" s="110"/>
      <c r="M542" s="110"/>
      <c r="N542" s="141"/>
      <c r="O542" s="141"/>
      <c r="P542" s="110"/>
      <c r="Q542" s="110"/>
      <c r="R542" s="110"/>
      <c r="T542" s="99"/>
      <c r="V542" s="110"/>
      <c r="W542" s="110"/>
      <c r="X542" s="110"/>
      <c r="Y542" s="110"/>
      <c r="Z542" s="228"/>
      <c r="AA542" s="110"/>
      <c r="AB542" s="110"/>
      <c r="AC542" s="141"/>
      <c r="AD542" s="141"/>
      <c r="AE542" s="110"/>
      <c r="AF542" s="110"/>
      <c r="AH542" s="207"/>
      <c r="AI542" s="110"/>
      <c r="AJ542" s="110"/>
      <c r="AL542" s="110"/>
      <c r="AM542" s="207"/>
      <c r="AN542" s="207"/>
    </row>
    <row r="543" spans="1:40" x14ac:dyDescent="0.3">
      <c r="C543" s="99"/>
      <c r="J543" s="163"/>
      <c r="K543" s="163"/>
      <c r="T543" s="99"/>
      <c r="V543" s="110"/>
      <c r="W543" s="110"/>
      <c r="X543" s="110"/>
      <c r="Y543" s="110"/>
      <c r="Z543" s="228"/>
    </row>
    <row r="544" spans="1:40" x14ac:dyDescent="0.3">
      <c r="C544" s="99"/>
      <c r="F544" s="172"/>
      <c r="H544" s="172"/>
      <c r="I544" s="172"/>
      <c r="J544" s="228"/>
      <c r="K544" s="228"/>
      <c r="L544" s="110"/>
      <c r="M544" s="110"/>
      <c r="N544" s="141"/>
      <c r="O544" s="141"/>
      <c r="P544" s="110"/>
      <c r="Q544" s="110"/>
      <c r="R544" s="110"/>
      <c r="T544" s="99"/>
      <c r="V544" s="110"/>
      <c r="W544" s="110"/>
      <c r="X544" s="110"/>
      <c r="Y544" s="110"/>
      <c r="Z544" s="228"/>
      <c r="AA544" s="110"/>
      <c r="AB544" s="110"/>
      <c r="AC544" s="141"/>
      <c r="AD544" s="141"/>
      <c r="AE544" s="110"/>
      <c r="AF544" s="110"/>
      <c r="AH544" s="207"/>
      <c r="AI544" s="110"/>
      <c r="AJ544" s="110"/>
      <c r="AL544" s="110"/>
      <c r="AM544" s="207"/>
      <c r="AN544" s="207"/>
    </row>
    <row r="545" spans="1:40" x14ac:dyDescent="0.3">
      <c r="J545" s="163"/>
      <c r="K545" s="163"/>
      <c r="Z545" s="163"/>
    </row>
    <row r="546" spans="1:40" x14ac:dyDescent="0.3">
      <c r="C546" s="99"/>
      <c r="J546" s="163"/>
      <c r="K546" s="163"/>
      <c r="T546" s="99"/>
      <c r="V546" s="110"/>
      <c r="W546" s="110"/>
      <c r="X546" s="110"/>
      <c r="Y546" s="110"/>
      <c r="Z546" s="228"/>
    </row>
    <row r="547" spans="1:40" x14ac:dyDescent="0.3">
      <c r="C547" s="99"/>
      <c r="F547" s="172"/>
      <c r="H547" s="172"/>
      <c r="I547" s="172"/>
      <c r="J547" s="228"/>
      <c r="K547" s="228"/>
      <c r="L547" s="110"/>
      <c r="M547" s="110"/>
      <c r="N547" s="141"/>
      <c r="O547" s="141"/>
      <c r="P547" s="110"/>
      <c r="Q547" s="110"/>
      <c r="R547" s="110"/>
      <c r="T547" s="99"/>
      <c r="V547" s="110"/>
      <c r="W547" s="110"/>
      <c r="X547" s="110"/>
      <c r="Y547" s="110"/>
      <c r="Z547" s="228"/>
      <c r="AA547" s="110"/>
      <c r="AB547" s="110"/>
      <c r="AC547" s="141"/>
      <c r="AD547" s="141"/>
      <c r="AE547" s="110"/>
      <c r="AF547" s="110"/>
      <c r="AH547" s="207"/>
      <c r="AI547" s="110"/>
      <c r="AJ547" s="110"/>
      <c r="AL547" s="110"/>
      <c r="AM547" s="207"/>
      <c r="AN547" s="207"/>
    </row>
    <row r="548" spans="1:40" x14ac:dyDescent="0.3">
      <c r="C548" s="99"/>
      <c r="F548" s="172"/>
      <c r="H548" s="172"/>
      <c r="I548" s="172"/>
      <c r="J548" s="228"/>
      <c r="K548" s="228"/>
      <c r="L548" s="110"/>
      <c r="M548" s="110"/>
      <c r="N548" s="141"/>
      <c r="O548" s="141"/>
      <c r="P548" s="110"/>
      <c r="Q548" s="110"/>
      <c r="R548" s="110"/>
      <c r="T548" s="99"/>
      <c r="V548" s="110"/>
      <c r="W548" s="110"/>
      <c r="X548" s="110"/>
      <c r="Y548" s="110"/>
      <c r="Z548" s="228"/>
      <c r="AA548" s="110"/>
      <c r="AB548" s="110"/>
      <c r="AC548" s="141"/>
      <c r="AD548" s="141"/>
      <c r="AE548" s="110"/>
      <c r="AF548" s="110"/>
      <c r="AH548" s="207"/>
      <c r="AI548" s="110"/>
      <c r="AJ548" s="110"/>
      <c r="AL548" s="110"/>
      <c r="AM548" s="207"/>
      <c r="AN548" s="207"/>
    </row>
    <row r="549" spans="1:40" x14ac:dyDescent="0.3">
      <c r="F549" s="192"/>
      <c r="H549" s="192"/>
      <c r="I549" s="192"/>
      <c r="J549" s="228"/>
      <c r="K549" s="228"/>
      <c r="L549" s="192"/>
      <c r="M549" s="192"/>
      <c r="N549" s="192"/>
      <c r="O549" s="192"/>
      <c r="P549" s="192"/>
      <c r="Q549" s="192"/>
      <c r="R549" s="192"/>
      <c r="V549" s="192"/>
      <c r="Y549" s="192"/>
      <c r="Z549" s="217"/>
      <c r="AA549" s="192"/>
      <c r="AB549" s="192"/>
      <c r="AC549" s="192"/>
      <c r="AD549" s="192"/>
      <c r="AE549" s="192"/>
      <c r="AF549" s="192"/>
      <c r="AI549" s="192"/>
      <c r="AJ549" s="192"/>
      <c r="AK549" s="194"/>
      <c r="AL549" s="192"/>
    </row>
    <row r="550" spans="1:40" x14ac:dyDescent="0.3">
      <c r="C550" s="99"/>
      <c r="F550" s="110"/>
      <c r="H550" s="110"/>
      <c r="I550" s="110"/>
      <c r="L550" s="110"/>
      <c r="M550" s="110"/>
      <c r="N550" s="141"/>
      <c r="O550" s="141"/>
      <c r="P550" s="172"/>
      <c r="Q550" s="172"/>
      <c r="R550" s="110"/>
      <c r="T550" s="99"/>
      <c r="V550" s="110"/>
      <c r="W550" s="110"/>
      <c r="X550" s="110"/>
      <c r="Y550" s="110"/>
      <c r="Z550" s="227"/>
      <c r="AA550" s="110"/>
      <c r="AB550" s="110"/>
      <c r="AC550" s="141"/>
      <c r="AD550" s="141"/>
      <c r="AE550" s="110"/>
      <c r="AF550" s="110"/>
      <c r="AH550" s="207"/>
      <c r="AI550" s="172"/>
      <c r="AJ550" s="172"/>
      <c r="AL550" s="110"/>
      <c r="AM550" s="207"/>
      <c r="AN550" s="207"/>
    </row>
    <row r="551" spans="1:40" x14ac:dyDescent="0.3">
      <c r="F551" s="192"/>
      <c r="H551" s="192"/>
      <c r="I551" s="192"/>
      <c r="J551" s="217"/>
      <c r="K551" s="217"/>
      <c r="L551" s="192"/>
      <c r="M551" s="192"/>
      <c r="N551" s="192"/>
      <c r="O551" s="192"/>
      <c r="P551" s="192"/>
      <c r="Q551" s="192"/>
      <c r="R551" s="192"/>
      <c r="V551" s="192"/>
      <c r="Y551" s="192"/>
      <c r="Z551" s="217"/>
      <c r="AA551" s="192"/>
      <c r="AB551" s="192"/>
      <c r="AC551" s="192"/>
      <c r="AD551" s="192"/>
      <c r="AE551" s="192"/>
      <c r="AF551" s="192"/>
      <c r="AI551" s="192"/>
      <c r="AJ551" s="192"/>
      <c r="AK551" s="194"/>
      <c r="AL551" s="192"/>
    </row>
    <row r="554" spans="1:40" x14ac:dyDescent="0.3">
      <c r="A554" s="99"/>
    </row>
    <row r="556" spans="1:40" x14ac:dyDescent="0.3">
      <c r="H556" s="99"/>
      <c r="I556" s="99"/>
      <c r="Y556" s="99"/>
    </row>
    <row r="558" spans="1:40" x14ac:dyDescent="0.3">
      <c r="L558" s="99"/>
      <c r="M558" s="99"/>
      <c r="AA558" s="99"/>
      <c r="AB558" s="99"/>
    </row>
    <row r="559" spans="1:40" x14ac:dyDescent="0.3">
      <c r="R559" s="99"/>
      <c r="AK559" s="190"/>
      <c r="AL559" s="99"/>
    </row>
    <row r="560" spans="1:40" x14ac:dyDescent="0.3">
      <c r="R560" s="99"/>
      <c r="AK560" s="190"/>
      <c r="AL560" s="99"/>
    </row>
    <row r="561" spans="1:40" x14ac:dyDescent="0.3">
      <c r="A561" s="99"/>
      <c r="R561" s="99"/>
      <c r="AK561" s="190"/>
      <c r="AL561" s="99"/>
    </row>
    <row r="562" spans="1:40" x14ac:dyDescent="0.3">
      <c r="L562" s="99"/>
      <c r="M562" s="99"/>
      <c r="AA562" s="99"/>
      <c r="AB562" s="99"/>
    </row>
    <row r="563" spans="1:40" x14ac:dyDescent="0.3">
      <c r="A563" s="101"/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91"/>
      <c r="AH563" s="101"/>
      <c r="AI563" s="101"/>
      <c r="AJ563" s="101"/>
      <c r="AK563" s="191"/>
      <c r="AL563" s="101"/>
      <c r="AM563" s="101"/>
      <c r="AN563" s="101"/>
    </row>
    <row r="564" spans="1:40" x14ac:dyDescent="0.3">
      <c r="L564" s="102"/>
      <c r="M564" s="102"/>
      <c r="N564" s="102"/>
      <c r="O564" s="102"/>
      <c r="R564" s="102"/>
      <c r="AA564" s="102"/>
      <c r="AB564" s="102"/>
      <c r="AC564" s="102"/>
      <c r="AD564" s="102"/>
      <c r="AE564" s="102"/>
      <c r="AF564" s="102"/>
      <c r="AG564" s="151"/>
      <c r="AH564" s="102"/>
      <c r="AK564" s="151"/>
      <c r="AL564" s="102"/>
      <c r="AM564" s="102"/>
      <c r="AN564" s="102"/>
    </row>
    <row r="565" spans="1:40" x14ac:dyDescent="0.3">
      <c r="L565" s="102"/>
      <c r="M565" s="102"/>
      <c r="N565" s="102"/>
      <c r="O565" s="102"/>
      <c r="R565" s="102"/>
      <c r="Z565" s="102"/>
      <c r="AA565" s="102"/>
      <c r="AB565" s="102"/>
      <c r="AC565" s="102"/>
      <c r="AD565" s="102"/>
      <c r="AE565" s="102"/>
      <c r="AF565" s="102"/>
      <c r="AG565" s="151"/>
      <c r="AH565" s="102"/>
      <c r="AK565" s="151"/>
      <c r="AL565" s="102"/>
      <c r="AM565" s="102"/>
      <c r="AN565" s="102"/>
    </row>
    <row r="566" spans="1:40" x14ac:dyDescent="0.3">
      <c r="A566" s="102"/>
      <c r="C566" s="102"/>
      <c r="D566" s="102"/>
      <c r="E566" s="102"/>
      <c r="F566" s="102"/>
      <c r="J566" s="102"/>
      <c r="K566" s="102"/>
      <c r="L566" s="102"/>
      <c r="M566" s="102"/>
      <c r="N566" s="102"/>
      <c r="O566" s="102"/>
      <c r="P566" s="102"/>
      <c r="Q566" s="102"/>
      <c r="R566" s="102"/>
      <c r="T566" s="102"/>
      <c r="U566" s="102"/>
      <c r="V566" s="102"/>
      <c r="Z566" s="102"/>
      <c r="AA566" s="102"/>
      <c r="AB566" s="102"/>
      <c r="AC566" s="102"/>
      <c r="AD566" s="102"/>
      <c r="AE566" s="102"/>
      <c r="AF566" s="102"/>
      <c r="AG566" s="151"/>
      <c r="AH566" s="102"/>
      <c r="AI566" s="102"/>
      <c r="AJ566" s="102"/>
      <c r="AK566" s="151"/>
      <c r="AL566" s="102"/>
      <c r="AM566" s="102"/>
      <c r="AN566" s="102"/>
    </row>
    <row r="567" spans="1:40" x14ac:dyDescent="0.3">
      <c r="A567" s="102"/>
      <c r="C567" s="102"/>
      <c r="D567" s="102"/>
      <c r="E567" s="102"/>
      <c r="F567" s="102"/>
      <c r="H567" s="102"/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T567" s="102"/>
      <c r="U567" s="102"/>
      <c r="V567" s="102"/>
      <c r="Y567" s="102"/>
      <c r="Z567" s="102"/>
      <c r="AA567" s="102"/>
      <c r="AB567" s="102"/>
      <c r="AC567" s="102"/>
      <c r="AD567" s="102"/>
      <c r="AE567" s="102"/>
      <c r="AF567" s="102"/>
      <c r="AG567" s="151"/>
      <c r="AH567" s="102"/>
      <c r="AI567" s="102"/>
      <c r="AJ567" s="102"/>
      <c r="AK567" s="151"/>
      <c r="AL567" s="102"/>
      <c r="AM567" s="102"/>
      <c r="AN567" s="102"/>
    </row>
    <row r="568" spans="1:40" x14ac:dyDescent="0.3">
      <c r="C568" s="102"/>
      <c r="D568" s="102"/>
      <c r="E568" s="102"/>
      <c r="F568" s="102"/>
      <c r="H568" s="102"/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T568" s="102"/>
      <c r="U568" s="102"/>
      <c r="V568" s="102"/>
      <c r="Y568" s="102"/>
      <c r="Z568" s="102"/>
      <c r="AA568" s="102"/>
      <c r="AB568" s="102"/>
      <c r="AC568" s="102"/>
      <c r="AD568" s="102"/>
      <c r="AE568" s="102"/>
      <c r="AF568" s="102"/>
      <c r="AG568" s="151"/>
      <c r="AH568" s="102"/>
      <c r="AI568" s="102"/>
      <c r="AJ568" s="102"/>
      <c r="AK568" s="151"/>
      <c r="AL568" s="102"/>
      <c r="AM568" s="102"/>
      <c r="AN568" s="102"/>
    </row>
    <row r="569" spans="1:40" x14ac:dyDescent="0.3">
      <c r="A569" s="101"/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91"/>
      <c r="AH569" s="101"/>
      <c r="AI569" s="101"/>
      <c r="AJ569" s="101"/>
      <c r="AK569" s="191"/>
      <c r="AL569" s="101"/>
      <c r="AM569" s="101"/>
      <c r="AN569" s="101"/>
    </row>
    <row r="570" spans="1:40" x14ac:dyDescent="0.3">
      <c r="H570" s="102"/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Y570" s="102"/>
      <c r="Z570" s="102"/>
      <c r="AA570" s="102"/>
      <c r="AB570" s="102"/>
      <c r="AC570" s="102"/>
      <c r="AD570" s="102"/>
      <c r="AE570" s="102"/>
      <c r="AF570" s="102"/>
      <c r="AG570" s="151"/>
      <c r="AH570" s="102"/>
      <c r="AI570" s="102"/>
      <c r="AJ570" s="102"/>
      <c r="AK570" s="151"/>
      <c r="AL570" s="102"/>
      <c r="AM570" s="102"/>
      <c r="AN570" s="102"/>
    </row>
    <row r="571" spans="1:40" x14ac:dyDescent="0.3">
      <c r="C571" s="99"/>
      <c r="D571" s="99"/>
      <c r="E571" s="99"/>
      <c r="T571" s="99"/>
      <c r="U571" s="99"/>
    </row>
    <row r="573" spans="1:40" x14ac:dyDescent="0.3">
      <c r="C573" s="99"/>
      <c r="T573" s="99"/>
    </row>
    <row r="574" spans="1:40" x14ac:dyDescent="0.3">
      <c r="C574" s="99"/>
      <c r="T574" s="99"/>
    </row>
    <row r="575" spans="1:40" x14ac:dyDescent="0.3">
      <c r="C575" s="99"/>
      <c r="F575" s="172"/>
      <c r="H575" s="172"/>
      <c r="I575" s="172"/>
      <c r="J575" s="228"/>
      <c r="K575" s="228"/>
      <c r="L575" s="110"/>
      <c r="M575" s="110"/>
      <c r="N575" s="141"/>
      <c r="O575" s="141"/>
      <c r="P575" s="110"/>
      <c r="Q575" s="110"/>
      <c r="R575" s="110"/>
      <c r="T575" s="99"/>
      <c r="V575" s="110"/>
      <c r="W575" s="110"/>
      <c r="X575" s="110"/>
      <c r="Y575" s="110"/>
      <c r="Z575" s="228"/>
      <c r="AA575" s="110"/>
      <c r="AB575" s="110"/>
      <c r="AC575" s="141"/>
      <c r="AD575" s="141"/>
      <c r="AE575" s="110"/>
      <c r="AF575" s="110"/>
      <c r="AH575" s="207"/>
      <c r="AI575" s="110"/>
      <c r="AJ575" s="110"/>
      <c r="AL575" s="110"/>
      <c r="AM575" s="207"/>
      <c r="AN575" s="207"/>
    </row>
    <row r="576" spans="1:40" x14ac:dyDescent="0.3">
      <c r="C576" s="99"/>
      <c r="F576" s="110"/>
      <c r="H576" s="110"/>
      <c r="I576" s="110"/>
      <c r="J576" s="163"/>
      <c r="K576" s="163"/>
      <c r="L576" s="110"/>
      <c r="M576" s="110"/>
      <c r="N576" s="141"/>
      <c r="O576" s="141"/>
      <c r="P576" s="110"/>
      <c r="Q576" s="110"/>
      <c r="R576" s="110"/>
      <c r="T576" s="99"/>
      <c r="V576" s="110"/>
      <c r="W576" s="110"/>
      <c r="X576" s="110"/>
      <c r="Y576" s="110"/>
      <c r="Z576" s="163"/>
      <c r="AA576" s="110"/>
      <c r="AB576" s="110"/>
      <c r="AC576" s="141"/>
      <c r="AD576" s="141"/>
      <c r="AE576" s="110"/>
      <c r="AF576" s="110"/>
      <c r="AH576" s="207"/>
      <c r="AI576" s="110"/>
      <c r="AJ576" s="110"/>
      <c r="AL576" s="110"/>
      <c r="AM576" s="207"/>
      <c r="AN576" s="207"/>
    </row>
    <row r="577" spans="3:40" x14ac:dyDescent="0.3">
      <c r="C577" s="99"/>
      <c r="F577" s="110"/>
      <c r="H577" s="110"/>
      <c r="I577" s="110"/>
      <c r="J577" s="163"/>
      <c r="K577" s="163"/>
      <c r="L577" s="110"/>
      <c r="M577" s="110"/>
      <c r="N577" s="141"/>
      <c r="O577" s="141"/>
      <c r="P577" s="110"/>
      <c r="Q577" s="110"/>
      <c r="R577" s="110"/>
      <c r="T577" s="99"/>
      <c r="V577" s="110"/>
      <c r="W577" s="110"/>
      <c r="X577" s="110"/>
      <c r="Y577" s="110"/>
      <c r="Z577" s="163"/>
      <c r="AA577" s="110"/>
      <c r="AB577" s="110"/>
      <c r="AC577" s="141"/>
      <c r="AD577" s="141"/>
      <c r="AE577" s="110"/>
      <c r="AF577" s="110"/>
      <c r="AH577" s="207"/>
      <c r="AI577" s="110"/>
      <c r="AJ577" s="110"/>
      <c r="AL577" s="110"/>
      <c r="AM577" s="207"/>
      <c r="AN577" s="207"/>
    </row>
    <row r="578" spans="3:40" x14ac:dyDescent="0.3">
      <c r="C578" s="99"/>
      <c r="F578" s="110"/>
      <c r="H578" s="110"/>
      <c r="I578" s="110"/>
      <c r="J578" s="163"/>
      <c r="K578" s="163"/>
      <c r="T578" s="99"/>
      <c r="V578" s="110"/>
      <c r="Z578" s="163"/>
    </row>
    <row r="579" spans="3:40" x14ac:dyDescent="0.3">
      <c r="C579" s="99"/>
      <c r="F579" s="172"/>
      <c r="H579" s="172"/>
      <c r="I579" s="172"/>
      <c r="J579" s="228"/>
      <c r="K579" s="228"/>
      <c r="L579" s="110"/>
      <c r="M579" s="110"/>
      <c r="N579" s="141"/>
      <c r="O579" s="141"/>
      <c r="P579" s="110"/>
      <c r="Q579" s="110"/>
      <c r="R579" s="110"/>
      <c r="T579" s="99"/>
      <c r="V579" s="110"/>
      <c r="W579" s="110"/>
      <c r="X579" s="110"/>
      <c r="Y579" s="110"/>
      <c r="Z579" s="228"/>
      <c r="AA579" s="110"/>
      <c r="AB579" s="110"/>
      <c r="AC579" s="141"/>
      <c r="AD579" s="141"/>
      <c r="AE579" s="110"/>
      <c r="AF579" s="110"/>
      <c r="AH579" s="207"/>
      <c r="AI579" s="110"/>
      <c r="AJ579" s="110"/>
      <c r="AL579" s="110"/>
      <c r="AM579" s="207"/>
      <c r="AN579" s="207"/>
    </row>
    <row r="580" spans="3:40" x14ac:dyDescent="0.3">
      <c r="C580" s="99"/>
      <c r="F580" s="110"/>
      <c r="H580" s="110"/>
      <c r="I580" s="110"/>
      <c r="J580" s="163"/>
      <c r="K580" s="163"/>
      <c r="T580" s="99"/>
      <c r="V580" s="110"/>
      <c r="W580" s="110"/>
      <c r="X580" s="110"/>
      <c r="Y580" s="110"/>
      <c r="Z580" s="163"/>
      <c r="AC580" s="141"/>
      <c r="AD580" s="141"/>
      <c r="AE580" s="110"/>
      <c r="AF580" s="110"/>
      <c r="AH580" s="207"/>
      <c r="AI580" s="110"/>
      <c r="AJ580" s="110"/>
      <c r="AL580" s="110"/>
      <c r="AM580" s="207"/>
      <c r="AN580" s="207"/>
    </row>
    <row r="581" spans="3:40" x14ac:dyDescent="0.3">
      <c r="C581" s="99"/>
      <c r="F581" s="172"/>
      <c r="H581" s="172"/>
      <c r="I581" s="172"/>
      <c r="J581" s="228"/>
      <c r="K581" s="228"/>
      <c r="L581" s="110"/>
      <c r="M581" s="110"/>
      <c r="N581" s="141"/>
      <c r="O581" s="141"/>
      <c r="P581" s="110"/>
      <c r="Q581" s="110"/>
      <c r="R581" s="110"/>
      <c r="T581" s="99"/>
      <c r="V581" s="110"/>
      <c r="W581" s="110"/>
      <c r="X581" s="110"/>
      <c r="Y581" s="110"/>
      <c r="Z581" s="228"/>
      <c r="AA581" s="110"/>
      <c r="AB581" s="110"/>
      <c r="AC581" s="141"/>
      <c r="AD581" s="141"/>
      <c r="AE581" s="110"/>
      <c r="AF581" s="110"/>
      <c r="AH581" s="207"/>
      <c r="AI581" s="110"/>
      <c r="AJ581" s="110"/>
      <c r="AL581" s="110"/>
      <c r="AM581" s="207"/>
      <c r="AN581" s="207"/>
    </row>
    <row r="582" spans="3:40" x14ac:dyDescent="0.3">
      <c r="C582" s="99"/>
      <c r="F582" s="110"/>
      <c r="H582" s="110"/>
      <c r="I582" s="110"/>
      <c r="J582" s="163"/>
      <c r="K582" s="163"/>
      <c r="L582" s="110"/>
      <c r="M582" s="110"/>
      <c r="N582" s="141"/>
      <c r="O582" s="141"/>
      <c r="P582" s="110"/>
      <c r="Q582" s="110"/>
      <c r="R582" s="110"/>
      <c r="T582" s="99"/>
      <c r="V582" s="110"/>
      <c r="W582" s="110"/>
      <c r="X582" s="110"/>
      <c r="Y582" s="110"/>
      <c r="Z582" s="163"/>
      <c r="AA582" s="110"/>
      <c r="AB582" s="110"/>
      <c r="AC582" s="141"/>
      <c r="AD582" s="141"/>
      <c r="AE582" s="110"/>
      <c r="AF582" s="110"/>
      <c r="AH582" s="207"/>
      <c r="AI582" s="110"/>
      <c r="AJ582" s="110"/>
      <c r="AL582" s="110"/>
      <c r="AM582" s="207"/>
      <c r="AN582" s="207"/>
    </row>
    <row r="583" spans="3:40" x14ac:dyDescent="0.3">
      <c r="F583" s="110"/>
      <c r="H583" s="110"/>
      <c r="I583" s="110"/>
      <c r="J583" s="163"/>
      <c r="K583" s="163"/>
      <c r="Z583" s="163"/>
    </row>
    <row r="584" spans="3:40" x14ac:dyDescent="0.3">
      <c r="C584" s="99"/>
      <c r="F584" s="110"/>
      <c r="H584" s="172"/>
      <c r="I584" s="172"/>
      <c r="J584" s="228"/>
      <c r="K584" s="228"/>
      <c r="L584" s="110"/>
      <c r="M584" s="110"/>
      <c r="N584" s="141"/>
      <c r="O584" s="141"/>
      <c r="P584" s="110"/>
      <c r="Q584" s="110"/>
      <c r="R584" s="110"/>
      <c r="T584" s="99"/>
      <c r="V584" s="110"/>
      <c r="W584" s="110"/>
      <c r="X584" s="110"/>
      <c r="Y584" s="110"/>
      <c r="Z584" s="228"/>
      <c r="AA584" s="110"/>
      <c r="AB584" s="110"/>
      <c r="AC584" s="141"/>
      <c r="AD584" s="141"/>
      <c r="AE584" s="110"/>
      <c r="AF584" s="110"/>
      <c r="AH584" s="207"/>
      <c r="AI584" s="110"/>
      <c r="AJ584" s="110"/>
      <c r="AL584" s="110"/>
      <c r="AM584" s="207"/>
      <c r="AN584" s="207"/>
    </row>
    <row r="585" spans="3:40" x14ac:dyDescent="0.3">
      <c r="F585" s="192"/>
      <c r="H585" s="192"/>
      <c r="I585" s="192"/>
      <c r="J585" s="228"/>
      <c r="K585" s="228"/>
      <c r="L585" s="192"/>
      <c r="M585" s="192"/>
      <c r="N585" s="192"/>
      <c r="O585" s="192"/>
      <c r="P585" s="192"/>
      <c r="Q585" s="192"/>
      <c r="R585" s="192"/>
      <c r="V585" s="192"/>
      <c r="Y585" s="192"/>
      <c r="Z585" s="228"/>
      <c r="AA585" s="192"/>
      <c r="AB585" s="192"/>
      <c r="AC585" s="192"/>
      <c r="AD585" s="192"/>
      <c r="AE585" s="192"/>
      <c r="AF585" s="192"/>
      <c r="AI585" s="192"/>
      <c r="AJ585" s="192"/>
      <c r="AK585" s="194"/>
      <c r="AL585" s="192"/>
    </row>
    <row r="586" spans="3:40" x14ac:dyDescent="0.3">
      <c r="C586" s="99"/>
      <c r="F586" s="110"/>
      <c r="H586" s="110"/>
      <c r="I586" s="110"/>
      <c r="J586" s="163"/>
      <c r="K586" s="163"/>
      <c r="L586" s="110"/>
      <c r="M586" s="110"/>
      <c r="P586" s="110"/>
      <c r="Q586" s="110"/>
      <c r="R586" s="110"/>
      <c r="T586" s="99"/>
      <c r="V586" s="110"/>
      <c r="Y586" s="110"/>
      <c r="Z586" s="163"/>
      <c r="AA586" s="110"/>
      <c r="AB586" s="110"/>
      <c r="AC586" s="207"/>
      <c r="AD586" s="207"/>
      <c r="AE586" s="110"/>
      <c r="AF586" s="110"/>
      <c r="AH586" s="207"/>
      <c r="AI586" s="110"/>
      <c r="AJ586" s="110"/>
      <c r="AL586" s="110"/>
      <c r="AM586" s="207"/>
      <c r="AN586" s="207"/>
    </row>
    <row r="587" spans="3:40" x14ac:dyDescent="0.3">
      <c r="F587" s="192"/>
      <c r="H587" s="192"/>
      <c r="I587" s="192"/>
      <c r="J587" s="228"/>
      <c r="K587" s="228"/>
      <c r="L587" s="192"/>
      <c r="M587" s="192"/>
      <c r="N587" s="192"/>
      <c r="O587" s="192"/>
      <c r="P587" s="192"/>
      <c r="Q587" s="192"/>
      <c r="R587" s="192"/>
      <c r="V587" s="192"/>
      <c r="Y587" s="192"/>
      <c r="Z587" s="228"/>
      <c r="AA587" s="192"/>
      <c r="AB587" s="192"/>
      <c r="AC587" s="192"/>
      <c r="AD587" s="192"/>
      <c r="AE587" s="192"/>
      <c r="AF587" s="192"/>
      <c r="AI587" s="192"/>
      <c r="AJ587" s="192"/>
      <c r="AK587" s="194"/>
      <c r="AL587" s="192"/>
    </row>
    <row r="588" spans="3:40" x14ac:dyDescent="0.3">
      <c r="J588" s="163"/>
      <c r="K588" s="163"/>
      <c r="Z588" s="163"/>
    </row>
    <row r="589" spans="3:40" x14ac:dyDescent="0.3">
      <c r="C589" s="99"/>
      <c r="J589" s="163"/>
      <c r="K589" s="163"/>
      <c r="T589" s="99"/>
      <c r="Z589" s="163"/>
    </row>
    <row r="590" spans="3:40" x14ac:dyDescent="0.3">
      <c r="C590" s="99"/>
      <c r="J590" s="163"/>
      <c r="K590" s="163"/>
      <c r="T590" s="99"/>
      <c r="Z590" s="163"/>
    </row>
    <row r="591" spans="3:40" x14ac:dyDescent="0.3">
      <c r="C591" s="99"/>
      <c r="F591" s="172"/>
      <c r="H591" s="172"/>
      <c r="I591" s="172"/>
      <c r="J591" s="228"/>
      <c r="K591" s="228"/>
      <c r="L591" s="110"/>
      <c r="M591" s="110"/>
      <c r="N591" s="141"/>
      <c r="O591" s="141"/>
      <c r="P591" s="110"/>
      <c r="Q591" s="110"/>
      <c r="R591" s="110"/>
      <c r="T591" s="99"/>
      <c r="V591" s="110"/>
      <c r="W591" s="110"/>
      <c r="X591" s="110"/>
      <c r="Y591" s="110"/>
      <c r="Z591" s="228"/>
      <c r="AA591" s="110"/>
      <c r="AB591" s="110"/>
      <c r="AC591" s="141"/>
      <c r="AD591" s="141"/>
      <c r="AE591" s="110"/>
      <c r="AF591" s="110"/>
      <c r="AH591" s="207"/>
      <c r="AI591" s="110"/>
      <c r="AJ591" s="110"/>
      <c r="AL591" s="110"/>
      <c r="AM591" s="207"/>
      <c r="AN591" s="207"/>
    </row>
    <row r="592" spans="3:40" x14ac:dyDescent="0.3">
      <c r="C592" s="99"/>
      <c r="J592" s="163"/>
      <c r="K592" s="163"/>
      <c r="T592" s="99"/>
      <c r="Z592" s="163"/>
    </row>
    <row r="593" spans="1:40" x14ac:dyDescent="0.3">
      <c r="C593" s="99"/>
      <c r="F593" s="172"/>
      <c r="H593" s="172"/>
      <c r="I593" s="172"/>
      <c r="J593" s="228"/>
      <c r="K593" s="228"/>
      <c r="L593" s="110"/>
      <c r="M593" s="110"/>
      <c r="N593" s="141"/>
      <c r="O593" s="141"/>
      <c r="P593" s="110"/>
      <c r="Q593" s="110"/>
      <c r="R593" s="110"/>
      <c r="T593" s="99"/>
      <c r="V593" s="110"/>
      <c r="W593" s="110"/>
      <c r="X593" s="110"/>
      <c r="Y593" s="110"/>
      <c r="Z593" s="228"/>
      <c r="AA593" s="110"/>
      <c r="AB593" s="110"/>
      <c r="AC593" s="141"/>
      <c r="AD593" s="141"/>
      <c r="AE593" s="110"/>
      <c r="AF593" s="110"/>
      <c r="AH593" s="207"/>
      <c r="AI593" s="110"/>
      <c r="AJ593" s="110"/>
      <c r="AL593" s="110"/>
      <c r="AM593" s="207"/>
      <c r="AN593" s="207"/>
    </row>
    <row r="594" spans="1:40" x14ac:dyDescent="0.3">
      <c r="F594" s="192"/>
      <c r="H594" s="192"/>
      <c r="I594" s="192"/>
      <c r="J594" s="228"/>
      <c r="K594" s="228"/>
      <c r="L594" s="192"/>
      <c r="M594" s="192"/>
      <c r="N594" s="192"/>
      <c r="O594" s="192"/>
      <c r="P594" s="192"/>
      <c r="Q594" s="192"/>
      <c r="R594" s="192"/>
      <c r="V594" s="192"/>
      <c r="Y594" s="192"/>
      <c r="Z594" s="228"/>
      <c r="AA594" s="192"/>
      <c r="AB594" s="192"/>
      <c r="AC594" s="192"/>
      <c r="AD594" s="192"/>
      <c r="AE594" s="192"/>
      <c r="AF594" s="192"/>
      <c r="AI594" s="192"/>
      <c r="AJ594" s="192"/>
      <c r="AK594" s="194"/>
      <c r="AL594" s="192"/>
    </row>
    <row r="595" spans="1:40" x14ac:dyDescent="0.3">
      <c r="C595" s="99"/>
      <c r="F595" s="110"/>
      <c r="H595" s="110"/>
      <c r="I595" s="110"/>
      <c r="J595" s="163"/>
      <c r="K595" s="163"/>
      <c r="L595" s="110"/>
      <c r="M595" s="110"/>
      <c r="N595" s="207"/>
      <c r="O595" s="207"/>
      <c r="P595" s="110"/>
      <c r="Q595" s="110"/>
      <c r="R595" s="110"/>
      <c r="T595" s="99"/>
      <c r="V595" s="110"/>
      <c r="Y595" s="110"/>
      <c r="Z595" s="163"/>
      <c r="AA595" s="110"/>
      <c r="AB595" s="110"/>
      <c r="AC595" s="207"/>
      <c r="AD595" s="207"/>
      <c r="AE595" s="110"/>
      <c r="AF595" s="110"/>
      <c r="AH595" s="207"/>
      <c r="AI595" s="110"/>
      <c r="AJ595" s="110"/>
      <c r="AL595" s="110"/>
      <c r="AM595" s="207"/>
      <c r="AN595" s="207"/>
    </row>
    <row r="596" spans="1:40" x14ac:dyDescent="0.3">
      <c r="F596" s="192"/>
      <c r="H596" s="192"/>
      <c r="I596" s="192"/>
      <c r="J596" s="228"/>
      <c r="K596" s="228"/>
      <c r="L596" s="192"/>
      <c r="M596" s="192"/>
      <c r="N596" s="192"/>
      <c r="O596" s="192"/>
      <c r="P596" s="192"/>
      <c r="Q596" s="192"/>
      <c r="R596" s="192"/>
      <c r="V596" s="192"/>
      <c r="Y596" s="192"/>
      <c r="Z596" s="217"/>
      <c r="AA596" s="192"/>
      <c r="AB596" s="192"/>
      <c r="AC596" s="192"/>
      <c r="AD596" s="192"/>
      <c r="AE596" s="192"/>
      <c r="AF596" s="192"/>
      <c r="AI596" s="192"/>
      <c r="AJ596" s="192"/>
      <c r="AK596" s="194"/>
      <c r="AL596" s="192"/>
    </row>
    <row r="597" spans="1:40" x14ac:dyDescent="0.3">
      <c r="J597" s="163"/>
      <c r="K597" s="163"/>
    </row>
    <row r="598" spans="1:40" x14ac:dyDescent="0.3">
      <c r="C598" s="99"/>
      <c r="F598" s="110"/>
      <c r="H598" s="110"/>
      <c r="I598" s="110"/>
      <c r="J598" s="163"/>
      <c r="K598" s="163"/>
      <c r="L598" s="110"/>
      <c r="M598" s="110"/>
      <c r="N598" s="141"/>
      <c r="O598" s="141"/>
      <c r="P598" s="172"/>
      <c r="Q598" s="172"/>
      <c r="R598" s="110"/>
      <c r="T598" s="99"/>
      <c r="V598" s="110"/>
      <c r="Y598" s="110"/>
      <c r="AA598" s="110"/>
      <c r="AB598" s="110"/>
      <c r="AC598" s="207"/>
      <c r="AD598" s="207"/>
      <c r="AE598" s="110"/>
      <c r="AF598" s="110"/>
      <c r="AH598" s="207"/>
      <c r="AI598" s="172"/>
      <c r="AJ598" s="172"/>
      <c r="AL598" s="110"/>
      <c r="AM598" s="207"/>
      <c r="AN598" s="207"/>
    </row>
    <row r="599" spans="1:40" x14ac:dyDescent="0.3">
      <c r="F599" s="192"/>
      <c r="H599" s="192"/>
      <c r="I599" s="192"/>
      <c r="J599" s="228"/>
      <c r="K599" s="228"/>
      <c r="L599" s="192"/>
      <c r="M599" s="192"/>
      <c r="N599" s="192"/>
      <c r="O599" s="192"/>
      <c r="P599" s="192"/>
      <c r="Q599" s="192"/>
      <c r="R599" s="192"/>
      <c r="V599" s="192"/>
      <c r="Y599" s="192"/>
      <c r="Z599" s="217"/>
      <c r="AA599" s="192"/>
      <c r="AB599" s="192"/>
      <c r="AC599" s="192"/>
      <c r="AD599" s="192"/>
      <c r="AE599" s="192"/>
      <c r="AF599" s="192"/>
      <c r="AI599" s="192"/>
      <c r="AJ599" s="192"/>
      <c r="AK599" s="194"/>
      <c r="AL599" s="192"/>
    </row>
    <row r="602" spans="1:40" x14ac:dyDescent="0.3">
      <c r="A602" s="99"/>
    </row>
    <row r="604" spans="1:40" x14ac:dyDescent="0.3">
      <c r="H604" s="99"/>
      <c r="I604" s="99"/>
      <c r="Y604" s="99"/>
    </row>
    <row r="606" spans="1:40" x14ac:dyDescent="0.3">
      <c r="L606" s="99"/>
      <c r="M606" s="99"/>
      <c r="AA606" s="99"/>
      <c r="AB606" s="99"/>
    </row>
    <row r="607" spans="1:40" x14ac:dyDescent="0.3">
      <c r="R607" s="99"/>
      <c r="AK607" s="190"/>
      <c r="AL607" s="99"/>
    </row>
    <row r="608" spans="1:40" x14ac:dyDescent="0.3">
      <c r="R608" s="99"/>
      <c r="AK608" s="190"/>
      <c r="AL608" s="99"/>
    </row>
    <row r="609" spans="1:40" x14ac:dyDescent="0.3">
      <c r="A609" s="99"/>
      <c r="R609" s="99"/>
      <c r="AK609" s="190"/>
      <c r="AL609" s="99"/>
    </row>
    <row r="610" spans="1:40" x14ac:dyDescent="0.3">
      <c r="L610" s="99"/>
      <c r="M610" s="99"/>
      <c r="AA610" s="99"/>
      <c r="AB610" s="99"/>
    </row>
    <row r="611" spans="1:40" x14ac:dyDescent="0.3">
      <c r="A611" s="101"/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T611" s="101"/>
      <c r="U611" s="101"/>
      <c r="V611" s="101"/>
      <c r="W611" s="101"/>
      <c r="X611" s="101"/>
      <c r="Y611" s="101"/>
      <c r="Z611" s="101"/>
      <c r="AA611" s="101"/>
      <c r="AB611" s="101"/>
      <c r="AC611" s="101"/>
      <c r="AD611" s="101"/>
      <c r="AE611" s="101"/>
      <c r="AF611" s="101"/>
      <c r="AG611" s="191"/>
      <c r="AH611" s="101"/>
      <c r="AI611" s="101"/>
      <c r="AJ611" s="101"/>
      <c r="AK611" s="191"/>
      <c r="AL611" s="101"/>
      <c r="AM611" s="101"/>
      <c r="AN611" s="101"/>
    </row>
    <row r="612" spans="1:40" x14ac:dyDescent="0.3">
      <c r="L612" s="102"/>
      <c r="M612" s="102"/>
      <c r="N612" s="102"/>
      <c r="O612" s="102"/>
      <c r="R612" s="102"/>
      <c r="AA612" s="102"/>
      <c r="AB612" s="102"/>
      <c r="AC612" s="102"/>
      <c r="AD612" s="102"/>
      <c r="AE612" s="102"/>
      <c r="AF612" s="102"/>
      <c r="AG612" s="151"/>
      <c r="AH612" s="102"/>
      <c r="AK612" s="151"/>
      <c r="AL612" s="102"/>
      <c r="AM612" s="102"/>
      <c r="AN612" s="102"/>
    </row>
    <row r="613" spans="1:40" x14ac:dyDescent="0.3">
      <c r="L613" s="102"/>
      <c r="M613" s="102"/>
      <c r="N613" s="102"/>
      <c r="O613" s="102"/>
      <c r="R613" s="102"/>
      <c r="Z613" s="102"/>
      <c r="AA613" s="102"/>
      <c r="AB613" s="102"/>
      <c r="AC613" s="102"/>
      <c r="AD613" s="102"/>
      <c r="AE613" s="102"/>
      <c r="AF613" s="102"/>
      <c r="AG613" s="151"/>
      <c r="AH613" s="102"/>
      <c r="AK613" s="151"/>
      <c r="AL613" s="102"/>
      <c r="AM613" s="102"/>
      <c r="AN613" s="102"/>
    </row>
    <row r="614" spans="1:40" x14ac:dyDescent="0.3">
      <c r="A614" s="102"/>
      <c r="C614" s="102"/>
      <c r="D614" s="102"/>
      <c r="E614" s="102"/>
      <c r="F614" s="102"/>
      <c r="J614" s="102"/>
      <c r="K614" s="102"/>
      <c r="L614" s="102"/>
      <c r="M614" s="102"/>
      <c r="N614" s="102"/>
      <c r="O614" s="102"/>
      <c r="P614" s="102"/>
      <c r="Q614" s="102"/>
      <c r="R614" s="102"/>
      <c r="T614" s="102"/>
      <c r="U614" s="102"/>
      <c r="V614" s="102"/>
      <c r="Z614" s="102"/>
      <c r="AA614" s="102"/>
      <c r="AB614" s="102"/>
      <c r="AC614" s="102"/>
      <c r="AD614" s="102"/>
      <c r="AE614" s="102"/>
      <c r="AF614" s="102"/>
      <c r="AG614" s="151"/>
      <c r="AH614" s="102"/>
      <c r="AI614" s="102"/>
      <c r="AJ614" s="102"/>
      <c r="AK614" s="151"/>
      <c r="AL614" s="102"/>
      <c r="AM614" s="102"/>
      <c r="AN614" s="102"/>
    </row>
    <row r="615" spans="1:40" x14ac:dyDescent="0.3">
      <c r="A615" s="102"/>
      <c r="C615" s="102"/>
      <c r="D615" s="102"/>
      <c r="E615" s="102"/>
      <c r="F615" s="102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T615" s="102"/>
      <c r="U615" s="102"/>
      <c r="V615" s="102"/>
      <c r="Y615" s="102"/>
      <c r="Z615" s="102"/>
      <c r="AA615" s="102"/>
      <c r="AB615" s="102"/>
      <c r="AC615" s="102"/>
      <c r="AD615" s="102"/>
      <c r="AE615" s="102"/>
      <c r="AF615" s="102"/>
      <c r="AG615" s="151"/>
      <c r="AH615" s="102"/>
      <c r="AI615" s="102"/>
      <c r="AJ615" s="102"/>
      <c r="AK615" s="151"/>
      <c r="AL615" s="102"/>
      <c r="AM615" s="102"/>
      <c r="AN615" s="102"/>
    </row>
    <row r="616" spans="1:40" x14ac:dyDescent="0.3">
      <c r="C616" s="102"/>
      <c r="D616" s="102"/>
      <c r="E616" s="102"/>
      <c r="F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T616" s="102"/>
      <c r="U616" s="102"/>
      <c r="V616" s="102"/>
      <c r="Y616" s="102"/>
      <c r="Z616" s="102"/>
      <c r="AA616" s="102"/>
      <c r="AB616" s="102"/>
      <c r="AC616" s="102"/>
      <c r="AD616" s="102"/>
      <c r="AE616" s="102"/>
      <c r="AF616" s="102"/>
      <c r="AG616" s="151"/>
      <c r="AH616" s="102"/>
      <c r="AI616" s="102"/>
      <c r="AJ616" s="102"/>
      <c r="AK616" s="151"/>
      <c r="AL616" s="102"/>
      <c r="AM616" s="102"/>
      <c r="AN616" s="102"/>
    </row>
    <row r="617" spans="1:40" x14ac:dyDescent="0.3">
      <c r="A617" s="101"/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T617" s="101"/>
      <c r="U617" s="101"/>
      <c r="V617" s="101"/>
      <c r="W617" s="101"/>
      <c r="X617" s="101"/>
      <c r="Y617" s="101"/>
      <c r="Z617" s="101"/>
      <c r="AA617" s="101"/>
      <c r="AB617" s="101"/>
      <c r="AC617" s="101"/>
      <c r="AD617" s="101"/>
      <c r="AE617" s="101"/>
      <c r="AF617" s="101"/>
      <c r="AG617" s="191"/>
      <c r="AH617" s="101"/>
      <c r="AI617" s="101"/>
      <c r="AJ617" s="101"/>
      <c r="AK617" s="191"/>
      <c r="AL617" s="101"/>
      <c r="AM617" s="101"/>
      <c r="AN617" s="101"/>
    </row>
    <row r="618" spans="1:40" x14ac:dyDescent="0.3">
      <c r="H618" s="102"/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Y618" s="102"/>
      <c r="Z618" s="102"/>
      <c r="AA618" s="102"/>
      <c r="AB618" s="102"/>
      <c r="AC618" s="102"/>
      <c r="AD618" s="102"/>
      <c r="AE618" s="102"/>
      <c r="AF618" s="102"/>
      <c r="AG618" s="151"/>
      <c r="AH618" s="102"/>
      <c r="AI618" s="102"/>
      <c r="AJ618" s="102"/>
      <c r="AK618" s="151"/>
      <c r="AL618" s="102"/>
      <c r="AM618" s="102"/>
      <c r="AN618" s="102"/>
    </row>
    <row r="619" spans="1:40" x14ac:dyDescent="0.3">
      <c r="C619" s="99"/>
      <c r="D619" s="99"/>
      <c r="E619" s="99"/>
      <c r="T619" s="99"/>
      <c r="U619" s="99"/>
    </row>
    <row r="621" spans="1:40" x14ac:dyDescent="0.3">
      <c r="C621" s="99"/>
      <c r="D621" s="99"/>
      <c r="E621" s="99"/>
      <c r="T621" s="99"/>
      <c r="U621" s="99"/>
    </row>
    <row r="622" spans="1:40" x14ac:dyDescent="0.3">
      <c r="C622" s="99"/>
      <c r="T622" s="99"/>
    </row>
    <row r="623" spans="1:40" x14ac:dyDescent="0.3">
      <c r="C623" s="99"/>
      <c r="T623" s="99"/>
    </row>
    <row r="624" spans="1:40" x14ac:dyDescent="0.3">
      <c r="C624" s="99"/>
      <c r="F624" s="172"/>
      <c r="H624" s="172"/>
      <c r="I624" s="172"/>
      <c r="J624" s="228"/>
      <c r="K624" s="228"/>
      <c r="L624" s="110"/>
      <c r="M624" s="110"/>
      <c r="N624" s="141"/>
      <c r="O624" s="141"/>
      <c r="P624" s="110"/>
      <c r="Q624" s="110"/>
      <c r="R624" s="110"/>
      <c r="T624" s="99"/>
      <c r="V624" s="110"/>
      <c r="W624" s="110"/>
      <c r="X624" s="110"/>
      <c r="Y624" s="110"/>
      <c r="Z624" s="228"/>
      <c r="AA624" s="110"/>
      <c r="AB624" s="110"/>
      <c r="AC624" s="141"/>
      <c r="AD624" s="141"/>
      <c r="AE624" s="110"/>
      <c r="AF624" s="110"/>
      <c r="AH624" s="207"/>
      <c r="AI624" s="110"/>
      <c r="AJ624" s="110"/>
      <c r="AL624" s="110"/>
      <c r="AM624" s="141"/>
      <c r="AN624" s="141"/>
    </row>
    <row r="625" spans="3:40" x14ac:dyDescent="0.3">
      <c r="C625" s="99"/>
      <c r="J625" s="163"/>
      <c r="K625" s="163"/>
      <c r="T625" s="99"/>
      <c r="V625" s="110"/>
      <c r="W625" s="110"/>
      <c r="X625" s="110"/>
      <c r="Y625" s="110"/>
      <c r="Z625" s="228"/>
    </row>
    <row r="626" spans="3:40" x14ac:dyDescent="0.3">
      <c r="C626" s="99"/>
      <c r="F626" s="172"/>
      <c r="H626" s="172"/>
      <c r="I626" s="172"/>
      <c r="J626" s="228"/>
      <c r="K626" s="228"/>
      <c r="L626" s="110"/>
      <c r="M626" s="110"/>
      <c r="N626" s="141"/>
      <c r="O626" s="141"/>
      <c r="P626" s="110"/>
      <c r="Q626" s="110"/>
      <c r="R626" s="110"/>
      <c r="T626" s="99"/>
      <c r="V626" s="110"/>
      <c r="W626" s="110"/>
      <c r="X626" s="110"/>
      <c r="Y626" s="110"/>
      <c r="Z626" s="228"/>
      <c r="AA626" s="110"/>
      <c r="AB626" s="110"/>
      <c r="AC626" s="141"/>
      <c r="AD626" s="141"/>
      <c r="AE626" s="110"/>
      <c r="AF626" s="110"/>
      <c r="AH626" s="207"/>
      <c r="AI626" s="110"/>
      <c r="AJ626" s="110"/>
      <c r="AL626" s="110"/>
      <c r="AM626" s="141"/>
      <c r="AN626" s="141"/>
    </row>
    <row r="627" spans="3:40" x14ac:dyDescent="0.3">
      <c r="C627" s="99"/>
      <c r="J627" s="163"/>
      <c r="K627" s="163"/>
      <c r="T627" s="99"/>
      <c r="V627" s="110"/>
      <c r="W627" s="110"/>
      <c r="X627" s="110"/>
      <c r="Y627" s="110"/>
      <c r="Z627" s="228"/>
    </row>
    <row r="628" spans="3:40" x14ac:dyDescent="0.3">
      <c r="C628" s="99"/>
      <c r="F628" s="172"/>
      <c r="H628" s="172"/>
      <c r="I628" s="172"/>
      <c r="J628" s="228"/>
      <c r="K628" s="228"/>
      <c r="L628" s="110"/>
      <c r="M628" s="110"/>
      <c r="N628" s="141"/>
      <c r="O628" s="141"/>
      <c r="P628" s="110"/>
      <c r="Q628" s="110"/>
      <c r="R628" s="110"/>
      <c r="T628" s="99"/>
      <c r="V628" s="110"/>
      <c r="W628" s="110"/>
      <c r="X628" s="110"/>
      <c r="Y628" s="110"/>
      <c r="Z628" s="228"/>
      <c r="AA628" s="110"/>
      <c r="AB628" s="110"/>
      <c r="AC628" s="141"/>
      <c r="AD628" s="141"/>
      <c r="AE628" s="110"/>
      <c r="AF628" s="110"/>
      <c r="AH628" s="207"/>
      <c r="AI628" s="110"/>
      <c r="AJ628" s="110"/>
      <c r="AL628" s="110"/>
      <c r="AM628" s="141"/>
      <c r="AN628" s="141"/>
    </row>
    <row r="629" spans="3:40" x14ac:dyDescent="0.3">
      <c r="C629" s="99"/>
      <c r="J629" s="163"/>
      <c r="K629" s="163"/>
      <c r="T629" s="99"/>
      <c r="V629" s="110"/>
      <c r="W629" s="110"/>
      <c r="X629" s="110"/>
      <c r="Y629" s="110"/>
      <c r="Z629" s="228"/>
    </row>
    <row r="630" spans="3:40" x14ac:dyDescent="0.3">
      <c r="C630" s="99"/>
      <c r="F630" s="172"/>
      <c r="H630" s="172"/>
      <c r="I630" s="172"/>
      <c r="J630" s="228"/>
      <c r="K630" s="228"/>
      <c r="L630" s="110"/>
      <c r="M630" s="110"/>
      <c r="N630" s="141"/>
      <c r="O630" s="141"/>
      <c r="P630" s="110"/>
      <c r="Q630" s="110"/>
      <c r="R630" s="110"/>
      <c r="T630" s="99"/>
      <c r="V630" s="110"/>
      <c r="W630" s="110"/>
      <c r="X630" s="110"/>
      <c r="Y630" s="110"/>
      <c r="Z630" s="228"/>
      <c r="AA630" s="110"/>
      <c r="AB630" s="110"/>
      <c r="AC630" s="141"/>
      <c r="AD630" s="141"/>
      <c r="AE630" s="110"/>
      <c r="AF630" s="110"/>
      <c r="AH630" s="207"/>
      <c r="AI630" s="110"/>
      <c r="AJ630" s="110"/>
      <c r="AL630" s="110"/>
      <c r="AM630" s="141"/>
      <c r="AN630" s="141"/>
    </row>
    <row r="631" spans="3:40" x14ac:dyDescent="0.3">
      <c r="C631" s="99"/>
      <c r="J631" s="163"/>
      <c r="K631" s="163"/>
      <c r="T631" s="99"/>
      <c r="V631" s="110"/>
      <c r="W631" s="110"/>
      <c r="X631" s="110"/>
      <c r="Y631" s="110"/>
      <c r="Z631" s="228"/>
    </row>
    <row r="632" spans="3:40" x14ac:dyDescent="0.3">
      <c r="C632" s="99"/>
      <c r="F632" s="172"/>
      <c r="H632" s="172"/>
      <c r="I632" s="172"/>
      <c r="J632" s="228"/>
      <c r="K632" s="228"/>
      <c r="L632" s="110"/>
      <c r="M632" s="110"/>
      <c r="N632" s="141"/>
      <c r="O632" s="141"/>
      <c r="P632" s="110"/>
      <c r="Q632" s="110"/>
      <c r="R632" s="110"/>
      <c r="T632" s="99"/>
      <c r="V632" s="110"/>
      <c r="W632" s="110"/>
      <c r="X632" s="110"/>
      <c r="Y632" s="110"/>
      <c r="Z632" s="228"/>
      <c r="AA632" s="110"/>
      <c r="AB632" s="110"/>
      <c r="AC632" s="141"/>
      <c r="AD632" s="141"/>
      <c r="AE632" s="110"/>
      <c r="AF632" s="110"/>
      <c r="AH632" s="207"/>
      <c r="AI632" s="110"/>
      <c r="AJ632" s="110"/>
      <c r="AL632" s="110"/>
      <c r="AM632" s="141"/>
      <c r="AN632" s="141"/>
    </row>
    <row r="633" spans="3:40" x14ac:dyDescent="0.3">
      <c r="C633" s="99"/>
      <c r="J633" s="163"/>
      <c r="K633" s="163"/>
      <c r="T633" s="99"/>
      <c r="V633" s="110"/>
      <c r="W633" s="110"/>
      <c r="X633" s="110"/>
      <c r="Y633" s="110"/>
      <c r="Z633" s="228"/>
    </row>
    <row r="634" spans="3:40" x14ac:dyDescent="0.3">
      <c r="C634" s="99"/>
      <c r="F634" s="172"/>
      <c r="H634" s="172"/>
      <c r="I634" s="172"/>
      <c r="J634" s="228"/>
      <c r="K634" s="228"/>
      <c r="L634" s="110"/>
      <c r="M634" s="110"/>
      <c r="N634" s="141"/>
      <c r="O634" s="141"/>
      <c r="P634" s="110"/>
      <c r="Q634" s="110"/>
      <c r="R634" s="110"/>
      <c r="T634" s="99"/>
      <c r="V634" s="110"/>
      <c r="W634" s="110"/>
      <c r="X634" s="110"/>
      <c r="Y634" s="110"/>
      <c r="Z634" s="228"/>
      <c r="AA634" s="110"/>
      <c r="AB634" s="110"/>
      <c r="AC634" s="141"/>
      <c r="AD634" s="141"/>
      <c r="AE634" s="110"/>
      <c r="AF634" s="110"/>
      <c r="AH634" s="207"/>
      <c r="AI634" s="110"/>
      <c r="AJ634" s="110"/>
      <c r="AL634" s="110"/>
      <c r="AM634" s="141"/>
      <c r="AN634" s="141"/>
    </row>
    <row r="635" spans="3:40" x14ac:dyDescent="0.3">
      <c r="F635" s="192"/>
      <c r="H635" s="192"/>
      <c r="I635" s="192"/>
      <c r="J635" s="228"/>
      <c r="K635" s="228"/>
      <c r="L635" s="192"/>
      <c r="M635" s="192"/>
      <c r="N635" s="192"/>
      <c r="O635" s="192"/>
      <c r="P635" s="192"/>
      <c r="Q635" s="192"/>
      <c r="R635" s="192"/>
      <c r="V635" s="192"/>
      <c r="Y635" s="192"/>
      <c r="Z635" s="228"/>
      <c r="AA635" s="192"/>
      <c r="AB635" s="192"/>
      <c r="AC635" s="192"/>
      <c r="AD635" s="192"/>
      <c r="AE635" s="192"/>
      <c r="AF635" s="192"/>
      <c r="AI635" s="192"/>
      <c r="AJ635" s="192"/>
      <c r="AK635" s="194"/>
      <c r="AL635" s="192"/>
      <c r="AM635" s="141"/>
      <c r="AN635" s="141"/>
    </row>
    <row r="636" spans="3:40" x14ac:dyDescent="0.3">
      <c r="C636" s="99"/>
      <c r="F636" s="110"/>
      <c r="H636" s="110"/>
      <c r="I636" s="110"/>
      <c r="J636" s="163"/>
      <c r="K636" s="163"/>
      <c r="L636" s="110"/>
      <c r="M636" s="110"/>
      <c r="N636" s="141"/>
      <c r="O636" s="141"/>
      <c r="P636" s="172"/>
      <c r="Q636" s="172"/>
      <c r="R636" s="110"/>
      <c r="T636" s="99"/>
      <c r="V636" s="110"/>
      <c r="W636" s="110"/>
      <c r="X636" s="110"/>
      <c r="Y636" s="110"/>
      <c r="Z636" s="228"/>
      <c r="AA636" s="110"/>
      <c r="AB636" s="110"/>
      <c r="AC636" s="141"/>
      <c r="AD636" s="141"/>
      <c r="AE636" s="110"/>
      <c r="AF636" s="110"/>
      <c r="AH636" s="207"/>
      <c r="AI636" s="172"/>
      <c r="AJ636" s="172"/>
      <c r="AL636" s="110"/>
      <c r="AM636" s="141"/>
      <c r="AN636" s="141"/>
    </row>
    <row r="637" spans="3:40" x14ac:dyDescent="0.3">
      <c r="F637" s="192"/>
      <c r="H637" s="192"/>
      <c r="I637" s="192"/>
      <c r="J637" s="228"/>
      <c r="K637" s="228"/>
      <c r="L637" s="192"/>
      <c r="M637" s="192"/>
      <c r="N637" s="192"/>
      <c r="O637" s="192"/>
      <c r="P637" s="192"/>
      <c r="Q637" s="192"/>
      <c r="R637" s="192"/>
      <c r="V637" s="192"/>
      <c r="Y637" s="192"/>
      <c r="Z637" s="228"/>
      <c r="AA637" s="192"/>
      <c r="AB637" s="192"/>
      <c r="AC637" s="192"/>
      <c r="AD637" s="192"/>
      <c r="AE637" s="192"/>
      <c r="AF637" s="192"/>
      <c r="AI637" s="192"/>
      <c r="AJ637" s="192"/>
      <c r="AK637" s="194"/>
      <c r="AL637" s="192"/>
    </row>
    <row r="638" spans="3:40" x14ac:dyDescent="0.3">
      <c r="C638" s="99"/>
      <c r="D638" s="99"/>
      <c r="E638" s="99"/>
      <c r="J638" s="163"/>
      <c r="K638" s="163"/>
      <c r="T638" s="99"/>
      <c r="U638" s="99"/>
      <c r="V638" s="110"/>
      <c r="W638" s="110"/>
      <c r="X638" s="110"/>
      <c r="Y638" s="110"/>
      <c r="Z638" s="228"/>
    </row>
    <row r="639" spans="3:40" x14ac:dyDescent="0.3">
      <c r="C639" s="99"/>
      <c r="J639" s="163"/>
      <c r="K639" s="163"/>
      <c r="T639" s="99"/>
      <c r="V639" s="110"/>
      <c r="W639" s="110"/>
      <c r="X639" s="110"/>
      <c r="Y639" s="110"/>
      <c r="Z639" s="228"/>
    </row>
    <row r="640" spans="3:40" x14ac:dyDescent="0.3">
      <c r="C640" s="99"/>
      <c r="J640" s="163"/>
      <c r="K640" s="163"/>
      <c r="T640" s="99"/>
      <c r="V640" s="110"/>
      <c r="W640" s="110"/>
      <c r="X640" s="110"/>
      <c r="Y640" s="110"/>
      <c r="Z640" s="228"/>
    </row>
    <row r="641" spans="3:40" x14ac:dyDescent="0.3">
      <c r="C641" s="99"/>
      <c r="F641" s="172"/>
      <c r="H641" s="172"/>
      <c r="I641" s="172"/>
      <c r="J641" s="228"/>
      <c r="K641" s="228"/>
      <c r="L641" s="110"/>
      <c r="M641" s="110"/>
      <c r="N641" s="141"/>
      <c r="O641" s="141"/>
      <c r="P641" s="110"/>
      <c r="Q641" s="110"/>
      <c r="R641" s="110"/>
      <c r="T641" s="99"/>
      <c r="V641" s="110"/>
      <c r="W641" s="110"/>
      <c r="X641" s="110"/>
      <c r="Y641" s="110"/>
      <c r="Z641" s="228"/>
      <c r="AA641" s="110"/>
      <c r="AB641" s="110"/>
      <c r="AC641" s="141"/>
      <c r="AD641" s="141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C642" s="99"/>
      <c r="J642" s="163"/>
      <c r="K642" s="163"/>
      <c r="T642" s="99"/>
      <c r="V642" s="110"/>
      <c r="W642" s="110"/>
      <c r="X642" s="110"/>
      <c r="Y642" s="110"/>
      <c r="Z642" s="228"/>
    </row>
    <row r="643" spans="3:40" x14ac:dyDescent="0.3">
      <c r="C643" s="99"/>
      <c r="F643" s="172"/>
      <c r="H643" s="172"/>
      <c r="I643" s="172"/>
      <c r="J643" s="228"/>
      <c r="K643" s="228"/>
      <c r="L643" s="110"/>
      <c r="M643" s="110"/>
      <c r="N643" s="141"/>
      <c r="O643" s="141"/>
      <c r="P643" s="110"/>
      <c r="Q643" s="110"/>
      <c r="R643" s="110"/>
      <c r="T643" s="99"/>
      <c r="V643" s="110"/>
      <c r="W643" s="110"/>
      <c r="X643" s="110"/>
      <c r="Y643" s="110"/>
      <c r="Z643" s="228"/>
      <c r="AA643" s="110"/>
      <c r="AB643" s="110"/>
      <c r="AC643" s="141"/>
      <c r="AD643" s="141"/>
      <c r="AE643" s="110"/>
      <c r="AF643" s="110"/>
      <c r="AH643" s="207"/>
      <c r="AI643" s="110"/>
      <c r="AJ643" s="110"/>
      <c r="AL643" s="110"/>
      <c r="AM643" s="141"/>
      <c r="AN643" s="141"/>
    </row>
    <row r="644" spans="3:40" x14ac:dyDescent="0.3">
      <c r="F644" s="192"/>
      <c r="H644" s="192"/>
      <c r="I644" s="192"/>
      <c r="J644" s="228"/>
      <c r="K644" s="228"/>
      <c r="L644" s="192"/>
      <c r="M644" s="192"/>
      <c r="N644" s="192"/>
      <c r="O644" s="192"/>
      <c r="P644" s="192"/>
      <c r="Q644" s="192"/>
      <c r="R644" s="192"/>
      <c r="V644" s="192"/>
      <c r="Y644" s="192"/>
      <c r="Z644" s="217"/>
      <c r="AA644" s="192"/>
      <c r="AB644" s="192"/>
      <c r="AC644" s="192"/>
      <c r="AD644" s="192"/>
      <c r="AE644" s="192"/>
      <c r="AF644" s="192"/>
      <c r="AI644" s="192"/>
      <c r="AJ644" s="192"/>
      <c r="AK644" s="194"/>
      <c r="AL644" s="192"/>
    </row>
    <row r="645" spans="3:40" x14ac:dyDescent="0.3">
      <c r="C645" s="99"/>
      <c r="F645" s="110"/>
      <c r="H645" s="110"/>
      <c r="I645" s="110"/>
      <c r="L645" s="110"/>
      <c r="M645" s="110"/>
      <c r="N645" s="141"/>
      <c r="O645" s="141"/>
      <c r="P645" s="172"/>
      <c r="Q645" s="172"/>
      <c r="R645" s="110"/>
      <c r="T645" s="99"/>
      <c r="V645" s="110"/>
      <c r="W645" s="110"/>
      <c r="X645" s="110"/>
      <c r="Y645" s="110"/>
      <c r="Z645" s="227"/>
      <c r="AA645" s="110"/>
      <c r="AB645" s="110"/>
      <c r="AC645" s="141"/>
      <c r="AD645" s="141"/>
      <c r="AE645" s="110"/>
      <c r="AF645" s="110"/>
      <c r="AH645" s="207"/>
      <c r="AI645" s="172"/>
      <c r="AJ645" s="172"/>
      <c r="AL645" s="110"/>
      <c r="AM645" s="141"/>
      <c r="AN645" s="141"/>
    </row>
    <row r="646" spans="3:40" x14ac:dyDescent="0.3">
      <c r="F646" s="192"/>
      <c r="H646" s="192"/>
      <c r="I646" s="192"/>
      <c r="J646" s="217"/>
      <c r="K646" s="217"/>
      <c r="L646" s="192"/>
      <c r="M646" s="192"/>
      <c r="N646" s="192"/>
      <c r="O646" s="192"/>
      <c r="P646" s="192"/>
      <c r="Q646" s="192"/>
      <c r="R646" s="192"/>
      <c r="V646" s="192"/>
      <c r="Y646" s="192"/>
      <c r="Z646" s="217"/>
      <c r="AA646" s="192"/>
      <c r="AB646" s="192"/>
      <c r="AC646" s="192"/>
      <c r="AD646" s="192"/>
      <c r="AE646" s="192"/>
      <c r="AF646" s="192"/>
      <c r="AI646" s="192"/>
      <c r="AJ646" s="192"/>
      <c r="AK646" s="194"/>
      <c r="AL646" s="192"/>
    </row>
    <row r="647" spans="3:40" x14ac:dyDescent="0.3">
      <c r="C647" s="99"/>
      <c r="D647" s="99"/>
      <c r="E647" s="99"/>
      <c r="T647" s="99"/>
      <c r="U647" s="99"/>
      <c r="V647" s="110"/>
      <c r="W647" s="110"/>
      <c r="X647" s="110"/>
      <c r="Y647" s="110"/>
      <c r="Z647" s="227"/>
    </row>
    <row r="648" spans="3:40" x14ac:dyDescent="0.3">
      <c r="C648" s="99"/>
      <c r="T648" s="99"/>
      <c r="V648" s="110"/>
      <c r="W648" s="110"/>
      <c r="X648" s="110"/>
      <c r="Y648" s="110"/>
      <c r="Z648" s="227"/>
    </row>
    <row r="649" spans="3:40" x14ac:dyDescent="0.3">
      <c r="C649" s="99"/>
      <c r="F649" s="172"/>
      <c r="H649" s="172"/>
      <c r="I649" s="172"/>
      <c r="J649" s="227"/>
      <c r="K649" s="227"/>
      <c r="L649" s="110"/>
      <c r="M649" s="110"/>
      <c r="N649" s="141"/>
      <c r="O649" s="141"/>
      <c r="P649" s="110"/>
      <c r="Q649" s="110"/>
      <c r="R649" s="110"/>
      <c r="T649" s="99"/>
      <c r="V649" s="110"/>
      <c r="W649" s="110"/>
      <c r="X649" s="110"/>
      <c r="Y649" s="110"/>
      <c r="Z649" s="227"/>
      <c r="AA649" s="110"/>
      <c r="AB649" s="110"/>
      <c r="AC649" s="141"/>
      <c r="AD649" s="141"/>
      <c r="AE649" s="110"/>
      <c r="AF649" s="110"/>
      <c r="AH649" s="207"/>
      <c r="AI649" s="110"/>
      <c r="AJ649" s="110"/>
      <c r="AL649" s="110"/>
      <c r="AM649" s="141"/>
      <c r="AN649" s="141"/>
    </row>
    <row r="650" spans="3:40" x14ac:dyDescent="0.3">
      <c r="C650" s="99"/>
      <c r="T650" s="99"/>
      <c r="V650" s="110"/>
      <c r="W650" s="110"/>
      <c r="X650" s="110"/>
      <c r="Y650" s="110"/>
      <c r="Z650" s="227"/>
    </row>
    <row r="651" spans="3:40" x14ac:dyDescent="0.3">
      <c r="C651" s="99"/>
      <c r="F651" s="172"/>
      <c r="H651" s="172"/>
      <c r="I651" s="172"/>
      <c r="J651" s="227"/>
      <c r="K651" s="227"/>
      <c r="L651" s="110"/>
      <c r="M651" s="110"/>
      <c r="N651" s="141"/>
      <c r="O651" s="141"/>
      <c r="P651" s="110"/>
      <c r="Q651" s="110"/>
      <c r="R651" s="110"/>
      <c r="T651" s="99"/>
      <c r="V651" s="110"/>
      <c r="W651" s="110"/>
      <c r="X651" s="110"/>
      <c r="Y651" s="110"/>
      <c r="Z651" s="227"/>
      <c r="AA651" s="110"/>
      <c r="AB651" s="110"/>
      <c r="AC651" s="141"/>
      <c r="AD651" s="141"/>
      <c r="AE651" s="110"/>
      <c r="AF651" s="110"/>
      <c r="AH651" s="207"/>
      <c r="AI651" s="110"/>
      <c r="AJ651" s="110"/>
      <c r="AL651" s="110"/>
      <c r="AM651" s="141"/>
      <c r="AN651" s="141"/>
    </row>
    <row r="652" spans="3:40" x14ac:dyDescent="0.3">
      <c r="C652" s="99"/>
      <c r="T652" s="99"/>
      <c r="V652" s="110"/>
      <c r="W652" s="110"/>
      <c r="X652" s="110"/>
      <c r="Y652" s="110"/>
      <c r="Z652" s="227"/>
    </row>
    <row r="653" spans="3:40" x14ac:dyDescent="0.3">
      <c r="C653" s="99"/>
      <c r="F653" s="172"/>
      <c r="H653" s="172"/>
      <c r="I653" s="172"/>
      <c r="J653" s="227"/>
      <c r="K653" s="227"/>
      <c r="L653" s="110"/>
      <c r="M653" s="110"/>
      <c r="N653" s="141"/>
      <c r="O653" s="141"/>
      <c r="P653" s="110"/>
      <c r="Q653" s="110"/>
      <c r="R653" s="110"/>
      <c r="T653" s="99"/>
      <c r="V653" s="110"/>
      <c r="W653" s="110"/>
      <c r="X653" s="110"/>
      <c r="Y653" s="110"/>
      <c r="Z653" s="227"/>
      <c r="AA653" s="110"/>
      <c r="AB653" s="110"/>
      <c r="AC653" s="141"/>
      <c r="AD653" s="141"/>
      <c r="AE653" s="110"/>
      <c r="AF653" s="110"/>
      <c r="AH653" s="207"/>
      <c r="AI653" s="110"/>
      <c r="AJ653" s="110"/>
      <c r="AL653" s="110"/>
      <c r="AM653" s="141"/>
      <c r="AN653" s="141"/>
    </row>
    <row r="654" spans="3:40" x14ac:dyDescent="0.3">
      <c r="C654" s="99"/>
      <c r="T654" s="99"/>
      <c r="V654" s="110"/>
      <c r="W654" s="110"/>
      <c r="X654" s="110"/>
      <c r="Y654" s="110"/>
      <c r="Z654" s="227"/>
    </row>
    <row r="655" spans="3:40" x14ac:dyDescent="0.3">
      <c r="C655" s="99"/>
      <c r="F655" s="172"/>
      <c r="H655" s="172"/>
      <c r="I655" s="172"/>
      <c r="J655" s="227"/>
      <c r="K655" s="227"/>
      <c r="L655" s="110"/>
      <c r="M655" s="110"/>
      <c r="N655" s="141"/>
      <c r="O655" s="141"/>
      <c r="P655" s="110"/>
      <c r="Q655" s="110"/>
      <c r="R655" s="110"/>
      <c r="T655" s="99"/>
      <c r="V655" s="110"/>
      <c r="W655" s="110"/>
      <c r="X655" s="110"/>
      <c r="Y655" s="110"/>
      <c r="Z655" s="227"/>
      <c r="AA655" s="110"/>
      <c r="AB655" s="110"/>
      <c r="AC655" s="141"/>
      <c r="AD655" s="141"/>
      <c r="AE655" s="110"/>
      <c r="AF655" s="110"/>
      <c r="AH655" s="207"/>
      <c r="AI655" s="110"/>
      <c r="AJ655" s="110"/>
      <c r="AL655" s="110"/>
      <c r="AM655" s="141"/>
      <c r="AN655" s="141"/>
    </row>
    <row r="656" spans="3:40" x14ac:dyDescent="0.3">
      <c r="F656" s="192"/>
      <c r="H656" s="192"/>
      <c r="I656" s="192"/>
      <c r="J656" s="217"/>
      <c r="K656" s="217"/>
      <c r="L656" s="192"/>
      <c r="M656" s="192"/>
      <c r="N656" s="192"/>
      <c r="O656" s="192"/>
      <c r="P656" s="192"/>
      <c r="Q656" s="192"/>
      <c r="R656" s="192"/>
      <c r="V656" s="192"/>
      <c r="Y656" s="192"/>
      <c r="Z656" s="217"/>
      <c r="AA656" s="192"/>
      <c r="AB656" s="192"/>
      <c r="AC656" s="192"/>
      <c r="AD656" s="192"/>
      <c r="AE656" s="192"/>
      <c r="AF656" s="192"/>
      <c r="AI656" s="192"/>
      <c r="AJ656" s="192"/>
      <c r="AK656" s="194"/>
      <c r="AL656" s="192"/>
    </row>
    <row r="657" spans="1:40" x14ac:dyDescent="0.3">
      <c r="C657" s="99"/>
      <c r="F657" s="110"/>
      <c r="H657" s="110"/>
      <c r="I657" s="110"/>
      <c r="L657" s="110"/>
      <c r="M657" s="110"/>
      <c r="N657" s="141"/>
      <c r="O657" s="141"/>
      <c r="P657" s="172"/>
      <c r="Q657" s="172"/>
      <c r="R657" s="110"/>
      <c r="T657" s="99"/>
      <c r="V657" s="110"/>
      <c r="W657" s="110"/>
      <c r="X657" s="110"/>
      <c r="Y657" s="110"/>
      <c r="Z657" s="227"/>
      <c r="AA657" s="110"/>
      <c r="AB657" s="110"/>
      <c r="AC657" s="141"/>
      <c r="AD657" s="141"/>
      <c r="AE657" s="110"/>
      <c r="AF657" s="110"/>
      <c r="AH657" s="207"/>
      <c r="AI657" s="172"/>
      <c r="AJ657" s="172"/>
      <c r="AL657" s="110"/>
      <c r="AM657" s="141"/>
      <c r="AN657" s="141"/>
    </row>
    <row r="658" spans="1:40" x14ac:dyDescent="0.3">
      <c r="F658" s="192"/>
      <c r="H658" s="192"/>
      <c r="I658" s="192"/>
      <c r="J658" s="217"/>
      <c r="K658" s="217"/>
      <c r="L658" s="192"/>
      <c r="M658" s="192"/>
      <c r="N658" s="192"/>
      <c r="O658" s="192"/>
      <c r="P658" s="192"/>
      <c r="Q658" s="192"/>
      <c r="R658" s="192"/>
      <c r="V658" s="192"/>
      <c r="Y658" s="192"/>
      <c r="Z658" s="217"/>
      <c r="AA658" s="192"/>
      <c r="AB658" s="192"/>
      <c r="AC658" s="192"/>
      <c r="AD658" s="192"/>
      <c r="AE658" s="192"/>
      <c r="AF658" s="192"/>
      <c r="AI658" s="192"/>
      <c r="AJ658" s="192"/>
      <c r="AK658" s="194"/>
      <c r="AL658" s="192"/>
    </row>
    <row r="659" spans="1:40" x14ac:dyDescent="0.3">
      <c r="C659" s="99"/>
      <c r="F659" s="110"/>
      <c r="H659" s="110"/>
      <c r="I659" s="110"/>
      <c r="L659" s="110"/>
      <c r="M659" s="110"/>
      <c r="N659" s="141"/>
      <c r="O659" s="141"/>
      <c r="P659" s="110"/>
      <c r="Q659" s="110"/>
      <c r="R659" s="110"/>
      <c r="T659" s="99"/>
      <c r="V659" s="110"/>
      <c r="W659" s="110"/>
      <c r="X659" s="110"/>
      <c r="Y659" s="110"/>
      <c r="AA659" s="110"/>
      <c r="AB659" s="110"/>
      <c r="AC659" s="141"/>
      <c r="AD659" s="141"/>
      <c r="AE659" s="110"/>
      <c r="AF659" s="110"/>
      <c r="AH659" s="207"/>
      <c r="AI659" s="110"/>
      <c r="AJ659" s="110"/>
      <c r="AL659" s="110"/>
      <c r="AM659" s="207"/>
      <c r="AN659" s="207"/>
    </row>
    <row r="660" spans="1:40" x14ac:dyDescent="0.3">
      <c r="F660" s="192"/>
      <c r="H660" s="192"/>
      <c r="I660" s="192"/>
      <c r="J660" s="217"/>
      <c r="K660" s="217"/>
      <c r="L660" s="192"/>
      <c r="M660" s="192"/>
      <c r="N660" s="192"/>
      <c r="O660" s="192"/>
      <c r="P660" s="192"/>
      <c r="Q660" s="192"/>
      <c r="R660" s="192"/>
      <c r="V660" s="192"/>
      <c r="Y660" s="192"/>
      <c r="Z660" s="217"/>
      <c r="AA660" s="192"/>
      <c r="AB660" s="192"/>
      <c r="AC660" s="192"/>
      <c r="AD660" s="192"/>
      <c r="AE660" s="192"/>
      <c r="AF660" s="192"/>
      <c r="AI660" s="192"/>
      <c r="AJ660" s="192"/>
      <c r="AK660" s="194"/>
      <c r="AL660" s="192"/>
    </row>
    <row r="663" spans="1:40" x14ac:dyDescent="0.3">
      <c r="A663" s="99"/>
    </row>
    <row r="665" spans="1:40" x14ac:dyDescent="0.3">
      <c r="H665" s="99"/>
      <c r="I665" s="99"/>
      <c r="Y665" s="99"/>
    </row>
    <row r="667" spans="1:40" x14ac:dyDescent="0.3">
      <c r="L667" s="99"/>
      <c r="M667" s="99"/>
      <c r="AA667" s="99"/>
      <c r="AB667" s="99"/>
    </row>
    <row r="668" spans="1:40" x14ac:dyDescent="0.3">
      <c r="R668" s="99"/>
      <c r="AK668" s="190"/>
      <c r="AL668" s="99"/>
    </row>
    <row r="669" spans="1:40" x14ac:dyDescent="0.3">
      <c r="R669" s="99"/>
      <c r="AK669" s="190"/>
      <c r="AL669" s="99"/>
    </row>
    <row r="670" spans="1:40" x14ac:dyDescent="0.3">
      <c r="A670" s="99"/>
      <c r="R670" s="99"/>
      <c r="AK670" s="190"/>
      <c r="AL670" s="99"/>
    </row>
    <row r="671" spans="1:40" x14ac:dyDescent="0.3">
      <c r="L671" s="99"/>
      <c r="M671" s="99"/>
      <c r="AA671" s="99"/>
      <c r="AB671" s="99"/>
    </row>
    <row r="672" spans="1:40" x14ac:dyDescent="0.3">
      <c r="A672" s="101"/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T672" s="101"/>
      <c r="U672" s="101"/>
      <c r="V672" s="101"/>
      <c r="W672" s="101"/>
      <c r="X672" s="101"/>
      <c r="Y672" s="101"/>
      <c r="Z672" s="101"/>
      <c r="AA672" s="101"/>
      <c r="AB672" s="101"/>
      <c r="AC672" s="101"/>
      <c r="AD672" s="101"/>
      <c r="AE672" s="101"/>
      <c r="AF672" s="101"/>
      <c r="AG672" s="191"/>
      <c r="AH672" s="101"/>
      <c r="AI672" s="101"/>
      <c r="AJ672" s="101"/>
      <c r="AK672" s="191"/>
      <c r="AL672" s="101"/>
      <c r="AM672" s="101"/>
      <c r="AN672" s="101"/>
    </row>
    <row r="673" spans="1:40" x14ac:dyDescent="0.3">
      <c r="L673" s="102"/>
      <c r="M673" s="102"/>
      <c r="N673" s="102"/>
      <c r="O673" s="102"/>
      <c r="R673" s="102"/>
      <c r="AA673" s="102"/>
      <c r="AB673" s="102"/>
      <c r="AC673" s="102"/>
      <c r="AD673" s="102"/>
      <c r="AE673" s="102"/>
      <c r="AF673" s="102"/>
      <c r="AG673" s="151"/>
      <c r="AH673" s="102"/>
      <c r="AK673" s="151"/>
      <c r="AL673" s="102"/>
      <c r="AM673" s="102"/>
      <c r="AN673" s="102"/>
    </row>
    <row r="674" spans="1:40" x14ac:dyDescent="0.3">
      <c r="L674" s="102"/>
      <c r="M674" s="102"/>
      <c r="N674" s="102"/>
      <c r="O674" s="102"/>
      <c r="R674" s="102"/>
      <c r="Z674" s="102"/>
      <c r="AA674" s="102"/>
      <c r="AB674" s="102"/>
      <c r="AC674" s="102"/>
      <c r="AD674" s="102"/>
      <c r="AE674" s="102"/>
      <c r="AF674" s="102"/>
      <c r="AG674" s="151"/>
      <c r="AH674" s="102"/>
      <c r="AK674" s="151"/>
      <c r="AL674" s="102"/>
      <c r="AM674" s="102"/>
      <c r="AN674" s="102"/>
    </row>
    <row r="675" spans="1:40" x14ac:dyDescent="0.3">
      <c r="A675" s="102"/>
      <c r="C675" s="102"/>
      <c r="D675" s="102"/>
      <c r="E675" s="102"/>
      <c r="F675" s="102"/>
      <c r="J675" s="102"/>
      <c r="K675" s="102"/>
      <c r="L675" s="102"/>
      <c r="M675" s="102"/>
      <c r="N675" s="102"/>
      <c r="O675" s="102"/>
      <c r="P675" s="102"/>
      <c r="Q675" s="102"/>
      <c r="R675" s="102"/>
      <c r="T675" s="102"/>
      <c r="U675" s="102"/>
      <c r="V675" s="102"/>
      <c r="Z675" s="102"/>
      <c r="AA675" s="102"/>
      <c r="AB675" s="102"/>
      <c r="AC675" s="102"/>
      <c r="AD675" s="102"/>
      <c r="AE675" s="102"/>
      <c r="AF675" s="102"/>
      <c r="AG675" s="151"/>
      <c r="AH675" s="102"/>
      <c r="AI675" s="102"/>
      <c r="AJ675" s="102"/>
      <c r="AK675" s="151"/>
      <c r="AL675" s="102"/>
      <c r="AM675" s="102"/>
      <c r="AN675" s="102"/>
    </row>
    <row r="676" spans="1:40" x14ac:dyDescent="0.3">
      <c r="A676" s="102"/>
      <c r="C676" s="102"/>
      <c r="D676" s="102"/>
      <c r="E676" s="102"/>
      <c r="F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T676" s="102"/>
      <c r="U676" s="102"/>
      <c r="V676" s="102"/>
      <c r="Y676" s="102"/>
      <c r="Z676" s="102"/>
      <c r="AA676" s="102"/>
      <c r="AB676" s="102"/>
      <c r="AC676" s="102"/>
      <c r="AD676" s="102"/>
      <c r="AE676" s="102"/>
      <c r="AF676" s="102"/>
      <c r="AG676" s="151"/>
      <c r="AH676" s="102"/>
      <c r="AI676" s="102"/>
      <c r="AJ676" s="102"/>
      <c r="AK676" s="151"/>
      <c r="AL676" s="102"/>
      <c r="AM676" s="102"/>
      <c r="AN676" s="102"/>
    </row>
    <row r="677" spans="1:40" x14ac:dyDescent="0.3">
      <c r="C677" s="102"/>
      <c r="D677" s="102"/>
      <c r="E677" s="102"/>
      <c r="F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T677" s="102"/>
      <c r="U677" s="102"/>
      <c r="V677" s="102"/>
      <c r="Y677" s="102"/>
      <c r="Z677" s="102"/>
      <c r="AA677" s="102"/>
      <c r="AB677" s="102"/>
      <c r="AC677" s="102"/>
      <c r="AD677" s="102"/>
      <c r="AE677" s="102"/>
      <c r="AF677" s="102"/>
      <c r="AG677" s="151"/>
      <c r="AH677" s="102"/>
      <c r="AI677" s="102"/>
      <c r="AJ677" s="102"/>
      <c r="AK677" s="151"/>
      <c r="AL677" s="102"/>
      <c r="AM677" s="102"/>
      <c r="AN677" s="102"/>
    </row>
    <row r="678" spans="1:40" x14ac:dyDescent="0.3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T678" s="101"/>
      <c r="U678" s="101"/>
      <c r="V678" s="101"/>
      <c r="W678" s="101"/>
      <c r="X678" s="101"/>
      <c r="Y678" s="101"/>
      <c r="Z678" s="101"/>
      <c r="AA678" s="101"/>
      <c r="AB678" s="101"/>
      <c r="AC678" s="101"/>
      <c r="AD678" s="101"/>
      <c r="AE678" s="101"/>
      <c r="AF678" s="101"/>
      <c r="AG678" s="191"/>
      <c r="AH678" s="101"/>
      <c r="AI678" s="101"/>
      <c r="AJ678" s="101"/>
      <c r="AK678" s="191"/>
      <c r="AL678" s="101"/>
      <c r="AM678" s="101"/>
      <c r="AN678" s="101"/>
    </row>
    <row r="679" spans="1:40" x14ac:dyDescent="0.3"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Y679" s="102"/>
      <c r="Z679" s="102"/>
      <c r="AA679" s="102"/>
      <c r="AB679" s="102"/>
      <c r="AC679" s="102"/>
      <c r="AD679" s="102"/>
      <c r="AE679" s="102"/>
      <c r="AF679" s="102"/>
      <c r="AG679" s="151"/>
      <c r="AH679" s="102"/>
      <c r="AI679" s="102"/>
      <c r="AJ679" s="102"/>
      <c r="AK679" s="151"/>
      <c r="AL679" s="102"/>
      <c r="AM679" s="102"/>
      <c r="AN679" s="102"/>
    </row>
    <row r="680" spans="1:40" x14ac:dyDescent="0.3">
      <c r="C680" s="99"/>
      <c r="D680" s="99"/>
      <c r="E680" s="99"/>
      <c r="F680" s="110"/>
      <c r="H680" s="110"/>
      <c r="I680" s="110"/>
      <c r="J680" s="198"/>
      <c r="K680" s="198"/>
      <c r="L680" s="110"/>
      <c r="M680" s="110"/>
      <c r="N680" s="198"/>
      <c r="O680" s="198"/>
      <c r="P680" s="110"/>
      <c r="Q680" s="110"/>
      <c r="R680" s="110"/>
      <c r="T680" s="99"/>
      <c r="U680" s="99"/>
      <c r="V680" s="110"/>
      <c r="Y680" s="110"/>
      <c r="Z680" s="198"/>
      <c r="AA680" s="110"/>
      <c r="AB680" s="110"/>
      <c r="AC680" s="198"/>
      <c r="AD680" s="198"/>
      <c r="AE680" s="110"/>
      <c r="AF680" s="110"/>
      <c r="AH680" s="207"/>
      <c r="AI680" s="110"/>
      <c r="AJ680" s="110"/>
      <c r="AL680" s="110"/>
      <c r="AM680" s="141"/>
      <c r="AN680" s="141"/>
    </row>
    <row r="681" spans="1:40" x14ac:dyDescent="0.3">
      <c r="F681" s="192"/>
      <c r="H681" s="192"/>
      <c r="I681" s="192"/>
      <c r="J681" s="217"/>
      <c r="K681" s="217"/>
      <c r="L681" s="192"/>
      <c r="M681" s="192"/>
      <c r="N681" s="192"/>
      <c r="O681" s="192"/>
      <c r="P681" s="192"/>
      <c r="Q681" s="192"/>
      <c r="R681" s="192"/>
      <c r="V681" s="192"/>
      <c r="Y681" s="192"/>
      <c r="Z681" s="217"/>
      <c r="AA681" s="192"/>
      <c r="AB681" s="192"/>
      <c r="AC681" s="192"/>
      <c r="AD681" s="192"/>
      <c r="AE681" s="192"/>
      <c r="AF681" s="192"/>
      <c r="AI681" s="192"/>
      <c r="AJ681" s="192"/>
      <c r="AK681" s="194"/>
      <c r="AL681" s="192"/>
      <c r="AM681" s="141"/>
      <c r="AN681" s="141"/>
    </row>
    <row r="682" spans="1:40" x14ac:dyDescent="0.3">
      <c r="C682" s="99"/>
      <c r="F682" s="110"/>
      <c r="H682" s="110"/>
      <c r="I682" s="110"/>
      <c r="J682" s="198"/>
      <c r="K682" s="198"/>
      <c r="L682" s="110"/>
      <c r="M682" s="110"/>
      <c r="N682" s="198"/>
      <c r="O682" s="198"/>
      <c r="P682" s="110"/>
      <c r="Q682" s="110"/>
      <c r="R682" s="110"/>
      <c r="T682" s="99"/>
      <c r="V682" s="110"/>
      <c r="Y682" s="110"/>
      <c r="Z682" s="198"/>
      <c r="AA682" s="110"/>
      <c r="AB682" s="110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1:40" x14ac:dyDescent="0.3">
      <c r="F683" s="110"/>
      <c r="H683" s="110"/>
      <c r="I683" s="110"/>
      <c r="J683" s="198"/>
      <c r="K683" s="198"/>
      <c r="L683" s="110"/>
      <c r="M683" s="110"/>
      <c r="N683" s="198"/>
      <c r="O683" s="198"/>
      <c r="P683" s="110"/>
      <c r="Q683" s="110"/>
      <c r="R683" s="110"/>
      <c r="V683" s="110"/>
      <c r="Y683" s="110"/>
      <c r="Z683" s="198"/>
      <c r="AA683" s="110"/>
      <c r="AB683" s="110"/>
      <c r="AC683" s="198"/>
      <c r="AD683" s="198"/>
      <c r="AH683" s="207"/>
      <c r="AI683" s="110"/>
      <c r="AJ683" s="110"/>
      <c r="AL683" s="110"/>
      <c r="AM683" s="141"/>
      <c r="AN683" s="141"/>
    </row>
    <row r="684" spans="1:40" x14ac:dyDescent="0.3">
      <c r="C684" s="99"/>
      <c r="D684" s="99"/>
      <c r="E684" s="99"/>
      <c r="F684" s="110"/>
      <c r="H684" s="110"/>
      <c r="I684" s="110"/>
      <c r="J684" s="198"/>
      <c r="K684" s="198"/>
      <c r="L684" s="110"/>
      <c r="M684" s="110"/>
      <c r="N684" s="198"/>
      <c r="O684" s="198"/>
      <c r="P684" s="110"/>
      <c r="Q684" s="110"/>
      <c r="R684" s="110"/>
      <c r="T684" s="99"/>
      <c r="U684" s="99"/>
      <c r="V684" s="110"/>
      <c r="Y684" s="110"/>
      <c r="Z684" s="198"/>
      <c r="AA684" s="110"/>
      <c r="AB684" s="110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1:40" x14ac:dyDescent="0.3">
      <c r="C685" s="99"/>
      <c r="D685" s="99"/>
      <c r="E685" s="99"/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T685" s="99"/>
      <c r="U685" s="99"/>
      <c r="V685" s="110"/>
      <c r="Y685" s="110"/>
      <c r="Z685" s="198"/>
      <c r="AA685" s="110"/>
      <c r="AB685" s="110"/>
      <c r="AC685" s="198"/>
      <c r="AD685" s="198"/>
      <c r="AE685" s="110"/>
      <c r="AF685" s="110"/>
      <c r="AH685" s="207"/>
      <c r="AI685" s="110"/>
      <c r="AJ685" s="110"/>
      <c r="AL685" s="110"/>
      <c r="AM685" s="141"/>
      <c r="AN685" s="141"/>
    </row>
    <row r="686" spans="1:40" x14ac:dyDescent="0.3">
      <c r="C686" s="99"/>
      <c r="D686" s="99"/>
      <c r="E686" s="99"/>
      <c r="F686" s="110"/>
      <c r="H686" s="110"/>
      <c r="I686" s="110"/>
      <c r="J686" s="198"/>
      <c r="K686" s="198"/>
      <c r="L686" s="110"/>
      <c r="M686" s="110"/>
      <c r="N686" s="198"/>
      <c r="O686" s="198"/>
      <c r="P686" s="110"/>
      <c r="Q686" s="110"/>
      <c r="R686" s="110"/>
      <c r="T686" s="99"/>
      <c r="U686" s="99"/>
      <c r="V686" s="110"/>
      <c r="Y686" s="110"/>
      <c r="Z686" s="198"/>
      <c r="AA686" s="110"/>
      <c r="AB686" s="110"/>
      <c r="AC686" s="198"/>
      <c r="AD686" s="198"/>
      <c r="AE686" s="110"/>
      <c r="AF686" s="110"/>
      <c r="AH686" s="207"/>
      <c r="AI686" s="110"/>
      <c r="AJ686" s="110"/>
      <c r="AL686" s="110"/>
      <c r="AM686" s="141"/>
      <c r="AN686" s="141"/>
    </row>
    <row r="687" spans="1:40" x14ac:dyDescent="0.3">
      <c r="C687" s="99"/>
      <c r="D687" s="99"/>
      <c r="E687" s="99"/>
      <c r="F687" s="110"/>
      <c r="H687" s="110"/>
      <c r="I687" s="110"/>
      <c r="J687" s="198"/>
      <c r="K687" s="198"/>
      <c r="L687" s="110"/>
      <c r="M687" s="110"/>
      <c r="N687" s="198"/>
      <c r="O687" s="198"/>
      <c r="P687" s="110"/>
      <c r="Q687" s="110"/>
      <c r="R687" s="110"/>
      <c r="T687" s="99"/>
      <c r="U687" s="99"/>
      <c r="V687" s="110"/>
      <c r="Y687" s="110"/>
      <c r="Z687" s="198"/>
      <c r="AA687" s="110"/>
      <c r="AB687" s="110"/>
      <c r="AC687" s="198"/>
      <c r="AD687" s="198"/>
      <c r="AE687" s="110"/>
      <c r="AF687" s="110"/>
      <c r="AH687" s="207"/>
      <c r="AI687" s="110"/>
      <c r="AJ687" s="110"/>
      <c r="AL687" s="110"/>
      <c r="AM687" s="141"/>
      <c r="AN687" s="141"/>
    </row>
    <row r="688" spans="1:40" x14ac:dyDescent="0.3">
      <c r="C688" s="99"/>
      <c r="D688" s="99"/>
      <c r="E688" s="99"/>
      <c r="F688" s="110"/>
      <c r="H688" s="110"/>
      <c r="I688" s="110"/>
      <c r="J688" s="198"/>
      <c r="K688" s="198"/>
      <c r="L688" s="110"/>
      <c r="M688" s="110"/>
      <c r="N688" s="198"/>
      <c r="O688" s="198"/>
      <c r="P688" s="110"/>
      <c r="Q688" s="110"/>
      <c r="R688" s="110"/>
      <c r="T688" s="99"/>
      <c r="U688" s="99"/>
      <c r="V688" s="110"/>
      <c r="Y688" s="110"/>
      <c r="Z688" s="198"/>
      <c r="AA688" s="110"/>
      <c r="AB688" s="110"/>
      <c r="AC688" s="198"/>
      <c r="AD688" s="198"/>
      <c r="AE688" s="110"/>
      <c r="AF688" s="110"/>
      <c r="AH688" s="207"/>
      <c r="AI688" s="110"/>
      <c r="AJ688" s="110"/>
      <c r="AL688" s="110"/>
      <c r="AM688" s="141"/>
      <c r="AN688" s="141"/>
    </row>
    <row r="689" spans="3:40" x14ac:dyDescent="0.3">
      <c r="C689" s="99"/>
      <c r="D689" s="99"/>
      <c r="E689" s="99"/>
      <c r="F689" s="110"/>
      <c r="H689" s="110"/>
      <c r="I689" s="110"/>
      <c r="J689" s="198"/>
      <c r="K689" s="198"/>
      <c r="L689" s="110"/>
      <c r="M689" s="110"/>
      <c r="N689" s="198"/>
      <c r="O689" s="198"/>
      <c r="P689" s="110"/>
      <c r="Q689" s="110"/>
      <c r="R689" s="110"/>
      <c r="T689" s="99"/>
      <c r="U689" s="99"/>
      <c r="V689" s="110"/>
      <c r="Y689" s="110"/>
      <c r="Z689" s="198"/>
      <c r="AA689" s="110"/>
      <c r="AB689" s="110"/>
      <c r="AC689" s="198"/>
      <c r="AD689" s="198"/>
      <c r="AE689" s="110"/>
      <c r="AF689" s="110"/>
      <c r="AH689" s="207"/>
      <c r="AI689" s="110"/>
      <c r="AJ689" s="110"/>
      <c r="AL689" s="110"/>
      <c r="AM689" s="141"/>
      <c r="AN689" s="141"/>
    </row>
    <row r="690" spans="3:40" x14ac:dyDescent="0.3">
      <c r="F690" s="192"/>
      <c r="H690" s="192"/>
      <c r="I690" s="192"/>
      <c r="J690" s="217"/>
      <c r="K690" s="217"/>
      <c r="L690" s="192"/>
      <c r="M690" s="192"/>
      <c r="N690" s="192"/>
      <c r="O690" s="192"/>
      <c r="P690" s="192"/>
      <c r="Q690" s="192"/>
      <c r="R690" s="192"/>
      <c r="V690" s="192"/>
      <c r="Y690" s="192"/>
      <c r="Z690" s="217"/>
      <c r="AA690" s="192"/>
      <c r="AB690" s="192"/>
      <c r="AC690" s="192"/>
      <c r="AD690" s="192"/>
      <c r="AE690" s="192"/>
      <c r="AF690" s="192"/>
      <c r="AI690" s="192"/>
      <c r="AJ690" s="192"/>
      <c r="AK690" s="194"/>
      <c r="AL690" s="192"/>
      <c r="AM690" s="141"/>
      <c r="AN690" s="141"/>
    </row>
    <row r="691" spans="3:40" x14ac:dyDescent="0.3">
      <c r="C691" s="99"/>
      <c r="F691" s="110"/>
      <c r="H691" s="110"/>
      <c r="I691" s="110"/>
      <c r="J691" s="198"/>
      <c r="K691" s="198"/>
      <c r="L691" s="110"/>
      <c r="M691" s="110"/>
      <c r="N691" s="198"/>
      <c r="O691" s="198"/>
      <c r="P691" s="110"/>
      <c r="Q691" s="110"/>
      <c r="R691" s="110"/>
      <c r="T691" s="99"/>
      <c r="V691" s="110"/>
      <c r="Y691" s="110"/>
      <c r="Z691" s="198"/>
      <c r="AA691" s="110"/>
      <c r="AB691" s="110"/>
      <c r="AC691" s="198"/>
      <c r="AD691" s="198"/>
      <c r="AE691" s="110"/>
      <c r="AF691" s="110"/>
      <c r="AH691" s="207"/>
      <c r="AI691" s="110"/>
      <c r="AJ691" s="110"/>
      <c r="AL691" s="110"/>
      <c r="AM691" s="141"/>
      <c r="AN691" s="141"/>
    </row>
    <row r="692" spans="3:40" x14ac:dyDescent="0.3">
      <c r="F692" s="110"/>
      <c r="H692" s="110"/>
      <c r="I692" s="110"/>
      <c r="J692" s="198"/>
      <c r="K692" s="198"/>
      <c r="L692" s="110"/>
      <c r="M692" s="110"/>
      <c r="N692" s="198"/>
      <c r="O692" s="198"/>
      <c r="P692" s="110"/>
      <c r="Q692" s="110"/>
      <c r="R692" s="110"/>
      <c r="V692" s="110"/>
      <c r="Y692" s="110"/>
      <c r="Z692" s="198"/>
      <c r="AA692" s="110"/>
      <c r="AB692" s="110"/>
      <c r="AC692" s="198"/>
      <c r="AD692" s="198"/>
      <c r="AH692" s="207"/>
      <c r="AI692" s="110"/>
      <c r="AJ692" s="110"/>
      <c r="AL692" s="110"/>
      <c r="AM692" s="141"/>
      <c r="AN692" s="141"/>
    </row>
    <row r="693" spans="3:40" x14ac:dyDescent="0.3">
      <c r="C693" s="99"/>
      <c r="D693" s="99"/>
      <c r="E693" s="99"/>
      <c r="F693" s="110"/>
      <c r="H693" s="110"/>
      <c r="I693" s="110"/>
      <c r="J693" s="198"/>
      <c r="K693" s="198"/>
      <c r="L693" s="110"/>
      <c r="M693" s="110"/>
      <c r="N693" s="198"/>
      <c r="O693" s="198"/>
      <c r="P693" s="110"/>
      <c r="Q693" s="110"/>
      <c r="R693" s="110"/>
      <c r="T693" s="99"/>
      <c r="U693" s="99"/>
      <c r="V693" s="110"/>
      <c r="Y693" s="110"/>
      <c r="Z693" s="198"/>
      <c r="AA693" s="110"/>
      <c r="AB693" s="110"/>
      <c r="AC693" s="198"/>
      <c r="AD693" s="198"/>
      <c r="AE693" s="110"/>
      <c r="AF693" s="110"/>
      <c r="AH693" s="207"/>
      <c r="AI693" s="110"/>
      <c r="AJ693" s="110"/>
      <c r="AL693" s="110"/>
      <c r="AM693" s="141"/>
      <c r="AN693" s="141"/>
    </row>
    <row r="694" spans="3:40" x14ac:dyDescent="0.3">
      <c r="F694" s="192"/>
      <c r="H694" s="192"/>
      <c r="I694" s="192"/>
      <c r="J694" s="217"/>
      <c r="K694" s="217"/>
      <c r="L694" s="192"/>
      <c r="M694" s="192"/>
      <c r="N694" s="192"/>
      <c r="O694" s="192"/>
      <c r="P694" s="192"/>
      <c r="Q694" s="192"/>
      <c r="R694" s="192"/>
      <c r="V694" s="192"/>
      <c r="Y694" s="192"/>
      <c r="Z694" s="217"/>
      <c r="AA694" s="192"/>
      <c r="AB694" s="192"/>
      <c r="AC694" s="192"/>
      <c r="AD694" s="192"/>
      <c r="AE694" s="192"/>
      <c r="AF694" s="192"/>
      <c r="AI694" s="192"/>
      <c r="AJ694" s="192"/>
      <c r="AK694" s="194"/>
      <c r="AL694" s="192"/>
      <c r="AM694" s="141"/>
      <c r="AN694" s="141"/>
    </row>
    <row r="695" spans="3:40" x14ac:dyDescent="0.3">
      <c r="C695" s="99"/>
      <c r="F695" s="110"/>
      <c r="H695" s="110"/>
      <c r="I695" s="110"/>
      <c r="J695" s="198"/>
      <c r="K695" s="198"/>
      <c r="L695" s="110"/>
      <c r="M695" s="110"/>
      <c r="N695" s="198"/>
      <c r="O695" s="198"/>
      <c r="P695" s="110"/>
      <c r="Q695" s="110"/>
      <c r="R695" s="110"/>
      <c r="T695" s="99"/>
      <c r="V695" s="110"/>
      <c r="Y695" s="110"/>
      <c r="Z695" s="198"/>
      <c r="AA695" s="110"/>
      <c r="AB695" s="110"/>
      <c r="AC695" s="198"/>
      <c r="AD695" s="198"/>
      <c r="AE695" s="110"/>
      <c r="AF695" s="110"/>
      <c r="AH695" s="207"/>
      <c r="AI695" s="110"/>
      <c r="AJ695" s="110"/>
      <c r="AL695" s="110"/>
      <c r="AM695" s="141"/>
      <c r="AN695" s="141"/>
    </row>
    <row r="696" spans="3:40" x14ac:dyDescent="0.3">
      <c r="F696" s="110"/>
      <c r="H696" s="110"/>
      <c r="I696" s="110"/>
      <c r="J696" s="198"/>
      <c r="K696" s="198"/>
      <c r="L696" s="110"/>
      <c r="M696" s="110"/>
      <c r="N696" s="198"/>
      <c r="O696" s="198"/>
      <c r="P696" s="110"/>
      <c r="Q696" s="110"/>
      <c r="R696" s="110"/>
      <c r="V696" s="110"/>
      <c r="Y696" s="110"/>
      <c r="Z696" s="198"/>
      <c r="AA696" s="110"/>
      <c r="AB696" s="110"/>
      <c r="AC696" s="198"/>
      <c r="AD696" s="198"/>
      <c r="AH696" s="207"/>
      <c r="AI696" s="110"/>
      <c r="AJ696" s="110"/>
      <c r="AL696" s="110"/>
      <c r="AM696" s="141"/>
      <c r="AN696" s="141"/>
    </row>
    <row r="697" spans="3:40" x14ac:dyDescent="0.3">
      <c r="C697" s="99"/>
      <c r="D697" s="99"/>
      <c r="E697" s="99"/>
      <c r="F697" s="110"/>
      <c r="H697" s="110"/>
      <c r="I697" s="110"/>
      <c r="J697" s="198"/>
      <c r="K697" s="198"/>
      <c r="L697" s="110"/>
      <c r="M697" s="110"/>
      <c r="N697" s="198"/>
      <c r="O697" s="198"/>
      <c r="P697" s="110"/>
      <c r="Q697" s="110"/>
      <c r="R697" s="110"/>
      <c r="T697" s="99"/>
      <c r="U697" s="99"/>
      <c r="V697" s="110"/>
      <c r="Y697" s="110"/>
      <c r="Z697" s="198"/>
      <c r="AA697" s="110"/>
      <c r="AB697" s="110"/>
      <c r="AC697" s="198"/>
      <c r="AD697" s="198"/>
      <c r="AE697" s="110"/>
      <c r="AF697" s="110"/>
      <c r="AH697" s="207"/>
      <c r="AI697" s="110"/>
      <c r="AJ697" s="110"/>
      <c r="AL697" s="110"/>
      <c r="AM697" s="141"/>
      <c r="AN697" s="141"/>
    </row>
    <row r="698" spans="3:40" x14ac:dyDescent="0.3">
      <c r="C698" s="99"/>
      <c r="D698" s="99"/>
      <c r="E698" s="99"/>
      <c r="F698" s="110"/>
      <c r="G698" s="110"/>
      <c r="H698" s="110"/>
      <c r="I698" s="110"/>
      <c r="J698" s="198"/>
      <c r="K698" s="198"/>
      <c r="L698" s="110"/>
      <c r="M698" s="110"/>
      <c r="N698" s="198"/>
      <c r="O698" s="198"/>
      <c r="P698" s="110"/>
      <c r="Q698" s="110"/>
      <c r="R698" s="110"/>
      <c r="T698" s="99"/>
      <c r="U698" s="99"/>
      <c r="V698" s="110"/>
      <c r="W698" s="110"/>
      <c r="X698" s="110"/>
      <c r="Y698" s="110"/>
      <c r="Z698" s="198"/>
      <c r="AA698" s="110"/>
      <c r="AB698" s="110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3:40" x14ac:dyDescent="0.3">
      <c r="C699" s="99"/>
      <c r="D699" s="99"/>
      <c r="E699" s="99"/>
      <c r="F699" s="110"/>
      <c r="G699" s="110"/>
      <c r="H699" s="110"/>
      <c r="I699" s="110"/>
      <c r="J699" s="198"/>
      <c r="K699" s="198"/>
      <c r="L699" s="110"/>
      <c r="M699" s="110"/>
      <c r="N699" s="198"/>
      <c r="O699" s="198"/>
      <c r="P699" s="110"/>
      <c r="Q699" s="110"/>
      <c r="R699" s="110"/>
      <c r="T699" s="99"/>
      <c r="U699" s="99"/>
      <c r="V699" s="110"/>
      <c r="W699" s="110"/>
      <c r="X699" s="110"/>
      <c r="Y699" s="110"/>
      <c r="Z699" s="198"/>
      <c r="AA699" s="110"/>
      <c r="AB699" s="110"/>
      <c r="AC699" s="198"/>
      <c r="AD699" s="198"/>
      <c r="AE699" s="110"/>
      <c r="AF699" s="110"/>
      <c r="AH699" s="207"/>
      <c r="AI699" s="110"/>
      <c r="AJ699" s="110"/>
      <c r="AL699" s="110"/>
      <c r="AM699" s="141"/>
      <c r="AN699" s="141"/>
    </row>
    <row r="700" spans="3:40" x14ac:dyDescent="0.3">
      <c r="C700" s="99"/>
      <c r="D700" s="99"/>
      <c r="E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U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3:40" x14ac:dyDescent="0.3">
      <c r="C701" s="99"/>
      <c r="D701" s="99"/>
      <c r="E701" s="99"/>
      <c r="F701" s="110"/>
      <c r="H701" s="110"/>
      <c r="I701" s="110"/>
      <c r="J701" s="198"/>
      <c r="K701" s="198"/>
      <c r="L701" s="110"/>
      <c r="M701" s="110"/>
      <c r="N701" s="198"/>
      <c r="O701" s="198"/>
      <c r="P701" s="110"/>
      <c r="Q701" s="110"/>
      <c r="R701" s="110"/>
      <c r="T701" s="99"/>
      <c r="U701" s="99"/>
      <c r="V701" s="110"/>
      <c r="Y701" s="110"/>
      <c r="Z701" s="198"/>
      <c r="AA701" s="110"/>
      <c r="AB701" s="110"/>
      <c r="AC701" s="198"/>
      <c r="AD701" s="198"/>
      <c r="AE701" s="110"/>
      <c r="AF701" s="110"/>
      <c r="AH701" s="207"/>
      <c r="AI701" s="110"/>
      <c r="AJ701" s="110"/>
      <c r="AL701" s="110"/>
      <c r="AM701" s="141"/>
      <c r="AN701" s="141"/>
    </row>
    <row r="702" spans="3:40" x14ac:dyDescent="0.3">
      <c r="C702" s="99"/>
      <c r="D702" s="99"/>
      <c r="E702" s="99"/>
      <c r="F702" s="110"/>
      <c r="H702" s="110"/>
      <c r="I702" s="110"/>
      <c r="J702" s="198"/>
      <c r="K702" s="198"/>
      <c r="L702" s="110"/>
      <c r="M702" s="110"/>
      <c r="N702" s="198"/>
      <c r="O702" s="198"/>
      <c r="P702" s="110"/>
      <c r="Q702" s="110"/>
      <c r="R702" s="110"/>
      <c r="T702" s="99"/>
      <c r="U702" s="99"/>
      <c r="V702" s="110"/>
      <c r="Y702" s="110"/>
      <c r="Z702" s="198"/>
      <c r="AA702" s="110"/>
      <c r="AB702" s="110"/>
      <c r="AC702" s="198"/>
      <c r="AD702" s="198"/>
      <c r="AE702" s="110"/>
      <c r="AF702" s="110"/>
      <c r="AH702" s="207"/>
      <c r="AI702" s="110"/>
      <c r="AJ702" s="110"/>
      <c r="AL702" s="110"/>
      <c r="AM702" s="141"/>
      <c r="AN702" s="141"/>
    </row>
    <row r="703" spans="3:40" x14ac:dyDescent="0.3">
      <c r="C703" s="99"/>
      <c r="D703" s="99"/>
      <c r="E703" s="99"/>
      <c r="F703" s="110"/>
      <c r="H703" s="110"/>
      <c r="I703" s="110"/>
      <c r="J703" s="198"/>
      <c r="K703" s="198"/>
      <c r="L703" s="110"/>
      <c r="M703" s="110"/>
      <c r="N703" s="198"/>
      <c r="O703" s="198"/>
      <c r="P703" s="110"/>
      <c r="Q703" s="110"/>
      <c r="R703" s="110"/>
      <c r="T703" s="99"/>
      <c r="U703" s="99"/>
      <c r="V703" s="110"/>
      <c r="Y703" s="110"/>
      <c r="Z703" s="198"/>
      <c r="AA703" s="110"/>
      <c r="AB703" s="110"/>
      <c r="AC703" s="198"/>
      <c r="AD703" s="198"/>
      <c r="AE703" s="110"/>
      <c r="AF703" s="110"/>
      <c r="AH703" s="207"/>
      <c r="AI703" s="110"/>
      <c r="AJ703" s="110"/>
      <c r="AL703" s="110"/>
      <c r="AM703" s="141"/>
      <c r="AN703" s="141"/>
    </row>
    <row r="704" spans="3:40" x14ac:dyDescent="0.3">
      <c r="F704" s="192"/>
      <c r="H704" s="192"/>
      <c r="I704" s="192"/>
      <c r="J704" s="217"/>
      <c r="K704" s="217"/>
      <c r="L704" s="192"/>
      <c r="M704" s="192"/>
      <c r="N704" s="192"/>
      <c r="O704" s="192"/>
      <c r="P704" s="192"/>
      <c r="Q704" s="192"/>
      <c r="R704" s="192"/>
      <c r="V704" s="192"/>
      <c r="Y704" s="192"/>
      <c r="Z704" s="217"/>
      <c r="AA704" s="192"/>
      <c r="AB704" s="192"/>
      <c r="AC704" s="192"/>
      <c r="AD704" s="192"/>
      <c r="AE704" s="192"/>
      <c r="AF704" s="192"/>
      <c r="AI704" s="192"/>
      <c r="AJ704" s="192"/>
      <c r="AK704" s="194"/>
      <c r="AL704" s="192"/>
      <c r="AM704" s="141"/>
      <c r="AN704" s="141"/>
    </row>
    <row r="705" spans="3:40" x14ac:dyDescent="0.3">
      <c r="C705" s="99"/>
      <c r="F705" s="110"/>
      <c r="H705" s="110"/>
      <c r="I705" s="110"/>
      <c r="J705" s="198"/>
      <c r="K705" s="198"/>
      <c r="L705" s="110"/>
      <c r="M705" s="110"/>
      <c r="N705" s="198"/>
      <c r="O705" s="198"/>
      <c r="P705" s="110"/>
      <c r="Q705" s="110"/>
      <c r="R705" s="110"/>
      <c r="T705" s="99"/>
      <c r="V705" s="110"/>
      <c r="Y705" s="110"/>
      <c r="Z705" s="198"/>
      <c r="AA705" s="110"/>
      <c r="AB705" s="110"/>
      <c r="AC705" s="198"/>
      <c r="AD705" s="198"/>
      <c r="AE705" s="110"/>
      <c r="AF705" s="110"/>
      <c r="AH705" s="207"/>
      <c r="AI705" s="110"/>
      <c r="AJ705" s="110"/>
      <c r="AL705" s="110"/>
      <c r="AM705" s="141"/>
      <c r="AN705" s="141"/>
    </row>
    <row r="706" spans="3:40" x14ac:dyDescent="0.3">
      <c r="V706" s="110"/>
      <c r="Y706" s="110"/>
      <c r="Z706" s="217"/>
      <c r="AA706" s="110"/>
      <c r="AB706" s="110"/>
      <c r="AC706" s="110"/>
      <c r="AD706" s="110"/>
      <c r="AE706" s="110"/>
      <c r="AF706" s="110"/>
      <c r="AI706" s="110"/>
      <c r="AJ706" s="110"/>
      <c r="AL706" s="110"/>
      <c r="AM706" s="141"/>
      <c r="AN706" s="141"/>
    </row>
    <row r="707" spans="3:40" x14ac:dyDescent="0.3">
      <c r="C707" s="99"/>
      <c r="D707" s="99"/>
      <c r="E707" s="99"/>
      <c r="L707" s="110"/>
      <c r="M707" s="110"/>
      <c r="N707" s="198"/>
      <c r="O707" s="198"/>
      <c r="R707" s="110"/>
      <c r="T707" s="99"/>
      <c r="U707" s="99"/>
      <c r="AA707" s="110"/>
      <c r="AB707" s="110"/>
      <c r="AC707" s="198"/>
      <c r="AD707" s="198"/>
      <c r="AE707" s="110"/>
      <c r="AF707" s="110"/>
      <c r="AH707" s="207"/>
      <c r="AL707" s="110"/>
      <c r="AM707" s="141"/>
      <c r="AN707" s="141"/>
    </row>
    <row r="708" spans="3:40" x14ac:dyDescent="0.3">
      <c r="D708" s="99"/>
      <c r="E708" s="99"/>
      <c r="F708" s="172"/>
      <c r="H708" s="172"/>
      <c r="I708" s="172"/>
      <c r="J708" s="198"/>
      <c r="K708" s="198"/>
      <c r="L708" s="110"/>
      <c r="M708" s="110"/>
      <c r="N708" s="198"/>
      <c r="O708" s="198"/>
      <c r="P708" s="172"/>
      <c r="Q708" s="172"/>
      <c r="R708" s="110"/>
      <c r="U708" s="99"/>
      <c r="V708" s="110"/>
      <c r="Y708" s="110"/>
      <c r="Z708" s="198"/>
      <c r="AA708" s="110"/>
      <c r="AB708" s="110"/>
      <c r="AC708" s="198"/>
      <c r="AD708" s="198"/>
      <c r="AE708" s="110"/>
      <c r="AF708" s="110"/>
      <c r="AH708" s="207"/>
      <c r="AI708" s="110"/>
      <c r="AJ708" s="110"/>
      <c r="AL708" s="110"/>
      <c r="AM708" s="141"/>
      <c r="AN708" s="141"/>
    </row>
    <row r="709" spans="3:40" x14ac:dyDescent="0.3">
      <c r="F709" s="192"/>
      <c r="H709" s="192"/>
      <c r="I709" s="192"/>
      <c r="J709" s="217"/>
      <c r="K709" s="217"/>
      <c r="L709" s="192"/>
      <c r="M709" s="192"/>
      <c r="N709" s="192"/>
      <c r="O709" s="192"/>
      <c r="P709" s="192"/>
      <c r="Q709" s="192"/>
      <c r="R709" s="192"/>
      <c r="V709" s="192"/>
      <c r="Y709" s="192"/>
      <c r="Z709" s="217"/>
      <c r="AA709" s="192"/>
      <c r="AB709" s="192"/>
      <c r="AC709" s="192"/>
      <c r="AD709" s="192"/>
      <c r="AE709" s="192"/>
      <c r="AF709" s="192"/>
      <c r="AI709" s="192"/>
      <c r="AJ709" s="192"/>
      <c r="AK709" s="194"/>
      <c r="AL709" s="192"/>
      <c r="AM709" s="141"/>
      <c r="AN709" s="141"/>
    </row>
    <row r="710" spans="3:40" x14ac:dyDescent="0.3">
      <c r="C710" s="99"/>
      <c r="F710" s="110"/>
      <c r="H710" s="110"/>
      <c r="I710" s="110"/>
      <c r="J710" s="198"/>
      <c r="K710" s="198"/>
      <c r="L710" s="110"/>
      <c r="M710" s="110"/>
      <c r="N710" s="198"/>
      <c r="O710" s="198"/>
      <c r="P710" s="110"/>
      <c r="Q710" s="110"/>
      <c r="R710" s="110"/>
      <c r="T710" s="99"/>
      <c r="V710" s="110"/>
      <c r="Y710" s="110"/>
      <c r="Z710" s="198"/>
      <c r="AA710" s="110"/>
      <c r="AB710" s="110"/>
      <c r="AC710" s="198"/>
      <c r="AD710" s="198"/>
      <c r="AE710" s="110"/>
      <c r="AF710" s="110"/>
      <c r="AH710" s="207"/>
      <c r="AI710" s="110"/>
      <c r="AJ710" s="110"/>
      <c r="AL710" s="110"/>
      <c r="AM710" s="141"/>
      <c r="AN710" s="141"/>
    </row>
    <row r="711" spans="3:40" x14ac:dyDescent="0.3">
      <c r="F711" s="110"/>
      <c r="H711" s="110"/>
      <c r="I711" s="110"/>
      <c r="J711" s="198"/>
      <c r="K711" s="198"/>
      <c r="L711" s="110"/>
      <c r="M711" s="110"/>
      <c r="N711" s="198"/>
      <c r="O711" s="198"/>
      <c r="P711" s="110"/>
      <c r="Q711" s="110"/>
      <c r="R711" s="110"/>
      <c r="V711" s="110"/>
      <c r="Y711" s="110"/>
      <c r="Z711" s="198"/>
      <c r="AA711" s="110"/>
      <c r="AB711" s="110"/>
      <c r="AC711" s="198"/>
      <c r="AD711" s="198"/>
      <c r="AH711" s="207"/>
      <c r="AI711" s="110"/>
      <c r="AJ711" s="110"/>
      <c r="AL711" s="110"/>
      <c r="AM711" s="141"/>
      <c r="AN711" s="141"/>
    </row>
    <row r="712" spans="3:40" x14ac:dyDescent="0.3">
      <c r="D712" s="99"/>
      <c r="E712" s="99"/>
      <c r="F712" s="110"/>
      <c r="H712" s="110"/>
      <c r="I712" s="110"/>
      <c r="J712" s="198"/>
      <c r="K712" s="198"/>
      <c r="L712" s="172"/>
      <c r="M712" s="172"/>
      <c r="N712" s="198"/>
      <c r="O712" s="198"/>
      <c r="P712" s="110"/>
      <c r="Q712" s="110"/>
      <c r="R712" s="110"/>
      <c r="U712" s="99"/>
      <c r="V712" s="110"/>
      <c r="Y712" s="110"/>
      <c r="Z712" s="198"/>
      <c r="AA712" s="172"/>
      <c r="AB712" s="172"/>
      <c r="AC712" s="198"/>
      <c r="AD712" s="198"/>
      <c r="AE712" s="110"/>
      <c r="AF712" s="110"/>
      <c r="AH712" s="207"/>
      <c r="AI712" s="110"/>
      <c r="AJ712" s="110"/>
      <c r="AL712" s="110"/>
      <c r="AM712" s="141"/>
      <c r="AN712" s="141"/>
    </row>
    <row r="713" spans="3:40" x14ac:dyDescent="0.3">
      <c r="D713" s="99"/>
      <c r="E713" s="99"/>
      <c r="F713" s="110"/>
      <c r="H713" s="110"/>
      <c r="I713" s="110"/>
      <c r="J713" s="198"/>
      <c r="K713" s="198"/>
      <c r="L713" s="172"/>
      <c r="M713" s="172"/>
      <c r="N713" s="198"/>
      <c r="O713" s="198"/>
      <c r="P713" s="110"/>
      <c r="Q713" s="110"/>
      <c r="R713" s="110"/>
      <c r="U713" s="99"/>
      <c r="V713" s="110"/>
      <c r="Y713" s="110"/>
      <c r="Z713" s="198"/>
      <c r="AA713" s="172"/>
      <c r="AB713" s="172"/>
      <c r="AC713" s="198"/>
      <c r="AD713" s="198"/>
      <c r="AE713" s="110"/>
      <c r="AF713" s="110"/>
      <c r="AH713" s="207"/>
      <c r="AI713" s="110"/>
      <c r="AJ713" s="110"/>
      <c r="AL713" s="110"/>
      <c r="AM713" s="141"/>
      <c r="AN713" s="141"/>
    </row>
    <row r="714" spans="3:40" x14ac:dyDescent="0.3">
      <c r="D714" s="99"/>
      <c r="E714" s="99"/>
      <c r="F714" s="110"/>
      <c r="H714" s="110"/>
      <c r="I714" s="110"/>
      <c r="J714" s="198"/>
      <c r="K714" s="198"/>
      <c r="L714" s="172"/>
      <c r="M714" s="172"/>
      <c r="N714" s="198"/>
      <c r="O714" s="198"/>
      <c r="P714" s="110"/>
      <c r="Q714" s="110"/>
      <c r="R714" s="110"/>
      <c r="U714" s="99"/>
      <c r="V714" s="110"/>
      <c r="Y714" s="110"/>
      <c r="Z714" s="198"/>
      <c r="AA714" s="172"/>
      <c r="AB714" s="172"/>
      <c r="AC714" s="198"/>
      <c r="AD714" s="198"/>
      <c r="AE714" s="110"/>
      <c r="AF714" s="110"/>
      <c r="AH714" s="207"/>
      <c r="AI714" s="110"/>
      <c r="AJ714" s="110"/>
      <c r="AL714" s="110"/>
      <c r="AM714" s="141"/>
      <c r="AN714" s="141"/>
    </row>
    <row r="715" spans="3:40" x14ac:dyDescent="0.3">
      <c r="F715" s="192"/>
      <c r="H715" s="192"/>
      <c r="I715" s="192"/>
      <c r="J715" s="217"/>
      <c r="K715" s="217"/>
      <c r="L715" s="192"/>
      <c r="M715" s="192"/>
      <c r="N715" s="192"/>
      <c r="O715" s="192"/>
      <c r="P715" s="192"/>
      <c r="Q715" s="192"/>
      <c r="R715" s="192"/>
      <c r="V715" s="192"/>
      <c r="Y715" s="192"/>
      <c r="Z715" s="217"/>
      <c r="AA715" s="192"/>
      <c r="AB715" s="192"/>
      <c r="AC715" s="192"/>
      <c r="AD715" s="192"/>
      <c r="AE715" s="192"/>
      <c r="AF715" s="192"/>
      <c r="AI715" s="192"/>
      <c r="AJ715" s="192"/>
      <c r="AK715" s="194"/>
      <c r="AL715" s="192"/>
      <c r="AM715" s="141"/>
      <c r="AN715" s="141"/>
    </row>
    <row r="716" spans="3:40" x14ac:dyDescent="0.3">
      <c r="C716" s="99"/>
      <c r="F716" s="110"/>
      <c r="H716" s="110"/>
      <c r="I716" s="110"/>
      <c r="J716" s="198"/>
      <c r="K716" s="198"/>
      <c r="L716" s="110"/>
      <c r="M716" s="110"/>
      <c r="N716" s="198"/>
      <c r="O716" s="198"/>
      <c r="P716" s="110"/>
      <c r="Q716" s="110"/>
      <c r="R716" s="110"/>
      <c r="T716" s="99"/>
      <c r="V716" s="110"/>
      <c r="Y716" s="110"/>
      <c r="Z716" s="198"/>
      <c r="AA716" s="110"/>
      <c r="AB716" s="110"/>
      <c r="AC716" s="198"/>
      <c r="AD716" s="198"/>
      <c r="AE716" s="110"/>
      <c r="AF716" s="110"/>
      <c r="AH716" s="207"/>
      <c r="AI716" s="110"/>
      <c r="AJ716" s="110"/>
      <c r="AL716" s="110"/>
      <c r="AM716" s="141"/>
      <c r="AN716" s="141"/>
    </row>
    <row r="717" spans="3:40" x14ac:dyDescent="0.3">
      <c r="F717" s="110"/>
      <c r="H717" s="110"/>
      <c r="I717" s="110"/>
      <c r="J717" s="198"/>
      <c r="K717" s="198"/>
      <c r="L717" s="110"/>
      <c r="M717" s="110"/>
      <c r="N717" s="198"/>
      <c r="O717" s="198"/>
      <c r="P717" s="110"/>
      <c r="Q717" s="110"/>
      <c r="R717" s="110"/>
      <c r="V717" s="110"/>
      <c r="Y717" s="110"/>
      <c r="Z717" s="198"/>
      <c r="AA717" s="110"/>
      <c r="AB717" s="110"/>
      <c r="AC717" s="198"/>
      <c r="AD717" s="198"/>
      <c r="AH717" s="207"/>
      <c r="AI717" s="110"/>
      <c r="AJ717" s="110"/>
      <c r="AL717" s="110"/>
      <c r="AM717" s="141"/>
      <c r="AN717" s="141"/>
    </row>
    <row r="718" spans="3:40" x14ac:dyDescent="0.3">
      <c r="C718" s="99"/>
      <c r="F718" s="110"/>
      <c r="H718" s="110"/>
      <c r="I718" s="110"/>
      <c r="J718" s="198"/>
      <c r="K718" s="198"/>
      <c r="L718" s="110"/>
      <c r="M718" s="110"/>
      <c r="N718" s="198"/>
      <c r="O718" s="198"/>
      <c r="P718" s="110"/>
      <c r="Q718" s="110"/>
      <c r="R718" s="110"/>
      <c r="T718" s="99"/>
      <c r="V718" s="110"/>
      <c r="Y718" s="110"/>
      <c r="Z718" s="198"/>
      <c r="AA718" s="110"/>
      <c r="AB718" s="110"/>
      <c r="AC718" s="198"/>
      <c r="AD718" s="198"/>
      <c r="AE718" s="110"/>
      <c r="AF718" s="110"/>
      <c r="AH718" s="207"/>
      <c r="AI718" s="110"/>
      <c r="AJ718" s="110"/>
      <c r="AL718" s="110"/>
      <c r="AM718" s="141"/>
      <c r="AN718" s="141"/>
    </row>
    <row r="719" spans="3:40" x14ac:dyDescent="0.3">
      <c r="F719" s="192"/>
      <c r="H719" s="192"/>
      <c r="I719" s="192"/>
      <c r="J719" s="217"/>
      <c r="K719" s="217"/>
      <c r="L719" s="192"/>
      <c r="M719" s="192"/>
      <c r="N719" s="192"/>
      <c r="O719" s="192"/>
      <c r="P719" s="192"/>
      <c r="Q719" s="192"/>
      <c r="R719" s="192"/>
      <c r="V719" s="192"/>
      <c r="Y719" s="192"/>
      <c r="Z719" s="217"/>
      <c r="AA719" s="192"/>
      <c r="AB719" s="192"/>
      <c r="AC719" s="192"/>
      <c r="AD719" s="192"/>
      <c r="AE719" s="192"/>
      <c r="AF719" s="192"/>
      <c r="AI719" s="192"/>
      <c r="AJ719" s="192"/>
      <c r="AK719" s="194"/>
      <c r="AL719" s="192"/>
    </row>
    <row r="721" spans="1:20" x14ac:dyDescent="0.3">
      <c r="C721" s="99"/>
      <c r="L721" s="110"/>
      <c r="M721" s="110"/>
      <c r="P721" s="110"/>
      <c r="Q721" s="110"/>
      <c r="R721" s="110"/>
      <c r="T721" s="99"/>
    </row>
    <row r="722" spans="1:20" x14ac:dyDescent="0.3">
      <c r="A722" s="99"/>
      <c r="L722" s="110"/>
      <c r="M722" s="110"/>
      <c r="P722" s="110"/>
      <c r="Q722" s="110"/>
      <c r="R722" s="110"/>
    </row>
    <row r="723" spans="1:20" x14ac:dyDescent="0.3">
      <c r="L723" s="110"/>
      <c r="M723" s="110"/>
      <c r="P723" s="110"/>
      <c r="Q723" s="110"/>
      <c r="R723" s="110"/>
    </row>
    <row r="724" spans="1:20" x14ac:dyDescent="0.3">
      <c r="L724" s="110"/>
      <c r="M724" s="110"/>
      <c r="P724" s="110"/>
      <c r="Q724" s="110"/>
      <c r="R724" s="110"/>
    </row>
    <row r="725" spans="1:20" x14ac:dyDescent="0.3">
      <c r="L725" s="110"/>
      <c r="M725" s="110"/>
      <c r="P725" s="110"/>
      <c r="Q725" s="110"/>
      <c r="R725" s="110"/>
    </row>
    <row r="726" spans="1:20" x14ac:dyDescent="0.3">
      <c r="L726" s="110"/>
      <c r="M726" s="110"/>
      <c r="P726" s="110"/>
      <c r="Q726" s="110"/>
      <c r="R726" s="110"/>
    </row>
    <row r="727" spans="1:20" x14ac:dyDescent="0.3">
      <c r="L727" s="110"/>
      <c r="M727" s="110"/>
      <c r="P727" s="110"/>
      <c r="Q727" s="110"/>
      <c r="R727" s="110"/>
    </row>
    <row r="760" spans="49:49" x14ac:dyDescent="0.3">
      <c r="AW760" s="110"/>
    </row>
    <row r="761" spans="49:49" x14ac:dyDescent="0.3">
      <c r="AW761" s="110"/>
    </row>
    <row r="762" spans="49:49" x14ac:dyDescent="0.3">
      <c r="AW762" s="110"/>
    </row>
    <row r="763" spans="49:49" x14ac:dyDescent="0.3">
      <c r="AW763" s="110"/>
    </row>
    <row r="764" spans="49:49" x14ac:dyDescent="0.3">
      <c r="AW764" s="110"/>
    </row>
    <row r="765" spans="49:49" x14ac:dyDescent="0.3">
      <c r="AW765" s="110"/>
    </row>
    <row r="768" spans="49:49" x14ac:dyDescent="0.3">
      <c r="AW768" s="110"/>
    </row>
    <row r="769" spans="49:49" x14ac:dyDescent="0.3">
      <c r="AW769" s="110"/>
    </row>
    <row r="770" spans="49:49" x14ac:dyDescent="0.3">
      <c r="AW770" s="110"/>
    </row>
    <row r="771" spans="49:49" x14ac:dyDescent="0.3">
      <c r="AW771" s="110"/>
    </row>
    <row r="772" spans="49:49" x14ac:dyDescent="0.3">
      <c r="AW772" s="110"/>
    </row>
    <row r="773" spans="49:49" x14ac:dyDescent="0.3">
      <c r="AW773" s="110"/>
    </row>
    <row r="774" spans="49:49" x14ac:dyDescent="0.3">
      <c r="AW774" s="110"/>
    </row>
    <row r="775" spans="49:49" x14ac:dyDescent="0.3">
      <c r="AW775" s="110"/>
    </row>
    <row r="778" spans="49:49" x14ac:dyDescent="0.3">
      <c r="AW778" s="110"/>
    </row>
    <row r="779" spans="49:49" x14ac:dyDescent="0.3">
      <c r="AW779" s="110"/>
    </row>
    <row r="782" spans="49:49" x14ac:dyDescent="0.3">
      <c r="AW782" s="110"/>
    </row>
    <row r="783" spans="49:49" x14ac:dyDescent="0.3">
      <c r="AW783" s="110"/>
    </row>
    <row r="784" spans="49:49" x14ac:dyDescent="0.3">
      <c r="AW784" s="110"/>
    </row>
    <row r="785" spans="45:57" x14ac:dyDescent="0.3">
      <c r="AW785" s="110"/>
    </row>
    <row r="793" spans="45:57" x14ac:dyDescent="0.3">
      <c r="AY793" s="99"/>
    </row>
    <row r="794" spans="45:57" x14ac:dyDescent="0.3">
      <c r="AY794" s="99"/>
    </row>
    <row r="795" spans="45:57" x14ac:dyDescent="0.3">
      <c r="BD795" s="99"/>
    </row>
    <row r="796" spans="45:57" x14ac:dyDescent="0.3">
      <c r="BD796" s="99"/>
    </row>
    <row r="797" spans="45:57" x14ac:dyDescent="0.3">
      <c r="AS797" s="99"/>
      <c r="BD797" s="99"/>
    </row>
    <row r="799" spans="45:57" x14ac:dyDescent="0.3">
      <c r="AS799" s="101"/>
      <c r="AT799" s="101"/>
      <c r="AU799" s="101"/>
      <c r="AV799" s="101"/>
      <c r="AW799" s="101"/>
      <c r="AX799" s="101"/>
      <c r="AY799" s="101"/>
      <c r="AZ799" s="101"/>
      <c r="BA799" s="101"/>
      <c r="BB799" s="101"/>
      <c r="BC799" s="101"/>
      <c r="BD799" s="101"/>
      <c r="BE799" s="101"/>
    </row>
    <row r="800" spans="45:57" x14ac:dyDescent="0.3">
      <c r="AX800" s="99"/>
    </row>
    <row r="801" spans="45:69" x14ac:dyDescent="0.3">
      <c r="AX801" s="101"/>
      <c r="AY801" s="101"/>
      <c r="AZ801" s="101"/>
      <c r="BA801" s="101"/>
      <c r="BC801" s="102"/>
      <c r="BD801" s="102"/>
    </row>
    <row r="802" spans="45:69" x14ac:dyDescent="0.3">
      <c r="AV802" s="102"/>
      <c r="AW802" s="102"/>
      <c r="AZ802" s="102"/>
      <c r="BA802" s="102"/>
      <c r="BC802" s="102"/>
      <c r="BD802" s="102"/>
      <c r="BE802" s="102"/>
      <c r="BG802" s="101"/>
      <c r="BH802" s="99"/>
      <c r="BK802" s="101"/>
      <c r="BM802" s="101"/>
      <c r="BN802" s="99"/>
      <c r="BQ802" s="101"/>
    </row>
    <row r="803" spans="45:69" x14ac:dyDescent="0.3"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H803" s="102"/>
      <c r="BI803" s="102"/>
      <c r="BJ803" s="102"/>
      <c r="BN803" s="102"/>
      <c r="BO803" s="102"/>
      <c r="BP803" s="102"/>
    </row>
    <row r="804" spans="45:69" x14ac:dyDescent="0.3">
      <c r="AS804" s="102"/>
      <c r="AU804" s="99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G804" s="102"/>
      <c r="BH804" s="102"/>
      <c r="BI804" s="102"/>
      <c r="BJ804" s="102"/>
      <c r="BK804" s="102"/>
      <c r="BM804" s="102"/>
      <c r="BN804" s="102"/>
      <c r="BO804" s="102"/>
      <c r="BP804" s="102"/>
      <c r="BQ804" s="102"/>
    </row>
    <row r="805" spans="45:69" x14ac:dyDescent="0.3">
      <c r="AS805" s="102"/>
      <c r="AU805" s="99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G805" s="102"/>
      <c r="BH805" s="102"/>
      <c r="BI805" s="102"/>
      <c r="BJ805" s="102"/>
      <c r="BK805" s="102"/>
      <c r="BM805" s="102"/>
      <c r="BN805" s="102"/>
      <c r="BO805" s="102"/>
      <c r="BP805" s="102"/>
      <c r="BQ805" s="102"/>
    </row>
    <row r="806" spans="45:69" x14ac:dyDescent="0.3">
      <c r="AS806" s="101"/>
      <c r="AT806" s="101"/>
      <c r="AU806" s="101"/>
      <c r="AV806" s="101"/>
      <c r="AW806" s="101"/>
      <c r="AX806" s="101"/>
      <c r="AY806" s="101"/>
      <c r="AZ806" s="101"/>
      <c r="BA806" s="101"/>
      <c r="BB806" s="101"/>
      <c r="BC806" s="101"/>
      <c r="BD806" s="101"/>
      <c r="BE806" s="101"/>
      <c r="BG806" s="101"/>
      <c r="BH806" s="101"/>
      <c r="BI806" s="101"/>
      <c r="BJ806" s="101"/>
      <c r="BK806" s="101"/>
      <c r="BM806" s="101"/>
      <c r="BN806" s="101"/>
      <c r="BO806" s="101"/>
      <c r="BP806" s="101"/>
      <c r="BQ806" s="101"/>
    </row>
    <row r="807" spans="45:69" x14ac:dyDescent="0.3"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</row>
    <row r="808" spans="45:69" x14ac:dyDescent="0.3">
      <c r="AU808" s="99"/>
      <c r="AV808" s="102"/>
      <c r="AY808" s="198"/>
    </row>
    <row r="809" spans="45:69" x14ac:dyDescent="0.3">
      <c r="AV809" s="102"/>
      <c r="AW809" s="110"/>
      <c r="AX809" s="163"/>
      <c r="AY809" s="163"/>
      <c r="AZ809" s="163"/>
      <c r="BA809" s="141"/>
      <c r="BB809" s="163"/>
      <c r="BC809" s="198"/>
      <c r="BD809" s="198"/>
      <c r="BE809" s="141"/>
      <c r="BG809" s="163"/>
      <c r="BH809" s="163"/>
      <c r="BI809" s="163"/>
      <c r="BJ809" s="163"/>
      <c r="BK809" s="163"/>
      <c r="BM809" s="163"/>
      <c r="BN809" s="163"/>
      <c r="BO809" s="163"/>
      <c r="BP809" s="163"/>
      <c r="BQ809" s="163"/>
    </row>
    <row r="810" spans="45:69" x14ac:dyDescent="0.3">
      <c r="AV810" s="102"/>
      <c r="AW810" s="110"/>
      <c r="AX810" s="163"/>
      <c r="AY810" s="163"/>
      <c r="AZ810" s="163"/>
      <c r="BA810" s="141"/>
      <c r="BB810" s="163"/>
      <c r="BC810" s="198"/>
      <c r="BD810" s="198"/>
      <c r="BE810" s="141"/>
      <c r="BG810" s="163"/>
      <c r="BH810" s="163"/>
      <c r="BI810" s="163"/>
      <c r="BJ810" s="163"/>
      <c r="BK810" s="163"/>
      <c r="BM810" s="163"/>
      <c r="BN810" s="163"/>
      <c r="BO810" s="163"/>
      <c r="BP810" s="163"/>
      <c r="BQ810" s="163"/>
    </row>
    <row r="811" spans="45:69" x14ac:dyDescent="0.3">
      <c r="AV811" s="102"/>
      <c r="AW811" s="110"/>
      <c r="AX811" s="163"/>
      <c r="AY811" s="163"/>
      <c r="AZ811" s="163"/>
      <c r="BA811" s="141"/>
      <c r="BB811" s="163"/>
      <c r="BC811" s="198"/>
      <c r="BD811" s="198"/>
      <c r="BE811" s="141"/>
      <c r="BG811" s="163"/>
      <c r="BH811" s="163"/>
      <c r="BI811" s="163"/>
      <c r="BJ811" s="163"/>
      <c r="BK811" s="163"/>
      <c r="BM811" s="163"/>
      <c r="BN811" s="163"/>
      <c r="BO811" s="163"/>
      <c r="BP811" s="163"/>
      <c r="BQ811" s="163"/>
    </row>
    <row r="812" spans="45:69" x14ac:dyDescent="0.3">
      <c r="AV812" s="102"/>
      <c r="AW812" s="110"/>
      <c r="AX812" s="163"/>
      <c r="AY812" s="163"/>
      <c r="AZ812" s="163"/>
      <c r="BA812" s="141"/>
      <c r="BB812" s="163"/>
      <c r="BC812" s="198"/>
      <c r="BD812" s="198"/>
      <c r="BE812" s="141"/>
      <c r="BG812" s="163"/>
      <c r="BH812" s="163"/>
      <c r="BI812" s="163"/>
      <c r="BJ812" s="163"/>
      <c r="BK812" s="163"/>
      <c r="BM812" s="163"/>
      <c r="BN812" s="163"/>
      <c r="BO812" s="163"/>
      <c r="BP812" s="163"/>
      <c r="BQ812" s="163"/>
    </row>
    <row r="813" spans="45:69" x14ac:dyDescent="0.3">
      <c r="AV813" s="102"/>
      <c r="AW813" s="110"/>
      <c r="AX813" s="163"/>
      <c r="AY813" s="163"/>
      <c r="AZ813" s="163"/>
      <c r="BA813" s="141"/>
      <c r="BB813" s="163"/>
      <c r="BC813" s="198"/>
      <c r="BD813" s="198"/>
      <c r="BE813" s="141"/>
      <c r="BG813" s="163"/>
      <c r="BH813" s="163"/>
      <c r="BI813" s="163"/>
      <c r="BJ813" s="163"/>
      <c r="BK813" s="163"/>
      <c r="BM813" s="163"/>
      <c r="BN813" s="163"/>
      <c r="BO813" s="163"/>
      <c r="BP813" s="163"/>
      <c r="BQ813" s="163"/>
    </row>
    <row r="814" spans="45:69" x14ac:dyDescent="0.3">
      <c r="AV814" s="102"/>
      <c r="AW814" s="110"/>
      <c r="AX814" s="163"/>
      <c r="AY814" s="163"/>
      <c r="AZ814" s="163"/>
      <c r="BA814" s="141"/>
      <c r="BB814" s="163"/>
      <c r="BC814" s="198"/>
      <c r="BD814" s="198"/>
      <c r="BE814" s="141"/>
      <c r="BG814" s="163"/>
      <c r="BH814" s="163"/>
      <c r="BI814" s="163"/>
      <c r="BJ814" s="163"/>
      <c r="BK814" s="163"/>
      <c r="BM814" s="163"/>
      <c r="BN814" s="163"/>
      <c r="BO814" s="163"/>
      <c r="BP814" s="163"/>
      <c r="BQ814" s="163"/>
    </row>
    <row r="815" spans="45:69" x14ac:dyDescent="0.3">
      <c r="AV815" s="102"/>
      <c r="AW815" s="110"/>
      <c r="AX815" s="163"/>
      <c r="AY815" s="163"/>
      <c r="AZ815" s="163"/>
      <c r="BA815" s="141"/>
      <c r="BB815" s="163"/>
      <c r="BC815" s="198"/>
      <c r="BD815" s="198"/>
      <c r="BE815" s="141"/>
      <c r="BG815" s="163"/>
      <c r="BH815" s="163"/>
      <c r="BI815" s="163"/>
      <c r="BJ815" s="163"/>
      <c r="BK815" s="163"/>
      <c r="BM815" s="163"/>
      <c r="BN815" s="163"/>
      <c r="BO815" s="163"/>
      <c r="BP815" s="163"/>
      <c r="BQ815" s="163"/>
    </row>
    <row r="816" spans="45:69" x14ac:dyDescent="0.3">
      <c r="AY816" s="198"/>
      <c r="AZ816" s="163"/>
      <c r="BA816" s="141"/>
      <c r="BB816" s="163"/>
      <c r="BC816" s="198"/>
      <c r="BD816" s="198"/>
      <c r="BE816" s="141"/>
      <c r="BK816" s="163"/>
      <c r="BQ816" s="163"/>
    </row>
    <row r="817" spans="45:69" x14ac:dyDescent="0.3">
      <c r="AV817" s="102"/>
      <c r="AY817" s="198"/>
      <c r="AZ817" s="163"/>
      <c r="BA817" s="141"/>
      <c r="BB817" s="163"/>
      <c r="BC817" s="198"/>
      <c r="BD817" s="198"/>
      <c r="BE817" s="141"/>
      <c r="BK817" s="163"/>
      <c r="BQ817" s="163"/>
    </row>
    <row r="818" spans="45:69" x14ac:dyDescent="0.3">
      <c r="AV818" s="102"/>
      <c r="AW818" s="110"/>
      <c r="AX818" s="163"/>
      <c r="AY818" s="163"/>
      <c r="AZ818" s="163"/>
      <c r="BA818" s="141"/>
      <c r="BB818" s="163"/>
      <c r="BC818" s="198"/>
      <c r="BD818" s="198"/>
      <c r="BE818" s="141"/>
      <c r="BG818" s="163"/>
      <c r="BH818" s="163"/>
      <c r="BI818" s="163"/>
      <c r="BJ818" s="163"/>
      <c r="BK818" s="163"/>
      <c r="BM818" s="163"/>
      <c r="BN818" s="163"/>
      <c r="BO818" s="163"/>
      <c r="BP818" s="163"/>
      <c r="BQ818" s="163"/>
    </row>
    <row r="819" spans="45:69" x14ac:dyDescent="0.3">
      <c r="AV819" s="102"/>
      <c r="AW819" s="110"/>
      <c r="AX819" s="163"/>
      <c r="AY819" s="163"/>
      <c r="AZ819" s="163"/>
      <c r="BA819" s="141"/>
      <c r="BB819" s="163"/>
      <c r="BC819" s="198"/>
      <c r="BD819" s="198"/>
      <c r="BE819" s="141"/>
      <c r="BG819" s="163"/>
      <c r="BH819" s="163"/>
      <c r="BI819" s="163"/>
      <c r="BJ819" s="163"/>
      <c r="BK819" s="163"/>
      <c r="BM819" s="163"/>
      <c r="BN819" s="163"/>
      <c r="BO819" s="163"/>
      <c r="BP819" s="163"/>
      <c r="BQ819" s="163"/>
    </row>
    <row r="820" spans="45:69" x14ac:dyDescent="0.3">
      <c r="AV820" s="102"/>
      <c r="AW820" s="110"/>
      <c r="AX820" s="163"/>
      <c r="AY820" s="163"/>
      <c r="AZ820" s="163"/>
      <c r="BA820" s="141"/>
      <c r="BB820" s="163"/>
      <c r="BC820" s="198"/>
      <c r="BD820" s="198"/>
      <c r="BE820" s="141"/>
      <c r="BG820" s="163"/>
      <c r="BH820" s="163"/>
      <c r="BI820" s="163"/>
      <c r="BJ820" s="163"/>
      <c r="BK820" s="163"/>
      <c r="BM820" s="163"/>
      <c r="BN820" s="163"/>
      <c r="BO820" s="163"/>
      <c r="BP820" s="163"/>
      <c r="BQ820" s="163"/>
    </row>
    <row r="821" spans="45:69" x14ac:dyDescent="0.3">
      <c r="AV821" s="102"/>
      <c r="AW821" s="110"/>
      <c r="AX821" s="163"/>
      <c r="AY821" s="163"/>
      <c r="AZ821" s="163"/>
      <c r="BA821" s="141"/>
      <c r="BB821" s="163"/>
      <c r="BC821" s="198"/>
      <c r="BD821" s="198"/>
      <c r="BE821" s="141"/>
      <c r="BG821" s="163"/>
      <c r="BH821" s="163"/>
      <c r="BI821" s="163"/>
      <c r="BJ821" s="163"/>
      <c r="BK821" s="163"/>
      <c r="BM821" s="163"/>
      <c r="BN821" s="163"/>
      <c r="BO821" s="163"/>
      <c r="BP821" s="163"/>
      <c r="BQ821" s="163"/>
    </row>
    <row r="822" spans="45:69" x14ac:dyDescent="0.3">
      <c r="AV822" s="102"/>
      <c r="AW822" s="110"/>
      <c r="AX822" s="163"/>
      <c r="AY822" s="163"/>
      <c r="AZ822" s="163"/>
      <c r="BA822" s="141"/>
      <c r="BB822" s="163"/>
      <c r="BC822" s="198"/>
      <c r="BD822" s="198"/>
      <c r="BE822" s="141"/>
      <c r="BG822" s="163"/>
      <c r="BH822" s="163"/>
      <c r="BI822" s="163"/>
      <c r="BJ822" s="163"/>
      <c r="BK822" s="163"/>
      <c r="BM822" s="163"/>
      <c r="BN822" s="163"/>
      <c r="BO822" s="163"/>
      <c r="BP822" s="163"/>
      <c r="BQ822" s="163"/>
    </row>
    <row r="823" spans="45:69" x14ac:dyDescent="0.3">
      <c r="AV823" s="102"/>
      <c r="AW823" s="110"/>
      <c r="AX823" s="163"/>
      <c r="AY823" s="163"/>
      <c r="AZ823" s="163"/>
      <c r="BA823" s="141"/>
      <c r="BB823" s="163"/>
      <c r="BC823" s="198"/>
      <c r="BD823" s="198"/>
      <c r="BE823" s="141"/>
      <c r="BG823" s="163"/>
      <c r="BH823" s="163"/>
      <c r="BI823" s="163"/>
      <c r="BJ823" s="163"/>
      <c r="BK823" s="163"/>
      <c r="BM823" s="163"/>
      <c r="BN823" s="163"/>
      <c r="BO823" s="163"/>
      <c r="BP823" s="163"/>
      <c r="BQ823" s="163"/>
    </row>
    <row r="824" spans="45:69" x14ac:dyDescent="0.3">
      <c r="AV824" s="102"/>
      <c r="AW824" s="110"/>
      <c r="AX824" s="163"/>
      <c r="AY824" s="163"/>
      <c r="AZ824" s="163"/>
      <c r="BA824" s="141"/>
      <c r="BB824" s="163"/>
      <c r="BC824" s="198"/>
      <c r="BD824" s="198"/>
      <c r="BE824" s="141"/>
      <c r="BG824" s="163"/>
      <c r="BH824" s="163"/>
      <c r="BI824" s="163"/>
      <c r="BJ824" s="163"/>
      <c r="BK824" s="163"/>
      <c r="BM824" s="163"/>
      <c r="BN824" s="163"/>
      <c r="BO824" s="163"/>
      <c r="BP824" s="163"/>
      <c r="BQ824" s="163"/>
    </row>
    <row r="825" spans="45:69" x14ac:dyDescent="0.3">
      <c r="AV825" s="102"/>
      <c r="AW825" s="110"/>
      <c r="AX825" s="163"/>
      <c r="AY825" s="163"/>
      <c r="AZ825" s="163"/>
      <c r="BA825" s="141"/>
      <c r="BB825" s="163"/>
      <c r="BC825" s="198"/>
      <c r="BD825" s="198"/>
      <c r="BE825" s="141"/>
      <c r="BG825" s="163"/>
      <c r="BH825" s="163"/>
      <c r="BI825" s="163"/>
      <c r="BJ825" s="163"/>
      <c r="BK825" s="163"/>
      <c r="BM825" s="163"/>
      <c r="BN825" s="163"/>
      <c r="BO825" s="163"/>
      <c r="BP825" s="163"/>
      <c r="BQ825" s="163"/>
    </row>
    <row r="826" spans="45:69" x14ac:dyDescent="0.3">
      <c r="AY826" s="198"/>
      <c r="AZ826" s="163"/>
      <c r="BA826" s="141"/>
      <c r="BB826" s="163"/>
      <c r="BC826" s="198"/>
      <c r="BD826" s="198"/>
      <c r="BE826" s="141"/>
      <c r="BK826" s="163"/>
      <c r="BQ826" s="163"/>
    </row>
    <row r="827" spans="45:69" x14ac:dyDescent="0.3">
      <c r="AU827" s="99"/>
      <c r="AZ827" s="163"/>
      <c r="BB827" s="163"/>
      <c r="BG827" s="163"/>
      <c r="BH827" s="163"/>
      <c r="BJ827" s="163"/>
      <c r="BK827" s="163"/>
    </row>
    <row r="828" spans="45:69" x14ac:dyDescent="0.3">
      <c r="AZ828" s="163"/>
      <c r="BB828" s="163"/>
    </row>
    <row r="829" spans="45:69" x14ac:dyDescent="0.3">
      <c r="AS829" s="99"/>
      <c r="AZ829" s="163"/>
      <c r="BB829" s="163"/>
      <c r="BI829" s="163"/>
    </row>
    <row r="830" spans="45:69" x14ac:dyDescent="0.3">
      <c r="AZ830" s="163"/>
      <c r="BB830" s="163"/>
    </row>
    <row r="831" spans="45:69" x14ac:dyDescent="0.3">
      <c r="AY831" s="163"/>
      <c r="BB831" s="163"/>
    </row>
    <row r="832" spans="45:69" x14ac:dyDescent="0.3">
      <c r="AY832" s="99"/>
      <c r="AZ832" s="163"/>
      <c r="BB832" s="163"/>
    </row>
    <row r="833" spans="45:75" x14ac:dyDescent="0.3">
      <c r="AY833" s="99"/>
      <c r="AZ833" s="163"/>
      <c r="BB833" s="163"/>
    </row>
    <row r="834" spans="45:75" x14ac:dyDescent="0.3">
      <c r="AZ834" s="163"/>
      <c r="BB834" s="163"/>
      <c r="BD834" s="99"/>
    </row>
    <row r="835" spans="45:75" x14ac:dyDescent="0.3">
      <c r="AZ835" s="163"/>
      <c r="BB835" s="163"/>
      <c r="BD835" s="99"/>
    </row>
    <row r="836" spans="45:75" x14ac:dyDescent="0.3">
      <c r="AS836" s="99"/>
      <c r="AZ836" s="163"/>
      <c r="BB836" s="163"/>
      <c r="BD836" s="99"/>
    </row>
    <row r="837" spans="45:75" x14ac:dyDescent="0.3">
      <c r="AZ837" s="163"/>
      <c r="BB837" s="163"/>
    </row>
    <row r="838" spans="45:75" x14ac:dyDescent="0.3">
      <c r="AS838" s="101"/>
      <c r="AT838" s="101"/>
      <c r="AU838" s="101"/>
      <c r="AV838" s="101"/>
      <c r="AW838" s="101"/>
      <c r="AX838" s="101"/>
      <c r="AY838" s="101"/>
      <c r="AZ838" s="212"/>
      <c r="BA838" s="101"/>
      <c r="BB838" s="212"/>
      <c r="BC838" s="101"/>
      <c r="BD838" s="101"/>
      <c r="BE838" s="101"/>
    </row>
    <row r="839" spans="45:75" x14ac:dyDescent="0.3">
      <c r="AX839" s="99"/>
      <c r="AZ839" s="163"/>
      <c r="BB839" s="163"/>
    </row>
    <row r="840" spans="45:75" x14ac:dyDescent="0.3">
      <c r="AX840" s="101"/>
      <c r="AY840" s="101"/>
      <c r="AZ840" s="212"/>
      <c r="BA840" s="101"/>
      <c r="BB840" s="163"/>
      <c r="BC840" s="102"/>
      <c r="BD840" s="102"/>
    </row>
    <row r="841" spans="45:75" x14ac:dyDescent="0.3">
      <c r="AV841" s="102"/>
      <c r="AW841" s="102"/>
      <c r="AZ841" s="213"/>
      <c r="BA841" s="102"/>
      <c r="BB841" s="163"/>
      <c r="BC841" s="102"/>
      <c r="BD841" s="102"/>
      <c r="BE841" s="102"/>
      <c r="BG841" s="101"/>
      <c r="BH841" s="101"/>
      <c r="BI841" s="99"/>
      <c r="BM841" s="101"/>
      <c r="BN841" s="101"/>
      <c r="BP841" s="101"/>
      <c r="BQ841" s="101"/>
      <c r="BR841" s="99"/>
      <c r="BV841" s="101"/>
      <c r="BW841" s="101"/>
    </row>
    <row r="842" spans="45:75" x14ac:dyDescent="0.3">
      <c r="AV842" s="102"/>
      <c r="AW842" s="102"/>
      <c r="AX842" s="102"/>
      <c r="AY842" s="102"/>
      <c r="AZ842" s="213"/>
      <c r="BA842" s="102"/>
      <c r="BB842" s="213"/>
      <c r="BC842" s="102"/>
      <c r="BD842" s="102"/>
      <c r="BE842" s="102"/>
      <c r="BH842" s="102"/>
      <c r="BI842" s="102"/>
      <c r="BJ842" s="102"/>
      <c r="BK842" s="102"/>
      <c r="BL842" s="102"/>
      <c r="BM842" s="102"/>
      <c r="BQ842" s="102"/>
      <c r="BR842" s="102"/>
      <c r="BS842" s="102"/>
      <c r="BT842" s="102"/>
      <c r="BU842" s="102"/>
      <c r="BV842" s="102"/>
    </row>
    <row r="843" spans="45:75" x14ac:dyDescent="0.3">
      <c r="AS843" s="102"/>
      <c r="AU843" s="99"/>
      <c r="AV843" s="102"/>
      <c r="AW843" s="102"/>
      <c r="AX843" s="102"/>
      <c r="AY843" s="102"/>
      <c r="AZ843" s="213"/>
      <c r="BA843" s="102"/>
      <c r="BB843" s="213"/>
      <c r="BC843" s="102"/>
      <c r="BD843" s="102"/>
      <c r="BE843" s="102"/>
      <c r="BG843" s="102"/>
      <c r="BH843" s="102"/>
      <c r="BI843" s="102"/>
      <c r="BJ843" s="102"/>
      <c r="BK843" s="102"/>
      <c r="BL843" s="102"/>
      <c r="BM843" s="102"/>
      <c r="BN843" s="102"/>
      <c r="BP843" s="102"/>
      <c r="BQ843" s="102"/>
      <c r="BR843" s="102"/>
      <c r="BS843" s="102"/>
      <c r="BT843" s="102"/>
      <c r="BU843" s="102"/>
      <c r="BV843" s="102"/>
      <c r="BW843" s="102"/>
    </row>
    <row r="844" spans="45:75" x14ac:dyDescent="0.3">
      <c r="AS844" s="102"/>
      <c r="AU844" s="99"/>
      <c r="AV844" s="102"/>
      <c r="AW844" s="102"/>
      <c r="AX844" s="102"/>
      <c r="AY844" s="102"/>
      <c r="AZ844" s="213"/>
      <c r="BA844" s="102"/>
      <c r="BB844" s="213"/>
      <c r="BC844" s="102"/>
      <c r="BD844" s="102"/>
      <c r="BE844" s="102"/>
      <c r="BG844" s="102"/>
      <c r="BH844" s="102"/>
      <c r="BI844" s="102"/>
      <c r="BJ844" s="102"/>
      <c r="BK844" s="102"/>
      <c r="BL844" s="102"/>
      <c r="BM844" s="102"/>
      <c r="BN844" s="102"/>
      <c r="BP844" s="102"/>
      <c r="BQ844" s="102"/>
      <c r="BR844" s="102"/>
      <c r="BS844" s="102"/>
      <c r="BT844" s="102"/>
      <c r="BU844" s="102"/>
      <c r="BV844" s="102"/>
      <c r="BW844" s="102"/>
    </row>
    <row r="845" spans="45:75" x14ac:dyDescent="0.3">
      <c r="AS845" s="101"/>
      <c r="AT845" s="101"/>
      <c r="AU845" s="101"/>
      <c r="AV845" s="101"/>
      <c r="AW845" s="101"/>
      <c r="AX845" s="101"/>
      <c r="AY845" s="101"/>
      <c r="AZ845" s="212"/>
      <c r="BA845" s="101"/>
      <c r="BB845" s="212"/>
      <c r="BC845" s="101"/>
      <c r="BD845" s="101"/>
      <c r="BE845" s="101"/>
      <c r="BG845" s="101"/>
      <c r="BH845" s="101"/>
      <c r="BI845" s="101"/>
      <c r="BJ845" s="101"/>
      <c r="BK845" s="101"/>
      <c r="BL845" s="101"/>
      <c r="BM845" s="101"/>
      <c r="BN845" s="101"/>
      <c r="BP845" s="101"/>
      <c r="BQ845" s="101"/>
      <c r="BR845" s="101"/>
      <c r="BS845" s="101"/>
      <c r="BT845" s="101"/>
      <c r="BU845" s="101"/>
      <c r="BV845" s="101"/>
      <c r="BW845" s="101"/>
    </row>
    <row r="846" spans="45:75" x14ac:dyDescent="0.3">
      <c r="AV846" s="102"/>
      <c r="AW846" s="102"/>
      <c r="AX846" s="102"/>
      <c r="AY846" s="102"/>
      <c r="AZ846" s="213"/>
      <c r="BA846" s="102"/>
      <c r="BB846" s="213"/>
      <c r="BC846" s="102"/>
      <c r="BD846" s="102"/>
      <c r="BE846" s="102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</row>
    <row r="847" spans="45:75" x14ac:dyDescent="0.3">
      <c r="AU847" s="99"/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</row>
    <row r="848" spans="45:75" x14ac:dyDescent="0.3">
      <c r="AW848" s="110"/>
      <c r="AX848" s="163"/>
      <c r="AY848" s="163"/>
      <c r="AZ848" s="163"/>
      <c r="BA848" s="207"/>
      <c r="BB848" s="163"/>
      <c r="BC848" s="163"/>
      <c r="BD848" s="163"/>
      <c r="BE848" s="207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</row>
    <row r="849" spans="49:75" x14ac:dyDescent="0.3">
      <c r="AW849" s="110"/>
      <c r="AX849" s="163"/>
      <c r="AY849" s="163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</row>
    <row r="850" spans="49:75" x14ac:dyDescent="0.3">
      <c r="AW850" s="110"/>
      <c r="AX850" s="163"/>
      <c r="AY850" s="163"/>
      <c r="AZ850" s="163"/>
      <c r="BA850" s="207"/>
      <c r="BB850" s="163"/>
      <c r="BC850" s="163"/>
      <c r="BD850" s="163"/>
      <c r="BE850" s="207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</row>
    <row r="851" spans="49:75" x14ac:dyDescent="0.3">
      <c r="AW851" s="110"/>
      <c r="AX851" s="163"/>
      <c r="AY851" s="163"/>
      <c r="AZ851" s="163"/>
      <c r="BA851" s="207"/>
      <c r="BB851" s="163"/>
      <c r="BC851" s="163"/>
      <c r="BD851" s="163"/>
      <c r="BE851" s="207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</row>
    <row r="852" spans="49:75" x14ac:dyDescent="0.3">
      <c r="AW852" s="110"/>
      <c r="AX852" s="163"/>
      <c r="AY852" s="163"/>
      <c r="AZ852" s="163"/>
      <c r="BA852" s="207"/>
      <c r="BB852" s="163"/>
      <c r="BC852" s="163"/>
      <c r="BD852" s="163"/>
      <c r="BE852" s="207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</row>
    <row r="853" spans="49:75" x14ac:dyDescent="0.3">
      <c r="AW853" s="110"/>
      <c r="AX853" s="163"/>
      <c r="AY853" s="163"/>
      <c r="AZ853" s="163"/>
      <c r="BA853" s="207"/>
      <c r="BB853" s="163"/>
      <c r="BC853" s="163"/>
      <c r="BD853" s="163"/>
      <c r="BE853" s="207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</row>
    <row r="854" spans="49:75" x14ac:dyDescent="0.3">
      <c r="AW854" s="110"/>
      <c r="AX854" s="163"/>
      <c r="AY854" s="163"/>
      <c r="AZ854" s="163"/>
      <c r="BA854" s="207"/>
      <c r="BB854" s="163"/>
      <c r="BC854" s="163"/>
      <c r="BD854" s="163"/>
      <c r="BE854" s="207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</row>
    <row r="855" spans="49:75" x14ac:dyDescent="0.3">
      <c r="AW855" s="110"/>
      <c r="AX855" s="163"/>
      <c r="AY855" s="163"/>
      <c r="AZ855" s="163"/>
      <c r="BA855" s="207"/>
      <c r="BB855" s="163"/>
      <c r="BC855" s="163"/>
      <c r="BD855" s="163"/>
      <c r="BE855" s="207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</row>
    <row r="856" spans="49:75" x14ac:dyDescent="0.3">
      <c r="AW856" s="110"/>
      <c r="AX856" s="163"/>
      <c r="AY856" s="163"/>
      <c r="AZ856" s="163"/>
      <c r="BA856" s="207"/>
      <c r="BB856" s="163"/>
      <c r="BC856" s="163"/>
      <c r="BD856" s="163"/>
      <c r="BE856" s="207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</row>
    <row r="857" spans="49:75" x14ac:dyDescent="0.3">
      <c r="AW857" s="110"/>
      <c r="AX857" s="163"/>
      <c r="AY857" s="163"/>
      <c r="AZ857" s="163"/>
      <c r="BA857" s="207"/>
      <c r="BB857" s="163"/>
      <c r="BC857" s="163"/>
      <c r="BD857" s="163"/>
      <c r="BE857" s="207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</row>
    <row r="858" spans="49:75" x14ac:dyDescent="0.3">
      <c r="AW858" s="110"/>
      <c r="AX858" s="163"/>
      <c r="AY858" s="163"/>
      <c r="AZ858" s="163"/>
      <c r="BA858" s="207"/>
      <c r="BB858" s="163"/>
      <c r="BC858" s="163"/>
      <c r="BD858" s="163"/>
      <c r="BE858" s="207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  <c r="BT858" s="163"/>
      <c r="BU858" s="163"/>
      <c r="BV858" s="163"/>
      <c r="BW858" s="163"/>
    </row>
    <row r="859" spans="49:75" x14ac:dyDescent="0.3">
      <c r="AW859" s="110"/>
      <c r="AX859" s="163"/>
      <c r="AY859" s="163"/>
      <c r="AZ859" s="163"/>
      <c r="BA859" s="207"/>
      <c r="BB859" s="163"/>
      <c r="BC859" s="163"/>
      <c r="BD859" s="163"/>
      <c r="BE859" s="207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</row>
    <row r="860" spans="49:75" x14ac:dyDescent="0.3">
      <c r="AW860" s="110"/>
      <c r="AX860" s="163"/>
      <c r="AY860" s="163"/>
      <c r="AZ860" s="163"/>
      <c r="BA860" s="207"/>
      <c r="BB860" s="163"/>
      <c r="BC860" s="163"/>
      <c r="BD860" s="163"/>
      <c r="BE860" s="207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</row>
    <row r="861" spans="49:75" x14ac:dyDescent="0.3">
      <c r="AW861" s="110"/>
      <c r="AX861" s="163"/>
      <c r="AY861" s="163"/>
      <c r="AZ861" s="163"/>
      <c r="BA861" s="207"/>
      <c r="BB861" s="163"/>
      <c r="BC861" s="163"/>
      <c r="BD861" s="163"/>
      <c r="BE861" s="207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</row>
    <row r="862" spans="49:75" x14ac:dyDescent="0.3"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</row>
    <row r="863" spans="49:75" x14ac:dyDescent="0.3">
      <c r="AW863" s="110"/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</row>
    <row r="864" spans="49:75" x14ac:dyDescent="0.3">
      <c r="AW864" s="110"/>
      <c r="AX864" s="163"/>
      <c r="AY864" s="163"/>
      <c r="AZ864" s="163"/>
      <c r="BA864" s="207"/>
      <c r="BB864" s="163"/>
      <c r="BC864" s="163"/>
      <c r="BD864" s="163"/>
      <c r="BE864" s="207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</row>
    <row r="865" spans="45:75" x14ac:dyDescent="0.3">
      <c r="AW865" s="110"/>
      <c r="AX865" s="163"/>
      <c r="AY865" s="163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</row>
    <row r="866" spans="45:75" x14ac:dyDescent="0.3">
      <c r="AW866" s="110"/>
      <c r="AX866" s="163"/>
      <c r="AY866" s="163"/>
      <c r="AZ866" s="163"/>
      <c r="BA866" s="207"/>
      <c r="BB866" s="163"/>
      <c r="BC866" s="163"/>
      <c r="BD866" s="163"/>
      <c r="BE866" s="207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</row>
    <row r="867" spans="45:75" x14ac:dyDescent="0.3">
      <c r="AW867" s="110"/>
      <c r="AX867" s="163"/>
      <c r="AY867" s="163"/>
      <c r="AZ867" s="163"/>
      <c r="BA867" s="207"/>
      <c r="BB867" s="163"/>
      <c r="BC867" s="163"/>
      <c r="BD867" s="163"/>
      <c r="BE867" s="207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</row>
    <row r="868" spans="45:75" x14ac:dyDescent="0.3"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01"/>
      <c r="BH868" s="101"/>
      <c r="BI868" s="99"/>
      <c r="BM868" s="101"/>
      <c r="BN868" s="101"/>
      <c r="BO868" s="163"/>
      <c r="BP868" s="101"/>
      <c r="BQ868" s="101"/>
      <c r="BR868" s="99"/>
      <c r="BV868" s="101"/>
      <c r="BW868" s="101"/>
    </row>
    <row r="869" spans="45:75" x14ac:dyDescent="0.3">
      <c r="AU869" s="99"/>
      <c r="AV869" s="102"/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213"/>
      <c r="BH869" s="163"/>
      <c r="BI869" s="163"/>
      <c r="BJ869" s="163"/>
      <c r="BK869" s="213"/>
      <c r="BL869" s="214"/>
      <c r="BM869" s="163"/>
      <c r="BN869" s="213"/>
      <c r="BO869" s="163"/>
      <c r="BP869" s="213"/>
      <c r="BQ869" s="163"/>
      <c r="BR869" s="163"/>
      <c r="BS869" s="163"/>
      <c r="BT869" s="213"/>
      <c r="BU869" s="214"/>
      <c r="BV869" s="163"/>
      <c r="BW869" s="213"/>
    </row>
    <row r="870" spans="45:75" x14ac:dyDescent="0.3">
      <c r="AV870" s="102"/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214"/>
      <c r="BM870" s="163"/>
      <c r="BN870" s="163"/>
      <c r="BO870" s="163"/>
      <c r="BP870" s="163"/>
      <c r="BQ870" s="163"/>
      <c r="BR870" s="163"/>
      <c r="BS870" s="163"/>
      <c r="BT870" s="163"/>
      <c r="BU870" s="214"/>
      <c r="BV870" s="163"/>
      <c r="BW870" s="163"/>
    </row>
    <row r="871" spans="45:75" x14ac:dyDescent="0.3">
      <c r="AV871" s="102"/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214"/>
      <c r="BM871" s="163"/>
      <c r="BN871" s="163"/>
      <c r="BO871" s="163"/>
      <c r="BP871" s="163"/>
      <c r="BQ871" s="163"/>
      <c r="BR871" s="163"/>
      <c r="BS871" s="163"/>
      <c r="BT871" s="163"/>
      <c r="BU871" s="214"/>
      <c r="BV871" s="163"/>
      <c r="BW871" s="163"/>
    </row>
    <row r="872" spans="45:75" x14ac:dyDescent="0.3">
      <c r="AV872" s="102"/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214"/>
      <c r="BM872" s="163"/>
      <c r="BN872" s="163"/>
      <c r="BO872" s="163"/>
      <c r="BP872" s="163"/>
      <c r="BQ872" s="163"/>
      <c r="BR872" s="163"/>
      <c r="BS872" s="163"/>
      <c r="BT872" s="163"/>
      <c r="BU872" s="214"/>
      <c r="BV872" s="163"/>
      <c r="BW872" s="163"/>
    </row>
    <row r="873" spans="45:75" x14ac:dyDescent="0.3"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</row>
    <row r="874" spans="45:75" x14ac:dyDescent="0.3">
      <c r="AU874" s="99"/>
    </row>
    <row r="875" spans="45:75" x14ac:dyDescent="0.3">
      <c r="AU875" s="99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</row>
    <row r="876" spans="45:75" x14ac:dyDescent="0.3">
      <c r="AS876" s="99"/>
      <c r="AZ876" s="163"/>
      <c r="BB876" s="163"/>
    </row>
    <row r="877" spans="45:75" x14ac:dyDescent="0.3">
      <c r="AZ877" s="163"/>
      <c r="BB877" s="163"/>
      <c r="BO877" s="163"/>
      <c r="BP877" s="163"/>
      <c r="BQ877" s="163"/>
      <c r="BR877" s="163"/>
      <c r="BS877" s="163"/>
      <c r="BT877" s="163"/>
      <c r="BU877" s="163"/>
      <c r="BV877" s="163"/>
    </row>
    <row r="878" spans="45:75" x14ac:dyDescent="0.3">
      <c r="AY878" s="163"/>
      <c r="AZ878" s="163"/>
      <c r="BB878" s="163"/>
      <c r="BO878" s="163"/>
      <c r="BP878" s="163"/>
      <c r="BQ878" s="163"/>
      <c r="BR878" s="163"/>
      <c r="BS878" s="163"/>
      <c r="BT878" s="163"/>
      <c r="BU878" s="163"/>
      <c r="BV878" s="163"/>
    </row>
    <row r="879" spans="45:75" x14ac:dyDescent="0.3">
      <c r="AY879" s="99"/>
      <c r="AZ879" s="163"/>
      <c r="BB879" s="163"/>
      <c r="BO879" s="163"/>
      <c r="BP879" s="163"/>
      <c r="BQ879" s="163"/>
      <c r="BR879" s="163"/>
      <c r="BS879" s="163"/>
      <c r="BT879" s="163"/>
      <c r="BU879" s="163"/>
      <c r="BV879" s="163"/>
    </row>
    <row r="880" spans="45:75" x14ac:dyDescent="0.3">
      <c r="AY880" s="99"/>
      <c r="AZ880" s="163"/>
      <c r="BB880" s="163"/>
      <c r="BO880" s="163"/>
      <c r="BP880" s="163"/>
      <c r="BQ880" s="163"/>
      <c r="BR880" s="163"/>
      <c r="BS880" s="163"/>
      <c r="BT880" s="163"/>
      <c r="BU880" s="163"/>
      <c r="BV880" s="163"/>
    </row>
    <row r="881" spans="45:74" x14ac:dyDescent="0.3">
      <c r="AZ881" s="163"/>
      <c r="BB881" s="163"/>
      <c r="BD881" s="99"/>
      <c r="BO881" s="163"/>
      <c r="BP881" s="163"/>
      <c r="BQ881" s="163"/>
      <c r="BR881" s="163"/>
      <c r="BS881" s="163"/>
      <c r="BT881" s="163"/>
      <c r="BU881" s="163"/>
      <c r="BV881" s="163"/>
    </row>
    <row r="882" spans="45:74" x14ac:dyDescent="0.3">
      <c r="AZ882" s="163"/>
      <c r="BB882" s="163"/>
      <c r="BD882" s="99"/>
      <c r="BO882" s="163"/>
      <c r="BP882" s="163"/>
      <c r="BQ882" s="163"/>
      <c r="BR882" s="163"/>
      <c r="BS882" s="163"/>
      <c r="BT882" s="163"/>
      <c r="BU882" s="163"/>
      <c r="BV882" s="163"/>
    </row>
    <row r="883" spans="45:74" x14ac:dyDescent="0.3">
      <c r="AS883" s="99"/>
      <c r="AZ883" s="163"/>
      <c r="BB883" s="163"/>
      <c r="BD883" s="99"/>
      <c r="BO883" s="163"/>
      <c r="BP883" s="163"/>
      <c r="BQ883" s="163"/>
      <c r="BR883" s="163"/>
      <c r="BS883" s="163"/>
      <c r="BT883" s="163"/>
      <c r="BU883" s="163"/>
      <c r="BV883" s="163"/>
    </row>
    <row r="884" spans="45:74" x14ac:dyDescent="0.3">
      <c r="AZ884" s="163"/>
      <c r="BB884" s="163"/>
      <c r="BO884" s="163"/>
      <c r="BP884" s="163"/>
      <c r="BQ884" s="163"/>
      <c r="BR884" s="163"/>
      <c r="BS884" s="163"/>
      <c r="BT884" s="163"/>
      <c r="BU884" s="163"/>
      <c r="BV884" s="163"/>
    </row>
    <row r="885" spans="45:74" x14ac:dyDescent="0.3">
      <c r="AS885" s="101"/>
      <c r="AT885" s="101"/>
      <c r="AU885" s="101"/>
      <c r="AV885" s="101"/>
      <c r="AW885" s="101"/>
      <c r="AX885" s="101"/>
      <c r="AY885" s="101"/>
      <c r="AZ885" s="212"/>
      <c r="BA885" s="101"/>
      <c r="BB885" s="212"/>
      <c r="BC885" s="101"/>
      <c r="BD885" s="101"/>
      <c r="BE885" s="101"/>
      <c r="BO885" s="163"/>
      <c r="BP885" s="163"/>
      <c r="BQ885" s="163"/>
      <c r="BR885" s="163"/>
      <c r="BS885" s="163"/>
      <c r="BT885" s="163"/>
      <c r="BU885" s="163"/>
      <c r="BV885" s="163"/>
    </row>
    <row r="886" spans="45:74" x14ac:dyDescent="0.3">
      <c r="AX886" s="99"/>
      <c r="AZ886" s="163"/>
      <c r="BB886" s="163"/>
      <c r="BO886" s="163"/>
      <c r="BP886" s="163"/>
      <c r="BQ886" s="163"/>
      <c r="BR886" s="163"/>
      <c r="BS886" s="163"/>
      <c r="BT886" s="163"/>
      <c r="BU886" s="163"/>
      <c r="BV886" s="163"/>
    </row>
    <row r="887" spans="45:74" x14ac:dyDescent="0.3">
      <c r="AX887" s="101"/>
      <c r="AY887" s="101"/>
      <c r="AZ887" s="212"/>
      <c r="BA887" s="101"/>
      <c r="BB887" s="163"/>
      <c r="BC887" s="102"/>
      <c r="BD887" s="102"/>
      <c r="BO887" s="163"/>
      <c r="BP887" s="163"/>
      <c r="BQ887" s="163"/>
      <c r="BR887" s="163"/>
      <c r="BS887" s="163"/>
      <c r="BT887" s="163"/>
      <c r="BU887" s="163"/>
      <c r="BV887" s="163"/>
    </row>
    <row r="888" spans="45:74" x14ac:dyDescent="0.3">
      <c r="AV888" s="102"/>
      <c r="AW888" s="102"/>
      <c r="AZ888" s="213"/>
      <c r="BA888" s="102"/>
      <c r="BB888" s="163"/>
      <c r="BC888" s="102"/>
      <c r="BD888" s="102"/>
      <c r="BE888" s="102"/>
      <c r="BG888" s="101"/>
      <c r="BH888" s="99"/>
      <c r="BK888" s="101"/>
      <c r="BM888" s="101"/>
      <c r="BN888" s="99"/>
      <c r="BQ888" s="101"/>
    </row>
    <row r="889" spans="45:74" x14ac:dyDescent="0.3">
      <c r="AV889" s="102"/>
      <c r="AW889" s="102"/>
      <c r="AX889" s="102"/>
      <c r="AY889" s="102"/>
      <c r="AZ889" s="213"/>
      <c r="BA889" s="102"/>
      <c r="BB889" s="213"/>
      <c r="BC889" s="102"/>
      <c r="BD889" s="102"/>
      <c r="BE889" s="102"/>
      <c r="BH889" s="102"/>
      <c r="BI889" s="102"/>
      <c r="BN889" s="102"/>
      <c r="BO889" s="102"/>
    </row>
    <row r="890" spans="45:74" x14ac:dyDescent="0.3">
      <c r="AS890" s="102"/>
      <c r="AU890" s="99"/>
      <c r="AV890" s="102"/>
      <c r="AW890" s="102"/>
      <c r="AX890" s="102"/>
      <c r="AY890" s="102"/>
      <c r="AZ890" s="213"/>
      <c r="BA890" s="102"/>
      <c r="BB890" s="213"/>
      <c r="BC890" s="102"/>
      <c r="BD890" s="102"/>
      <c r="BE890" s="102"/>
      <c r="BG890" s="102"/>
      <c r="BH890" s="102"/>
      <c r="BI890" s="102"/>
      <c r="BJ890" s="102"/>
      <c r="BK890" s="102"/>
      <c r="BM890" s="102"/>
      <c r="BN890" s="102"/>
      <c r="BO890" s="102"/>
      <c r="BP890" s="102"/>
      <c r="BQ890" s="102"/>
    </row>
    <row r="891" spans="45:74" x14ac:dyDescent="0.3">
      <c r="AS891" s="102"/>
      <c r="AU891" s="99"/>
      <c r="AV891" s="102"/>
      <c r="AW891" s="102"/>
      <c r="AX891" s="102"/>
      <c r="AY891" s="102"/>
      <c r="AZ891" s="213"/>
      <c r="BA891" s="102"/>
      <c r="BB891" s="213"/>
      <c r="BC891" s="102"/>
      <c r="BD891" s="102"/>
      <c r="BE891" s="102"/>
      <c r="BG891" s="102"/>
      <c r="BH891" s="102"/>
      <c r="BI891" s="102"/>
      <c r="BJ891" s="102"/>
      <c r="BK891" s="102"/>
      <c r="BM891" s="102"/>
      <c r="BN891" s="102"/>
      <c r="BO891" s="102"/>
      <c r="BP891" s="102"/>
      <c r="BQ891" s="102"/>
    </row>
    <row r="892" spans="45:74" x14ac:dyDescent="0.3">
      <c r="AS892" s="101"/>
      <c r="AT892" s="101"/>
      <c r="AU892" s="101"/>
      <c r="AV892" s="101"/>
      <c r="AW892" s="101"/>
      <c r="AX892" s="101"/>
      <c r="AY892" s="101"/>
      <c r="AZ892" s="212"/>
      <c r="BA892" s="101"/>
      <c r="BB892" s="212"/>
      <c r="BC892" s="101"/>
      <c r="BD892" s="101"/>
      <c r="BE892" s="101"/>
      <c r="BG892" s="101"/>
      <c r="BH892" s="101"/>
      <c r="BI892" s="101"/>
      <c r="BJ892" s="101"/>
      <c r="BK892" s="101"/>
      <c r="BM892" s="101"/>
      <c r="BN892" s="101"/>
      <c r="BO892" s="101"/>
      <c r="BP892" s="101"/>
      <c r="BQ892" s="101"/>
    </row>
    <row r="893" spans="45:74" x14ac:dyDescent="0.3">
      <c r="AV893" s="102"/>
      <c r="AW893" s="102"/>
      <c r="AX893" s="102"/>
      <c r="AY893" s="102"/>
      <c r="AZ893" s="213"/>
      <c r="BA893" s="102"/>
      <c r="BB893" s="213"/>
      <c r="BC893" s="102"/>
      <c r="BD893" s="102"/>
      <c r="BE893" s="102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</row>
    <row r="894" spans="45:74" x14ac:dyDescent="0.3">
      <c r="AT894" s="99"/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</row>
    <row r="895" spans="45:74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</row>
    <row r="896" spans="45:74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</row>
    <row r="897" spans="48:71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</row>
    <row r="898" spans="48:71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</row>
    <row r="899" spans="48:71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</row>
    <row r="900" spans="48:71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</row>
    <row r="901" spans="48:71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</row>
    <row r="902" spans="48:71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</row>
    <row r="903" spans="48:71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  <c r="BG903" s="163"/>
      <c r="BH903" s="163"/>
      <c r="BI903" s="163"/>
      <c r="BJ903" s="163"/>
      <c r="BK903" s="163"/>
      <c r="BL903" s="163"/>
      <c r="BM903" s="163"/>
      <c r="BN903" s="163"/>
      <c r="BO903" s="163"/>
      <c r="BP903" s="163"/>
      <c r="BQ903" s="163"/>
      <c r="BR903" s="163"/>
      <c r="BS903" s="163"/>
    </row>
    <row r="904" spans="48:71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  <c r="BG904" s="163"/>
      <c r="BH904" s="163"/>
      <c r="BI904" s="163"/>
      <c r="BJ904" s="163"/>
      <c r="BK904" s="163"/>
      <c r="BL904" s="163"/>
      <c r="BM904" s="163"/>
      <c r="BN904" s="163"/>
      <c r="BO904" s="163"/>
      <c r="BP904" s="163"/>
      <c r="BQ904" s="163"/>
      <c r="BR904" s="163"/>
      <c r="BS904" s="163"/>
    </row>
    <row r="905" spans="48:71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  <c r="BG905" s="163"/>
      <c r="BH905" s="163"/>
      <c r="BI905" s="163"/>
      <c r="BJ905" s="163"/>
      <c r="BK905" s="163"/>
      <c r="BL905" s="163"/>
      <c r="BM905" s="163"/>
      <c r="BN905" s="163"/>
      <c r="BO905" s="163"/>
      <c r="BP905" s="163"/>
      <c r="BQ905" s="163"/>
      <c r="BR905" s="163"/>
      <c r="BS905" s="163"/>
    </row>
    <row r="906" spans="48:71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  <c r="BR906" s="163"/>
      <c r="BS906" s="163"/>
    </row>
    <row r="907" spans="48:71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</row>
    <row r="908" spans="48:71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</row>
    <row r="909" spans="48:71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</row>
    <row r="910" spans="48:71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</row>
    <row r="911" spans="48:71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</row>
    <row r="912" spans="48:71" x14ac:dyDescent="0.3">
      <c r="AZ912" s="163"/>
      <c r="BB912" s="163"/>
      <c r="BC912" s="163"/>
      <c r="BD912" s="163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</row>
    <row r="913" spans="46:57" x14ac:dyDescent="0.3">
      <c r="AT913" s="99"/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</row>
    <row r="914" spans="46:57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</row>
    <row r="915" spans="46:57" x14ac:dyDescent="0.3">
      <c r="AV915" s="110"/>
      <c r="AW915" s="110"/>
      <c r="AX915" s="163"/>
      <c r="AY915" s="163"/>
      <c r="AZ915" s="163"/>
      <c r="BA915" s="207"/>
      <c r="BB915" s="163"/>
      <c r="BC915" s="163"/>
      <c r="BD915" s="163"/>
      <c r="BE915" s="207"/>
    </row>
    <row r="916" spans="46:57" x14ac:dyDescent="0.3">
      <c r="AV916" s="110"/>
      <c r="AW916" s="110"/>
      <c r="AX916" s="163"/>
      <c r="AY916" s="163"/>
      <c r="AZ916" s="163"/>
      <c r="BA916" s="207"/>
      <c r="BB916" s="163"/>
      <c r="BC916" s="163"/>
      <c r="BD916" s="163"/>
      <c r="BE916" s="207"/>
    </row>
    <row r="917" spans="46:57" x14ac:dyDescent="0.3">
      <c r="AV917" s="110"/>
      <c r="AW917" s="110"/>
      <c r="AX917" s="163"/>
      <c r="AY917" s="163"/>
      <c r="AZ917" s="163"/>
      <c r="BA917" s="207"/>
      <c r="BB917" s="163"/>
      <c r="BC917" s="163"/>
      <c r="BD917" s="163"/>
      <c r="BE917" s="207"/>
    </row>
    <row r="918" spans="46:57" x14ac:dyDescent="0.3">
      <c r="AV918" s="110"/>
      <c r="AW918" s="110"/>
      <c r="AX918" s="163"/>
      <c r="AY918" s="163"/>
      <c r="AZ918" s="163"/>
      <c r="BA918" s="207"/>
      <c r="BB918" s="163"/>
      <c r="BC918" s="163"/>
      <c r="BD918" s="163"/>
      <c r="BE918" s="207"/>
    </row>
    <row r="919" spans="46:57" x14ac:dyDescent="0.3">
      <c r="AV919" s="110"/>
      <c r="AW919" s="110"/>
      <c r="AX919" s="163"/>
      <c r="AY919" s="163"/>
      <c r="AZ919" s="163"/>
      <c r="BA919" s="207"/>
      <c r="BB919" s="163"/>
      <c r="BC919" s="163"/>
      <c r="BD919" s="163"/>
      <c r="BE919" s="207"/>
    </row>
    <row r="920" spans="46:57" x14ac:dyDescent="0.3">
      <c r="AV920" s="110"/>
      <c r="AW920" s="110"/>
      <c r="AX920" s="163"/>
      <c r="AY920" s="163"/>
      <c r="AZ920" s="163"/>
      <c r="BA920" s="207"/>
      <c r="BB920" s="163"/>
      <c r="BC920" s="163"/>
      <c r="BD920" s="163"/>
      <c r="BE920" s="207"/>
    </row>
    <row r="921" spans="46:57" x14ac:dyDescent="0.3">
      <c r="AV921" s="110"/>
      <c r="AW921" s="110"/>
      <c r="AX921" s="163"/>
      <c r="AY921" s="163"/>
      <c r="AZ921" s="163"/>
      <c r="BA921" s="207"/>
      <c r="BB921" s="163"/>
      <c r="BC921" s="163"/>
      <c r="BD921" s="163"/>
      <c r="BE921" s="207"/>
    </row>
    <row r="922" spans="46:57" x14ac:dyDescent="0.3">
      <c r="AV922" s="110"/>
      <c r="AW922" s="110"/>
      <c r="AX922" s="163"/>
      <c r="AY922" s="163"/>
      <c r="AZ922" s="163"/>
      <c r="BA922" s="207"/>
      <c r="BB922" s="163"/>
      <c r="BC922" s="163"/>
      <c r="BD922" s="163"/>
      <c r="BE922" s="207"/>
    </row>
    <row r="923" spans="46:57" x14ac:dyDescent="0.3"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</row>
    <row r="924" spans="46:57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</row>
    <row r="925" spans="46:57" x14ac:dyDescent="0.3">
      <c r="AV925" s="110"/>
      <c r="AW925" s="110"/>
      <c r="AX925" s="163"/>
      <c r="AY925" s="163"/>
      <c r="AZ925" s="163"/>
      <c r="BA925" s="207"/>
      <c r="BB925" s="163"/>
      <c r="BC925" s="163"/>
      <c r="BD925" s="163"/>
      <c r="BE925" s="207"/>
    </row>
    <row r="926" spans="46:57" x14ac:dyDescent="0.3">
      <c r="AV926" s="110"/>
      <c r="AW926" s="110"/>
      <c r="AX926" s="163"/>
      <c r="AY926" s="163"/>
      <c r="AZ926" s="163"/>
      <c r="BA926" s="207"/>
      <c r="BB926" s="163"/>
      <c r="BC926" s="163"/>
      <c r="BD926" s="163"/>
      <c r="BE926" s="207"/>
    </row>
    <row r="927" spans="46:57" x14ac:dyDescent="0.3"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6:57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5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5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5:57" x14ac:dyDescent="0.3">
      <c r="BB931" s="163"/>
    </row>
    <row r="932" spans="45:57" x14ac:dyDescent="0.3">
      <c r="AU932" s="99"/>
      <c r="BB932" s="163"/>
    </row>
    <row r="933" spans="45:57" x14ac:dyDescent="0.3">
      <c r="AU933" s="99"/>
    </row>
    <row r="934" spans="45:57" x14ac:dyDescent="0.3">
      <c r="AU934" s="99"/>
      <c r="BB934" s="163"/>
    </row>
    <row r="935" spans="45:57" x14ac:dyDescent="0.3">
      <c r="AS935" s="99"/>
      <c r="AZ935" s="163"/>
      <c r="BB935" s="163"/>
    </row>
    <row r="936" spans="45:57" x14ac:dyDescent="0.3">
      <c r="AZ936" s="163"/>
      <c r="BB936" s="163"/>
    </row>
    <row r="937" spans="45:57" x14ac:dyDescent="0.3">
      <c r="AY937" s="163"/>
      <c r="AZ937" s="163"/>
      <c r="BB937" s="163"/>
    </row>
    <row r="938" spans="45:57" x14ac:dyDescent="0.3">
      <c r="AY938" s="99"/>
      <c r="AZ938" s="163"/>
      <c r="BB938" s="163"/>
    </row>
    <row r="939" spans="45:57" x14ac:dyDescent="0.3">
      <c r="AY939" s="99"/>
      <c r="AZ939" s="163"/>
      <c r="BB939" s="163"/>
    </row>
    <row r="940" spans="45:57" x14ac:dyDescent="0.3">
      <c r="AZ940" s="163"/>
      <c r="BB940" s="163"/>
      <c r="BD940" s="99"/>
    </row>
    <row r="941" spans="45:57" x14ac:dyDescent="0.3">
      <c r="AZ941" s="163"/>
      <c r="BB941" s="163"/>
      <c r="BD941" s="99"/>
    </row>
    <row r="942" spans="45:57" x14ac:dyDescent="0.3">
      <c r="AS942" s="99"/>
      <c r="AZ942" s="163"/>
      <c r="BB942" s="163"/>
      <c r="BD942" s="99"/>
    </row>
    <row r="943" spans="45:57" x14ac:dyDescent="0.3">
      <c r="AZ943" s="163"/>
      <c r="BB943" s="163"/>
    </row>
    <row r="944" spans="45:57" x14ac:dyDescent="0.3">
      <c r="AS944" s="101"/>
      <c r="AT944" s="101"/>
      <c r="AU944" s="101"/>
      <c r="AV944" s="101"/>
      <c r="AW944" s="101"/>
      <c r="AX944" s="101"/>
      <c r="AY944" s="101"/>
      <c r="AZ944" s="212"/>
      <c r="BA944" s="101"/>
      <c r="BB944" s="212"/>
      <c r="BC944" s="101"/>
      <c r="BD944" s="101"/>
      <c r="BE944" s="101"/>
    </row>
    <row r="945" spans="45:57" x14ac:dyDescent="0.3">
      <c r="AX945" s="99"/>
      <c r="AZ945" s="163"/>
      <c r="BB945" s="163"/>
    </row>
    <row r="946" spans="45:57" x14ac:dyDescent="0.3">
      <c r="AX946" s="101"/>
      <c r="AY946" s="101"/>
      <c r="AZ946" s="212"/>
      <c r="BA946" s="101"/>
      <c r="BB946" s="163"/>
      <c r="BC946" s="102"/>
      <c r="BD946" s="102"/>
    </row>
    <row r="947" spans="45:57" x14ac:dyDescent="0.3">
      <c r="AV947" s="102"/>
      <c r="AW947" s="102"/>
      <c r="AZ947" s="213"/>
      <c r="BA947" s="102"/>
      <c r="BB947" s="163"/>
      <c r="BC947" s="102"/>
      <c r="BD947" s="102"/>
      <c r="BE947" s="102"/>
    </row>
    <row r="948" spans="45:57" x14ac:dyDescent="0.3">
      <c r="AV948" s="102"/>
      <c r="AW948" s="102"/>
      <c r="AX948" s="102"/>
      <c r="AY948" s="102"/>
      <c r="AZ948" s="213"/>
      <c r="BA948" s="102"/>
      <c r="BB948" s="213"/>
      <c r="BC948" s="102"/>
      <c r="BD948" s="102"/>
      <c r="BE948" s="102"/>
    </row>
    <row r="949" spans="45:57" x14ac:dyDescent="0.3">
      <c r="AS949" s="102"/>
      <c r="AU949" s="99"/>
      <c r="AV949" s="102"/>
      <c r="AW949" s="102"/>
      <c r="AX949" s="102"/>
      <c r="AY949" s="102"/>
      <c r="AZ949" s="213"/>
      <c r="BA949" s="102"/>
      <c r="BB949" s="213"/>
      <c r="BC949" s="102"/>
      <c r="BD949" s="102"/>
      <c r="BE949" s="102"/>
    </row>
    <row r="950" spans="45:57" x14ac:dyDescent="0.3">
      <c r="AS950" s="102"/>
      <c r="AU950" s="99"/>
      <c r="AV950" s="102"/>
      <c r="AW950" s="102"/>
      <c r="AX950" s="102"/>
      <c r="AY950" s="102"/>
      <c r="AZ950" s="213"/>
      <c r="BA950" s="102"/>
      <c r="BB950" s="213"/>
      <c r="BC950" s="102"/>
      <c r="BD950" s="102"/>
      <c r="BE950" s="102"/>
    </row>
    <row r="951" spans="45:57" x14ac:dyDescent="0.3">
      <c r="AS951" s="101"/>
      <c r="AT951" s="101"/>
      <c r="AU951" s="101"/>
      <c r="AV951" s="101"/>
      <c r="AW951" s="101"/>
      <c r="AX951" s="101"/>
      <c r="AY951" s="101"/>
      <c r="AZ951" s="212"/>
      <c r="BA951" s="101"/>
      <c r="BB951" s="212"/>
      <c r="BC951" s="101"/>
      <c r="BD951" s="101"/>
      <c r="BE951" s="101"/>
    </row>
    <row r="952" spans="45:57" x14ac:dyDescent="0.3">
      <c r="AV952" s="102"/>
      <c r="AW952" s="102"/>
      <c r="AX952" s="102"/>
      <c r="AY952" s="102"/>
      <c r="AZ952" s="213"/>
      <c r="BA952" s="102"/>
      <c r="BB952" s="213"/>
      <c r="BC952" s="102"/>
      <c r="BD952" s="102"/>
      <c r="BE952" s="102"/>
    </row>
    <row r="953" spans="45:57" x14ac:dyDescent="0.3">
      <c r="AT953" s="99"/>
      <c r="AV953" s="110"/>
      <c r="AW953" s="110"/>
      <c r="AX953" s="163"/>
      <c r="AY953" s="163"/>
      <c r="AZ953" s="163"/>
      <c r="BA953" s="207"/>
      <c r="BB953" s="163"/>
      <c r="BC953" s="163"/>
      <c r="BD953" s="163"/>
      <c r="BE953" s="207"/>
    </row>
    <row r="954" spans="45:57" x14ac:dyDescent="0.3">
      <c r="AV954" s="110"/>
      <c r="AW954" s="110"/>
      <c r="AX954" s="163"/>
      <c r="AY954" s="163"/>
      <c r="AZ954" s="163"/>
      <c r="BA954" s="207"/>
      <c r="BB954" s="163"/>
      <c r="BC954" s="163"/>
      <c r="BD954" s="163"/>
      <c r="BE954" s="207"/>
    </row>
    <row r="955" spans="45:57" x14ac:dyDescent="0.3">
      <c r="AV955" s="110"/>
      <c r="AW955" s="110"/>
      <c r="AX955" s="163"/>
      <c r="AY955" s="163"/>
      <c r="AZ955" s="163"/>
      <c r="BA955" s="207"/>
      <c r="BB955" s="163"/>
      <c r="BC955" s="163"/>
      <c r="BD955" s="163"/>
      <c r="BE955" s="207"/>
    </row>
    <row r="956" spans="45:57" x14ac:dyDescent="0.3">
      <c r="AV956" s="110"/>
      <c r="AW956" s="110"/>
      <c r="AX956" s="163"/>
      <c r="AY956" s="163"/>
      <c r="AZ956" s="163"/>
      <c r="BA956" s="207"/>
      <c r="BB956" s="163"/>
      <c r="BC956" s="163"/>
      <c r="BD956" s="163"/>
      <c r="BE956" s="207"/>
    </row>
    <row r="957" spans="45:57" x14ac:dyDescent="0.3">
      <c r="AV957" s="110"/>
      <c r="AW957" s="110"/>
      <c r="AX957" s="163"/>
      <c r="AY957" s="163"/>
      <c r="AZ957" s="163"/>
      <c r="BA957" s="207"/>
      <c r="BB957" s="163"/>
      <c r="BC957" s="163"/>
      <c r="BD957" s="163"/>
      <c r="BE957" s="207"/>
    </row>
    <row r="958" spans="45:57" x14ac:dyDescent="0.3">
      <c r="AV958" s="110"/>
      <c r="AW958" s="110"/>
      <c r="AX958" s="163"/>
      <c r="AY958" s="163"/>
      <c r="AZ958" s="163"/>
      <c r="BA958" s="207"/>
      <c r="BB958" s="163"/>
      <c r="BC958" s="163"/>
      <c r="BD958" s="163"/>
      <c r="BE958" s="207"/>
    </row>
    <row r="959" spans="45:57" x14ac:dyDescent="0.3">
      <c r="AV959" s="110"/>
      <c r="AW959" s="110"/>
      <c r="AX959" s="163"/>
      <c r="AY959" s="163"/>
      <c r="AZ959" s="163"/>
      <c r="BA959" s="207"/>
      <c r="BB959" s="163"/>
      <c r="BC959" s="163"/>
      <c r="BD959" s="163"/>
      <c r="BE959" s="207"/>
    </row>
    <row r="960" spans="45:57" x14ac:dyDescent="0.3">
      <c r="AV960" s="110"/>
      <c r="AW960" s="110"/>
      <c r="AX960" s="163"/>
      <c r="AY960" s="163"/>
      <c r="AZ960" s="163"/>
      <c r="BA960" s="207"/>
      <c r="BB960" s="163"/>
      <c r="BC960" s="163"/>
      <c r="BD960" s="163"/>
      <c r="BE960" s="207"/>
    </row>
    <row r="961" spans="46:57" x14ac:dyDescent="0.3">
      <c r="AV961" s="110"/>
      <c r="AW961" s="110"/>
      <c r="AX961" s="163"/>
      <c r="AY961" s="163"/>
      <c r="AZ961" s="163"/>
      <c r="BA961" s="207"/>
      <c r="BB961" s="163"/>
      <c r="BC961" s="163"/>
      <c r="BD961" s="163"/>
      <c r="BE961" s="207"/>
    </row>
    <row r="962" spans="46:57" x14ac:dyDescent="0.3">
      <c r="AV962" s="110"/>
      <c r="AW962" s="110"/>
      <c r="AX962" s="163"/>
      <c r="AY962" s="163"/>
      <c r="AZ962" s="163"/>
      <c r="BA962" s="207"/>
      <c r="BB962" s="163"/>
      <c r="BC962" s="163"/>
      <c r="BD962" s="163"/>
      <c r="BE962" s="207"/>
    </row>
    <row r="963" spans="46:57" x14ac:dyDescent="0.3">
      <c r="AV963" s="110"/>
      <c r="AW963" s="110"/>
      <c r="BB963" s="163"/>
    </row>
    <row r="964" spans="46:57" x14ac:dyDescent="0.3">
      <c r="AT964" s="99"/>
      <c r="AV964" s="110"/>
      <c r="AW964" s="110"/>
      <c r="AX964" s="163"/>
      <c r="AY964" s="163"/>
      <c r="AZ964" s="163"/>
      <c r="BA964" s="207"/>
      <c r="BB964" s="163"/>
      <c r="BC964" s="163"/>
      <c r="BD964" s="163"/>
      <c r="BE964" s="207"/>
    </row>
    <row r="965" spans="46:57" x14ac:dyDescent="0.3">
      <c r="AV965" s="110"/>
      <c r="AW965" s="110"/>
      <c r="AX965" s="163"/>
      <c r="AY965" s="163"/>
      <c r="AZ965" s="163"/>
      <c r="BA965" s="207"/>
      <c r="BB965" s="163"/>
      <c r="BC965" s="163"/>
      <c r="BD965" s="163"/>
      <c r="BE965" s="207"/>
    </row>
    <row r="966" spans="46:57" x14ac:dyDescent="0.3">
      <c r="AV966" s="110"/>
      <c r="AW966" s="110"/>
      <c r="AX966" s="163"/>
      <c r="AY966" s="163"/>
      <c r="AZ966" s="163"/>
      <c r="BA966" s="207"/>
      <c r="BB966" s="163"/>
      <c r="BC966" s="163"/>
      <c r="BD966" s="163"/>
      <c r="BE966" s="207"/>
    </row>
    <row r="967" spans="46:57" x14ac:dyDescent="0.3">
      <c r="AV967" s="110"/>
      <c r="AW967" s="110"/>
      <c r="AX967" s="163"/>
      <c r="AY967" s="163"/>
      <c r="AZ967" s="163"/>
      <c r="BA967" s="207"/>
      <c r="BB967" s="163"/>
      <c r="BC967" s="163"/>
      <c r="BD967" s="163"/>
      <c r="BE967" s="207"/>
    </row>
    <row r="968" spans="46:57" x14ac:dyDescent="0.3">
      <c r="AV968" s="110"/>
      <c r="AW968" s="110"/>
      <c r="AX968" s="163"/>
      <c r="AY968" s="163"/>
      <c r="AZ968" s="163"/>
      <c r="BA968" s="207"/>
      <c r="BB968" s="163"/>
      <c r="BC968" s="163"/>
      <c r="BD968" s="163"/>
      <c r="BE968" s="207"/>
    </row>
    <row r="969" spans="46:57" x14ac:dyDescent="0.3">
      <c r="AV969" s="110"/>
      <c r="AW969" s="110"/>
      <c r="AX969" s="163"/>
      <c r="AY969" s="163"/>
      <c r="AZ969" s="163"/>
      <c r="BA969" s="207"/>
      <c r="BB969" s="163"/>
      <c r="BC969" s="163"/>
      <c r="BD969" s="163"/>
      <c r="BE969" s="207"/>
    </row>
    <row r="970" spans="46:57" x14ac:dyDescent="0.3">
      <c r="AV970" s="110"/>
      <c r="AW970" s="110"/>
      <c r="AX970" s="163"/>
      <c r="AY970" s="163"/>
      <c r="AZ970" s="163"/>
      <c r="BA970" s="207"/>
      <c r="BB970" s="163"/>
      <c r="BC970" s="163"/>
      <c r="BD970" s="163"/>
      <c r="BE970" s="207"/>
    </row>
    <row r="971" spans="46:57" x14ac:dyDescent="0.3">
      <c r="AV971" s="110"/>
      <c r="AW971" s="110"/>
      <c r="AX971" s="163"/>
      <c r="AY971" s="163"/>
      <c r="AZ971" s="163"/>
      <c r="BA971" s="207"/>
      <c r="BB971" s="163"/>
      <c r="BC971" s="163"/>
      <c r="BD971" s="163"/>
      <c r="BE971" s="207"/>
    </row>
    <row r="972" spans="46:57" x14ac:dyDescent="0.3">
      <c r="AV972" s="110"/>
      <c r="AW972" s="110"/>
      <c r="AX972" s="163"/>
      <c r="AY972" s="163"/>
      <c r="AZ972" s="163"/>
      <c r="BA972" s="207"/>
      <c r="BB972" s="163"/>
      <c r="BC972" s="163"/>
      <c r="BD972" s="163"/>
      <c r="BE972" s="207"/>
    </row>
    <row r="973" spans="46:57" x14ac:dyDescent="0.3">
      <c r="AV973" s="110"/>
      <c r="AW973" s="110"/>
      <c r="AX973" s="163"/>
      <c r="AY973" s="163"/>
      <c r="AZ973" s="163"/>
      <c r="BA973" s="207"/>
      <c r="BB973" s="163"/>
      <c r="BC973" s="163"/>
      <c r="BD973" s="163"/>
      <c r="BE973" s="207"/>
    </row>
    <row r="975" spans="46:57" x14ac:dyDescent="0.3">
      <c r="AU975" s="99"/>
    </row>
    <row r="976" spans="46:57" x14ac:dyDescent="0.3">
      <c r="AU976" s="99"/>
    </row>
    <row r="977" spans="45:47" x14ac:dyDescent="0.3">
      <c r="AU977" s="99"/>
    </row>
    <row r="978" spans="45:47" x14ac:dyDescent="0.3">
      <c r="AS978" s="99"/>
    </row>
    <row r="999" spans="52:71" x14ac:dyDescent="0.3">
      <c r="AZ999" s="163"/>
      <c r="BB999" s="163"/>
      <c r="BC999" s="163"/>
      <c r="BD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</row>
    <row r="1000" spans="52:71" x14ac:dyDescent="0.3">
      <c r="AZ1000" s="163"/>
      <c r="BB1000" s="163"/>
      <c r="BC1000" s="163"/>
      <c r="BD1000" s="163"/>
      <c r="BG1000" s="163"/>
      <c r="BH1000" s="163"/>
      <c r="BI1000" s="163"/>
      <c r="BJ1000" s="163"/>
      <c r="BK1000" s="163"/>
      <c r="BL1000" s="163"/>
      <c r="BM1000" s="163"/>
      <c r="BN1000" s="163"/>
      <c r="BO1000" s="163"/>
      <c r="BP1000" s="163"/>
      <c r="BQ1000" s="163"/>
      <c r="BR1000" s="163"/>
      <c r="BS1000" s="163"/>
    </row>
    <row r="1001" spans="52:71" x14ac:dyDescent="0.3">
      <c r="AZ1001" s="163"/>
      <c r="BB1001" s="163"/>
      <c r="BC1001" s="163"/>
      <c r="BD1001" s="163"/>
      <c r="BG1001" s="163"/>
      <c r="BH1001" s="163"/>
      <c r="BI1001" s="163"/>
      <c r="BJ1001" s="163"/>
      <c r="BK1001" s="163"/>
      <c r="BL1001" s="163"/>
      <c r="BM1001" s="163"/>
      <c r="BN1001" s="163"/>
      <c r="BO1001" s="163"/>
      <c r="BP1001" s="163"/>
      <c r="BQ1001" s="163"/>
      <c r="BR1001" s="163"/>
      <c r="BS1001" s="163"/>
    </row>
    <row r="1002" spans="52:71" x14ac:dyDescent="0.3">
      <c r="AZ1002" s="163"/>
      <c r="BB1002" s="163"/>
      <c r="BC1002" s="163"/>
      <c r="BD1002" s="163"/>
      <c r="BG1002" s="163"/>
      <c r="BH1002" s="163"/>
      <c r="BI1002" s="163"/>
      <c r="BJ1002" s="163"/>
      <c r="BK1002" s="163"/>
      <c r="BL1002" s="163"/>
      <c r="BM1002" s="163"/>
      <c r="BN1002" s="163"/>
      <c r="BO1002" s="163"/>
      <c r="BP1002" s="163"/>
      <c r="BQ1002" s="163"/>
      <c r="BR1002" s="163"/>
      <c r="BS1002" s="163"/>
    </row>
    <row r="1003" spans="52:71" x14ac:dyDescent="0.3">
      <c r="AZ1003" s="163"/>
      <c r="BB1003" s="163"/>
      <c r="BC1003" s="163"/>
      <c r="BD1003" s="163"/>
      <c r="BG1003" s="163"/>
      <c r="BH1003" s="163"/>
      <c r="BI1003" s="163"/>
      <c r="BJ1003" s="163"/>
      <c r="BK1003" s="163"/>
      <c r="BL1003" s="163"/>
      <c r="BM1003" s="163"/>
      <c r="BN1003" s="163"/>
      <c r="BO1003" s="163"/>
      <c r="BP1003" s="163"/>
      <c r="BQ1003" s="163"/>
      <c r="BR1003" s="163"/>
      <c r="BS1003" s="163"/>
    </row>
    <row r="1004" spans="52:71" x14ac:dyDescent="0.3">
      <c r="AZ1004" s="163"/>
      <c r="BB1004" s="163"/>
      <c r="BC1004" s="163"/>
      <c r="BD1004" s="163"/>
      <c r="BG1004" s="163"/>
      <c r="BH1004" s="163"/>
      <c r="BI1004" s="163"/>
      <c r="BJ1004" s="163"/>
      <c r="BK1004" s="163"/>
      <c r="BL1004" s="163"/>
      <c r="BM1004" s="163"/>
      <c r="BN1004" s="163"/>
      <c r="BO1004" s="163"/>
      <c r="BP1004" s="163"/>
      <c r="BQ1004" s="163"/>
      <c r="BR1004" s="163"/>
      <c r="BS1004" s="163"/>
    </row>
    <row r="1005" spans="52:71" x14ac:dyDescent="0.3">
      <c r="AZ1005" s="163"/>
      <c r="BB1005" s="163"/>
      <c r="BC1005" s="163"/>
      <c r="BD1005" s="163"/>
      <c r="BG1005" s="163"/>
      <c r="BH1005" s="163"/>
      <c r="BI1005" s="163"/>
      <c r="BJ1005" s="163"/>
      <c r="BK1005" s="163"/>
      <c r="BL1005" s="163"/>
      <c r="BM1005" s="163"/>
      <c r="BN1005" s="163"/>
      <c r="BO1005" s="163"/>
      <c r="BP1005" s="163"/>
      <c r="BQ1005" s="163"/>
      <c r="BR1005" s="163"/>
      <c r="BS1005" s="163"/>
    </row>
    <row r="1006" spans="52:71" x14ac:dyDescent="0.3">
      <c r="AZ1006" s="163"/>
      <c r="BB1006" s="163"/>
      <c r="BC1006" s="163"/>
      <c r="BD1006" s="163"/>
      <c r="BG1006" s="163"/>
      <c r="BH1006" s="163"/>
      <c r="BI1006" s="163"/>
      <c r="BJ1006" s="163"/>
      <c r="BK1006" s="163"/>
      <c r="BL1006" s="163"/>
      <c r="BM1006" s="163"/>
      <c r="BN1006" s="163"/>
      <c r="BO1006" s="163"/>
      <c r="BP1006" s="163"/>
      <c r="BQ1006" s="163"/>
      <c r="BR1006" s="163"/>
      <c r="BS1006" s="163"/>
    </row>
    <row r="1007" spans="52:71" x14ac:dyDescent="0.3">
      <c r="AZ1007" s="163"/>
      <c r="BB1007" s="163"/>
      <c r="BC1007" s="163"/>
      <c r="BD1007" s="163"/>
      <c r="BG1007" s="163"/>
      <c r="BH1007" s="163"/>
      <c r="BI1007" s="163"/>
      <c r="BJ1007" s="163"/>
      <c r="BK1007" s="163"/>
      <c r="BL1007" s="163"/>
      <c r="BM1007" s="163"/>
      <c r="BN1007" s="163"/>
      <c r="BO1007" s="163"/>
      <c r="BP1007" s="163"/>
      <c r="BQ1007" s="163"/>
      <c r="BR1007" s="163"/>
      <c r="BS1007" s="163"/>
    </row>
    <row r="1008" spans="52:71" x14ac:dyDescent="0.3">
      <c r="AZ1008" s="163"/>
      <c r="BB1008" s="163"/>
      <c r="BC1008" s="163"/>
      <c r="BD1008" s="163"/>
      <c r="BG1008" s="163"/>
      <c r="BH1008" s="163"/>
      <c r="BI1008" s="163"/>
      <c r="BJ1008" s="163"/>
      <c r="BK1008" s="163"/>
      <c r="BL1008" s="163"/>
      <c r="BM1008" s="163"/>
      <c r="BN1008" s="163"/>
      <c r="BO1008" s="163"/>
      <c r="BP1008" s="163"/>
      <c r="BQ1008" s="163"/>
      <c r="BR1008" s="163"/>
      <c r="BS1008" s="163"/>
    </row>
    <row r="1009" spans="52:71" x14ac:dyDescent="0.3">
      <c r="AZ1009" s="163"/>
      <c r="BB1009" s="163"/>
      <c r="BC1009" s="163"/>
      <c r="BD1009" s="163"/>
      <c r="BG1009" s="163"/>
      <c r="BH1009" s="163"/>
      <c r="BI1009" s="163"/>
      <c r="BJ1009" s="163"/>
      <c r="BK1009" s="163"/>
      <c r="BL1009" s="163"/>
      <c r="BM1009" s="163"/>
      <c r="BN1009" s="163"/>
      <c r="BO1009" s="163"/>
      <c r="BP1009" s="163"/>
      <c r="BQ1009" s="163"/>
      <c r="BR1009" s="163"/>
      <c r="BS1009" s="163"/>
    </row>
    <row r="1010" spans="52:71" x14ac:dyDescent="0.3">
      <c r="AZ1010" s="163"/>
      <c r="BB1010" s="163"/>
      <c r="BC1010" s="163"/>
      <c r="BD1010" s="163"/>
      <c r="BG1010" s="163"/>
      <c r="BH1010" s="163"/>
      <c r="BI1010" s="163"/>
      <c r="BJ1010" s="163"/>
      <c r="BK1010" s="163"/>
      <c r="BL1010" s="163"/>
      <c r="BM1010" s="163"/>
      <c r="BN1010" s="163"/>
      <c r="BO1010" s="163"/>
      <c r="BP1010" s="163"/>
      <c r="BQ1010" s="163"/>
      <c r="BR1010" s="163"/>
      <c r="BS1010" s="163"/>
    </row>
    <row r="1011" spans="52:71" x14ac:dyDescent="0.3">
      <c r="AZ1011" s="163"/>
      <c r="BG1011" s="163"/>
      <c r="BH1011" s="163"/>
      <c r="BI1011" s="163"/>
      <c r="BJ1011" s="163"/>
      <c r="BK1011" s="163"/>
      <c r="BL1011" s="163"/>
      <c r="BM1011" s="163"/>
      <c r="BN1011" s="163"/>
      <c r="BO1011" s="163"/>
      <c r="BP1011" s="163"/>
      <c r="BQ1011" s="163"/>
      <c r="BR1011" s="163"/>
      <c r="BS1011" s="163"/>
    </row>
    <row r="1012" spans="52:71" x14ac:dyDescent="0.3">
      <c r="AZ1012" s="163"/>
      <c r="BG1012" s="163"/>
      <c r="BH1012" s="163"/>
      <c r="BI1012" s="163"/>
      <c r="BJ1012" s="163"/>
      <c r="BK1012" s="163"/>
      <c r="BL1012" s="163"/>
      <c r="BM1012" s="163"/>
      <c r="BN1012" s="163"/>
      <c r="BO1012" s="163"/>
      <c r="BP1012" s="163"/>
      <c r="BQ1012" s="163"/>
      <c r="BR1012" s="163"/>
      <c r="BS1012" s="163"/>
    </row>
    <row r="1013" spans="52:71" x14ac:dyDescent="0.3">
      <c r="AZ1013" s="163"/>
      <c r="BG1013" s="163"/>
      <c r="BH1013" s="163"/>
      <c r="BI1013" s="163"/>
      <c r="BJ1013" s="163"/>
      <c r="BK1013" s="163"/>
      <c r="BL1013" s="163"/>
      <c r="BM1013" s="163"/>
      <c r="BN1013" s="163"/>
      <c r="BO1013" s="163"/>
      <c r="BP1013" s="163"/>
      <c r="BQ1013" s="163"/>
      <c r="BR1013" s="163"/>
      <c r="BS1013" s="163"/>
    </row>
    <row r="1014" spans="52:71" x14ac:dyDescent="0.3">
      <c r="AZ1014" s="163"/>
      <c r="BG1014" s="163"/>
      <c r="BH1014" s="163"/>
      <c r="BI1014" s="163"/>
      <c r="BJ1014" s="163"/>
      <c r="BK1014" s="163"/>
      <c r="BL1014" s="163"/>
      <c r="BM1014" s="163"/>
      <c r="BN1014" s="163"/>
      <c r="BO1014" s="163"/>
      <c r="BP1014" s="163"/>
      <c r="BQ1014" s="163"/>
      <c r="BR1014" s="163"/>
      <c r="BS1014" s="163"/>
    </row>
    <row r="1015" spans="52:71" x14ac:dyDescent="0.3">
      <c r="AZ1015" s="163"/>
      <c r="BG1015" s="163"/>
      <c r="BH1015" s="163"/>
      <c r="BI1015" s="163"/>
      <c r="BJ1015" s="163"/>
      <c r="BK1015" s="163"/>
      <c r="BL1015" s="163"/>
      <c r="BM1015" s="163"/>
      <c r="BN1015" s="163"/>
      <c r="BO1015" s="163"/>
      <c r="BP1015" s="163"/>
      <c r="BQ1015" s="163"/>
      <c r="BR1015" s="163"/>
      <c r="BS1015" s="163"/>
    </row>
    <row r="1016" spans="52:71" x14ac:dyDescent="0.3">
      <c r="AZ1016" s="163"/>
      <c r="BG1016" s="163"/>
      <c r="BH1016" s="163"/>
      <c r="BI1016" s="163"/>
      <c r="BJ1016" s="163"/>
      <c r="BK1016" s="163"/>
      <c r="BL1016" s="163"/>
      <c r="BM1016" s="163"/>
      <c r="BN1016" s="163"/>
      <c r="BO1016" s="163"/>
      <c r="BP1016" s="163"/>
      <c r="BQ1016" s="163"/>
      <c r="BR1016" s="163"/>
      <c r="BS1016" s="163"/>
    </row>
    <row r="1017" spans="52:71" x14ac:dyDescent="0.3">
      <c r="AZ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</row>
    <row r="1018" spans="52:71" x14ac:dyDescent="0.3">
      <c r="AZ1018" s="163"/>
    </row>
    <row r="1019" spans="52:71" x14ac:dyDescent="0.3">
      <c r="AZ1019" s="163"/>
    </row>
    <row r="1033" spans="1:28" x14ac:dyDescent="0.3">
      <c r="A1033" s="99"/>
    </row>
    <row r="1036" spans="1:28" x14ac:dyDescent="0.3">
      <c r="Y1036" s="99"/>
    </row>
    <row r="1037" spans="1:28" x14ac:dyDescent="0.3">
      <c r="A1037" s="99"/>
      <c r="H1037" s="99"/>
      <c r="I1037" s="99"/>
    </row>
    <row r="1038" spans="1:28" x14ac:dyDescent="0.3">
      <c r="A1038" s="99"/>
      <c r="V1038" s="102"/>
      <c r="AA1038" s="102"/>
      <c r="AB1038" s="102"/>
    </row>
    <row r="1039" spans="1:28" x14ac:dyDescent="0.3">
      <c r="A1039" s="99"/>
      <c r="V1039" s="101"/>
      <c r="AA1039" s="101"/>
      <c r="AB1039" s="101"/>
    </row>
    <row r="1040" spans="1:28" x14ac:dyDescent="0.3">
      <c r="A1040" s="99"/>
      <c r="U1040" s="99"/>
      <c r="AA1040" s="102"/>
      <c r="AB1040" s="102"/>
    </row>
    <row r="1041" spans="1:28" x14ac:dyDescent="0.3">
      <c r="A1041" s="99"/>
    </row>
    <row r="1042" spans="1:28" x14ac:dyDescent="0.3">
      <c r="A1042" s="99"/>
      <c r="U1042" s="99"/>
      <c r="AA1042" s="102"/>
      <c r="AB1042" s="102"/>
    </row>
    <row r="1043" spans="1:28" x14ac:dyDescent="0.3">
      <c r="A1043" s="99"/>
    </row>
    <row r="1044" spans="1:28" x14ac:dyDescent="0.3">
      <c r="A1044" s="99"/>
      <c r="U1044" s="99"/>
      <c r="V1044" s="231"/>
      <c r="AA1044" s="102"/>
      <c r="AB1044" s="102"/>
    </row>
    <row r="1045" spans="1:28" x14ac:dyDescent="0.3">
      <c r="A1045" s="99"/>
    </row>
    <row r="1046" spans="1:28" x14ac:dyDescent="0.3">
      <c r="A1046" s="99"/>
      <c r="U1046" s="99"/>
      <c r="AA1046" s="102"/>
      <c r="AB1046" s="102"/>
    </row>
    <row r="1047" spans="1:28" x14ac:dyDescent="0.3">
      <c r="A1047" s="99"/>
    </row>
    <row r="1048" spans="1:28" x14ac:dyDescent="0.3">
      <c r="A1048" s="99"/>
      <c r="U1048" s="99"/>
      <c r="AA1048" s="102"/>
      <c r="AB1048" s="102"/>
    </row>
    <row r="1049" spans="1:28" x14ac:dyDescent="0.3">
      <c r="A1049" s="99"/>
    </row>
    <row r="1050" spans="1:28" x14ac:dyDescent="0.3">
      <c r="A1050" s="99"/>
    </row>
    <row r="1051" spans="1:28" x14ac:dyDescent="0.3">
      <c r="A1051" s="99"/>
    </row>
    <row r="1052" spans="1:28" x14ac:dyDescent="0.3">
      <c r="A1052" s="99"/>
    </row>
    <row r="1053" spans="1:28" x14ac:dyDescent="0.3">
      <c r="A1053" s="99"/>
    </row>
    <row r="1054" spans="1:28" x14ac:dyDescent="0.3">
      <c r="A1054" s="99"/>
    </row>
    <row r="1055" spans="1:28" x14ac:dyDescent="0.3">
      <c r="A1055" s="99"/>
    </row>
    <row r="1056" spans="1:28" x14ac:dyDescent="0.3">
      <c r="A1056" s="99"/>
    </row>
    <row r="1057" spans="1:9" x14ac:dyDescent="0.3">
      <c r="A1057" s="99"/>
    </row>
    <row r="1058" spans="1:9" x14ac:dyDescent="0.3">
      <c r="A1058" s="99"/>
    </row>
    <row r="1059" spans="1:9" x14ac:dyDescent="0.3">
      <c r="A1059" s="99"/>
      <c r="H1059" s="99"/>
      <c r="I1059" s="99"/>
    </row>
    <row r="1062" spans="1:9" x14ac:dyDescent="0.3">
      <c r="A1062" s="99"/>
    </row>
    <row r="1065" spans="1:9" x14ac:dyDescent="0.3">
      <c r="A1065" s="99"/>
    </row>
    <row r="1068" spans="1:9" x14ac:dyDescent="0.3">
      <c r="A1068" s="99"/>
    </row>
    <row r="1069" spans="1:9" x14ac:dyDescent="0.3">
      <c r="A1069" s="99"/>
    </row>
    <row r="1070" spans="1:9" x14ac:dyDescent="0.3">
      <c r="A1070" s="99"/>
    </row>
    <row r="1071" spans="1:9" x14ac:dyDescent="0.3">
      <c r="A1071" s="99"/>
    </row>
    <row r="1072" spans="1:9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77" spans="1:1" x14ac:dyDescent="0.3">
      <c r="A1077" s="99"/>
    </row>
    <row r="1078" spans="1:1" x14ac:dyDescent="0.3">
      <c r="A1078" s="99"/>
    </row>
    <row r="1079" spans="1:1" x14ac:dyDescent="0.3">
      <c r="A1079" s="99"/>
    </row>
    <row r="1080" spans="1:1" x14ac:dyDescent="0.3">
      <c r="A1080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5" spans="1:1" x14ac:dyDescent="0.3">
      <c r="A1085" s="99"/>
    </row>
    <row r="1086" spans="1:1" x14ac:dyDescent="0.3">
      <c r="A1086" s="99"/>
    </row>
    <row r="1087" spans="1:1" x14ac:dyDescent="0.3">
      <c r="A1087" s="99"/>
    </row>
    <row r="1088" spans="1:1" x14ac:dyDescent="0.3">
      <c r="A1088" s="99"/>
    </row>
    <row r="1089" spans="1:1" x14ac:dyDescent="0.3">
      <c r="A1089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3" spans="1:1" x14ac:dyDescent="0.3">
      <c r="A1093" s="99"/>
    </row>
    <row r="1094" spans="1:1" x14ac:dyDescent="0.3">
      <c r="A1094" s="99"/>
    </row>
    <row r="1095" spans="1:1" x14ac:dyDescent="0.3">
      <c r="A1095" s="99"/>
    </row>
    <row r="1096" spans="1:1" x14ac:dyDescent="0.3">
      <c r="A1096" s="99"/>
    </row>
    <row r="1097" spans="1:1" x14ac:dyDescent="0.3">
      <c r="A1097" s="99"/>
    </row>
    <row r="1098" spans="1:1" x14ac:dyDescent="0.3">
      <c r="A1098" s="99"/>
    </row>
    <row r="1099" spans="1:1" x14ac:dyDescent="0.3">
      <c r="A1099" s="99"/>
    </row>
    <row r="1100" spans="1:1" x14ac:dyDescent="0.3">
      <c r="A1100" s="99"/>
    </row>
    <row r="1101" spans="1:1" x14ac:dyDescent="0.3">
      <c r="A1101" s="99"/>
    </row>
    <row r="1102" spans="1:1" x14ac:dyDescent="0.3">
      <c r="A1102" s="99"/>
    </row>
    <row r="1107" spans="1:1" x14ac:dyDescent="0.3">
      <c r="A1107" s="99"/>
    </row>
    <row r="1108" spans="1:1" x14ac:dyDescent="0.3">
      <c r="A1108" s="99"/>
    </row>
    <row r="1111" spans="1:1" x14ac:dyDescent="0.3">
      <c r="A1111" s="99"/>
    </row>
    <row r="1113" spans="1:1" x14ac:dyDescent="0.3">
      <c r="A1113" s="99"/>
    </row>
    <row r="1115" spans="1:1" x14ac:dyDescent="0.3">
      <c r="A1115" s="99"/>
    </row>
    <row r="1117" spans="1:1" x14ac:dyDescent="0.3">
      <c r="A1117" s="99"/>
    </row>
    <row r="1120" spans="1:1" x14ac:dyDescent="0.3">
      <c r="A1120" s="99"/>
    </row>
    <row r="1121" spans="1:1" x14ac:dyDescent="0.3">
      <c r="A1121" s="99"/>
    </row>
    <row r="1122" spans="1:1" x14ac:dyDescent="0.3">
      <c r="A1122" s="99"/>
    </row>
    <row r="1123" spans="1:1" x14ac:dyDescent="0.3">
      <c r="A1123" s="99"/>
    </row>
    <row r="1124" spans="1:1" x14ac:dyDescent="0.3">
      <c r="A1124" s="99"/>
    </row>
    <row r="1125" spans="1:1" x14ac:dyDescent="0.3">
      <c r="A1125" s="99"/>
    </row>
    <row r="1126" spans="1:1" x14ac:dyDescent="0.3">
      <c r="A1126" s="99"/>
    </row>
    <row r="1127" spans="1:1" x14ac:dyDescent="0.3">
      <c r="A1127" s="99"/>
    </row>
  </sheetData>
  <customSheetViews>
    <customSheetView guid="{F562D92E-120C-4AE9-9663-89E64D41DC53}" scale="75" fitToPage="1" topLeftCell="P70">
      <selection activeCell="P37" sqref="P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B11">
      <selection activeCell="J50" sqref="J50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sqref="A1:R41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Y55">
      <selection activeCell="R8" sqref="R8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 topLeftCell="H19">
      <selection activeCell="L37" sqref="L37"/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44" max="65535" man="1"/>
        <brk id="187" max="65535" man="1"/>
        <brk id="229" max="65535" man="1"/>
        <brk id="268" max="65535" man="1"/>
        <brk id="324" max="65535" man="1"/>
        <brk id="370" max="65535" man="1"/>
        <brk id="452" max="65535" man="1"/>
        <brk id="490" max="65535" man="1"/>
        <brk id="527" max="65535" man="1"/>
        <brk id="575" max="65535" man="1"/>
        <brk id="636" max="65535" man="1"/>
        <brk id="695" max="65535" man="1"/>
        <brk id="802" max="65535" man="1"/>
        <brk id="849" max="65535" man="1"/>
        <brk id="908" max="65535" man="1"/>
        <brk id="951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2" orientation="landscape" r:id="rId13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syncVertical="1" syncRef="A1" transitionEvaluation="1" transitionEntry="1" codeName="Sheet12">
    <pageSetUpPr fitToPage="1"/>
  </sheetPr>
  <dimension ref="A1:BX1095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6.6640625" style="98" customWidth="1"/>
    <col min="5" max="5" width="0.66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0.66406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66406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40.25" style="98" customWidth="1"/>
    <col min="24" max="24" width="0.66406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0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9 OF "&amp;TEXT(Page_Num_2.3,"00")</f>
        <v>PAGE 9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AK9" s="190"/>
      <c r="AL9" s="99"/>
    </row>
    <row r="10" spans="1:40" x14ac:dyDescent="0.3">
      <c r="A10" s="134" t="str">
        <f>INPUT!B5</f>
        <v>6 Months Actual Ending August 31, 2024</v>
      </c>
      <c r="M10" s="99"/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K11" s="190"/>
      <c r="AL11" s="99"/>
    </row>
    <row r="12" spans="1:40" x14ac:dyDescent="0.3">
      <c r="A12" s="101"/>
      <c r="B12" s="101"/>
      <c r="C12" s="101"/>
      <c r="D12" s="101"/>
      <c r="E12" s="101"/>
      <c r="G12" s="101"/>
      <c r="H12" s="101"/>
      <c r="I12" s="101"/>
      <c r="J12" s="101"/>
      <c r="K12" s="100"/>
      <c r="L12" s="100"/>
      <c r="M12" s="100"/>
      <c r="N12" s="100"/>
      <c r="O12" s="100"/>
      <c r="P12" s="100"/>
      <c r="Q12" s="100"/>
      <c r="R12" s="100"/>
      <c r="AA12" s="99"/>
      <c r="AB12" s="99"/>
    </row>
    <row r="13" spans="1:40" ht="18" customHeight="1" x14ac:dyDescent="0.3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L13" s="102" t="s">
        <v>6</v>
      </c>
      <c r="M13" s="102"/>
      <c r="N13" s="102" t="s">
        <v>7</v>
      </c>
      <c r="O13" s="102"/>
      <c r="R13" s="102" t="s">
        <v>6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91"/>
      <c r="AH13" s="101"/>
      <c r="AI13" s="101"/>
      <c r="AJ13" s="101"/>
      <c r="AK13" s="191"/>
      <c r="AL13" s="101"/>
      <c r="AM13" s="101"/>
      <c r="AN13" s="101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Z15" s="102"/>
      <c r="AA15" s="102"/>
      <c r="AB15" s="102"/>
      <c r="AC15" s="102"/>
      <c r="AD15" s="102"/>
      <c r="AE15" s="102"/>
      <c r="AF15" s="102"/>
      <c r="AG15" s="151"/>
      <c r="AH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ht="17.100000000000001" customHeight="1" x14ac:dyDescent="0.3">
      <c r="A18" s="174"/>
      <c r="B18" s="174"/>
      <c r="C18" s="174"/>
      <c r="D18" s="174"/>
      <c r="E18" s="174"/>
      <c r="F18" s="174"/>
      <c r="G18" s="174"/>
      <c r="H18" s="257" t="s">
        <v>196</v>
      </c>
      <c r="I18" s="258"/>
      <c r="J18" s="257" t="s">
        <v>331</v>
      </c>
      <c r="K18" s="258"/>
      <c r="L18" s="258" t="s">
        <v>50</v>
      </c>
      <c r="M18" s="258"/>
      <c r="N18" s="258" t="s">
        <v>51</v>
      </c>
      <c r="O18" s="258"/>
      <c r="P18" s="258" t="s">
        <v>50</v>
      </c>
      <c r="Q18" s="258"/>
      <c r="R18" s="258" t="s">
        <v>50</v>
      </c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x14ac:dyDescent="0.3">
      <c r="A19" s="98">
        <v>1</v>
      </c>
      <c r="C19" s="124" t="s">
        <v>60</v>
      </c>
      <c r="D19" s="124" t="s">
        <v>61</v>
      </c>
      <c r="E19" s="99"/>
      <c r="F19" s="1"/>
      <c r="G19" s="1"/>
      <c r="H19" s="215"/>
      <c r="I19" s="215"/>
      <c r="J19" s="167" t="s">
        <v>328</v>
      </c>
      <c r="K19" s="215"/>
      <c r="L19" s="215"/>
      <c r="M19" s="215"/>
      <c r="N19" s="215"/>
      <c r="O19" s="215"/>
      <c r="P19" s="215"/>
      <c r="Q19" s="215"/>
      <c r="R19" s="215"/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2</v>
      </c>
      <c r="C20" s="124" t="s">
        <v>54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99"/>
      <c r="U20" s="99"/>
    </row>
    <row r="21" spans="1:40" x14ac:dyDescent="0.3">
      <c r="A21" s="98">
        <v>3</v>
      </c>
      <c r="C21" s="124" t="s">
        <v>62</v>
      </c>
      <c r="F21" s="172">
        <f>'[10]Forecast BILLS'!$B$69</f>
        <v>52</v>
      </c>
      <c r="G21" s="1"/>
      <c r="H21" s="147"/>
      <c r="I21" s="147"/>
      <c r="J21" s="181">
        <f>INPUT!D123</f>
        <v>500</v>
      </c>
      <c r="K21" s="180"/>
      <c r="L21" s="117">
        <f>ROUND(F21*J21,0)</f>
        <v>26000</v>
      </c>
      <c r="M21" s="106"/>
      <c r="N21" s="236">
        <f>ROUND((L21/$L$56)*100,1)</f>
        <v>0.2</v>
      </c>
      <c r="O21" s="175"/>
      <c r="P21" s="117"/>
      <c r="Q21" s="1"/>
      <c r="R21" s="117">
        <f>L21+P21</f>
        <v>26000</v>
      </c>
    </row>
    <row r="22" spans="1:40" x14ac:dyDescent="0.3">
      <c r="C22" s="99"/>
      <c r="F22" s="147"/>
      <c r="G22" s="1"/>
      <c r="H22" s="147"/>
      <c r="I22" s="147"/>
      <c r="J22" s="181"/>
      <c r="K22" s="180"/>
      <c r="L22" s="106"/>
      <c r="M22" s="106"/>
      <c r="N22" s="175"/>
      <c r="O22" s="175"/>
      <c r="P22" s="106"/>
      <c r="Q22" s="1"/>
      <c r="R22" s="106"/>
    </row>
    <row r="23" spans="1:40" x14ac:dyDescent="0.3">
      <c r="A23" s="98">
        <v>4</v>
      </c>
      <c r="C23" s="124" t="s">
        <v>63</v>
      </c>
      <c r="F23" s="147"/>
      <c r="G23" s="1"/>
      <c r="H23" s="147"/>
      <c r="I23" s="147"/>
      <c r="J23" s="227"/>
      <c r="K23" s="240"/>
      <c r="L23" s="106"/>
      <c r="M23" s="106"/>
      <c r="N23" s="175"/>
      <c r="O23" s="175"/>
      <c r="P23" s="106"/>
      <c r="Q23" s="106"/>
      <c r="R23" s="106"/>
      <c r="S23" s="110"/>
      <c r="V23" s="192"/>
      <c r="Y23" s="110"/>
      <c r="Z23" s="172"/>
      <c r="AA23" s="110"/>
      <c r="AB23" s="110"/>
      <c r="AC23" s="141"/>
      <c r="AD23" s="141"/>
      <c r="AE23" s="110"/>
      <c r="AF23" s="110"/>
      <c r="AI23" s="110"/>
      <c r="AJ23" s="110"/>
      <c r="AL23" s="110"/>
    </row>
    <row r="24" spans="1:40" x14ac:dyDescent="0.3">
      <c r="A24" s="98">
        <v>5</v>
      </c>
      <c r="C24" s="99" t="s">
        <v>64</v>
      </c>
      <c r="F24" s="147"/>
      <c r="G24" s="1"/>
      <c r="H24" s="172">
        <f>'[10]Forecast KW'!$C$70</f>
        <v>127759.45600000001</v>
      </c>
      <c r="I24" s="147"/>
      <c r="J24" s="181">
        <f>INPUT!D129</f>
        <v>10.23</v>
      </c>
      <c r="K24" s="180"/>
      <c r="L24" s="106">
        <f>ROUND(H24*J24,0)</f>
        <v>1306979</v>
      </c>
      <c r="M24" s="106"/>
      <c r="N24" s="175">
        <f>ROUND((L24/$L$56)*100,1)</f>
        <v>8.1</v>
      </c>
      <c r="O24" s="175"/>
      <c r="P24" s="106"/>
      <c r="Q24" s="106"/>
      <c r="R24" s="106">
        <f>L24+P24</f>
        <v>1306979</v>
      </c>
      <c r="S24" s="110"/>
      <c r="V24" s="192"/>
      <c r="Y24" s="192"/>
      <c r="Z24" s="217"/>
      <c r="AA24" s="192"/>
      <c r="AB24" s="192"/>
      <c r="AC24" s="192"/>
      <c r="AD24" s="192"/>
      <c r="AE24" s="192"/>
      <c r="AF24" s="192"/>
      <c r="AI24" s="192"/>
      <c r="AJ24" s="192"/>
      <c r="AK24" s="194"/>
      <c r="AL24" s="192"/>
      <c r="AM24" s="141"/>
      <c r="AN24" s="141"/>
    </row>
    <row r="25" spans="1:40" x14ac:dyDescent="0.3">
      <c r="A25" s="98">
        <v>6</v>
      </c>
      <c r="C25" s="99" t="s">
        <v>65</v>
      </c>
      <c r="F25" s="147"/>
      <c r="G25" s="1"/>
      <c r="H25" s="183">
        <f>'[10]Forecast KW'!$B$70</f>
        <v>5368.5169999999998</v>
      </c>
      <c r="I25" s="147"/>
      <c r="J25" s="181">
        <f>INPUT!D130</f>
        <v>1.55</v>
      </c>
      <c r="K25" s="180"/>
      <c r="L25" s="117">
        <f>ROUND(H25*J25,0)</f>
        <v>8321</v>
      </c>
      <c r="M25" s="106"/>
      <c r="N25" s="236">
        <f>ROUND((L25/$L$56)*100,1)</f>
        <v>0.1</v>
      </c>
      <c r="O25" s="175"/>
      <c r="P25" s="117"/>
      <c r="Q25" s="106"/>
      <c r="R25" s="117">
        <f>L25+P25</f>
        <v>8321</v>
      </c>
      <c r="S25" s="110"/>
      <c r="V25" s="172"/>
      <c r="Y25" s="172"/>
      <c r="Z25" s="217"/>
      <c r="AA25" s="110"/>
      <c r="AB25" s="110"/>
      <c r="AC25" s="141"/>
      <c r="AD25" s="141"/>
      <c r="AE25" s="110"/>
      <c r="AF25" s="110"/>
      <c r="AI25" s="110"/>
      <c r="AJ25" s="110"/>
      <c r="AL25" s="110"/>
      <c r="AM25" s="141"/>
      <c r="AN25" s="141"/>
    </row>
    <row r="26" spans="1:40" ht="20.100000000000001" customHeight="1" x14ac:dyDescent="0.3">
      <c r="A26" s="98">
        <v>7</v>
      </c>
      <c r="C26" s="124" t="s">
        <v>66</v>
      </c>
      <c r="F26" s="106"/>
      <c r="G26" s="1"/>
      <c r="H26" s="117">
        <f>SUM(H24:H25)</f>
        <v>133127.973</v>
      </c>
      <c r="I26" s="106"/>
      <c r="J26" s="136"/>
      <c r="K26" s="136"/>
      <c r="L26" s="117">
        <f>SUM(L24:L25)</f>
        <v>1315300</v>
      </c>
      <c r="M26" s="106"/>
      <c r="N26" s="236">
        <f>ROUND((L26/$L$56)*100,1)+0.1</f>
        <v>8.1999999999999993</v>
      </c>
      <c r="O26" s="175"/>
      <c r="P26" s="117"/>
      <c r="Q26" s="106"/>
      <c r="R26" s="117">
        <f>SUM(R24:R25)</f>
        <v>1315300</v>
      </c>
      <c r="S26" s="110"/>
      <c r="V26" s="192"/>
      <c r="Y26" s="192"/>
      <c r="Z26" s="217"/>
      <c r="AA26" s="192"/>
      <c r="AB26" s="192"/>
      <c r="AC26" s="192"/>
      <c r="AD26" s="192"/>
      <c r="AE26" s="192"/>
      <c r="AF26" s="192"/>
      <c r="AI26" s="192"/>
      <c r="AJ26" s="192"/>
      <c r="AK26" s="194"/>
      <c r="AL26" s="192"/>
      <c r="AM26" s="141"/>
      <c r="AN26" s="141"/>
    </row>
    <row r="27" spans="1:40" x14ac:dyDescent="0.3">
      <c r="C27" s="99"/>
      <c r="F27" s="106"/>
      <c r="G27" s="1"/>
      <c r="H27" s="106"/>
      <c r="I27" s="106"/>
      <c r="J27" s="136"/>
      <c r="K27" s="136"/>
      <c r="L27" s="106"/>
      <c r="M27" s="106"/>
      <c r="N27" s="175"/>
      <c r="O27" s="175"/>
      <c r="P27" s="106"/>
      <c r="Q27" s="106"/>
      <c r="R27" s="106"/>
      <c r="S27" s="110"/>
      <c r="V27" s="192"/>
      <c r="Y27" s="192"/>
      <c r="Z27" s="217"/>
      <c r="AA27" s="192"/>
      <c r="AB27" s="192"/>
      <c r="AC27" s="192"/>
      <c r="AD27" s="192"/>
      <c r="AE27" s="192"/>
      <c r="AF27" s="192"/>
      <c r="AI27" s="192"/>
      <c r="AJ27" s="192"/>
      <c r="AK27" s="194"/>
      <c r="AL27" s="192"/>
      <c r="AM27" s="141"/>
      <c r="AN27" s="141"/>
    </row>
    <row r="28" spans="1:40" x14ac:dyDescent="0.3">
      <c r="A28" s="98">
        <v>8</v>
      </c>
      <c r="C28" s="124" t="s">
        <v>371</v>
      </c>
      <c r="F28" s="106"/>
      <c r="G28" s="1"/>
      <c r="H28" s="106"/>
      <c r="I28" s="106"/>
      <c r="J28" s="136"/>
      <c r="K28" s="136"/>
      <c r="L28" s="106"/>
      <c r="M28" s="106"/>
      <c r="N28" s="175"/>
      <c r="O28" s="175"/>
      <c r="P28" s="106"/>
      <c r="Q28" s="106"/>
      <c r="R28" s="106"/>
      <c r="S28" s="110"/>
      <c r="T28" s="99"/>
      <c r="AA28" s="110"/>
      <c r="AB28" s="110"/>
      <c r="AC28" s="110"/>
      <c r="AD28" s="110"/>
      <c r="AI28" s="110"/>
      <c r="AJ28" s="110"/>
      <c r="AL28" s="110"/>
    </row>
    <row r="29" spans="1:40" x14ac:dyDescent="0.3">
      <c r="A29" s="98">
        <v>9</v>
      </c>
      <c r="C29" s="99" t="s">
        <v>383</v>
      </c>
      <c r="F29" s="106"/>
      <c r="G29" s="1"/>
      <c r="H29" s="172">
        <f>'[10]Forecast KWH'!$C$68</f>
        <v>16379783</v>
      </c>
      <c r="I29" s="106"/>
      <c r="J29" s="184">
        <f>PRO_SUM_TT_ON_KWH</f>
        <v>7.3557999999999998E-2</v>
      </c>
      <c r="K29" s="185"/>
      <c r="L29" s="106">
        <f>ROUND((H29*J29),0)</f>
        <v>1204864</v>
      </c>
      <c r="M29" s="106"/>
      <c r="N29" s="175">
        <f>ROUND((L29/$L$56)*100,1)</f>
        <v>7.4</v>
      </c>
      <c r="O29" s="175"/>
      <c r="P29" s="106"/>
      <c r="Q29" s="106"/>
      <c r="R29" s="106">
        <f>L29+P29</f>
        <v>1204864</v>
      </c>
      <c r="S29" s="110"/>
      <c r="T29" s="99"/>
      <c r="AA29" s="110"/>
      <c r="AB29" s="110"/>
      <c r="AC29" s="110"/>
      <c r="AD29" s="110"/>
      <c r="AI29" s="110"/>
      <c r="AJ29" s="110"/>
      <c r="AL29" s="110"/>
    </row>
    <row r="30" spans="1:40" x14ac:dyDescent="0.3">
      <c r="A30" s="98">
        <v>10</v>
      </c>
      <c r="C30" s="99" t="s">
        <v>384</v>
      </c>
      <c r="F30" s="117"/>
      <c r="G30" s="1"/>
      <c r="H30" s="183">
        <f>'[10]Forecast KWH'!$H$68</f>
        <v>45833010.049999997</v>
      </c>
      <c r="I30" s="147"/>
      <c r="J30" s="184">
        <f>PRO_TT_OFF</f>
        <v>6.2296999999999998E-2</v>
      </c>
      <c r="K30" s="185"/>
      <c r="L30" s="117">
        <f>ROUND((H30*J30),0)</f>
        <v>2855259</v>
      </c>
      <c r="M30" s="106"/>
      <c r="N30" s="236">
        <f>ROUND((L30/$L$56)*100,1)</f>
        <v>17.600000000000001</v>
      </c>
      <c r="O30" s="175"/>
      <c r="P30" s="117"/>
      <c r="Q30" s="106"/>
      <c r="R30" s="117">
        <f>L30+P30</f>
        <v>2855259</v>
      </c>
    </row>
    <row r="31" spans="1:40" x14ac:dyDescent="0.3">
      <c r="A31" s="98">
        <v>11</v>
      </c>
      <c r="C31" s="124" t="s">
        <v>142</v>
      </c>
      <c r="F31" s="106"/>
      <c r="G31" s="1"/>
      <c r="H31" s="117">
        <f>SUM(H29:H30)</f>
        <v>62212793.049999997</v>
      </c>
      <c r="I31" s="106"/>
      <c r="J31" s="136"/>
      <c r="K31" s="136"/>
      <c r="L31" s="117">
        <f>SUM(L29:L30)</f>
        <v>4060123</v>
      </c>
      <c r="M31" s="106"/>
      <c r="N31" s="236">
        <f>ROUND((L31/$L$56)*100,1)+0.1</f>
        <v>25.200000000000003</v>
      </c>
      <c r="O31" s="175"/>
      <c r="P31" s="117"/>
      <c r="Q31" s="106"/>
      <c r="R31" s="117">
        <f>SUM(R29:R30)</f>
        <v>4060123</v>
      </c>
    </row>
    <row r="32" spans="1:40" ht="20.100000000000001" customHeight="1" x14ac:dyDescent="0.3">
      <c r="A32" s="98">
        <v>12</v>
      </c>
      <c r="C32" s="124" t="s">
        <v>56</v>
      </c>
      <c r="F32" s="112">
        <f>F21</f>
        <v>52</v>
      </c>
      <c r="G32" s="1"/>
      <c r="H32" s="112">
        <f>H31</f>
        <v>62212793.049999997</v>
      </c>
      <c r="I32" s="106"/>
      <c r="J32" s="171"/>
      <c r="K32" s="171"/>
      <c r="L32" s="112">
        <f>L21+L26+L31</f>
        <v>5401423</v>
      </c>
      <c r="M32" s="106"/>
      <c r="N32" s="236">
        <f>ROUND((L32/$L$56)*100,1)-0.1</f>
        <v>33.299999999999997</v>
      </c>
      <c r="O32" s="175"/>
      <c r="P32" s="112"/>
      <c r="Q32" s="106"/>
      <c r="R32" s="112">
        <f>R21+R26+R31</f>
        <v>5401423</v>
      </c>
    </row>
    <row r="33" spans="1:43" x14ac:dyDescent="0.3">
      <c r="F33" s="147"/>
      <c r="G33" s="1"/>
      <c r="H33" s="147"/>
      <c r="I33" s="147"/>
      <c r="J33" s="171"/>
      <c r="K33" s="171"/>
      <c r="L33" s="106"/>
      <c r="M33" s="106"/>
      <c r="N33" s="175"/>
      <c r="O33" s="175"/>
      <c r="P33" s="106"/>
      <c r="Q33" s="106"/>
      <c r="R33" s="106"/>
    </row>
    <row r="34" spans="1:43" x14ac:dyDescent="0.3">
      <c r="A34" s="98">
        <v>13</v>
      </c>
      <c r="C34" s="124" t="s">
        <v>57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43" x14ac:dyDescent="0.3">
      <c r="A35" s="98">
        <v>14</v>
      </c>
      <c r="C35" s="124" t="s">
        <v>62</v>
      </c>
      <c r="F35" s="172">
        <f>'[10]Forecast BILLS'!$C$69</f>
        <v>104</v>
      </c>
      <c r="G35" s="1"/>
      <c r="H35" s="147"/>
      <c r="I35" s="147"/>
      <c r="J35" s="180">
        <f>J21</f>
        <v>500</v>
      </c>
      <c r="K35" s="180"/>
      <c r="L35" s="117">
        <f>ROUND(F35*J35,0)</f>
        <v>52000</v>
      </c>
      <c r="M35" s="106"/>
      <c r="N35" s="236">
        <f>ROUND((L35/L$56)*100,1)</f>
        <v>0.3</v>
      </c>
      <c r="O35" s="175"/>
      <c r="P35" s="4"/>
      <c r="Q35" s="1"/>
      <c r="R35" s="117">
        <f>L35+P35</f>
        <v>52000</v>
      </c>
    </row>
    <row r="36" spans="1:43" x14ac:dyDescent="0.3">
      <c r="C36" s="99"/>
      <c r="F36" s="147"/>
      <c r="G36" s="1"/>
      <c r="H36" s="147"/>
      <c r="I36" s="147"/>
      <c r="J36" s="181"/>
      <c r="K36" s="180"/>
      <c r="L36" s="106"/>
      <c r="M36" s="106"/>
      <c r="N36" s="175"/>
      <c r="O36" s="175"/>
      <c r="P36" s="1"/>
      <c r="Q36" s="1"/>
      <c r="R36" s="106"/>
    </row>
    <row r="37" spans="1:43" x14ac:dyDescent="0.3">
      <c r="A37" s="98">
        <v>15</v>
      </c>
      <c r="C37" s="124" t="s">
        <v>63</v>
      </c>
      <c r="F37" s="147"/>
      <c r="G37" s="1"/>
      <c r="H37" s="147"/>
      <c r="I37" s="147"/>
      <c r="J37" s="227"/>
      <c r="K37" s="240"/>
      <c r="L37" s="106"/>
      <c r="M37" s="106"/>
      <c r="N37" s="175"/>
      <c r="O37" s="175"/>
      <c r="P37" s="106"/>
      <c r="Q37" s="106"/>
      <c r="R37" s="106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149"/>
      <c r="AH37" s="97"/>
      <c r="AI37" s="97"/>
      <c r="AJ37" s="97"/>
      <c r="AK37" s="149"/>
      <c r="AL37" s="97"/>
      <c r="AM37" s="97"/>
      <c r="AN37" s="97"/>
      <c r="AO37" s="97"/>
      <c r="AP37" s="97"/>
      <c r="AQ37" s="149"/>
    </row>
    <row r="38" spans="1:43" x14ac:dyDescent="0.3">
      <c r="A38" s="98">
        <v>16</v>
      </c>
      <c r="C38" s="99" t="s">
        <v>64</v>
      </c>
      <c r="F38" s="147"/>
      <c r="G38" s="1"/>
      <c r="H38" s="172">
        <f>'[10]Forecast KW'!$E$70</f>
        <v>256717.67600000001</v>
      </c>
      <c r="I38" s="147"/>
      <c r="J38" s="181">
        <f>INPUT!D131</f>
        <v>8.39</v>
      </c>
      <c r="K38" s="180"/>
      <c r="L38" s="106">
        <f>ROUND(H38*J38,0)</f>
        <v>2153861</v>
      </c>
      <c r="M38" s="106"/>
      <c r="N38" s="175">
        <f>ROUND((L38/$L$56)*100,1)</f>
        <v>13.3</v>
      </c>
      <c r="O38" s="175"/>
      <c r="P38" s="106"/>
      <c r="Q38" s="106"/>
      <c r="R38" s="106">
        <f>L38+P38</f>
        <v>2153861</v>
      </c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149"/>
      <c r="AH38" s="97"/>
      <c r="AI38" s="97"/>
      <c r="AJ38" s="97"/>
      <c r="AK38" s="149"/>
      <c r="AL38" s="97"/>
      <c r="AM38" s="97"/>
      <c r="AN38" s="97"/>
      <c r="AO38" s="97"/>
      <c r="AP38" s="97"/>
      <c r="AQ38" s="149"/>
    </row>
    <row r="39" spans="1:43" x14ac:dyDescent="0.3">
      <c r="A39" s="98">
        <v>17</v>
      </c>
      <c r="C39" s="99" t="s">
        <v>65</v>
      </c>
      <c r="F39" s="147"/>
      <c r="G39" s="1"/>
      <c r="H39" s="183">
        <f>'[10]Forecast KW'!$D$70</f>
        <v>8522.7340000000004</v>
      </c>
      <c r="I39" s="147"/>
      <c r="J39" s="181">
        <f>INPUT!D132</f>
        <v>1.55</v>
      </c>
      <c r="K39" s="180"/>
      <c r="L39" s="117">
        <f>ROUND(H39*J39,0)</f>
        <v>13210</v>
      </c>
      <c r="M39" s="106"/>
      <c r="N39" s="236">
        <f>ROUND((L39/$L$56)*100,1)</f>
        <v>0.1</v>
      </c>
      <c r="O39" s="175"/>
      <c r="P39" s="117"/>
      <c r="Q39" s="106"/>
      <c r="R39" s="117">
        <f>L39+P39</f>
        <v>13210</v>
      </c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149"/>
      <c r="AH39" s="97"/>
      <c r="AI39" s="97"/>
      <c r="AJ39" s="97"/>
      <c r="AK39" s="149"/>
      <c r="AL39" s="97"/>
      <c r="AM39" s="97"/>
      <c r="AN39" s="97"/>
      <c r="AO39" s="97"/>
      <c r="AP39" s="97"/>
      <c r="AQ39" s="149"/>
    </row>
    <row r="40" spans="1:43" ht="20.100000000000001" customHeight="1" x14ac:dyDescent="0.3">
      <c r="A40" s="98">
        <v>18</v>
      </c>
      <c r="C40" s="124" t="s">
        <v>66</v>
      </c>
      <c r="F40" s="106"/>
      <c r="G40" s="1"/>
      <c r="H40" s="117">
        <f>SUM(H38:H39)</f>
        <v>265240.41000000003</v>
      </c>
      <c r="I40" s="106"/>
      <c r="J40" s="198"/>
      <c r="K40" s="136"/>
      <c r="L40" s="117">
        <f>L38+L39</f>
        <v>2167071</v>
      </c>
      <c r="M40" s="106"/>
      <c r="N40" s="236">
        <f>ROUND((L40/$L$56)*100,1)</f>
        <v>13.4</v>
      </c>
      <c r="O40" s="175"/>
      <c r="P40" s="117"/>
      <c r="Q40" s="106"/>
      <c r="R40" s="117">
        <f>L40+P40</f>
        <v>2167071</v>
      </c>
      <c r="AO40" s="99"/>
      <c r="AP40" s="99"/>
    </row>
    <row r="41" spans="1:43" x14ac:dyDescent="0.3">
      <c r="C41" s="99"/>
      <c r="F41" s="106"/>
      <c r="G41" s="1"/>
      <c r="H41" s="106"/>
      <c r="I41" s="106"/>
      <c r="J41" s="198"/>
      <c r="K41" s="136"/>
      <c r="L41" s="106"/>
      <c r="M41" s="106"/>
      <c r="N41" s="175"/>
      <c r="O41" s="175"/>
      <c r="P41" s="106"/>
      <c r="Q41" s="106"/>
      <c r="R41" s="106"/>
      <c r="AO41" s="99"/>
      <c r="AP41" s="99"/>
    </row>
    <row r="42" spans="1:43" x14ac:dyDescent="0.3">
      <c r="A42" s="98">
        <v>19</v>
      </c>
      <c r="C42" s="124" t="s">
        <v>371</v>
      </c>
      <c r="F42" s="106"/>
      <c r="G42" s="1"/>
      <c r="H42" s="106"/>
      <c r="I42" s="106"/>
      <c r="J42" s="198"/>
      <c r="K42" s="136"/>
      <c r="L42" s="106"/>
      <c r="M42" s="106"/>
      <c r="N42" s="175"/>
      <c r="O42" s="175"/>
      <c r="P42" s="106"/>
      <c r="Q42" s="106"/>
      <c r="R42" s="106"/>
      <c r="T42" s="99"/>
    </row>
    <row r="43" spans="1:43" x14ac:dyDescent="0.3">
      <c r="A43" s="98">
        <v>20</v>
      </c>
      <c r="C43" s="99" t="s">
        <v>383</v>
      </c>
      <c r="F43" s="106"/>
      <c r="G43" s="1"/>
      <c r="H43" s="172">
        <f>'[10]Forecast KWH'!$E$68</f>
        <v>32690473</v>
      </c>
      <c r="I43" s="106"/>
      <c r="J43" s="184">
        <f>PRO_WIN_TT_ON_KWH</f>
        <v>7.0735999999999993E-2</v>
      </c>
      <c r="K43" s="136"/>
      <c r="L43" s="106">
        <f>ROUND((H43*J43),0)</f>
        <v>2312393</v>
      </c>
      <c r="M43" s="106"/>
      <c r="N43" s="175">
        <f>ROUND((L43/$L$56)*100,1)</f>
        <v>14.3</v>
      </c>
      <c r="O43" s="175"/>
      <c r="P43" s="106"/>
      <c r="Q43" s="106"/>
      <c r="R43" s="106">
        <f>L43+P43</f>
        <v>2312393</v>
      </c>
      <c r="T43" s="99"/>
    </row>
    <row r="44" spans="1:43" x14ac:dyDescent="0.3">
      <c r="A44" s="98">
        <v>21</v>
      </c>
      <c r="C44" s="99" t="s">
        <v>384</v>
      </c>
      <c r="F44" s="117"/>
      <c r="G44" s="1"/>
      <c r="H44" s="183">
        <f>'[10]Forecast KWH'!$I$68</f>
        <v>90640752.660000011</v>
      </c>
      <c r="I44" s="147"/>
      <c r="J44" s="184">
        <f>PRO_TT_OFF</f>
        <v>6.2296999999999998E-2</v>
      </c>
      <c r="K44" s="185"/>
      <c r="L44" s="117">
        <f>ROUND((H44*J44),0)</f>
        <v>5646647</v>
      </c>
      <c r="M44" s="106"/>
      <c r="N44" s="236">
        <f>ROUND((L44/$L$56)*100,1)</f>
        <v>34.9</v>
      </c>
      <c r="O44" s="175"/>
      <c r="P44" s="117"/>
      <c r="Q44" s="106"/>
      <c r="R44" s="117">
        <f>L44+P44</f>
        <v>5646647</v>
      </c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149"/>
      <c r="AH44" s="97"/>
      <c r="AI44" s="97"/>
      <c r="AJ44" s="97"/>
      <c r="AK44" s="149"/>
      <c r="AL44" s="97"/>
      <c r="AM44" s="97"/>
      <c r="AN44" s="97"/>
      <c r="AO44" s="97"/>
      <c r="AP44" s="97"/>
      <c r="AQ44" s="149"/>
    </row>
    <row r="45" spans="1:43" x14ac:dyDescent="0.3">
      <c r="A45" s="98">
        <v>22</v>
      </c>
      <c r="C45" s="124" t="s">
        <v>142</v>
      </c>
      <c r="F45" s="106"/>
      <c r="G45" s="1"/>
      <c r="H45" s="117">
        <f>SUM(H43:H44)</f>
        <v>123331225.66000001</v>
      </c>
      <c r="I45" s="106"/>
      <c r="J45" s="136"/>
      <c r="K45" s="136"/>
      <c r="L45" s="117">
        <f>SUM(L43:L44)</f>
        <v>7959040</v>
      </c>
      <c r="M45" s="106"/>
      <c r="N45" s="236">
        <f>ROUND((L45/$L$56)*100,1)</f>
        <v>49.2</v>
      </c>
      <c r="O45" s="175"/>
      <c r="P45" s="117"/>
      <c r="Q45" s="106"/>
      <c r="R45" s="117">
        <f>SUM(R43:R44)</f>
        <v>7959040</v>
      </c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149"/>
      <c r="AH45" s="97"/>
      <c r="AI45" s="97"/>
      <c r="AJ45" s="97"/>
      <c r="AK45" s="149"/>
      <c r="AL45" s="97"/>
      <c r="AM45" s="97"/>
      <c r="AN45" s="97"/>
      <c r="AO45" s="97"/>
      <c r="AP45" s="97"/>
      <c r="AQ45" s="149"/>
    </row>
    <row r="46" spans="1:43" ht="20.100000000000001" customHeight="1" x14ac:dyDescent="0.3">
      <c r="A46" s="98">
        <v>23</v>
      </c>
      <c r="C46" s="124" t="s">
        <v>58</v>
      </c>
      <c r="F46" s="112">
        <f>F35</f>
        <v>104</v>
      </c>
      <c r="G46" s="1"/>
      <c r="H46" s="112">
        <f>H45</f>
        <v>123331225.66000001</v>
      </c>
      <c r="I46" s="106"/>
      <c r="J46" s="171"/>
      <c r="K46" s="171"/>
      <c r="L46" s="112">
        <f>L35+L40+L45</f>
        <v>10178111</v>
      </c>
      <c r="M46" s="106"/>
      <c r="N46" s="236">
        <f>ROUND((L46/$L$56)*100,1)</f>
        <v>62.9</v>
      </c>
      <c r="O46" s="175"/>
      <c r="P46" s="112"/>
      <c r="Q46" s="106"/>
      <c r="R46" s="112">
        <f>R35+R40+R45</f>
        <v>10178111</v>
      </c>
      <c r="AC46" s="102"/>
      <c r="AD46" s="102"/>
      <c r="AE46" s="102"/>
      <c r="AF46" s="102"/>
      <c r="AG46" s="151"/>
      <c r="AH46" s="102"/>
      <c r="AI46" s="102"/>
      <c r="AJ46" s="102"/>
      <c r="AK46" s="151"/>
      <c r="AL46" s="102"/>
      <c r="AO46" s="102"/>
      <c r="AP46" s="102"/>
      <c r="AQ46" s="151"/>
    </row>
    <row r="47" spans="1:43" ht="20.100000000000001" customHeight="1" x14ac:dyDescent="0.3">
      <c r="A47" s="98">
        <v>24</v>
      </c>
      <c r="C47" s="169" t="s">
        <v>450</v>
      </c>
      <c r="F47" s="112">
        <f>F32+F46</f>
        <v>156</v>
      </c>
      <c r="G47" s="1"/>
      <c r="H47" s="112">
        <f>H46+H32</f>
        <v>185544018.71000001</v>
      </c>
      <c r="I47" s="106"/>
      <c r="J47" s="171"/>
      <c r="K47" s="171"/>
      <c r="L47" s="112">
        <f>L46+L32</f>
        <v>15579534</v>
      </c>
      <c r="M47" s="106"/>
      <c r="N47" s="193">
        <f>ROUND((L47/L$56)*100,1)</f>
        <v>96.2</v>
      </c>
      <c r="O47" s="175"/>
      <c r="P47" s="112"/>
      <c r="Q47" s="106"/>
      <c r="R47" s="112">
        <f>R46+R32</f>
        <v>15579534</v>
      </c>
      <c r="AC47" s="102"/>
      <c r="AD47" s="102"/>
      <c r="AE47" s="102"/>
      <c r="AF47" s="102"/>
      <c r="AG47" s="151"/>
      <c r="AH47" s="102"/>
      <c r="AI47" s="102"/>
      <c r="AJ47" s="102"/>
      <c r="AK47" s="151"/>
      <c r="AL47" s="102"/>
      <c r="AO47" s="102"/>
      <c r="AP47" s="102"/>
      <c r="AQ47" s="151"/>
    </row>
    <row r="48" spans="1:43" ht="15.75" customHeight="1" x14ac:dyDescent="0.3">
      <c r="C48" s="99"/>
      <c r="F48" s="106"/>
      <c r="G48" s="1"/>
      <c r="H48" s="106"/>
      <c r="I48" s="106"/>
      <c r="J48" s="171"/>
      <c r="K48" s="171"/>
      <c r="L48" s="106"/>
      <c r="M48" s="106"/>
      <c r="N48" s="175"/>
      <c r="O48" s="175"/>
      <c r="P48" s="106"/>
      <c r="Q48" s="106"/>
      <c r="R48" s="106"/>
      <c r="AC48" s="102"/>
      <c r="AD48" s="102"/>
      <c r="AE48" s="102"/>
      <c r="AF48" s="102"/>
      <c r="AG48" s="151"/>
      <c r="AH48" s="102"/>
      <c r="AI48" s="102"/>
      <c r="AJ48" s="102"/>
      <c r="AK48" s="151"/>
      <c r="AL48" s="102"/>
      <c r="AO48" s="102"/>
      <c r="AP48" s="102"/>
      <c r="AQ48" s="151"/>
    </row>
    <row r="49" spans="1:76" ht="15.75" customHeight="1" x14ac:dyDescent="0.3">
      <c r="A49" s="98">
        <v>25</v>
      </c>
      <c r="C49" s="124" t="s">
        <v>428</v>
      </c>
      <c r="F49" s="106"/>
      <c r="G49" s="1"/>
      <c r="H49" s="106"/>
      <c r="I49" s="106"/>
      <c r="J49" s="171"/>
      <c r="K49" s="171"/>
      <c r="L49" s="106"/>
      <c r="M49" s="106"/>
      <c r="N49" s="175"/>
      <c r="O49" s="175"/>
      <c r="P49" s="106"/>
      <c r="Q49" s="106"/>
      <c r="R49" s="106"/>
      <c r="AC49" s="102"/>
      <c r="AD49" s="102"/>
      <c r="AE49" s="102"/>
      <c r="AF49" s="102"/>
      <c r="AG49" s="151"/>
      <c r="AH49" s="102"/>
      <c r="AI49" s="102"/>
      <c r="AJ49" s="102"/>
      <c r="AK49" s="151"/>
      <c r="AL49" s="102"/>
      <c r="AO49" s="102"/>
      <c r="AP49" s="102"/>
      <c r="AQ49" s="151"/>
    </row>
    <row r="50" spans="1:76" ht="15.75" customHeight="1" x14ac:dyDescent="0.3">
      <c r="A50" s="98">
        <v>26</v>
      </c>
      <c r="C50" s="176" t="str">
        <f>DSMR_Name</f>
        <v>DEMAND SIDE MANAGEMENT RIDER (DSMR)</v>
      </c>
      <c r="F50" s="106"/>
      <c r="G50" s="1"/>
      <c r="H50" s="106"/>
      <c r="I50" s="106"/>
      <c r="J50" s="189">
        <f>PRO_DSM_TRANS</f>
        <v>5.1400000000000003E-4</v>
      </c>
      <c r="K50" s="171"/>
      <c r="L50" s="106">
        <f>ROUND($H$47*J50,0)</f>
        <v>95370</v>
      </c>
      <c r="M50" s="106"/>
      <c r="N50" s="154">
        <f>ROUND((L50/L$56)*100,1)</f>
        <v>0.6</v>
      </c>
      <c r="O50" s="175"/>
      <c r="P50" s="106"/>
      <c r="Q50" s="106"/>
      <c r="R50" s="106">
        <f>L50+P50</f>
        <v>95370</v>
      </c>
      <c r="AC50" s="102"/>
      <c r="AD50" s="102"/>
      <c r="AE50" s="102"/>
      <c r="AF50" s="102"/>
      <c r="AG50" s="151"/>
      <c r="AH50" s="102"/>
      <c r="AI50" s="102"/>
      <c r="AJ50" s="102"/>
      <c r="AK50" s="151"/>
      <c r="AL50" s="102"/>
      <c r="AO50" s="102"/>
      <c r="AP50" s="102"/>
      <c r="AQ50" s="151"/>
    </row>
    <row r="51" spans="1:76" ht="15.75" customHeight="1" x14ac:dyDescent="0.3">
      <c r="A51" s="98">
        <v>27</v>
      </c>
      <c r="C51" s="176" t="str">
        <f>ESM_Name</f>
        <v>ENVIRONMENTAL SURCHARGE MECHANISM RIDER (ESM)</v>
      </c>
      <c r="F51" s="106"/>
      <c r="G51" s="1"/>
      <c r="H51" s="106"/>
      <c r="I51" s="106"/>
      <c r="J51" s="184">
        <f>PRO_ESM_NONRES</f>
        <v>5.3681872802409589E-3</v>
      </c>
      <c r="K51" s="171"/>
      <c r="L51" s="106">
        <f>ROUND((R47-(PRO_BASE_FUEL*H47)+R50+R53)*J51,0)</f>
        <v>52965</v>
      </c>
      <c r="M51" s="106"/>
      <c r="N51" s="154">
        <f>ROUND((L51/L$56)*100,1)</f>
        <v>0.3</v>
      </c>
      <c r="O51" s="175"/>
      <c r="P51" s="106"/>
      <c r="Q51" s="106"/>
      <c r="R51" s="106">
        <f>L51+P51</f>
        <v>52965</v>
      </c>
      <c r="AC51" s="102"/>
      <c r="AD51" s="102"/>
      <c r="AE51" s="102"/>
      <c r="AF51" s="102"/>
      <c r="AG51" s="151"/>
      <c r="AH51" s="102"/>
      <c r="AI51" s="102"/>
      <c r="AJ51" s="102"/>
      <c r="AK51" s="151"/>
      <c r="AL51" s="102"/>
      <c r="AO51" s="102"/>
      <c r="AP51" s="102"/>
      <c r="AQ51" s="151"/>
    </row>
    <row r="52" spans="1:76" ht="15.75" customHeight="1" x14ac:dyDescent="0.3">
      <c r="A52" s="98">
        <v>28</v>
      </c>
      <c r="C52" s="176" t="str">
        <f>FAC_Name</f>
        <v>FUEL ADJUSTMENT CLAUSE (FAC)</v>
      </c>
      <c r="F52" s="106"/>
      <c r="G52" s="1"/>
      <c r="H52" s="106"/>
      <c r="I52" s="106"/>
      <c r="J52" s="189">
        <f>PRO_FAC</f>
        <v>3.4872127999999998E-3</v>
      </c>
      <c r="K52" s="171"/>
      <c r="L52" s="106"/>
      <c r="M52" s="106"/>
      <c r="N52" s="154"/>
      <c r="O52" s="175"/>
      <c r="P52" s="106">
        <f>ROUND(H47*PRO_FAC,0)</f>
        <v>647031</v>
      </c>
      <c r="Q52" s="106"/>
      <c r="R52" s="106">
        <f>L52+P52</f>
        <v>647031</v>
      </c>
      <c r="AC52" s="102"/>
      <c r="AD52" s="102"/>
      <c r="AE52" s="102"/>
      <c r="AF52" s="102"/>
      <c r="AG52" s="151"/>
      <c r="AH52" s="102"/>
      <c r="AI52" s="102"/>
      <c r="AJ52" s="102"/>
      <c r="AK52" s="151"/>
      <c r="AL52" s="102"/>
      <c r="AO52" s="102"/>
      <c r="AP52" s="102"/>
      <c r="AQ52" s="151"/>
    </row>
    <row r="53" spans="1:76" ht="15.75" customHeight="1" x14ac:dyDescent="0.3">
      <c r="A53" s="98">
        <v>29</v>
      </c>
      <c r="C53" s="176" t="str">
        <f>PSM_Name</f>
        <v>PROFIT SHARING MECHANISM (PSM)</v>
      </c>
      <c r="F53" s="106"/>
      <c r="G53" s="1"/>
      <c r="H53" s="106"/>
      <c r="I53" s="106"/>
      <c r="J53" s="189">
        <f>PRO_PSM</f>
        <v>2.4750000000000002E-3</v>
      </c>
      <c r="K53" s="171"/>
      <c r="L53" s="117">
        <f>ROUND(H47*PRO_PSM,0)</f>
        <v>459221</v>
      </c>
      <c r="M53" s="106"/>
      <c r="N53" s="156">
        <f>ROUND((L53/L$56)*100,1)</f>
        <v>2.8</v>
      </c>
      <c r="O53" s="175"/>
      <c r="P53" s="117"/>
      <c r="Q53" s="106"/>
      <c r="R53" s="117">
        <f>L53+P53</f>
        <v>459221</v>
      </c>
      <c r="AC53" s="102"/>
      <c r="AD53" s="102"/>
      <c r="AE53" s="102"/>
      <c r="AF53" s="102"/>
      <c r="AG53" s="151"/>
      <c r="AH53" s="102"/>
      <c r="AI53" s="102"/>
      <c r="AJ53" s="102"/>
      <c r="AK53" s="151"/>
      <c r="AL53" s="102"/>
      <c r="AO53" s="102"/>
      <c r="AP53" s="102"/>
      <c r="AQ53" s="151"/>
    </row>
    <row r="54" spans="1:76" ht="20.100000000000001" customHeight="1" x14ac:dyDescent="0.3">
      <c r="A54" s="98">
        <v>30</v>
      </c>
      <c r="C54" s="124" t="s">
        <v>433</v>
      </c>
      <c r="F54" s="117"/>
      <c r="G54" s="1"/>
      <c r="H54" s="117"/>
      <c r="I54" s="106"/>
      <c r="J54" s="171"/>
      <c r="K54" s="171"/>
      <c r="L54" s="112">
        <f>SUM(L50:L53)</f>
        <v>607556</v>
      </c>
      <c r="M54" s="106"/>
      <c r="N54" s="158">
        <f>ROUND((L54/L$56)*100,1)</f>
        <v>3.8</v>
      </c>
      <c r="O54" s="175"/>
      <c r="P54" s="112">
        <f>SUM(P50:P53)</f>
        <v>647031</v>
      </c>
      <c r="Q54" s="106"/>
      <c r="R54" s="112">
        <f>SUM(R50:R53)</f>
        <v>1254587</v>
      </c>
      <c r="AC54" s="102"/>
      <c r="AD54" s="102"/>
      <c r="AE54" s="102"/>
      <c r="AF54" s="102"/>
      <c r="AG54" s="151"/>
      <c r="AH54" s="102"/>
      <c r="AI54" s="102"/>
      <c r="AJ54" s="102"/>
      <c r="AK54" s="151"/>
      <c r="AL54" s="102"/>
      <c r="AO54" s="102"/>
      <c r="AP54" s="102"/>
      <c r="AQ54" s="151"/>
    </row>
    <row r="55" spans="1:76" x14ac:dyDescent="0.3">
      <c r="C55" s="99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T55" s="102"/>
      <c r="V55" s="102"/>
      <c r="W55" s="102"/>
      <c r="X55" s="102"/>
      <c r="Y55" s="102"/>
      <c r="AA55" s="102"/>
      <c r="AB55" s="102"/>
      <c r="AC55" s="102"/>
      <c r="AD55" s="102"/>
      <c r="AE55" s="102"/>
      <c r="AF55" s="102"/>
      <c r="AG55" s="151"/>
      <c r="AH55" s="102"/>
      <c r="AI55" s="102"/>
      <c r="AJ55" s="102"/>
      <c r="AK55" s="151"/>
      <c r="AL55" s="102"/>
      <c r="AM55" s="102"/>
      <c r="AN55" s="102"/>
      <c r="AO55" s="102"/>
      <c r="AP55" s="102"/>
      <c r="AQ55" s="151"/>
      <c r="AS55" s="110"/>
      <c r="AT55" s="110"/>
      <c r="AU55" s="141"/>
      <c r="BX55" s="220"/>
    </row>
    <row r="56" spans="1:76" ht="20.100000000000001" customHeight="1" thickBot="1" x14ac:dyDescent="0.35">
      <c r="A56" s="98">
        <v>31</v>
      </c>
      <c r="C56" s="169" t="s">
        <v>451</v>
      </c>
      <c r="F56" s="120">
        <f>F32+F46</f>
        <v>156</v>
      </c>
      <c r="G56" s="1"/>
      <c r="H56" s="120">
        <f>H32+H46</f>
        <v>185544018.71000001</v>
      </c>
      <c r="I56" s="106"/>
      <c r="J56" s="1"/>
      <c r="K56" s="1"/>
      <c r="L56" s="120">
        <f>L54+L47</f>
        <v>16187090</v>
      </c>
      <c r="M56" s="106"/>
      <c r="N56" s="197">
        <v>100</v>
      </c>
      <c r="O56" s="175"/>
      <c r="P56" s="120">
        <f>P54+P47</f>
        <v>647031</v>
      </c>
      <c r="Q56" s="147"/>
      <c r="R56" s="120">
        <f>R54+R47</f>
        <v>16834121</v>
      </c>
      <c r="V56" s="102"/>
      <c r="W56" s="102"/>
      <c r="X56" s="102"/>
      <c r="Y56" s="102"/>
      <c r="AA56" s="102"/>
      <c r="AB56" s="102"/>
      <c r="AC56" s="102"/>
      <c r="AD56" s="102"/>
      <c r="AE56" s="102"/>
      <c r="AF56" s="102"/>
      <c r="AG56" s="151"/>
      <c r="AH56" s="102"/>
      <c r="AI56" s="102"/>
      <c r="AJ56" s="102"/>
      <c r="AK56" s="151"/>
      <c r="AL56" s="102"/>
      <c r="AM56" s="102"/>
      <c r="AN56" s="102"/>
      <c r="AO56" s="102"/>
      <c r="AP56" s="102"/>
      <c r="AQ56" s="151"/>
      <c r="AS56" s="110"/>
      <c r="AT56" s="110"/>
      <c r="AU56" s="141"/>
    </row>
    <row r="57" spans="1:76" ht="16.2" thickTop="1" x14ac:dyDescent="0.3"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AA57" s="102"/>
      <c r="AB57" s="102"/>
      <c r="AC57" s="102"/>
      <c r="AD57" s="102"/>
      <c r="AE57" s="102"/>
      <c r="AF57" s="102"/>
      <c r="AG57" s="151"/>
      <c r="AH57" s="102"/>
      <c r="AI57" s="102"/>
      <c r="AJ57" s="102"/>
      <c r="AK57" s="151"/>
      <c r="AL57" s="102"/>
      <c r="AM57" s="102"/>
      <c r="AN57" s="102"/>
      <c r="AO57" s="102"/>
      <c r="AP57" s="102"/>
      <c r="AQ57" s="151"/>
      <c r="AS57" s="110"/>
      <c r="AT57" s="110"/>
      <c r="AU57" s="226"/>
    </row>
    <row r="58" spans="1:76" x14ac:dyDescent="0.3">
      <c r="C58" s="124" t="s">
        <v>59</v>
      </c>
      <c r="F58" s="1"/>
      <c r="G58" s="1"/>
      <c r="H58" s="1"/>
      <c r="I58" s="1"/>
      <c r="J58" s="1"/>
      <c r="K58" s="1"/>
      <c r="L58" s="106"/>
      <c r="M58" s="106"/>
      <c r="N58" s="106"/>
      <c r="O58" s="106"/>
      <c r="P58" s="106"/>
      <c r="Q58" s="106"/>
      <c r="R58" s="106"/>
      <c r="V58" s="99"/>
      <c r="W58" s="99"/>
      <c r="X58" s="99"/>
      <c r="AS58" s="110"/>
      <c r="AT58" s="110"/>
      <c r="AU58" s="141"/>
    </row>
    <row r="59" spans="1:76" x14ac:dyDescent="0.3">
      <c r="C59" s="124" t="str">
        <f>"(2) REFLECTS FUEL COMPONENT OF "&amp;TEXT(PRO_FAC,"$0.000000;($0.000000)")&amp;"  PER KWH."</f>
        <v>(2) REFLECTS FUEL COMPONENT OF $0.003487  PER KWH.</v>
      </c>
      <c r="F59" s="1"/>
      <c r="G59" s="1"/>
      <c r="H59" s="1"/>
      <c r="I59" s="1"/>
      <c r="J59" s="1"/>
      <c r="K59" s="1"/>
      <c r="L59" s="106"/>
      <c r="M59" s="106"/>
      <c r="N59" s="106"/>
      <c r="O59" s="106"/>
      <c r="P59" s="106"/>
      <c r="Q59" s="106"/>
      <c r="R59" s="106"/>
      <c r="V59" s="99"/>
      <c r="W59" s="99"/>
      <c r="X59" s="99"/>
      <c r="AS59" s="110"/>
      <c r="AT59" s="110"/>
      <c r="AU59" s="141"/>
    </row>
    <row r="60" spans="1:76" x14ac:dyDescent="0.3">
      <c r="A60" s="99"/>
      <c r="C60" s="124" t="str">
        <f>"(3) REFLECTS FUEL COST RECOVERY INCLUDED IN BASE RATES OF "&amp;TEXT(PRO_BASE_FUEL,"$0.000000;($0.000000)")&amp;"  PER KWH."</f>
        <v>(3) REFLECTS FUEL COST RECOVERY INCLUDED IN BASE RATES OF $0.033780  PER KWH.</v>
      </c>
      <c r="W60" s="99"/>
      <c r="X60" s="99"/>
      <c r="AS60" s="110"/>
      <c r="AT60" s="110"/>
      <c r="AU60" s="141"/>
    </row>
    <row r="61" spans="1:76" x14ac:dyDescent="0.3">
      <c r="C61" s="99"/>
      <c r="F61" s="110"/>
      <c r="H61" s="110"/>
      <c r="I61" s="110"/>
      <c r="J61" s="198"/>
      <c r="K61" s="198"/>
      <c r="L61" s="110"/>
      <c r="M61" s="110"/>
      <c r="N61" s="141"/>
      <c r="O61" s="141"/>
      <c r="P61" s="110"/>
      <c r="Q61" s="110"/>
      <c r="R61" s="110"/>
      <c r="AS61" s="110"/>
      <c r="AT61" s="110"/>
      <c r="AU61" s="141"/>
    </row>
    <row r="62" spans="1:76" x14ac:dyDescent="0.3">
      <c r="F62" s="192"/>
      <c r="H62" s="192"/>
      <c r="I62" s="192"/>
      <c r="J62" s="217"/>
      <c r="K62" s="217"/>
      <c r="L62" s="192"/>
      <c r="M62" s="192"/>
      <c r="N62" s="192"/>
      <c r="O62" s="192"/>
      <c r="P62" s="192"/>
      <c r="Q62" s="192"/>
      <c r="R62" s="192"/>
      <c r="V62" s="99"/>
      <c r="Y62" s="110"/>
      <c r="AC62" s="209"/>
      <c r="AD62" s="209"/>
      <c r="AE62" s="110"/>
      <c r="AF62" s="110"/>
      <c r="AO62" s="110"/>
      <c r="AP62" s="110"/>
      <c r="AS62" s="110"/>
      <c r="AT62" s="110"/>
      <c r="AU62" s="141"/>
    </row>
    <row r="63" spans="1:76" x14ac:dyDescent="0.3">
      <c r="C63" s="99"/>
      <c r="F63" s="110"/>
      <c r="H63" s="110"/>
      <c r="I63" s="110"/>
      <c r="J63" s="198"/>
      <c r="K63" s="198"/>
      <c r="L63" s="110"/>
      <c r="M63" s="110"/>
      <c r="N63" s="141"/>
      <c r="O63" s="141"/>
      <c r="P63" s="110"/>
      <c r="Q63" s="110"/>
      <c r="R63" s="110"/>
      <c r="Y63" s="110"/>
      <c r="AO63" s="110"/>
      <c r="AP63" s="110"/>
      <c r="AS63" s="110"/>
      <c r="AT63" s="110"/>
      <c r="AU63" s="141"/>
    </row>
    <row r="64" spans="1:76" x14ac:dyDescent="0.3">
      <c r="A64" s="99"/>
      <c r="F64" s="110"/>
      <c r="H64" s="110"/>
      <c r="I64" s="110"/>
      <c r="K64" s="198"/>
      <c r="L64" s="110"/>
      <c r="M64" s="110"/>
      <c r="N64" s="110"/>
      <c r="O64" s="110"/>
      <c r="P64" s="110"/>
      <c r="Q64" s="110"/>
      <c r="R64" s="110"/>
      <c r="V64" s="99"/>
      <c r="Y64" s="110"/>
      <c r="AA64" s="110"/>
      <c r="AB64" s="110"/>
      <c r="AC64" s="181"/>
      <c r="AD64" s="181"/>
      <c r="AE64" s="110"/>
      <c r="AF64" s="110"/>
      <c r="AH64" s="141"/>
      <c r="AI64" s="110"/>
      <c r="AJ64" s="110"/>
      <c r="AL64" s="207"/>
      <c r="AM64" s="110"/>
      <c r="AN64" s="110"/>
      <c r="AO64" s="110"/>
      <c r="AP64" s="110"/>
      <c r="AR64" s="110"/>
      <c r="AS64" s="110"/>
      <c r="AT64" s="110"/>
      <c r="AU64" s="141"/>
    </row>
    <row r="65" spans="1:47" x14ac:dyDescent="0.3">
      <c r="L65" s="110"/>
      <c r="M65" s="110"/>
      <c r="N65" s="110"/>
      <c r="O65" s="110"/>
      <c r="P65" s="110"/>
      <c r="Q65" s="110"/>
      <c r="R65" s="110"/>
      <c r="T65" s="97" t="str">
        <f>NAME</f>
        <v>DUKE ENERGY KENTUCKY, INC.</v>
      </c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149"/>
      <c r="AH65" s="97"/>
      <c r="AI65" s="97"/>
      <c r="AJ65" s="97"/>
      <c r="AK65" s="149"/>
      <c r="AL65" s="97"/>
      <c r="AM65" s="97"/>
      <c r="AN65" s="97"/>
      <c r="AO65" s="97"/>
      <c r="AP65" s="97"/>
      <c r="AQ65" s="149"/>
      <c r="AR65" s="110"/>
      <c r="AS65" s="110"/>
      <c r="AT65" s="110"/>
      <c r="AU65" s="141"/>
    </row>
    <row r="66" spans="1:47" x14ac:dyDescent="0.3">
      <c r="L66" s="110"/>
      <c r="M66" s="110"/>
      <c r="N66" s="110"/>
      <c r="O66" s="110"/>
      <c r="P66" s="110"/>
      <c r="Q66" s="110"/>
      <c r="R66" s="110"/>
      <c r="T66" s="97" t="str">
        <f>CASE_NO</f>
        <v>CASE NO.   2024-00354</v>
      </c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149"/>
      <c r="AH66" s="97"/>
      <c r="AI66" s="97"/>
      <c r="AJ66" s="97"/>
      <c r="AK66" s="149"/>
      <c r="AL66" s="97"/>
      <c r="AM66" s="97"/>
      <c r="AN66" s="97"/>
      <c r="AO66" s="97"/>
      <c r="AP66" s="97"/>
      <c r="AQ66" s="149"/>
      <c r="AR66" s="110"/>
      <c r="AS66" s="110"/>
      <c r="AT66" s="110"/>
      <c r="AU66" s="141"/>
    </row>
    <row r="67" spans="1:47" x14ac:dyDescent="0.3">
      <c r="H67" s="99"/>
      <c r="I67" s="99"/>
      <c r="T67" s="97" t="str">
        <f>TITLE</f>
        <v>ANNUALIZED BASE YEAR REVENUES AT PROPOSED VS. MOST CURRENT RATES</v>
      </c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149"/>
      <c r="AH67" s="97"/>
      <c r="AI67" s="97"/>
      <c r="AJ67" s="97"/>
      <c r="AK67" s="149"/>
      <c r="AL67" s="97"/>
      <c r="AM67" s="97"/>
      <c r="AN67" s="97"/>
      <c r="AO67" s="97"/>
      <c r="AP67" s="97"/>
      <c r="AQ67" s="149"/>
      <c r="AR67" s="110"/>
    </row>
    <row r="68" spans="1:47" x14ac:dyDescent="0.3">
      <c r="L68" s="99"/>
      <c r="M68" s="99"/>
      <c r="T68" s="97" t="str">
        <f>DATE</f>
        <v>FOR THE TWELVE MONTHS ENDED February 28, 2025</v>
      </c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149"/>
      <c r="AH68" s="97"/>
      <c r="AI68" s="97"/>
      <c r="AJ68" s="97"/>
      <c r="AK68" s="149"/>
      <c r="AL68" s="97"/>
      <c r="AM68" s="97"/>
      <c r="AN68" s="97"/>
      <c r="AO68" s="97"/>
      <c r="AP68" s="97"/>
      <c r="AQ68" s="149"/>
      <c r="AR68" s="172"/>
    </row>
    <row r="69" spans="1:47" x14ac:dyDescent="0.3">
      <c r="R69" s="99"/>
      <c r="T69" s="97" t="str">
        <f>SERVICE</f>
        <v>(ELECTRIC SERVICE)</v>
      </c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149"/>
      <c r="AH69" s="97"/>
      <c r="AI69" s="97"/>
      <c r="AJ69" s="97"/>
      <c r="AK69" s="149"/>
      <c r="AL69" s="97"/>
      <c r="AM69" s="97"/>
      <c r="AN69" s="97"/>
      <c r="AO69" s="97"/>
      <c r="AP69" s="97"/>
      <c r="AQ69" s="149"/>
      <c r="AR69" s="172"/>
    </row>
    <row r="70" spans="1:47" x14ac:dyDescent="0.3">
      <c r="R70" s="99"/>
      <c r="T70" s="98" t="str">
        <f>DATA_PERIOD</f>
        <v>DATA: __X__ BASE PERIOD   ____FORECASTED PERIOD</v>
      </c>
      <c r="AO70" s="99" t="s">
        <v>157</v>
      </c>
      <c r="AP70" s="99"/>
      <c r="AR70" s="110"/>
    </row>
    <row r="71" spans="1:47" x14ac:dyDescent="0.3">
      <c r="A71" s="99"/>
      <c r="R71" s="99"/>
      <c r="T71" s="98" t="str">
        <f>TYPE</f>
        <v>TYPE OF FILING: _X_ ORIGINAL   ___UPDATED  ___ REVISED</v>
      </c>
      <c r="AO71" s="116" t="str">
        <f>"PAGE 9 OF "&amp;TEXT(Page_Num_2.2,"00")</f>
        <v>PAGE 9 OF 24</v>
      </c>
      <c r="AP71" s="99"/>
      <c r="AR71" s="110"/>
    </row>
    <row r="72" spans="1:47" x14ac:dyDescent="0.3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T72" s="99" t="s">
        <v>170</v>
      </c>
      <c r="AO72" s="99" t="s">
        <v>3</v>
      </c>
      <c r="AP72" s="99"/>
    </row>
    <row r="73" spans="1:47" x14ac:dyDescent="0.3">
      <c r="L73" s="102"/>
      <c r="M73" s="102"/>
      <c r="N73" s="102"/>
      <c r="O73" s="102"/>
      <c r="R73" s="102"/>
      <c r="T73" s="134" t="str">
        <f>TIME</f>
        <v>6 Months Actual and 6 Months Projected with Riders</v>
      </c>
      <c r="AF73" s="99"/>
      <c r="AO73" s="98" t="str">
        <f>WIT</f>
        <v>B. L. Sailers</v>
      </c>
    </row>
    <row r="74" spans="1:47" x14ac:dyDescent="0.3">
      <c r="L74" s="102"/>
      <c r="M74" s="102"/>
      <c r="N74" s="102"/>
      <c r="O74" s="102"/>
      <c r="R74" s="102"/>
      <c r="T74" s="134" t="str">
        <f>INPUT!B5</f>
        <v>6 Months Actual Ending August 31, 2024</v>
      </c>
      <c r="AF74" s="99"/>
    </row>
    <row r="75" spans="1:47" x14ac:dyDescent="0.3">
      <c r="L75" s="102"/>
      <c r="M75" s="102"/>
      <c r="N75" s="102"/>
      <c r="O75" s="102"/>
      <c r="R75" s="102"/>
      <c r="T75" s="97" t="s">
        <v>130</v>
      </c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149"/>
      <c r="AH75" s="97"/>
      <c r="AI75" s="97"/>
      <c r="AJ75" s="97"/>
      <c r="AK75" s="149"/>
      <c r="AL75" s="97"/>
      <c r="AM75" s="97"/>
      <c r="AN75" s="97"/>
      <c r="AO75" s="97"/>
      <c r="AP75" s="97"/>
      <c r="AQ75" s="149"/>
    </row>
    <row r="76" spans="1:47" x14ac:dyDescent="0.3">
      <c r="C76" s="102"/>
      <c r="D76" s="102"/>
      <c r="E76" s="102"/>
      <c r="F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0"/>
      <c r="AF76" s="100"/>
      <c r="AG76" s="150"/>
      <c r="AH76" s="100"/>
      <c r="AI76" s="100"/>
      <c r="AJ76" s="100"/>
      <c r="AK76" s="150"/>
      <c r="AL76" s="100"/>
      <c r="AM76" s="100"/>
      <c r="AN76" s="100"/>
      <c r="AO76" s="101"/>
      <c r="AP76" s="101"/>
      <c r="AQ76" s="191"/>
    </row>
    <row r="77" spans="1:47" ht="18" customHeight="1" x14ac:dyDescent="0.3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02" t="s">
        <v>8</v>
      </c>
      <c r="AF77" s="102"/>
      <c r="AG77" s="151" t="s">
        <v>7</v>
      </c>
      <c r="AH77" s="102"/>
      <c r="AI77" s="102" t="s">
        <v>9</v>
      </c>
      <c r="AJ77" s="102"/>
      <c r="AK77" s="151" t="s">
        <v>10</v>
      </c>
      <c r="AL77" s="102"/>
      <c r="AO77" s="254" t="s">
        <v>8</v>
      </c>
      <c r="AP77" s="254"/>
      <c r="AQ77" s="255" t="s">
        <v>11</v>
      </c>
    </row>
    <row r="78" spans="1:47" x14ac:dyDescent="0.3"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  <c r="AC78" s="102" t="s">
        <v>14</v>
      </c>
      <c r="AD78" s="102"/>
      <c r="AE78" s="102" t="s">
        <v>12</v>
      </c>
      <c r="AF78" s="102"/>
      <c r="AG78" s="151" t="s">
        <v>13</v>
      </c>
      <c r="AH78" s="102"/>
      <c r="AI78" s="102" t="s">
        <v>15</v>
      </c>
      <c r="AJ78" s="102"/>
      <c r="AK78" s="151" t="s">
        <v>16</v>
      </c>
      <c r="AL78" s="102"/>
      <c r="AO78" s="102" t="s">
        <v>11</v>
      </c>
      <c r="AP78" s="102"/>
      <c r="AQ78" s="151" t="s">
        <v>9</v>
      </c>
    </row>
    <row r="79" spans="1:47" x14ac:dyDescent="0.3">
      <c r="C79" s="99"/>
      <c r="D79" s="99"/>
      <c r="E79" s="99"/>
      <c r="T79" s="102" t="s">
        <v>17</v>
      </c>
      <c r="V79" s="102" t="s">
        <v>18</v>
      </c>
      <c r="W79" s="102" t="s">
        <v>19</v>
      </c>
      <c r="X79" s="102"/>
      <c r="Y79" s="102" t="s">
        <v>20</v>
      </c>
      <c r="AC79" s="102" t="s">
        <v>8</v>
      </c>
      <c r="AD79" s="102"/>
      <c r="AE79" s="102" t="s">
        <v>593</v>
      </c>
      <c r="AF79" s="102"/>
      <c r="AG79" s="151" t="s">
        <v>593</v>
      </c>
      <c r="AH79" s="102"/>
      <c r="AI79" s="103" t="s">
        <v>708</v>
      </c>
      <c r="AJ79" s="102"/>
      <c r="AK79" s="152" t="s">
        <v>708</v>
      </c>
      <c r="AL79" s="102"/>
      <c r="AM79" s="102" t="s">
        <v>593</v>
      </c>
      <c r="AN79" s="102"/>
      <c r="AO79" s="102" t="s">
        <v>9</v>
      </c>
      <c r="AP79" s="102"/>
      <c r="AQ79" s="151" t="s">
        <v>21</v>
      </c>
    </row>
    <row r="80" spans="1:47" x14ac:dyDescent="0.3">
      <c r="C80" s="99"/>
      <c r="T80" s="102" t="s">
        <v>22</v>
      </c>
      <c r="V80" s="102" t="s">
        <v>23</v>
      </c>
      <c r="W80" s="102" t="s">
        <v>24</v>
      </c>
      <c r="X80" s="102"/>
      <c r="Y80" s="102" t="s">
        <v>25</v>
      </c>
      <c r="AA80" s="102" t="s">
        <v>26</v>
      </c>
      <c r="AB80" s="102"/>
      <c r="AC80" s="102" t="s">
        <v>27</v>
      </c>
      <c r="AD80" s="102"/>
      <c r="AE80" s="102" t="s">
        <v>9</v>
      </c>
      <c r="AF80" s="102"/>
      <c r="AG80" s="151" t="s">
        <v>9</v>
      </c>
      <c r="AH80" s="102"/>
      <c r="AI80" s="131" t="s">
        <v>29</v>
      </c>
      <c r="AJ80" s="131"/>
      <c r="AK80" s="165" t="s">
        <v>30</v>
      </c>
      <c r="AL80" s="102"/>
      <c r="AM80" s="102" t="s">
        <v>323</v>
      </c>
      <c r="AN80" s="102"/>
      <c r="AO80" s="131" t="s">
        <v>31</v>
      </c>
      <c r="AP80" s="131"/>
      <c r="AQ80" s="165" t="s">
        <v>32</v>
      </c>
    </row>
    <row r="81" spans="3:43" x14ac:dyDescent="0.3">
      <c r="V81" s="131" t="s">
        <v>33</v>
      </c>
      <c r="W81" s="131" t="s">
        <v>34</v>
      </c>
      <c r="X81" s="131"/>
      <c r="Y81" s="131" t="s">
        <v>35</v>
      </c>
      <c r="Z81" s="134"/>
      <c r="AA81" s="131" t="s">
        <v>36</v>
      </c>
      <c r="AB81" s="131"/>
      <c r="AC81" s="131" t="s">
        <v>42</v>
      </c>
      <c r="AD81" s="131"/>
      <c r="AE81" s="131" t="s">
        <v>43</v>
      </c>
      <c r="AF81" s="131"/>
      <c r="AG81" s="165" t="s">
        <v>44</v>
      </c>
      <c r="AH81" s="131"/>
      <c r="AI81" s="131" t="s">
        <v>45</v>
      </c>
      <c r="AJ81" s="131"/>
      <c r="AK81" s="165" t="s">
        <v>46</v>
      </c>
      <c r="AL81" s="131"/>
      <c r="AM81" s="131" t="s">
        <v>40</v>
      </c>
      <c r="AN81" s="131"/>
      <c r="AO81" s="131" t="s">
        <v>47</v>
      </c>
      <c r="AP81" s="131"/>
      <c r="AQ81" s="165" t="s">
        <v>48</v>
      </c>
    </row>
    <row r="82" spans="3:43" ht="17.100000000000001" customHeight="1" x14ac:dyDescent="0.3">
      <c r="C82" s="99"/>
      <c r="F82" s="172"/>
      <c r="H82" s="172"/>
      <c r="I82" s="172"/>
      <c r="J82" s="181"/>
      <c r="K82" s="181"/>
      <c r="L82" s="110"/>
      <c r="M82" s="110"/>
      <c r="N82" s="141"/>
      <c r="O82" s="141"/>
      <c r="R82" s="110"/>
      <c r="T82" s="174"/>
      <c r="U82" s="174"/>
      <c r="V82" s="174"/>
      <c r="W82" s="174"/>
      <c r="X82" s="174"/>
      <c r="Y82" s="174"/>
      <c r="Z82" s="174"/>
      <c r="AA82" s="257" t="s">
        <v>196</v>
      </c>
      <c r="AB82" s="258"/>
      <c r="AC82" s="257" t="s">
        <v>331</v>
      </c>
      <c r="AD82" s="258"/>
      <c r="AE82" s="258" t="s">
        <v>50</v>
      </c>
      <c r="AF82" s="258"/>
      <c r="AG82" s="259" t="s">
        <v>51</v>
      </c>
      <c r="AH82" s="258"/>
      <c r="AI82" s="258" t="s">
        <v>50</v>
      </c>
      <c r="AJ82" s="258"/>
      <c r="AK82" s="259" t="s">
        <v>51</v>
      </c>
      <c r="AL82" s="258"/>
      <c r="AM82" s="258" t="s">
        <v>50</v>
      </c>
      <c r="AN82" s="258"/>
      <c r="AO82" s="258" t="s">
        <v>50</v>
      </c>
      <c r="AP82" s="258"/>
      <c r="AQ82" s="259" t="s">
        <v>51</v>
      </c>
    </row>
    <row r="83" spans="3:43" x14ac:dyDescent="0.3">
      <c r="C83" s="99"/>
      <c r="F83" s="172"/>
      <c r="H83" s="172"/>
      <c r="I83" s="172"/>
      <c r="J83" s="181"/>
      <c r="K83" s="181"/>
      <c r="L83" s="110"/>
      <c r="M83" s="110"/>
      <c r="N83" s="141"/>
      <c r="O83" s="141"/>
      <c r="R83" s="110"/>
      <c r="T83" s="98">
        <f>A19</f>
        <v>1</v>
      </c>
      <c r="V83" s="124" t="s">
        <v>60</v>
      </c>
      <c r="W83" s="124" t="s">
        <v>61</v>
      </c>
      <c r="X83" s="99"/>
      <c r="Y83" s="1"/>
      <c r="Z83" s="1"/>
      <c r="AA83" s="215"/>
      <c r="AB83" s="215"/>
      <c r="AC83" s="167" t="s">
        <v>328</v>
      </c>
      <c r="AD83" s="215"/>
      <c r="AE83" s="215"/>
      <c r="AF83" s="215"/>
      <c r="AG83" s="219"/>
      <c r="AH83" s="215"/>
      <c r="AI83" s="215"/>
      <c r="AJ83" s="215"/>
      <c r="AK83" s="219"/>
      <c r="AL83" s="215"/>
      <c r="AM83" s="215"/>
      <c r="AN83" s="215"/>
      <c r="AO83" s="215"/>
      <c r="AP83" s="215"/>
      <c r="AQ83" s="219"/>
    </row>
    <row r="84" spans="3:43" x14ac:dyDescent="0.3">
      <c r="C84" s="99"/>
      <c r="F84" s="172"/>
      <c r="H84" s="172"/>
      <c r="I84" s="172"/>
      <c r="J84" s="181"/>
      <c r="K84" s="181"/>
      <c r="L84" s="110"/>
      <c r="M84" s="110"/>
      <c r="N84" s="141"/>
      <c r="O84" s="141"/>
      <c r="R84" s="110"/>
      <c r="T84" s="98">
        <f>A20</f>
        <v>2</v>
      </c>
      <c r="V84" s="124" t="s">
        <v>54</v>
      </c>
      <c r="W84" s="134"/>
      <c r="Y84" s="1"/>
      <c r="Z84" s="1"/>
      <c r="AA84" s="1"/>
      <c r="AB84" s="1"/>
      <c r="AC84" s="1"/>
      <c r="AD84" s="1"/>
      <c r="AE84" s="1"/>
      <c r="AF84" s="1"/>
      <c r="AG84" s="154"/>
      <c r="AH84" s="1"/>
      <c r="AI84" s="1"/>
      <c r="AJ84" s="1"/>
      <c r="AK84" s="154"/>
      <c r="AL84" s="1"/>
      <c r="AM84" s="1"/>
      <c r="AN84" s="1"/>
      <c r="AO84" s="1"/>
      <c r="AP84" s="1"/>
      <c r="AQ84" s="154"/>
    </row>
    <row r="85" spans="3:43" x14ac:dyDescent="0.3">
      <c r="C85" s="99"/>
      <c r="F85" s="110"/>
      <c r="H85" s="110"/>
      <c r="I85" s="110"/>
      <c r="J85" s="217"/>
      <c r="K85" s="217"/>
      <c r="L85" s="110"/>
      <c r="M85" s="110"/>
      <c r="N85" s="141"/>
      <c r="O85" s="141"/>
      <c r="P85" s="110"/>
      <c r="Q85" s="110"/>
      <c r="R85" s="110"/>
      <c r="T85" s="98">
        <f>A21</f>
        <v>3</v>
      </c>
      <c r="V85" s="124" t="s">
        <v>62</v>
      </c>
      <c r="Y85" s="106">
        <f>F21</f>
        <v>52</v>
      </c>
      <c r="Z85" s="1"/>
      <c r="AA85" s="147"/>
      <c r="AB85" s="147"/>
      <c r="AC85" s="181">
        <f>INPUT!C123</f>
        <v>500</v>
      </c>
      <c r="AD85" s="180"/>
      <c r="AE85" s="117">
        <f>ROUND(Y85*AC85,0)</f>
        <v>26000</v>
      </c>
      <c r="AF85" s="106"/>
      <c r="AG85" s="156">
        <f>ROUND((AE85/AE$120)*100,1)</f>
        <v>0.2</v>
      </c>
      <c r="AH85" s="175"/>
      <c r="AI85" s="117">
        <f>L21-AE85</f>
        <v>0</v>
      </c>
      <c r="AJ85" s="106"/>
      <c r="AK85" s="200">
        <f>IF(AE85=0,"0.0 ",ROUND((AI85/AE85)*100,1))</f>
        <v>0</v>
      </c>
      <c r="AL85" s="138"/>
      <c r="AM85" s="4"/>
      <c r="AN85" s="1"/>
      <c r="AO85" s="117">
        <f>AE85+AM85</f>
        <v>26000</v>
      </c>
      <c r="AP85" s="106"/>
      <c r="AQ85" s="200">
        <f>IF(AO85=0,"0.0 ",ROUND((AI85/AO85)*100,1))</f>
        <v>0</v>
      </c>
    </row>
    <row r="86" spans="3:43" x14ac:dyDescent="0.3">
      <c r="C86" s="99"/>
      <c r="F86" s="110"/>
      <c r="H86" s="110"/>
      <c r="I86" s="110"/>
      <c r="J86" s="217"/>
      <c r="K86" s="217"/>
      <c r="L86" s="110"/>
      <c r="M86" s="110"/>
      <c r="N86" s="141"/>
      <c r="O86" s="141"/>
      <c r="P86" s="110"/>
      <c r="Q86" s="110"/>
      <c r="R86" s="110"/>
      <c r="V86" s="99"/>
      <c r="Y86" s="106"/>
      <c r="Z86" s="1"/>
      <c r="AA86" s="147"/>
      <c r="AB86" s="147"/>
      <c r="AC86" s="181"/>
      <c r="AD86" s="180"/>
      <c r="AE86" s="106"/>
      <c r="AF86" s="106"/>
      <c r="AG86" s="154"/>
      <c r="AH86" s="175"/>
      <c r="AI86" s="106"/>
      <c r="AJ86" s="106"/>
      <c r="AK86" s="154"/>
      <c r="AL86" s="138"/>
      <c r="AM86" s="1"/>
      <c r="AN86" s="1"/>
      <c r="AO86" s="106"/>
      <c r="AP86" s="106"/>
      <c r="AQ86" s="154"/>
    </row>
    <row r="87" spans="3:43" x14ac:dyDescent="0.3">
      <c r="C87" s="99"/>
      <c r="F87" s="172"/>
      <c r="H87" s="172"/>
      <c r="I87" s="172"/>
      <c r="J87" s="227"/>
      <c r="K87" s="227"/>
      <c r="L87" s="110"/>
      <c r="M87" s="110"/>
      <c r="N87" s="141"/>
      <c r="O87" s="141"/>
      <c r="P87" s="110"/>
      <c r="Q87" s="110"/>
      <c r="R87" s="110"/>
      <c r="S87" s="110"/>
      <c r="T87" s="98">
        <f>A23</f>
        <v>4</v>
      </c>
      <c r="V87" s="124" t="s">
        <v>63</v>
      </c>
      <c r="Y87" s="147"/>
      <c r="Z87" s="1"/>
      <c r="AA87" s="147"/>
      <c r="AB87" s="147"/>
      <c r="AC87" s="227"/>
      <c r="AD87" s="240"/>
      <c r="AE87" s="106"/>
      <c r="AF87" s="106"/>
      <c r="AG87" s="154"/>
      <c r="AH87" s="175"/>
      <c r="AI87" s="106"/>
      <c r="AJ87" s="106"/>
      <c r="AK87" s="154"/>
      <c r="AL87" s="175"/>
      <c r="AM87" s="106"/>
      <c r="AN87" s="106"/>
      <c r="AO87" s="106"/>
      <c r="AP87" s="106"/>
      <c r="AQ87" s="154"/>
    </row>
    <row r="88" spans="3:43" x14ac:dyDescent="0.3">
      <c r="C88" s="99"/>
      <c r="F88" s="172"/>
      <c r="H88" s="172"/>
      <c r="I88" s="172"/>
      <c r="J88" s="181"/>
      <c r="K88" s="181"/>
      <c r="L88" s="110"/>
      <c r="M88" s="110"/>
      <c r="N88" s="141"/>
      <c r="O88" s="141"/>
      <c r="P88" s="110"/>
      <c r="Q88" s="110"/>
      <c r="R88" s="110"/>
      <c r="T88" s="98">
        <f>A24</f>
        <v>5</v>
      </c>
      <c r="V88" s="99" t="s">
        <v>64</v>
      </c>
      <c r="Y88" s="147"/>
      <c r="Z88" s="1"/>
      <c r="AA88" s="106">
        <f>H24</f>
        <v>127759.45600000001</v>
      </c>
      <c r="AB88" s="106"/>
      <c r="AC88" s="181">
        <f>INPUT!C129</f>
        <v>9.41</v>
      </c>
      <c r="AD88" s="180"/>
      <c r="AE88" s="106">
        <f>ROUND(AA88*AC88,0)</f>
        <v>1202216</v>
      </c>
      <c r="AF88" s="106"/>
      <c r="AG88" s="154">
        <f>ROUND((AE88/AE$120)*100,1)</f>
        <v>8</v>
      </c>
      <c r="AH88" s="175"/>
      <c r="AI88" s="106">
        <f>L24-AE88</f>
        <v>104763</v>
      </c>
      <c r="AJ88" s="106"/>
      <c r="AK88" s="159">
        <f>IF(AE88=0,"0.0 ",ROUND((AI88/AE88)*100,1))</f>
        <v>8.6999999999999993</v>
      </c>
      <c r="AL88" s="138"/>
      <c r="AM88" s="106"/>
      <c r="AN88" s="106"/>
      <c r="AO88" s="106">
        <f>AE88+AM88</f>
        <v>1202216</v>
      </c>
      <c r="AP88" s="106"/>
      <c r="AQ88" s="159">
        <f>IF(AO88=0,"0.0 ",ROUND((AI88/AO88)*100,1))</f>
        <v>8.6999999999999993</v>
      </c>
    </row>
    <row r="89" spans="3:43" x14ac:dyDescent="0.3">
      <c r="C89" s="99"/>
      <c r="F89" s="172"/>
      <c r="H89" s="172"/>
      <c r="I89" s="172"/>
      <c r="J89" s="181"/>
      <c r="K89" s="181"/>
      <c r="L89" s="110"/>
      <c r="M89" s="110"/>
      <c r="N89" s="141"/>
      <c r="O89" s="141"/>
      <c r="P89" s="110"/>
      <c r="Q89" s="110"/>
      <c r="R89" s="110"/>
      <c r="T89" s="98">
        <f>A25</f>
        <v>6</v>
      </c>
      <c r="V89" s="99" t="s">
        <v>65</v>
      </c>
      <c r="Y89" s="147"/>
      <c r="Z89" s="1"/>
      <c r="AA89" s="117">
        <f>H25</f>
        <v>5368.5169999999998</v>
      </c>
      <c r="AB89" s="106"/>
      <c r="AC89" s="181">
        <f>INPUT!C130</f>
        <v>1.43</v>
      </c>
      <c r="AD89" s="180"/>
      <c r="AE89" s="117">
        <f>ROUND(AA89*AC89,0)</f>
        <v>7677</v>
      </c>
      <c r="AF89" s="106"/>
      <c r="AG89" s="156">
        <f>ROUND((AE89/AE$120)*100,1)</f>
        <v>0.1</v>
      </c>
      <c r="AH89" s="175"/>
      <c r="AI89" s="117">
        <f>L25-AE89</f>
        <v>644</v>
      </c>
      <c r="AJ89" s="106"/>
      <c r="AK89" s="200">
        <f>IF(AE89=0,"0.0 ",ROUND((AI89/AE89)*100,1))</f>
        <v>8.4</v>
      </c>
      <c r="AL89" s="138"/>
      <c r="AM89" s="117"/>
      <c r="AN89" s="106"/>
      <c r="AO89" s="117">
        <f>AE89+AM89</f>
        <v>7677</v>
      </c>
      <c r="AP89" s="106"/>
      <c r="AQ89" s="200">
        <f>IF(AO89=0,"0.0 ",ROUND((AI89/AO89)*100,1))</f>
        <v>8.4</v>
      </c>
    </row>
    <row r="90" spans="3:43" ht="20.100000000000001" customHeight="1" x14ac:dyDescent="0.3">
      <c r="C90" s="99"/>
      <c r="F90" s="110"/>
      <c r="H90" s="110"/>
      <c r="I90" s="110"/>
      <c r="J90" s="217"/>
      <c r="K90" s="217"/>
      <c r="L90" s="110"/>
      <c r="M90" s="110"/>
      <c r="N90" s="141"/>
      <c r="O90" s="141"/>
      <c r="P90" s="110"/>
      <c r="Q90" s="110"/>
      <c r="R90" s="110"/>
      <c r="T90" s="98">
        <f>A26</f>
        <v>7</v>
      </c>
      <c r="V90" s="124" t="s">
        <v>66</v>
      </c>
      <c r="Y90" s="106"/>
      <c r="Z90" s="1"/>
      <c r="AA90" s="117">
        <f>H26</f>
        <v>133127.973</v>
      </c>
      <c r="AB90" s="106"/>
      <c r="AC90" s="198"/>
      <c r="AD90" s="136"/>
      <c r="AE90" s="117">
        <f>AE88+AE89</f>
        <v>1209893</v>
      </c>
      <c r="AF90" s="106"/>
      <c r="AG90" s="156">
        <f>ROUND((AE90/AE$120)*100,1)+0.1</f>
        <v>8.1999999999999993</v>
      </c>
      <c r="AH90" s="175"/>
      <c r="AI90" s="117">
        <f>SUM(AI88:AI89)</f>
        <v>105407</v>
      </c>
      <c r="AJ90" s="106"/>
      <c r="AK90" s="201">
        <f>IF(AE90=0,"0.0 ",ROUND((AI90/AE90)*100,1))</f>
        <v>8.6999999999999993</v>
      </c>
      <c r="AL90" s="138"/>
      <c r="AM90" s="117"/>
      <c r="AN90" s="106"/>
      <c r="AO90" s="117">
        <f>AO88+AO89</f>
        <v>1209893</v>
      </c>
      <c r="AP90" s="106"/>
      <c r="AQ90" s="201">
        <f>IF(AO90=0,"0.0 ",ROUND((AI90/AO90)*100,1))</f>
        <v>8.6999999999999993</v>
      </c>
    </row>
    <row r="91" spans="3:43" x14ac:dyDescent="0.3">
      <c r="C91" s="99"/>
      <c r="F91" s="110"/>
      <c r="H91" s="110"/>
      <c r="I91" s="110"/>
      <c r="J91" s="217"/>
      <c r="K91" s="217"/>
      <c r="L91" s="110"/>
      <c r="M91" s="110"/>
      <c r="N91" s="141"/>
      <c r="O91" s="141"/>
      <c r="P91" s="110"/>
      <c r="Q91" s="110"/>
      <c r="R91" s="110"/>
      <c r="V91" s="99"/>
      <c r="Y91" s="106"/>
      <c r="Z91" s="1"/>
      <c r="AA91" s="106"/>
      <c r="AB91" s="106"/>
      <c r="AC91" s="198"/>
      <c r="AD91" s="136"/>
      <c r="AE91" s="106"/>
      <c r="AF91" s="106"/>
      <c r="AG91" s="154"/>
      <c r="AH91" s="175"/>
      <c r="AI91" s="106"/>
      <c r="AJ91" s="106"/>
      <c r="AK91" s="159"/>
      <c r="AL91" s="138"/>
      <c r="AM91" s="106"/>
      <c r="AN91" s="106"/>
      <c r="AO91" s="106"/>
      <c r="AP91" s="106"/>
      <c r="AQ91" s="159"/>
    </row>
    <row r="92" spans="3:43" x14ac:dyDescent="0.3">
      <c r="C92" s="99"/>
      <c r="F92" s="110"/>
      <c r="H92" s="110"/>
      <c r="I92" s="110"/>
      <c r="J92" s="217"/>
      <c r="K92" s="217"/>
      <c r="L92" s="110"/>
      <c r="M92" s="110"/>
      <c r="N92" s="110"/>
      <c r="O92" s="110"/>
      <c r="P92" s="110"/>
      <c r="Q92" s="110"/>
      <c r="R92" s="110"/>
      <c r="T92" s="98">
        <f>A28</f>
        <v>8</v>
      </c>
      <c r="V92" s="124" t="s">
        <v>371</v>
      </c>
      <c r="Y92" s="106"/>
      <c r="Z92" s="1"/>
      <c r="AA92" s="106"/>
      <c r="AB92" s="106"/>
      <c r="AC92" s="198"/>
      <c r="AD92" s="136"/>
      <c r="AE92" s="106"/>
      <c r="AF92" s="106"/>
      <c r="AG92" s="154"/>
      <c r="AH92" s="175"/>
      <c r="AI92" s="106"/>
      <c r="AJ92" s="106"/>
      <c r="AK92" s="154"/>
      <c r="AL92" s="138"/>
      <c r="AM92" s="106"/>
      <c r="AN92" s="106"/>
      <c r="AO92" s="106"/>
      <c r="AP92" s="106"/>
      <c r="AQ92" s="154"/>
    </row>
    <row r="93" spans="3:43" x14ac:dyDescent="0.3">
      <c r="C93" s="99"/>
      <c r="F93" s="110"/>
      <c r="H93" s="110"/>
      <c r="I93" s="110"/>
      <c r="J93" s="217"/>
      <c r="K93" s="217"/>
      <c r="L93" s="110"/>
      <c r="M93" s="110"/>
      <c r="N93" s="110"/>
      <c r="O93" s="110"/>
      <c r="P93" s="110"/>
      <c r="Q93" s="110"/>
      <c r="R93" s="110"/>
      <c r="T93" s="98">
        <f>A29</f>
        <v>9</v>
      </c>
      <c r="V93" s="99" t="s">
        <v>383</v>
      </c>
      <c r="Y93" s="106"/>
      <c r="Z93" s="1"/>
      <c r="AA93" s="106">
        <f>H29</f>
        <v>16379783</v>
      </c>
      <c r="AB93" s="106"/>
      <c r="AC93" s="260">
        <f>CUR_SUM_TT_ON_KWH</f>
        <v>6.7652000000000004E-2</v>
      </c>
      <c r="AD93" s="136"/>
      <c r="AE93" s="106">
        <f>ROUND((AA93*AC93),0)</f>
        <v>1108125</v>
      </c>
      <c r="AF93" s="106"/>
      <c r="AG93" s="154">
        <f>ROUND((AE93/AE$120)*100,1)</f>
        <v>7.4</v>
      </c>
      <c r="AH93" s="175"/>
      <c r="AI93" s="106">
        <f>L29-AE93</f>
        <v>96739</v>
      </c>
      <c r="AJ93" s="106"/>
      <c r="AK93" s="159">
        <f>IF(AE93=0,"0.0 ",ROUND((AI93/AE93)*100,1))</f>
        <v>8.6999999999999993</v>
      </c>
      <c r="AL93" s="138"/>
      <c r="AM93" s="106"/>
      <c r="AN93" s="106"/>
      <c r="AO93" s="106">
        <f>AE93+AM93</f>
        <v>1108125</v>
      </c>
      <c r="AP93" s="106"/>
      <c r="AQ93" s="159">
        <f>IF(AO93=0,"0.0 ",ROUND((AI93/AO93)*100,1))</f>
        <v>8.6999999999999993</v>
      </c>
    </row>
    <row r="94" spans="3:43" x14ac:dyDescent="0.3">
      <c r="C94" s="99"/>
      <c r="F94" s="110"/>
      <c r="H94" s="172"/>
      <c r="I94" s="172"/>
      <c r="J94" s="228"/>
      <c r="K94" s="228"/>
      <c r="L94" s="110"/>
      <c r="M94" s="110"/>
      <c r="N94" s="141"/>
      <c r="O94" s="141"/>
      <c r="P94" s="110"/>
      <c r="Q94" s="110"/>
      <c r="R94" s="110"/>
      <c r="T94" s="98">
        <f>A30</f>
        <v>10</v>
      </c>
      <c r="V94" s="99" t="s">
        <v>384</v>
      </c>
      <c r="Y94" s="117"/>
      <c r="Z94" s="1"/>
      <c r="AA94" s="117">
        <f>H30</f>
        <v>45833010.049999997</v>
      </c>
      <c r="AB94" s="106"/>
      <c r="AC94" s="260">
        <f>CUR_TT_OFF</f>
        <v>5.7296E-2</v>
      </c>
      <c r="AD94" s="188"/>
      <c r="AE94" s="117">
        <f>ROUND((AA94*AC94),0)</f>
        <v>2626048</v>
      </c>
      <c r="AF94" s="106"/>
      <c r="AG94" s="156">
        <f>ROUND((AE94/AE$120)*100,1)</f>
        <v>17.600000000000001</v>
      </c>
      <c r="AH94" s="175"/>
      <c r="AI94" s="117">
        <f>L30-AE94</f>
        <v>229211</v>
      </c>
      <c r="AJ94" s="106"/>
      <c r="AK94" s="200">
        <f>IF(AE94=0,"0.0 ",ROUND((AI94/AE94)*100,1))</f>
        <v>8.6999999999999993</v>
      </c>
      <c r="AL94" s="138"/>
      <c r="AM94" s="117"/>
      <c r="AN94" s="106"/>
      <c r="AO94" s="117">
        <f>AE94+AM94</f>
        <v>2626048</v>
      </c>
      <c r="AP94" s="106"/>
      <c r="AQ94" s="200">
        <f>IF(AO94=0,"0.0 ",ROUND((AI94/AO94)*100,1))</f>
        <v>8.6999999999999993</v>
      </c>
    </row>
    <row r="95" spans="3:43" x14ac:dyDescent="0.3">
      <c r="C95" s="99"/>
      <c r="F95" s="110"/>
      <c r="H95" s="172"/>
      <c r="I95" s="172"/>
      <c r="J95" s="228"/>
      <c r="K95" s="228"/>
      <c r="L95" s="110"/>
      <c r="M95" s="110"/>
      <c r="N95" s="141"/>
      <c r="O95" s="141"/>
      <c r="P95" s="110"/>
      <c r="Q95" s="110"/>
      <c r="R95" s="110"/>
      <c r="T95" s="98">
        <f>A31</f>
        <v>11</v>
      </c>
      <c r="V95" s="124" t="s">
        <v>142</v>
      </c>
      <c r="Y95" s="106"/>
      <c r="Z95" s="1"/>
      <c r="AA95" s="117">
        <f>H31</f>
        <v>62212793.049999997</v>
      </c>
      <c r="AB95" s="106"/>
      <c r="AC95" s="198"/>
      <c r="AD95" s="136"/>
      <c r="AE95" s="117">
        <f>AE93+AE94</f>
        <v>3734173</v>
      </c>
      <c r="AF95" s="106"/>
      <c r="AG95" s="156">
        <f>ROUND((AE95/AE$120)*100,1)</f>
        <v>25</v>
      </c>
      <c r="AH95" s="175"/>
      <c r="AI95" s="117">
        <f>SUM(AI93:AI94)</f>
        <v>325950</v>
      </c>
      <c r="AJ95" s="106"/>
      <c r="AK95" s="201">
        <f>IF(AE95=0,"0.0 ",ROUND((AI95/AE95)*100,1))</f>
        <v>8.6999999999999993</v>
      </c>
      <c r="AL95" s="138"/>
      <c r="AM95" s="117"/>
      <c r="AN95" s="106"/>
      <c r="AO95" s="117">
        <f>AO93+AO94</f>
        <v>3734173</v>
      </c>
      <c r="AP95" s="106"/>
      <c r="AQ95" s="201">
        <f>IF(AO95=0,"0.0 ",ROUND((AI95/AO95)*100,1))</f>
        <v>8.6999999999999993</v>
      </c>
    </row>
    <row r="96" spans="3:43" ht="20.100000000000001" customHeight="1" x14ac:dyDescent="0.3">
      <c r="C96" s="99"/>
      <c r="F96" s="110"/>
      <c r="H96" s="110"/>
      <c r="I96" s="110"/>
      <c r="J96" s="198"/>
      <c r="K96" s="198"/>
      <c r="L96" s="110"/>
      <c r="M96" s="110"/>
      <c r="N96" s="141"/>
      <c r="O96" s="141"/>
      <c r="P96" s="110"/>
      <c r="Q96" s="110"/>
      <c r="R96" s="110"/>
      <c r="T96" s="98">
        <f>A32</f>
        <v>12</v>
      </c>
      <c r="V96" s="124" t="s">
        <v>56</v>
      </c>
      <c r="Y96" s="112">
        <f>F32</f>
        <v>52</v>
      </c>
      <c r="Z96" s="1"/>
      <c r="AA96" s="112">
        <f>H32</f>
        <v>62212793.049999997</v>
      </c>
      <c r="AB96" s="106"/>
      <c r="AC96" s="171"/>
      <c r="AD96" s="171"/>
      <c r="AE96" s="112">
        <f>AE85+AE90+AE95</f>
        <v>4970066</v>
      </c>
      <c r="AF96" s="106"/>
      <c r="AG96" s="156">
        <f>ROUND((AE96/AE$120)*100,1)</f>
        <v>33.299999999999997</v>
      </c>
      <c r="AH96" s="175"/>
      <c r="AI96" s="112">
        <f>AI85+AI90+AI95</f>
        <v>431357</v>
      </c>
      <c r="AJ96" s="106"/>
      <c r="AK96" s="201">
        <f>IF(AE96=0,"0.0 ",ROUND((AI96/AE96)*100,1))</f>
        <v>8.6999999999999993</v>
      </c>
      <c r="AL96" s="175"/>
      <c r="AM96" s="261"/>
      <c r="AN96" s="106"/>
      <c r="AO96" s="112">
        <f>AO85+AO90+AO95</f>
        <v>4970066</v>
      </c>
      <c r="AP96" s="106"/>
      <c r="AQ96" s="201">
        <f>IF(AO96=0,"0.0 ",ROUND((AI96/AO96)*100,1))</f>
        <v>8.6999999999999993</v>
      </c>
    </row>
    <row r="97" spans="3:43" x14ac:dyDescent="0.3">
      <c r="C97" s="99"/>
      <c r="F97" s="110"/>
      <c r="H97" s="110"/>
      <c r="I97" s="110"/>
      <c r="J97" s="198"/>
      <c r="K97" s="198"/>
      <c r="L97" s="110"/>
      <c r="M97" s="110"/>
      <c r="N97" s="141"/>
      <c r="O97" s="141"/>
      <c r="P97" s="110"/>
      <c r="Q97" s="110"/>
      <c r="R97" s="110"/>
      <c r="Y97" s="147"/>
      <c r="Z97" s="1"/>
      <c r="AA97" s="147"/>
      <c r="AB97" s="147"/>
      <c r="AC97" s="171"/>
      <c r="AD97" s="171"/>
      <c r="AE97" s="106"/>
      <c r="AF97" s="106"/>
      <c r="AG97" s="154"/>
      <c r="AH97" s="175"/>
      <c r="AI97" s="106"/>
      <c r="AJ97" s="106"/>
      <c r="AK97" s="154"/>
      <c r="AL97" s="1"/>
      <c r="AM97" s="106"/>
      <c r="AN97" s="106"/>
      <c r="AO97" s="106"/>
      <c r="AP97" s="106"/>
      <c r="AQ97" s="154"/>
    </row>
    <row r="98" spans="3:43" x14ac:dyDescent="0.3">
      <c r="C98" s="99"/>
      <c r="F98" s="110"/>
      <c r="H98" s="172"/>
      <c r="I98" s="172"/>
      <c r="J98" s="222"/>
      <c r="K98" s="222"/>
      <c r="L98" s="110"/>
      <c r="M98" s="110"/>
      <c r="N98" s="141"/>
      <c r="O98" s="141"/>
      <c r="P98" s="110"/>
      <c r="Q98" s="110"/>
      <c r="R98" s="110"/>
      <c r="T98" s="98">
        <f>A34</f>
        <v>13</v>
      </c>
      <c r="V98" s="124" t="s">
        <v>57</v>
      </c>
      <c r="Y98" s="1"/>
      <c r="Z98" s="1"/>
      <c r="AA98" s="1"/>
      <c r="AB98" s="1"/>
      <c r="AC98" s="1"/>
      <c r="AD98" s="1"/>
      <c r="AE98" s="1"/>
      <c r="AF98" s="1"/>
      <c r="AG98" s="154"/>
      <c r="AH98" s="1"/>
      <c r="AI98" s="1"/>
      <c r="AJ98" s="1"/>
      <c r="AK98" s="154"/>
      <c r="AL98" s="1"/>
      <c r="AM98" s="1"/>
      <c r="AN98" s="1"/>
      <c r="AO98" s="1"/>
      <c r="AP98" s="1"/>
      <c r="AQ98" s="154"/>
    </row>
    <row r="99" spans="3:43" x14ac:dyDescent="0.3">
      <c r="F99" s="192"/>
      <c r="H99" s="192"/>
      <c r="I99" s="192"/>
      <c r="J99" s="217"/>
      <c r="K99" s="217"/>
      <c r="L99" s="192"/>
      <c r="M99" s="192"/>
      <c r="N99" s="192"/>
      <c r="O99" s="192"/>
      <c r="P99" s="192"/>
      <c r="Q99" s="192"/>
      <c r="R99" s="192"/>
      <c r="T99" s="98">
        <f>A35</f>
        <v>14</v>
      </c>
      <c r="V99" s="124" t="s">
        <v>62</v>
      </c>
      <c r="Y99" s="106">
        <f>F35</f>
        <v>104</v>
      </c>
      <c r="Z99" s="1"/>
      <c r="AA99" s="147"/>
      <c r="AB99" s="147"/>
      <c r="AC99" s="180">
        <f>AC85</f>
        <v>500</v>
      </c>
      <c r="AD99" s="180"/>
      <c r="AE99" s="117">
        <f>ROUND(Y99*AC99,0)</f>
        <v>52000</v>
      </c>
      <c r="AF99" s="106"/>
      <c r="AG99" s="156">
        <f>ROUND((AE99/AE$120)*100,1)</f>
        <v>0.3</v>
      </c>
      <c r="AH99" s="175"/>
      <c r="AI99" s="117">
        <f>L35-AE99</f>
        <v>0</v>
      </c>
      <c r="AJ99" s="106"/>
      <c r="AK99" s="200">
        <f>IF(AE99=0,"0.0 ",ROUND((AI99/AE99)*100,1))</f>
        <v>0</v>
      </c>
      <c r="AL99" s="138"/>
      <c r="AM99" s="4"/>
      <c r="AN99" s="1"/>
      <c r="AO99" s="117">
        <f>AE99+AM99</f>
        <v>52000</v>
      </c>
      <c r="AP99" s="106"/>
      <c r="AQ99" s="200">
        <f>IF(AO99=0,"0.0 ",ROUND((AI99/AO99)*100,1))</f>
        <v>0</v>
      </c>
    </row>
    <row r="100" spans="3:43" x14ac:dyDescent="0.3">
      <c r="F100" s="192"/>
      <c r="H100" s="192"/>
      <c r="I100" s="192"/>
      <c r="J100" s="217"/>
      <c r="K100" s="217"/>
      <c r="L100" s="192"/>
      <c r="M100" s="192"/>
      <c r="N100" s="192"/>
      <c r="O100" s="192"/>
      <c r="P100" s="192"/>
      <c r="Q100" s="192"/>
      <c r="R100" s="192"/>
      <c r="V100" s="99"/>
      <c r="Y100" s="106"/>
      <c r="Z100" s="1"/>
      <c r="AA100" s="147"/>
      <c r="AB100" s="147"/>
      <c r="AC100" s="180"/>
      <c r="AD100" s="180"/>
      <c r="AE100" s="106"/>
      <c r="AF100" s="106"/>
      <c r="AG100" s="154"/>
      <c r="AH100" s="175"/>
      <c r="AI100" s="106"/>
      <c r="AJ100" s="106"/>
      <c r="AK100" s="154"/>
      <c r="AL100" s="138"/>
      <c r="AM100" s="1"/>
      <c r="AN100" s="1"/>
      <c r="AO100" s="106"/>
      <c r="AP100" s="106"/>
      <c r="AQ100" s="154"/>
    </row>
    <row r="101" spans="3:43" x14ac:dyDescent="0.3">
      <c r="F101" s="192"/>
      <c r="H101" s="192"/>
      <c r="I101" s="192"/>
      <c r="J101" s="217"/>
      <c r="K101" s="217"/>
      <c r="L101" s="192"/>
      <c r="M101" s="192"/>
      <c r="N101" s="192"/>
      <c r="O101" s="192"/>
      <c r="P101" s="192"/>
      <c r="Q101" s="192"/>
      <c r="R101" s="192"/>
      <c r="S101" s="110"/>
      <c r="T101" s="98">
        <f>A37</f>
        <v>15</v>
      </c>
      <c r="V101" s="124" t="s">
        <v>63</v>
      </c>
      <c r="Y101" s="147"/>
      <c r="Z101" s="1"/>
      <c r="AA101" s="147"/>
      <c r="AB101" s="147"/>
      <c r="AC101" s="240"/>
      <c r="AD101" s="240"/>
      <c r="AE101" s="106"/>
      <c r="AF101" s="106"/>
      <c r="AG101" s="154"/>
      <c r="AH101" s="175"/>
      <c r="AI101" s="106"/>
      <c r="AJ101" s="106"/>
      <c r="AK101" s="154"/>
      <c r="AL101" s="175"/>
      <c r="AM101" s="106"/>
      <c r="AN101" s="106"/>
      <c r="AO101" s="106"/>
      <c r="AP101" s="106"/>
      <c r="AQ101" s="154"/>
    </row>
    <row r="102" spans="3:43" x14ac:dyDescent="0.3">
      <c r="C102" s="99"/>
      <c r="F102" s="172"/>
      <c r="H102" s="229"/>
      <c r="I102" s="229"/>
      <c r="J102" s="217"/>
      <c r="K102" s="217"/>
      <c r="L102" s="110"/>
      <c r="M102" s="110"/>
      <c r="N102" s="141"/>
      <c r="O102" s="141"/>
      <c r="P102" s="110"/>
      <c r="Q102" s="110"/>
      <c r="R102" s="110"/>
      <c r="S102" s="110"/>
      <c r="T102" s="98">
        <f>A38</f>
        <v>16</v>
      </c>
      <c r="V102" s="99" t="s">
        <v>64</v>
      </c>
      <c r="Y102" s="147"/>
      <c r="Z102" s="1"/>
      <c r="AA102" s="106">
        <f>H38</f>
        <v>256717.67600000001</v>
      </c>
      <c r="AB102" s="106"/>
      <c r="AC102" s="181">
        <f>INPUT!C131</f>
        <v>7.72</v>
      </c>
      <c r="AD102" s="180"/>
      <c r="AE102" s="106">
        <f>ROUND(AA102*AC102,0)</f>
        <v>1981860</v>
      </c>
      <c r="AF102" s="106"/>
      <c r="AG102" s="154">
        <f>ROUND((AE102/AE$120)*100,1)</f>
        <v>13.3</v>
      </c>
      <c r="AH102" s="175"/>
      <c r="AI102" s="106">
        <f>L38-AE102</f>
        <v>172001</v>
      </c>
      <c r="AJ102" s="106"/>
      <c r="AK102" s="159">
        <f>IF(AE102=0,"0.0 ",ROUND((AI102/AE102)*100,1))</f>
        <v>8.6999999999999993</v>
      </c>
      <c r="AL102" s="138"/>
      <c r="AM102" s="106"/>
      <c r="AN102" s="106"/>
      <c r="AO102" s="106">
        <f>AE102+AM102</f>
        <v>1981860</v>
      </c>
      <c r="AP102" s="106"/>
      <c r="AQ102" s="159">
        <f>IF(AO102=0,"0.0 ",ROUND((AI102/AO102)*100,1))</f>
        <v>8.6999999999999993</v>
      </c>
    </row>
    <row r="103" spans="3:43" x14ac:dyDescent="0.3">
      <c r="T103" s="98">
        <f>A39</f>
        <v>17</v>
      </c>
      <c r="V103" s="99" t="s">
        <v>65</v>
      </c>
      <c r="Y103" s="147"/>
      <c r="Z103" s="1"/>
      <c r="AA103" s="117">
        <f>H39</f>
        <v>8522.7340000000004</v>
      </c>
      <c r="AB103" s="106"/>
      <c r="AC103" s="181">
        <f>INPUT!C132</f>
        <v>1.43</v>
      </c>
      <c r="AD103" s="180"/>
      <c r="AE103" s="117">
        <f>ROUND(AA103*AC103,0)</f>
        <v>12188</v>
      </c>
      <c r="AF103" s="106"/>
      <c r="AG103" s="156">
        <f>ROUND((AE103/AE$120)*100,1)</f>
        <v>0.1</v>
      </c>
      <c r="AH103" s="175"/>
      <c r="AI103" s="117">
        <f>L39-AE103</f>
        <v>1022</v>
      </c>
      <c r="AJ103" s="106"/>
      <c r="AK103" s="200">
        <f>IF(AE103=0,"0.0 ",ROUND((AI103/AE103)*100,1))</f>
        <v>8.4</v>
      </c>
      <c r="AL103" s="138"/>
      <c r="AM103" s="117"/>
      <c r="AN103" s="106"/>
      <c r="AO103" s="117">
        <f>AE103+AM103</f>
        <v>12188</v>
      </c>
      <c r="AP103" s="106"/>
      <c r="AQ103" s="200">
        <f>IF(AO103=0,"0.0 ",ROUND((AI103/AO103)*100,1))</f>
        <v>8.4</v>
      </c>
    </row>
    <row r="104" spans="3:43" ht="20.100000000000001" customHeight="1" x14ac:dyDescent="0.3">
      <c r="C104" s="99"/>
      <c r="F104" s="172"/>
      <c r="H104" s="172"/>
      <c r="I104" s="172"/>
      <c r="J104" s="181"/>
      <c r="K104" s="181"/>
      <c r="L104" s="110"/>
      <c r="M104" s="110"/>
      <c r="N104" s="141"/>
      <c r="O104" s="141"/>
      <c r="R104" s="110"/>
      <c r="T104" s="98">
        <f>A40</f>
        <v>18</v>
      </c>
      <c r="V104" s="124" t="s">
        <v>66</v>
      </c>
      <c r="Y104" s="106"/>
      <c r="Z104" s="1"/>
      <c r="AA104" s="117">
        <f>H40</f>
        <v>265240.41000000003</v>
      </c>
      <c r="AB104" s="106"/>
      <c r="AC104" s="136"/>
      <c r="AD104" s="136"/>
      <c r="AE104" s="117">
        <f>AE102+AE103</f>
        <v>1994048</v>
      </c>
      <c r="AF104" s="106"/>
      <c r="AG104" s="156">
        <f>ROUND((AE104/AE$120)*100,1)</f>
        <v>13.3</v>
      </c>
      <c r="AH104" s="175"/>
      <c r="AI104" s="117">
        <f>SUM(AI102:AI103)</f>
        <v>173023</v>
      </c>
      <c r="AJ104" s="106"/>
      <c r="AK104" s="200">
        <f>IF(AE104=0,"0.0 ",ROUND((AI104/AE104)*100,1))</f>
        <v>8.6999999999999993</v>
      </c>
      <c r="AL104" s="138"/>
      <c r="AM104" s="117"/>
      <c r="AN104" s="106"/>
      <c r="AO104" s="117">
        <f>AO102+AO103</f>
        <v>1994048</v>
      </c>
      <c r="AP104" s="106"/>
      <c r="AQ104" s="201">
        <f>IF(AO104=0,"0.0 ",ROUND((AI104/AO104)*100,1))</f>
        <v>8.6999999999999993</v>
      </c>
    </row>
    <row r="105" spans="3:43" x14ac:dyDescent="0.3">
      <c r="C105" s="99"/>
      <c r="F105" s="172"/>
      <c r="H105" s="172"/>
      <c r="I105" s="172"/>
      <c r="J105" s="181"/>
      <c r="K105" s="181"/>
      <c r="L105" s="110"/>
      <c r="M105" s="110"/>
      <c r="N105" s="141"/>
      <c r="O105" s="141"/>
      <c r="R105" s="110"/>
      <c r="V105" s="99"/>
      <c r="Y105" s="106"/>
      <c r="Z105" s="1"/>
      <c r="AA105" s="106"/>
      <c r="AB105" s="106"/>
      <c r="AC105" s="136"/>
      <c r="AD105" s="136"/>
      <c r="AE105" s="106"/>
      <c r="AF105" s="106"/>
      <c r="AG105" s="154"/>
      <c r="AH105" s="175"/>
      <c r="AI105" s="106"/>
      <c r="AJ105" s="106"/>
      <c r="AK105" s="159"/>
      <c r="AL105" s="138"/>
      <c r="AM105" s="106"/>
      <c r="AN105" s="106"/>
      <c r="AO105" s="106"/>
      <c r="AP105" s="106"/>
      <c r="AQ105" s="159"/>
    </row>
    <row r="106" spans="3:43" x14ac:dyDescent="0.3">
      <c r="C106" s="99"/>
      <c r="F106" s="172"/>
      <c r="H106" s="172"/>
      <c r="I106" s="172"/>
      <c r="J106" s="181"/>
      <c r="K106" s="181"/>
      <c r="L106" s="110"/>
      <c r="M106" s="110"/>
      <c r="N106" s="141"/>
      <c r="O106" s="141"/>
      <c r="R106" s="110"/>
      <c r="T106" s="98">
        <f t="shared" ref="T106:T111" si="0">A42</f>
        <v>19</v>
      </c>
      <c r="V106" s="124" t="s">
        <v>371</v>
      </c>
      <c r="Y106" s="106"/>
      <c r="Z106" s="1"/>
      <c r="AA106" s="106"/>
      <c r="AB106" s="106"/>
      <c r="AC106" s="136"/>
      <c r="AD106" s="136"/>
      <c r="AE106" s="106"/>
      <c r="AF106" s="106"/>
      <c r="AG106" s="154"/>
      <c r="AH106" s="175"/>
      <c r="AI106" s="106"/>
      <c r="AJ106" s="106"/>
      <c r="AK106" s="154"/>
      <c r="AL106" s="138"/>
      <c r="AM106" s="106"/>
      <c r="AN106" s="106"/>
      <c r="AO106" s="106"/>
      <c r="AP106" s="106"/>
      <c r="AQ106" s="154"/>
    </row>
    <row r="107" spans="3:43" x14ac:dyDescent="0.3">
      <c r="C107" s="99"/>
      <c r="F107" s="172"/>
      <c r="H107" s="172"/>
      <c r="I107" s="172"/>
      <c r="J107" s="181"/>
      <c r="K107" s="181"/>
      <c r="L107" s="110"/>
      <c r="M107" s="110"/>
      <c r="N107" s="141"/>
      <c r="O107" s="141"/>
      <c r="R107" s="110"/>
      <c r="T107" s="98">
        <f t="shared" si="0"/>
        <v>20</v>
      </c>
      <c r="V107" s="99" t="s">
        <v>383</v>
      </c>
      <c r="Y107" s="106"/>
      <c r="Z107" s="1"/>
      <c r="AA107" s="106">
        <f>H43</f>
        <v>32690473</v>
      </c>
      <c r="AB107" s="106"/>
      <c r="AC107" s="260">
        <f>CUR_WIN_TT_ON_KWH</f>
        <v>6.5057000000000004E-2</v>
      </c>
      <c r="AD107" s="188"/>
      <c r="AE107" s="106">
        <f>ROUND((AA107*AC107),0)</f>
        <v>2126744</v>
      </c>
      <c r="AF107" s="106"/>
      <c r="AG107" s="154">
        <f>ROUND((AE107/AE$120)*100,1)</f>
        <v>14.2</v>
      </c>
      <c r="AH107" s="175"/>
      <c r="AI107" s="106">
        <f>L43-AE107</f>
        <v>185649</v>
      </c>
      <c r="AJ107" s="106"/>
      <c r="AK107" s="159">
        <f>IF(AE107=0,"0.0 ",ROUND((AI107/AE107)*100,1))</f>
        <v>8.6999999999999993</v>
      </c>
      <c r="AL107" s="138"/>
      <c r="AM107" s="106"/>
      <c r="AN107" s="106"/>
      <c r="AO107" s="106">
        <f>AE107+AM107</f>
        <v>2126744</v>
      </c>
      <c r="AP107" s="106"/>
      <c r="AQ107" s="159">
        <f>IF(AO107=0,"0.0 ",ROUND((AI107/AO107)*100,1))</f>
        <v>8.6999999999999993</v>
      </c>
    </row>
    <row r="108" spans="3:43" x14ac:dyDescent="0.3">
      <c r="F108" s="192"/>
      <c r="H108" s="110"/>
      <c r="I108" s="110"/>
      <c r="J108" s="217"/>
      <c r="K108" s="217"/>
      <c r="L108" s="192"/>
      <c r="M108" s="192"/>
      <c r="N108" s="192"/>
      <c r="O108" s="192"/>
      <c r="P108" s="192"/>
      <c r="Q108" s="192"/>
      <c r="R108" s="192"/>
      <c r="T108" s="98">
        <f t="shared" si="0"/>
        <v>21</v>
      </c>
      <c r="V108" s="99" t="s">
        <v>384</v>
      </c>
      <c r="Y108" s="117"/>
      <c r="Z108" s="1"/>
      <c r="AA108" s="117">
        <f>H44</f>
        <v>90640752.660000011</v>
      </c>
      <c r="AB108" s="106"/>
      <c r="AC108" s="260">
        <f>CUR_TT_OFF</f>
        <v>5.7296E-2</v>
      </c>
      <c r="AD108" s="188"/>
      <c r="AE108" s="117">
        <f>ROUND((AA108*AC108),0)</f>
        <v>5193353</v>
      </c>
      <c r="AF108" s="106"/>
      <c r="AG108" s="156">
        <f>ROUND((AE108/AE$120)*100,1)-0.1</f>
        <v>34.6</v>
      </c>
      <c r="AH108" s="175"/>
      <c r="AI108" s="117">
        <f>L44-AE108</f>
        <v>453294</v>
      </c>
      <c r="AJ108" s="106"/>
      <c r="AK108" s="200">
        <f>IF(AE108=0,"0.0 ",ROUND((AI108/AE108)*100,1))</f>
        <v>8.6999999999999993</v>
      </c>
      <c r="AL108" s="138"/>
      <c r="AM108" s="117"/>
      <c r="AN108" s="106"/>
      <c r="AO108" s="117">
        <f>AE108+AM108</f>
        <v>5193353</v>
      </c>
      <c r="AP108" s="106"/>
      <c r="AQ108" s="200">
        <f>IF(AO108=0,"0.0 ",ROUND((AI108/AO108)*100,1))</f>
        <v>8.6999999999999993</v>
      </c>
    </row>
    <row r="109" spans="3:43" x14ac:dyDescent="0.3">
      <c r="F109" s="192"/>
      <c r="H109" s="110"/>
      <c r="I109" s="110"/>
      <c r="J109" s="217"/>
      <c r="K109" s="217"/>
      <c r="L109" s="192"/>
      <c r="M109" s="192"/>
      <c r="N109" s="192"/>
      <c r="O109" s="192"/>
      <c r="P109" s="192"/>
      <c r="Q109" s="192"/>
      <c r="R109" s="192"/>
      <c r="T109" s="98">
        <f t="shared" si="0"/>
        <v>22</v>
      </c>
      <c r="V109" s="124" t="s">
        <v>142</v>
      </c>
      <c r="Y109" s="106"/>
      <c r="Z109" s="1"/>
      <c r="AA109" s="117">
        <f>H45</f>
        <v>123331225.66000001</v>
      </c>
      <c r="AB109" s="106"/>
      <c r="AC109" s="198"/>
      <c r="AD109" s="136"/>
      <c r="AE109" s="117">
        <f>AE107+AE108</f>
        <v>7320097</v>
      </c>
      <c r="AF109" s="106"/>
      <c r="AG109" s="156">
        <f>ROUND((AE109/AE$120)*100,1)</f>
        <v>49</v>
      </c>
      <c r="AH109" s="175"/>
      <c r="AI109" s="117">
        <f>SUM(AI107:AI108)</f>
        <v>638943</v>
      </c>
      <c r="AJ109" s="106"/>
      <c r="AK109" s="201">
        <f>IF(AE109=0,"0.0 ",ROUND((AI109/AE109)*100,1))</f>
        <v>8.6999999999999993</v>
      </c>
      <c r="AL109" s="138"/>
      <c r="AM109" s="117"/>
      <c r="AN109" s="106"/>
      <c r="AO109" s="117">
        <f>AO107+AO108</f>
        <v>7320097</v>
      </c>
      <c r="AP109" s="106"/>
      <c r="AQ109" s="201">
        <f>IF(AO109=0,"0.0 ",ROUND((AI109/AO109)*100,1))</f>
        <v>8.6999999999999993</v>
      </c>
    </row>
    <row r="110" spans="3:43" ht="20.100000000000001" customHeight="1" x14ac:dyDescent="0.3">
      <c r="C110" s="99"/>
      <c r="F110" s="172"/>
      <c r="H110" s="172"/>
      <c r="I110" s="172"/>
      <c r="J110" s="227"/>
      <c r="K110" s="227"/>
      <c r="L110" s="110"/>
      <c r="M110" s="110"/>
      <c r="N110" s="141"/>
      <c r="O110" s="141"/>
      <c r="P110" s="110"/>
      <c r="Q110" s="110"/>
      <c r="R110" s="110"/>
      <c r="S110" s="110"/>
      <c r="T110" s="98">
        <f t="shared" si="0"/>
        <v>23</v>
      </c>
      <c r="V110" s="124" t="s">
        <v>58</v>
      </c>
      <c r="Y110" s="112">
        <f>F46</f>
        <v>104</v>
      </c>
      <c r="Z110" s="1"/>
      <c r="AA110" s="112">
        <f>H46</f>
        <v>123331225.66000001</v>
      </c>
      <c r="AB110" s="106"/>
      <c r="AC110" s="239"/>
      <c r="AD110" s="171"/>
      <c r="AE110" s="112">
        <f>AE99+AE104+AE109</f>
        <v>9366145</v>
      </c>
      <c r="AF110" s="106"/>
      <c r="AG110" s="156">
        <f>ROUND((AE110/AE$120)*100,1)</f>
        <v>62.7</v>
      </c>
      <c r="AH110" s="175"/>
      <c r="AI110" s="112">
        <f>AI99+AI104+AI109</f>
        <v>811966</v>
      </c>
      <c r="AJ110" s="106"/>
      <c r="AK110" s="201">
        <f>IF(AE110=0,"0.0 ",ROUND((AI110/AE110)*100,1))</f>
        <v>8.6999999999999993</v>
      </c>
      <c r="AL110" s="175"/>
      <c r="AM110" s="261"/>
      <c r="AN110" s="106"/>
      <c r="AO110" s="112">
        <f>AO99+AO104+AO109</f>
        <v>9366145</v>
      </c>
      <c r="AP110" s="106"/>
      <c r="AQ110" s="201">
        <f>IF(AO110=0,"0.0 ",ROUND((AI110/AO110)*100,1))</f>
        <v>8.6999999999999993</v>
      </c>
    </row>
    <row r="111" spans="3:43" ht="20.100000000000001" customHeight="1" x14ac:dyDescent="0.3">
      <c r="C111" s="99"/>
      <c r="F111" s="172"/>
      <c r="H111" s="172"/>
      <c r="I111" s="172"/>
      <c r="J111" s="181"/>
      <c r="K111" s="181"/>
      <c r="L111" s="110"/>
      <c r="M111" s="110"/>
      <c r="N111" s="141"/>
      <c r="O111" s="141"/>
      <c r="P111" s="110"/>
      <c r="Q111" s="110"/>
      <c r="R111" s="110"/>
      <c r="T111" s="98">
        <f t="shared" si="0"/>
        <v>24</v>
      </c>
      <c r="V111" s="169" t="s">
        <v>450</v>
      </c>
      <c r="Y111" s="112">
        <f>Y96+Y110</f>
        <v>156</v>
      </c>
      <c r="Z111" s="1"/>
      <c r="AA111" s="112">
        <f>AA96+AA110</f>
        <v>185544018.71000001</v>
      </c>
      <c r="AB111" s="1"/>
      <c r="AC111" s="196"/>
      <c r="AD111" s="1"/>
      <c r="AE111" s="112">
        <f>AE96+AE110</f>
        <v>14336211</v>
      </c>
      <c r="AF111" s="1"/>
      <c r="AG111" s="156">
        <f>ROUND((AE111/AE$120)*100,1)</f>
        <v>95.9</v>
      </c>
      <c r="AH111" s="1"/>
      <c r="AI111" s="112">
        <f>AI110+AI96</f>
        <v>1243323</v>
      </c>
      <c r="AJ111" s="1"/>
      <c r="AK111" s="201">
        <f>IF(AE111=0,"0.0 ",ROUND((AI111/AE111)*100,1))</f>
        <v>8.6999999999999993</v>
      </c>
      <c r="AL111" s="1"/>
      <c r="AM111" s="256"/>
      <c r="AN111" s="1"/>
      <c r="AO111" s="112">
        <f>AO110+AO96</f>
        <v>14336211</v>
      </c>
      <c r="AP111" s="1"/>
      <c r="AQ111" s="201">
        <f>IF(AO111=0,"0.0 ",ROUND((AI111/AO111)*100,1))</f>
        <v>8.6999999999999993</v>
      </c>
    </row>
    <row r="112" spans="3:43" x14ac:dyDescent="0.3">
      <c r="C112" s="99"/>
      <c r="F112" s="172"/>
      <c r="H112" s="172"/>
      <c r="I112" s="172"/>
      <c r="J112" s="181"/>
      <c r="K112" s="181"/>
      <c r="L112" s="110"/>
      <c r="M112" s="110"/>
      <c r="N112" s="141"/>
      <c r="O112" s="141"/>
      <c r="P112" s="110"/>
      <c r="Q112" s="110"/>
      <c r="R112" s="110"/>
      <c r="V112" s="99"/>
      <c r="Y112" s="1"/>
      <c r="Z112" s="1"/>
      <c r="AA112" s="1"/>
      <c r="AB112" s="1"/>
      <c r="AC112" s="196"/>
      <c r="AD112" s="1"/>
      <c r="AE112" s="1"/>
      <c r="AF112" s="1"/>
      <c r="AG112" s="154"/>
      <c r="AH112" s="1"/>
      <c r="AI112" s="1"/>
      <c r="AJ112" s="1"/>
      <c r="AK112" s="154"/>
      <c r="AL112" s="1"/>
      <c r="AM112" s="1"/>
      <c r="AN112" s="1"/>
      <c r="AO112" s="1"/>
      <c r="AP112" s="1"/>
      <c r="AQ112" s="154"/>
    </row>
    <row r="113" spans="3:43" x14ac:dyDescent="0.3">
      <c r="C113" s="99"/>
      <c r="F113" s="172"/>
      <c r="H113" s="172"/>
      <c r="I113" s="172"/>
      <c r="J113" s="181"/>
      <c r="K113" s="181"/>
      <c r="L113" s="110"/>
      <c r="M113" s="110"/>
      <c r="N113" s="141"/>
      <c r="O113" s="141"/>
      <c r="P113" s="110"/>
      <c r="Q113" s="110"/>
      <c r="R113" s="110"/>
      <c r="T113" s="98">
        <f t="shared" ref="T113:T118" si="1">A49</f>
        <v>25</v>
      </c>
      <c r="V113" s="124" t="s">
        <v>428</v>
      </c>
      <c r="Y113" s="1"/>
      <c r="Z113" s="1"/>
      <c r="AA113" s="1"/>
      <c r="AB113" s="1"/>
      <c r="AC113" s="196"/>
      <c r="AD113" s="1"/>
      <c r="AE113" s="1"/>
      <c r="AF113" s="1"/>
      <c r="AG113" s="154"/>
      <c r="AH113" s="1"/>
      <c r="AI113" s="1"/>
      <c r="AJ113" s="1"/>
      <c r="AK113" s="154"/>
      <c r="AL113" s="1"/>
      <c r="AM113" s="1"/>
      <c r="AN113" s="1"/>
      <c r="AO113" s="1"/>
      <c r="AP113" s="1"/>
      <c r="AQ113" s="154"/>
    </row>
    <row r="114" spans="3:43" x14ac:dyDescent="0.3">
      <c r="C114" s="99"/>
      <c r="F114" s="172"/>
      <c r="H114" s="172"/>
      <c r="I114" s="172"/>
      <c r="J114" s="181"/>
      <c r="K114" s="181"/>
      <c r="L114" s="110"/>
      <c r="M114" s="110"/>
      <c r="N114" s="141"/>
      <c r="O114" s="141"/>
      <c r="P114" s="110"/>
      <c r="Q114" s="110"/>
      <c r="R114" s="110"/>
      <c r="T114" s="98">
        <f t="shared" si="1"/>
        <v>26</v>
      </c>
      <c r="V114" s="176" t="str">
        <f>C50</f>
        <v>DEMAND SIDE MANAGEMENT RIDER (DSMR)</v>
      </c>
      <c r="Y114" s="1"/>
      <c r="Z114" s="1"/>
      <c r="AA114" s="1"/>
      <c r="AB114" s="1"/>
      <c r="AC114" s="218">
        <f>DSM_TRANS</f>
        <v>5.1400000000000003E-4</v>
      </c>
      <c r="AD114" s="1"/>
      <c r="AE114" s="106">
        <f>ROUND($AA$111*AC114,0)</f>
        <v>95370</v>
      </c>
      <c r="AF114" s="1"/>
      <c r="AG114" s="154">
        <f>ROUND((AE114/AE$120)*100,1)</f>
        <v>0.6</v>
      </c>
      <c r="AH114" s="1"/>
      <c r="AI114" s="106">
        <f>L50-AE114</f>
        <v>0</v>
      </c>
      <c r="AJ114" s="1"/>
      <c r="AK114" s="159">
        <f>IF(AE114=0,"0.0 ",ROUND((AI114/AE114)*100,1))</f>
        <v>0</v>
      </c>
      <c r="AL114" s="1"/>
      <c r="AM114" s="106"/>
      <c r="AN114" s="106"/>
      <c r="AO114" s="106">
        <f>AE114+AM114</f>
        <v>95370</v>
      </c>
      <c r="AP114" s="1"/>
      <c r="AQ114" s="159">
        <f>IF(AO114=0,"0.0 ",ROUND((AI114/AO114)*100,1))</f>
        <v>0</v>
      </c>
    </row>
    <row r="115" spans="3:43" x14ac:dyDescent="0.3">
      <c r="C115" s="99"/>
      <c r="F115" s="172"/>
      <c r="H115" s="172"/>
      <c r="I115" s="172"/>
      <c r="J115" s="181"/>
      <c r="K115" s="181"/>
      <c r="L115" s="110"/>
      <c r="M115" s="110"/>
      <c r="N115" s="141"/>
      <c r="O115" s="141"/>
      <c r="P115" s="110"/>
      <c r="Q115" s="110"/>
      <c r="R115" s="110"/>
      <c r="T115" s="98">
        <f t="shared" si="1"/>
        <v>27</v>
      </c>
      <c r="V115" s="176" t="str">
        <f>C51</f>
        <v>ENVIRONMENTAL SURCHARGE MECHANISM RIDER (ESM)</v>
      </c>
      <c r="Y115" s="1"/>
      <c r="Z115" s="1"/>
      <c r="AA115" s="1"/>
      <c r="AB115" s="1"/>
      <c r="AC115" s="223">
        <f>CUR_ESM_NonRes</f>
        <v>6.3863133253205971E-3</v>
      </c>
      <c r="AD115" s="1"/>
      <c r="AE115" s="106">
        <f>ROUND((AO111-(CUR_BASE_FUEL*AA111)+AO114+AO117)*AC115,0)</f>
        <v>55070</v>
      </c>
      <c r="AF115" s="1"/>
      <c r="AG115" s="154">
        <f>ROUND((AE115/AE$120)*100,1)</f>
        <v>0.4</v>
      </c>
      <c r="AH115" s="1"/>
      <c r="AI115" s="106">
        <f>L51-AE115</f>
        <v>-2105</v>
      </c>
      <c r="AJ115" s="1"/>
      <c r="AK115" s="159">
        <f>IF(AE115=0,"0.0 ",ROUND((AI115/AE115)*100,1))</f>
        <v>-3.8</v>
      </c>
      <c r="AL115" s="1"/>
      <c r="AM115" s="106"/>
      <c r="AN115" s="106"/>
      <c r="AO115" s="106">
        <f>AE115+AM115</f>
        <v>55070</v>
      </c>
      <c r="AP115" s="1"/>
      <c r="AQ115" s="159">
        <f>IF(AO115=0,"0.0 ",ROUND((AI115/AO115)*100,1))</f>
        <v>-3.8</v>
      </c>
    </row>
    <row r="116" spans="3:43" x14ac:dyDescent="0.3">
      <c r="C116" s="99"/>
      <c r="F116" s="172"/>
      <c r="H116" s="172"/>
      <c r="I116" s="172"/>
      <c r="J116" s="181"/>
      <c r="K116" s="181"/>
      <c r="L116" s="110"/>
      <c r="M116" s="110"/>
      <c r="N116" s="141"/>
      <c r="O116" s="141"/>
      <c r="P116" s="110"/>
      <c r="Q116" s="110"/>
      <c r="R116" s="110"/>
      <c r="T116" s="98">
        <f t="shared" si="1"/>
        <v>28</v>
      </c>
      <c r="V116" s="176" t="str">
        <f>C52</f>
        <v>FUEL ADJUSTMENT CLAUSE (FAC)</v>
      </c>
      <c r="Y116" s="1"/>
      <c r="Z116" s="1"/>
      <c r="AA116" s="1"/>
      <c r="AB116" s="1"/>
      <c r="AC116" s="218">
        <f>CUR_FAC</f>
        <v>3.4872127999999998E-3</v>
      </c>
      <c r="AD116" s="1"/>
      <c r="AE116" s="106"/>
      <c r="AF116" s="1"/>
      <c r="AG116" s="154"/>
      <c r="AH116" s="1"/>
      <c r="AI116" s="106"/>
      <c r="AJ116" s="1"/>
      <c r="AK116" s="159"/>
      <c r="AL116" s="1"/>
      <c r="AM116" s="106">
        <f>ROUND(AA111*CUR_FAC,0)</f>
        <v>647031</v>
      </c>
      <c r="AN116" s="106"/>
      <c r="AO116" s="106">
        <f>AE116+AM116</f>
        <v>647031</v>
      </c>
      <c r="AP116" s="1"/>
      <c r="AQ116" s="159">
        <f>IF(AO116=0,"0.0 ",ROUND(((R52-AO116)/AO116)*100,1))</f>
        <v>0</v>
      </c>
    </row>
    <row r="117" spans="3:43" x14ac:dyDescent="0.3">
      <c r="C117" s="99"/>
      <c r="F117" s="172"/>
      <c r="H117" s="172"/>
      <c r="I117" s="172"/>
      <c r="J117" s="181"/>
      <c r="K117" s="181"/>
      <c r="L117" s="110"/>
      <c r="M117" s="110"/>
      <c r="N117" s="141"/>
      <c r="O117" s="141"/>
      <c r="P117" s="110"/>
      <c r="Q117" s="110"/>
      <c r="R117" s="110"/>
      <c r="T117" s="98">
        <f t="shared" si="1"/>
        <v>29</v>
      </c>
      <c r="V117" s="176" t="str">
        <f>C53</f>
        <v>PROFIT SHARING MECHANISM (PSM)</v>
      </c>
      <c r="Y117" s="1"/>
      <c r="Z117" s="1"/>
      <c r="AA117" s="1"/>
      <c r="AB117" s="1"/>
      <c r="AC117" s="218">
        <f>RS_PSM</f>
        <v>2.4750000000000002E-3</v>
      </c>
      <c r="AD117" s="1"/>
      <c r="AE117" s="117">
        <f>ROUND(AA111*RS_PSM,0)</f>
        <v>459221</v>
      </c>
      <c r="AF117" s="1"/>
      <c r="AG117" s="156">
        <f>ROUND((AE117/AE$120)*100,1)</f>
        <v>3.1</v>
      </c>
      <c r="AH117" s="1"/>
      <c r="AI117" s="117">
        <f>L53-AE117</f>
        <v>0</v>
      </c>
      <c r="AJ117" s="1"/>
      <c r="AK117" s="200">
        <f>IF(AE117=0,"0.0 ",ROUND((AI117/AE117)*100,1))</f>
        <v>0</v>
      </c>
      <c r="AL117" s="1"/>
      <c r="AM117" s="117"/>
      <c r="AN117" s="106"/>
      <c r="AO117" s="117">
        <f>AE117+AM117</f>
        <v>459221</v>
      </c>
      <c r="AP117" s="1"/>
      <c r="AQ117" s="200">
        <f>IF(AO117=0,"0.0 ",ROUND((AI117/AO117)*100,1))</f>
        <v>0</v>
      </c>
    </row>
    <row r="118" spans="3:43" x14ac:dyDescent="0.3">
      <c r="C118" s="99"/>
      <c r="F118" s="172"/>
      <c r="H118" s="172"/>
      <c r="I118" s="172"/>
      <c r="J118" s="181"/>
      <c r="K118" s="181"/>
      <c r="L118" s="110"/>
      <c r="M118" s="110"/>
      <c r="N118" s="141"/>
      <c r="O118" s="141"/>
      <c r="P118" s="110"/>
      <c r="Q118" s="110"/>
      <c r="R118" s="110"/>
      <c r="T118" s="98">
        <f t="shared" si="1"/>
        <v>30</v>
      </c>
      <c r="V118" s="124" t="s">
        <v>433</v>
      </c>
      <c r="Y118" s="4"/>
      <c r="Z118" s="1"/>
      <c r="AA118" s="4"/>
      <c r="AB118" s="1"/>
      <c r="AC118" s="218"/>
      <c r="AD118" s="1"/>
      <c r="AE118" s="112">
        <f>SUM(AE114:AE117)</f>
        <v>609661</v>
      </c>
      <c r="AF118" s="1"/>
      <c r="AG118" s="158">
        <f>ROUND((AE118/AE$120)*100,1)</f>
        <v>4.0999999999999996</v>
      </c>
      <c r="AH118" s="1"/>
      <c r="AI118" s="112">
        <f>SUM(AI114:AI117)</f>
        <v>-2105</v>
      </c>
      <c r="AJ118" s="1"/>
      <c r="AK118" s="201">
        <f>IF(AE118=0,"0.0 ",ROUND((AI118/AE118)*100,1))</f>
        <v>-0.3</v>
      </c>
      <c r="AL118" s="1"/>
      <c r="AM118" s="112">
        <f>SUM(AM114:AM117)</f>
        <v>647031</v>
      </c>
      <c r="AN118" s="106"/>
      <c r="AO118" s="112">
        <f>SUM(AO114:AO117)</f>
        <v>1256692</v>
      </c>
      <c r="AP118" s="1"/>
      <c r="AQ118" s="201">
        <f>IF(AO118=0,"0.0 ",ROUND((AI118/AO118)*100,1))</f>
        <v>-0.2</v>
      </c>
    </row>
    <row r="119" spans="3:43" x14ac:dyDescent="0.3">
      <c r="C119" s="99"/>
      <c r="F119" s="172"/>
      <c r="H119" s="172"/>
      <c r="I119" s="172"/>
      <c r="J119" s="181"/>
      <c r="K119" s="181"/>
      <c r="L119" s="110"/>
      <c r="M119" s="110"/>
      <c r="N119" s="141"/>
      <c r="O119" s="141"/>
      <c r="P119" s="110"/>
      <c r="Q119" s="110"/>
      <c r="R119" s="110"/>
      <c r="V119" s="99"/>
      <c r="Y119" s="1"/>
      <c r="Z119" s="1"/>
      <c r="AA119" s="1"/>
      <c r="AB119" s="1"/>
      <c r="AC119" s="1"/>
      <c r="AD119" s="1"/>
      <c r="AE119" s="1"/>
      <c r="AF119" s="1"/>
      <c r="AG119" s="154"/>
      <c r="AH119" s="1"/>
      <c r="AI119" s="1"/>
      <c r="AJ119" s="1"/>
      <c r="AK119" s="154"/>
      <c r="AL119" s="1"/>
      <c r="AM119" s="1"/>
      <c r="AN119" s="1"/>
      <c r="AO119" s="1"/>
      <c r="AP119" s="1"/>
      <c r="AQ119" s="154"/>
    </row>
    <row r="120" spans="3:43" ht="20.100000000000001" customHeight="1" thickBot="1" x14ac:dyDescent="0.35">
      <c r="F120" s="110"/>
      <c r="H120" s="192"/>
      <c r="I120" s="192"/>
      <c r="J120" s="217"/>
      <c r="K120" s="217"/>
      <c r="L120" s="192"/>
      <c r="M120" s="192"/>
      <c r="N120" s="192"/>
      <c r="O120" s="192"/>
      <c r="P120" s="192"/>
      <c r="Q120" s="192"/>
      <c r="R120" s="192"/>
      <c r="T120" s="98">
        <f>A56</f>
        <v>31</v>
      </c>
      <c r="V120" s="169" t="s">
        <v>451</v>
      </c>
      <c r="Y120" s="120">
        <f>Y111</f>
        <v>156</v>
      </c>
      <c r="Z120" s="1"/>
      <c r="AA120" s="120">
        <f>AA111</f>
        <v>185544018.71000001</v>
      </c>
      <c r="AB120" s="106"/>
      <c r="AC120" s="1"/>
      <c r="AD120" s="1"/>
      <c r="AE120" s="120">
        <f>AE111+AE118</f>
        <v>14945872</v>
      </c>
      <c r="AF120" s="106"/>
      <c r="AG120" s="162">
        <v>100</v>
      </c>
      <c r="AH120" s="175"/>
      <c r="AI120" s="120">
        <f>AI111+AI118</f>
        <v>1241218</v>
      </c>
      <c r="AJ120" s="106"/>
      <c r="AK120" s="206">
        <f>IF(AE120=0,"0.0 ",ROUND((AI120/AE120)*100,1))</f>
        <v>8.3000000000000007</v>
      </c>
      <c r="AL120" s="175"/>
      <c r="AM120" s="120">
        <f>AM111+AM118</f>
        <v>647031</v>
      </c>
      <c r="AN120" s="147"/>
      <c r="AO120" s="120">
        <f>AO111+AO118</f>
        <v>15592903</v>
      </c>
      <c r="AP120" s="106"/>
      <c r="AQ120" s="206">
        <f>IF(AO120=0,"0.0 ",ROUND((AI120/AO120)*100,1))</f>
        <v>8</v>
      </c>
    </row>
    <row r="121" spans="3:43" ht="16.2" thickTop="1" x14ac:dyDescent="0.3">
      <c r="F121" s="110"/>
      <c r="H121" s="192"/>
      <c r="I121" s="192"/>
      <c r="J121" s="217"/>
      <c r="K121" s="217"/>
      <c r="L121" s="192"/>
      <c r="M121" s="192"/>
      <c r="N121" s="192"/>
      <c r="O121" s="192"/>
      <c r="P121" s="192"/>
      <c r="Q121" s="192"/>
      <c r="R121" s="192"/>
      <c r="Y121" s="1"/>
      <c r="Z121" s="1"/>
      <c r="AA121" s="1"/>
      <c r="AB121" s="1"/>
      <c r="AC121" s="1"/>
      <c r="AD121" s="1"/>
      <c r="AE121" s="1"/>
      <c r="AF121" s="1"/>
      <c r="AG121" s="154"/>
      <c r="AH121" s="1"/>
      <c r="AI121" s="1"/>
      <c r="AJ121" s="1"/>
      <c r="AK121" s="154"/>
      <c r="AL121" s="1"/>
      <c r="AM121" s="1"/>
      <c r="AN121" s="1"/>
      <c r="AO121" s="1"/>
      <c r="AP121" s="1"/>
      <c r="AQ121" s="154"/>
    </row>
    <row r="122" spans="3:43" x14ac:dyDescent="0.3">
      <c r="C122" s="99"/>
      <c r="F122" s="110"/>
      <c r="H122" s="110"/>
      <c r="I122" s="110"/>
      <c r="J122" s="217"/>
      <c r="K122" s="217"/>
      <c r="L122" s="110"/>
      <c r="M122" s="110"/>
      <c r="N122" s="110"/>
      <c r="O122" s="110"/>
      <c r="P122" s="110"/>
      <c r="Q122" s="110"/>
      <c r="R122" s="110"/>
      <c r="V122" s="178" t="s">
        <v>59</v>
      </c>
      <c r="AE122" s="110"/>
      <c r="AF122" s="110"/>
      <c r="AH122" s="110"/>
      <c r="AM122" s="110"/>
      <c r="AN122" s="110"/>
      <c r="AO122" s="110"/>
      <c r="AP122" s="110"/>
    </row>
    <row r="123" spans="3:43" x14ac:dyDescent="0.3">
      <c r="C123" s="99"/>
      <c r="F123" s="110"/>
      <c r="H123" s="110"/>
      <c r="I123" s="110"/>
      <c r="J123" s="217"/>
      <c r="K123" s="217"/>
      <c r="L123" s="110"/>
      <c r="M123" s="110"/>
      <c r="N123" s="110"/>
      <c r="O123" s="110"/>
      <c r="P123" s="110"/>
      <c r="Q123" s="110"/>
      <c r="R123" s="110"/>
      <c r="V123" s="178" t="str">
        <f>"(2) REFLECTS FUEL COMPONENT OF "&amp;TEXT(CUR_FAC,"$0.000000;($0.000000)")&amp;"  PER KWH."</f>
        <v>(2) REFLECTS FUEL COMPONENT OF $0.003487  PER KWH.</v>
      </c>
      <c r="AE123" s="110"/>
      <c r="AF123" s="110"/>
      <c r="AH123" s="110"/>
      <c r="AM123" s="110"/>
      <c r="AN123" s="110"/>
      <c r="AO123" s="110"/>
      <c r="AP123" s="110"/>
    </row>
    <row r="124" spans="3:43" x14ac:dyDescent="0.3">
      <c r="C124" s="99"/>
      <c r="F124" s="110"/>
      <c r="H124" s="172"/>
      <c r="I124" s="172"/>
      <c r="J124" s="228"/>
      <c r="K124" s="228"/>
      <c r="L124" s="110"/>
      <c r="M124" s="110"/>
      <c r="N124" s="141"/>
      <c r="O124" s="141"/>
      <c r="P124" s="110"/>
      <c r="Q124" s="110"/>
      <c r="R124" s="110"/>
      <c r="T124" s="99"/>
      <c r="V124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25" spans="3:43" x14ac:dyDescent="0.3">
      <c r="C125" s="99"/>
      <c r="H125" s="172"/>
      <c r="I125" s="172"/>
      <c r="J125" s="228"/>
      <c r="K125" s="228"/>
      <c r="L125" s="110"/>
      <c r="M125" s="110"/>
      <c r="N125" s="141"/>
      <c r="O125" s="141"/>
      <c r="P125" s="110"/>
      <c r="Q125" s="110"/>
      <c r="R125" s="110"/>
      <c r="T125" s="99"/>
      <c r="V125" s="172"/>
      <c r="Y125" s="172"/>
      <c r="Z125" s="227"/>
      <c r="AA125" s="110"/>
      <c r="AB125" s="110"/>
      <c r="AC125" s="141"/>
      <c r="AD125" s="141"/>
      <c r="AE125" s="110"/>
      <c r="AF125" s="110"/>
      <c r="AH125" s="141"/>
      <c r="AI125" s="110"/>
      <c r="AJ125" s="110"/>
      <c r="AL125" s="110"/>
      <c r="AM125" s="141"/>
      <c r="AN125" s="141"/>
    </row>
    <row r="126" spans="3:43" x14ac:dyDescent="0.3">
      <c r="F126" s="110"/>
      <c r="H126" s="110"/>
      <c r="I126" s="110"/>
      <c r="J126" s="217"/>
      <c r="K126" s="217"/>
      <c r="L126" s="192"/>
      <c r="M126" s="192"/>
      <c r="N126" s="192"/>
      <c r="O126" s="192"/>
      <c r="P126" s="192"/>
      <c r="Q126" s="192"/>
      <c r="R126" s="192"/>
      <c r="T126" s="99"/>
      <c r="V126" s="172"/>
      <c r="Y126" s="110"/>
      <c r="Z126" s="181"/>
      <c r="AA126" s="110"/>
      <c r="AB126" s="110"/>
      <c r="AC126" s="141"/>
      <c r="AD126" s="141"/>
      <c r="AE126" s="110"/>
      <c r="AF126" s="110"/>
      <c r="AH126" s="207"/>
      <c r="AI126" s="110"/>
      <c r="AJ126" s="110"/>
      <c r="AL126" s="110"/>
      <c r="AM126" s="141"/>
      <c r="AN126" s="141"/>
    </row>
    <row r="127" spans="3:43" x14ac:dyDescent="0.3">
      <c r="C127" s="99"/>
      <c r="F127" s="110"/>
      <c r="H127" s="110"/>
      <c r="I127" s="110"/>
      <c r="J127" s="198"/>
      <c r="K127" s="198"/>
      <c r="L127" s="110"/>
      <c r="M127" s="110"/>
      <c r="N127" s="141"/>
      <c r="O127" s="141"/>
      <c r="P127" s="110"/>
      <c r="Q127" s="110"/>
      <c r="R127" s="110"/>
      <c r="T127" s="99"/>
      <c r="V127" s="172"/>
      <c r="Y127" s="110"/>
      <c r="Z127" s="181"/>
      <c r="AA127" s="110"/>
      <c r="AB127" s="110"/>
      <c r="AC127" s="141"/>
      <c r="AD127" s="141"/>
      <c r="AE127" s="110"/>
      <c r="AF127" s="110"/>
      <c r="AH127" s="207"/>
      <c r="AI127" s="110"/>
      <c r="AJ127" s="110"/>
      <c r="AL127" s="110"/>
      <c r="AM127" s="141"/>
      <c r="AN127" s="141"/>
    </row>
    <row r="128" spans="3:43" x14ac:dyDescent="0.3">
      <c r="F128" s="110"/>
      <c r="H128" s="110"/>
      <c r="I128" s="110"/>
      <c r="J128" s="217"/>
      <c r="K128" s="217"/>
      <c r="L128" s="192"/>
      <c r="M128" s="192"/>
      <c r="N128" s="192"/>
      <c r="O128" s="192"/>
      <c r="P128" s="192"/>
      <c r="Q128" s="192"/>
      <c r="R128" s="192"/>
      <c r="V128" s="110"/>
      <c r="Y128" s="192"/>
      <c r="Z128" s="217"/>
      <c r="AA128" s="192"/>
      <c r="AB128" s="192"/>
      <c r="AC128" s="192"/>
      <c r="AD128" s="192"/>
      <c r="AE128" s="192"/>
      <c r="AF128" s="192"/>
      <c r="AI128" s="192"/>
      <c r="AJ128" s="192"/>
      <c r="AK128" s="194"/>
      <c r="AL128" s="192"/>
      <c r="AM128" s="141"/>
      <c r="AN128" s="141"/>
    </row>
    <row r="129" spans="1:40" x14ac:dyDescent="0.3">
      <c r="C129" s="99"/>
      <c r="F129" s="110"/>
      <c r="H129" s="110"/>
      <c r="I129" s="110"/>
      <c r="J129" s="198"/>
      <c r="K129" s="198"/>
      <c r="L129" s="110"/>
      <c r="M129" s="110"/>
      <c r="N129" s="141"/>
      <c r="O129" s="141"/>
      <c r="P129" s="110"/>
      <c r="Q129" s="110"/>
      <c r="R129" s="110"/>
      <c r="T129" s="99"/>
      <c r="V129" s="110"/>
      <c r="Y129" s="110"/>
      <c r="Z129" s="217"/>
      <c r="AA129" s="110"/>
      <c r="AB129" s="110"/>
      <c r="AC129" s="141"/>
      <c r="AD129" s="141"/>
      <c r="AE129" s="110"/>
      <c r="AF129" s="110"/>
      <c r="AH129" s="207"/>
      <c r="AI129" s="110"/>
      <c r="AJ129" s="110"/>
      <c r="AL129" s="110"/>
      <c r="AM129" s="141"/>
      <c r="AN129" s="141"/>
    </row>
    <row r="130" spans="1:40" x14ac:dyDescent="0.3">
      <c r="C130" s="99"/>
      <c r="F130" s="172"/>
      <c r="H130" s="172"/>
      <c r="I130" s="172"/>
      <c r="J130" s="222"/>
      <c r="K130" s="222"/>
      <c r="L130" s="110"/>
      <c r="M130" s="110"/>
      <c r="N130" s="141"/>
      <c r="O130" s="141"/>
      <c r="P130" s="110"/>
      <c r="Q130" s="110"/>
      <c r="R130" s="110"/>
      <c r="V130" s="110"/>
      <c r="Y130" s="192"/>
      <c r="Z130" s="217"/>
      <c r="AA130" s="192"/>
      <c r="AB130" s="192"/>
      <c r="AC130" s="192"/>
      <c r="AD130" s="192"/>
      <c r="AE130" s="192"/>
      <c r="AF130" s="192"/>
      <c r="AI130" s="192"/>
      <c r="AJ130" s="192"/>
      <c r="AK130" s="194"/>
      <c r="AL130" s="192"/>
      <c r="AM130" s="141"/>
      <c r="AN130" s="141"/>
    </row>
    <row r="131" spans="1:40" x14ac:dyDescent="0.3">
      <c r="F131" s="192"/>
      <c r="H131" s="192"/>
      <c r="I131" s="192"/>
      <c r="J131" s="217"/>
      <c r="K131" s="217"/>
      <c r="L131" s="192"/>
      <c r="M131" s="192"/>
      <c r="N131" s="192"/>
      <c r="O131" s="192"/>
      <c r="P131" s="192"/>
      <c r="Q131" s="192"/>
      <c r="R131" s="192"/>
      <c r="T131" s="99"/>
      <c r="V131" s="110"/>
      <c r="Y131" s="110"/>
      <c r="Z131" s="217"/>
      <c r="AA131" s="110"/>
      <c r="AB131" s="110"/>
      <c r="AC131" s="110"/>
      <c r="AD131" s="110"/>
      <c r="AE131" s="110"/>
      <c r="AF131" s="110"/>
      <c r="AH131" s="207"/>
      <c r="AI131" s="110"/>
      <c r="AJ131" s="110"/>
      <c r="AL131" s="110"/>
      <c r="AM131" s="141"/>
      <c r="AN131" s="141"/>
    </row>
    <row r="132" spans="1:40" x14ac:dyDescent="0.3">
      <c r="C132" s="99"/>
      <c r="F132" s="110"/>
      <c r="H132" s="110"/>
      <c r="I132" s="110"/>
      <c r="J132" s="217"/>
      <c r="K132" s="217"/>
      <c r="L132" s="110"/>
      <c r="M132" s="110"/>
      <c r="N132" s="141"/>
      <c r="O132" s="141"/>
      <c r="P132" s="110"/>
      <c r="Q132" s="110"/>
      <c r="R132" s="110"/>
      <c r="S132" s="110"/>
      <c r="T132" s="99"/>
      <c r="V132" s="110"/>
      <c r="Y132" s="110"/>
      <c r="Z132" s="228"/>
      <c r="AA132" s="110"/>
      <c r="AB132" s="110"/>
      <c r="AC132" s="141"/>
      <c r="AD132" s="141"/>
      <c r="AE132" s="110"/>
      <c r="AF132" s="110"/>
      <c r="AH132" s="207"/>
      <c r="AI132" s="110"/>
      <c r="AJ132" s="110"/>
      <c r="AL132" s="110"/>
      <c r="AM132" s="141"/>
      <c r="AN132" s="141"/>
    </row>
    <row r="133" spans="1:40" x14ac:dyDescent="0.3">
      <c r="F133" s="192"/>
      <c r="H133" s="192"/>
      <c r="I133" s="192"/>
      <c r="J133" s="217"/>
      <c r="K133" s="217"/>
      <c r="L133" s="192"/>
      <c r="M133" s="192"/>
      <c r="N133" s="192"/>
      <c r="O133" s="192"/>
      <c r="P133" s="192"/>
      <c r="Q133" s="192"/>
      <c r="R133" s="192"/>
      <c r="S133" s="110"/>
      <c r="T133" s="99"/>
      <c r="Y133" s="110"/>
      <c r="Z133" s="228"/>
      <c r="AA133" s="110"/>
      <c r="AB133" s="110"/>
      <c r="AC133" s="141"/>
      <c r="AD133" s="141"/>
      <c r="AE133" s="110"/>
      <c r="AF133" s="110"/>
      <c r="AH133" s="207"/>
      <c r="AI133" s="110"/>
      <c r="AJ133" s="110"/>
      <c r="AL133" s="110"/>
      <c r="AM133" s="141"/>
      <c r="AN133" s="141"/>
    </row>
    <row r="134" spans="1:40" x14ac:dyDescent="0.3">
      <c r="C134" s="99"/>
      <c r="V134" s="110"/>
      <c r="Y134" s="110"/>
      <c r="Z134" s="217"/>
      <c r="AA134" s="192"/>
      <c r="AB134" s="192"/>
      <c r="AC134" s="192"/>
      <c r="AD134" s="192"/>
      <c r="AE134" s="192"/>
      <c r="AF134" s="192"/>
      <c r="AI134" s="192"/>
      <c r="AJ134" s="192"/>
      <c r="AK134" s="194"/>
      <c r="AL134" s="192"/>
      <c r="AM134" s="141"/>
      <c r="AN134" s="141"/>
    </row>
    <row r="135" spans="1:40" x14ac:dyDescent="0.3">
      <c r="C135" s="99"/>
      <c r="F135" s="110"/>
      <c r="H135" s="110"/>
      <c r="I135" s="110"/>
      <c r="L135" s="110"/>
      <c r="M135" s="110"/>
      <c r="N135" s="141"/>
      <c r="O135" s="141"/>
      <c r="P135" s="172"/>
      <c r="Q135" s="172"/>
      <c r="R135" s="110"/>
      <c r="T135" s="99"/>
      <c r="V135" s="110"/>
      <c r="Y135" s="110"/>
      <c r="Z135" s="198"/>
      <c r="AA135" s="110"/>
      <c r="AB135" s="110"/>
      <c r="AC135" s="141"/>
      <c r="AD135" s="141"/>
      <c r="AE135" s="110"/>
      <c r="AF135" s="110"/>
      <c r="AH135" s="207"/>
      <c r="AI135" s="110"/>
      <c r="AJ135" s="110"/>
      <c r="AL135" s="110"/>
      <c r="AM135" s="141"/>
      <c r="AN135" s="141"/>
    </row>
    <row r="136" spans="1:40" x14ac:dyDescent="0.3">
      <c r="F136" s="192"/>
      <c r="H136" s="192"/>
      <c r="I136" s="192"/>
      <c r="J136" s="217"/>
      <c r="K136" s="217"/>
      <c r="L136" s="192"/>
      <c r="M136" s="192"/>
      <c r="N136" s="192"/>
      <c r="O136" s="192"/>
      <c r="P136" s="192"/>
      <c r="Q136" s="192"/>
      <c r="R136" s="192"/>
      <c r="V136" s="110"/>
      <c r="Y136" s="110"/>
      <c r="Z136" s="217"/>
      <c r="AA136" s="192"/>
      <c r="AB136" s="192"/>
      <c r="AC136" s="192"/>
      <c r="AD136" s="192"/>
      <c r="AE136" s="192"/>
      <c r="AF136" s="192"/>
      <c r="AI136" s="192"/>
      <c r="AJ136" s="192"/>
      <c r="AK136" s="194"/>
      <c r="AL136" s="192"/>
      <c r="AM136" s="141"/>
      <c r="AN136" s="141"/>
    </row>
    <row r="137" spans="1:40" x14ac:dyDescent="0.3">
      <c r="T137" s="99"/>
      <c r="V137" s="110"/>
      <c r="Y137" s="110"/>
      <c r="Z137" s="198"/>
      <c r="AA137" s="110"/>
      <c r="AB137" s="110"/>
      <c r="AC137" s="141"/>
      <c r="AD137" s="141"/>
      <c r="AE137" s="110"/>
      <c r="AF137" s="110"/>
      <c r="AH137" s="207"/>
      <c r="AI137" s="110"/>
      <c r="AJ137" s="110"/>
      <c r="AL137" s="110"/>
      <c r="AM137" s="141"/>
      <c r="AN137" s="141"/>
    </row>
    <row r="138" spans="1:40" x14ac:dyDescent="0.3">
      <c r="C138" s="99"/>
      <c r="L138" s="110"/>
      <c r="M138" s="110"/>
      <c r="N138" s="110"/>
      <c r="O138" s="110"/>
      <c r="P138" s="110"/>
      <c r="Q138" s="110"/>
      <c r="R138" s="110"/>
      <c r="S138" s="110"/>
      <c r="T138" s="99"/>
      <c r="V138" s="172"/>
      <c r="Y138" s="110"/>
      <c r="Z138" s="222"/>
      <c r="AA138" s="110"/>
      <c r="AB138" s="110"/>
      <c r="AC138" s="141"/>
      <c r="AD138" s="141"/>
      <c r="AE138" s="110"/>
      <c r="AF138" s="110"/>
      <c r="AH138" s="207"/>
      <c r="AI138" s="110"/>
      <c r="AJ138" s="110"/>
      <c r="AL138" s="110"/>
      <c r="AM138" s="141"/>
      <c r="AN138" s="141"/>
    </row>
    <row r="139" spans="1:40" x14ac:dyDescent="0.3">
      <c r="A139" s="99"/>
      <c r="V139" s="192"/>
      <c r="Y139" s="192"/>
      <c r="Z139" s="217"/>
      <c r="AA139" s="192"/>
      <c r="AB139" s="192"/>
      <c r="AC139" s="192"/>
      <c r="AD139" s="192"/>
      <c r="AE139" s="192"/>
      <c r="AF139" s="192"/>
      <c r="AI139" s="192"/>
      <c r="AJ139" s="192"/>
      <c r="AK139" s="194"/>
      <c r="AL139" s="192"/>
      <c r="AM139" s="141"/>
      <c r="AN139" s="141"/>
    </row>
    <row r="140" spans="1:40" x14ac:dyDescent="0.3">
      <c r="T140" s="99"/>
      <c r="V140" s="110"/>
      <c r="Y140" s="110"/>
      <c r="Z140" s="217"/>
      <c r="AA140" s="110"/>
      <c r="AB140" s="110"/>
      <c r="AC140" s="141"/>
      <c r="AD140" s="141"/>
      <c r="AE140" s="110"/>
      <c r="AF140" s="110"/>
      <c r="AH140" s="141"/>
      <c r="AI140" s="110"/>
      <c r="AJ140" s="110"/>
      <c r="AL140" s="110"/>
      <c r="AM140" s="141"/>
      <c r="AN140" s="141"/>
    </row>
    <row r="141" spans="1:40" x14ac:dyDescent="0.3">
      <c r="H141" s="99"/>
      <c r="I141" s="99"/>
      <c r="V141" s="192"/>
      <c r="Y141" s="192"/>
      <c r="Z141" s="217"/>
      <c r="AA141" s="192"/>
      <c r="AB141" s="192"/>
      <c r="AC141" s="192"/>
      <c r="AD141" s="192"/>
      <c r="AE141" s="192"/>
      <c r="AF141" s="192"/>
      <c r="AI141" s="192"/>
      <c r="AJ141" s="192"/>
      <c r="AK141" s="194"/>
      <c r="AL141" s="192"/>
      <c r="AM141" s="141"/>
      <c r="AN141" s="141"/>
    </row>
    <row r="142" spans="1:40" x14ac:dyDescent="0.3">
      <c r="T142" s="99"/>
    </row>
    <row r="143" spans="1:40" x14ac:dyDescent="0.3">
      <c r="L143" s="99"/>
      <c r="M143" s="99"/>
      <c r="AA143" s="99"/>
      <c r="AB143" s="99"/>
    </row>
    <row r="144" spans="1:40" x14ac:dyDescent="0.3">
      <c r="R144" s="99"/>
      <c r="AK144" s="190"/>
      <c r="AL144" s="99"/>
    </row>
    <row r="145" spans="1:40" x14ac:dyDescent="0.3">
      <c r="R145" s="99"/>
      <c r="AK145" s="190"/>
      <c r="AL145" s="99"/>
    </row>
    <row r="146" spans="1:40" x14ac:dyDescent="0.3">
      <c r="A146" s="99"/>
      <c r="R146" s="99"/>
      <c r="AK146" s="190"/>
      <c r="AL146" s="99"/>
    </row>
    <row r="147" spans="1:40" x14ac:dyDescent="0.3">
      <c r="L147" s="99"/>
      <c r="M147" s="99"/>
      <c r="AA147" s="99"/>
      <c r="AB147" s="99"/>
    </row>
    <row r="148" spans="1:40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91"/>
      <c r="AH148" s="101"/>
      <c r="AI148" s="101"/>
      <c r="AJ148" s="101"/>
      <c r="AK148" s="191"/>
      <c r="AL148" s="101"/>
      <c r="AM148" s="101"/>
      <c r="AN148" s="101"/>
    </row>
    <row r="149" spans="1:40" x14ac:dyDescent="0.3">
      <c r="L149" s="102"/>
      <c r="M149" s="102"/>
      <c r="N149" s="102"/>
      <c r="O149" s="102"/>
      <c r="R149" s="102"/>
      <c r="AA149" s="102"/>
      <c r="AB149" s="102"/>
      <c r="AC149" s="102"/>
      <c r="AD149" s="102"/>
      <c r="AE149" s="102"/>
      <c r="AF149" s="102"/>
      <c r="AG149" s="151"/>
      <c r="AH149" s="102"/>
      <c r="AK149" s="151"/>
      <c r="AL149" s="102"/>
      <c r="AM149" s="102"/>
      <c r="AN149" s="102"/>
    </row>
    <row r="150" spans="1:40" x14ac:dyDescent="0.3">
      <c r="L150" s="102"/>
      <c r="M150" s="102"/>
      <c r="N150" s="102"/>
      <c r="O150" s="102"/>
      <c r="R150" s="102"/>
      <c r="Z150" s="102"/>
      <c r="AA150" s="102"/>
      <c r="AB150" s="102"/>
      <c r="AC150" s="102"/>
      <c r="AD150" s="102"/>
      <c r="AE150" s="102"/>
      <c r="AF150" s="102"/>
      <c r="AG150" s="151"/>
      <c r="AH150" s="102"/>
      <c r="AK150" s="151"/>
      <c r="AL150" s="102"/>
      <c r="AM150" s="102"/>
      <c r="AN150" s="102"/>
    </row>
    <row r="151" spans="1:40" x14ac:dyDescent="0.3">
      <c r="A151" s="102"/>
      <c r="C151" s="102"/>
      <c r="D151" s="102"/>
      <c r="E151" s="102"/>
      <c r="F151" s="102"/>
      <c r="J151" s="102"/>
      <c r="K151" s="102"/>
      <c r="L151" s="102"/>
      <c r="M151" s="102"/>
      <c r="N151" s="102"/>
      <c r="O151" s="102"/>
      <c r="P151" s="102"/>
      <c r="Q151" s="102"/>
      <c r="R151" s="102"/>
      <c r="T151" s="102"/>
      <c r="U151" s="102"/>
      <c r="V151" s="102"/>
      <c r="Z151" s="102"/>
      <c r="AA151" s="102"/>
      <c r="AB151" s="102"/>
      <c r="AC151" s="102"/>
      <c r="AD151" s="102"/>
      <c r="AE151" s="102"/>
      <c r="AF151" s="102"/>
      <c r="AG151" s="151"/>
      <c r="AH151" s="102"/>
      <c r="AI151" s="102"/>
      <c r="AJ151" s="102"/>
      <c r="AK151" s="151"/>
      <c r="AL151" s="102"/>
      <c r="AM151" s="102"/>
      <c r="AN151" s="102"/>
    </row>
    <row r="152" spans="1:40" x14ac:dyDescent="0.3">
      <c r="A152" s="102"/>
      <c r="C152" s="102"/>
      <c r="D152" s="102"/>
      <c r="E152" s="102"/>
      <c r="F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T152" s="102"/>
      <c r="U152" s="102"/>
      <c r="V152" s="102"/>
      <c r="Y152" s="102"/>
      <c r="Z152" s="102"/>
      <c r="AA152" s="102"/>
      <c r="AB152" s="102"/>
      <c r="AC152" s="102"/>
      <c r="AD152" s="102"/>
      <c r="AE152" s="102"/>
      <c r="AF152" s="102"/>
      <c r="AG152" s="151"/>
      <c r="AH152" s="102"/>
      <c r="AI152" s="102"/>
      <c r="AJ152" s="102"/>
      <c r="AK152" s="151"/>
      <c r="AL152" s="102"/>
      <c r="AM152" s="102"/>
      <c r="AN152" s="102"/>
    </row>
    <row r="153" spans="1:40" x14ac:dyDescent="0.3">
      <c r="C153" s="102"/>
      <c r="D153" s="102"/>
      <c r="E153" s="102"/>
      <c r="F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T153" s="102"/>
      <c r="U153" s="102"/>
      <c r="V153" s="102"/>
      <c r="Y153" s="102"/>
      <c r="Z153" s="102"/>
      <c r="AA153" s="102"/>
      <c r="AB153" s="102"/>
      <c r="AC153" s="102"/>
      <c r="AD153" s="102"/>
      <c r="AE153" s="102"/>
      <c r="AF153" s="102"/>
      <c r="AG153" s="151"/>
      <c r="AH153" s="102"/>
      <c r="AI153" s="102"/>
      <c r="AJ153" s="102"/>
      <c r="AK153" s="151"/>
      <c r="AL153" s="102"/>
      <c r="AM153" s="102"/>
      <c r="AN153" s="102"/>
    </row>
    <row r="154" spans="1:40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91"/>
      <c r="AH154" s="101"/>
      <c r="AI154" s="101"/>
      <c r="AJ154" s="101"/>
      <c r="AK154" s="191"/>
      <c r="AL154" s="101"/>
      <c r="AM154" s="101"/>
      <c r="AN154" s="101"/>
    </row>
    <row r="155" spans="1:40" x14ac:dyDescent="0.3"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Y155" s="102"/>
      <c r="Z155" s="102"/>
      <c r="AA155" s="102"/>
      <c r="AB155" s="102"/>
      <c r="AC155" s="102"/>
      <c r="AD155" s="102"/>
      <c r="AE155" s="102"/>
      <c r="AF155" s="102"/>
      <c r="AG155" s="151"/>
      <c r="AH155" s="102"/>
      <c r="AI155" s="102"/>
      <c r="AJ155" s="102"/>
      <c r="AK155" s="151"/>
      <c r="AL155" s="102"/>
      <c r="AM155" s="102"/>
      <c r="AN155" s="102"/>
    </row>
    <row r="156" spans="1:40" x14ac:dyDescent="0.3">
      <c r="C156" s="99"/>
      <c r="D156" s="99"/>
      <c r="E156" s="99"/>
      <c r="T156" s="99"/>
      <c r="U156" s="99"/>
    </row>
    <row r="157" spans="1:40" x14ac:dyDescent="0.3">
      <c r="D157" s="99"/>
      <c r="E157" s="99"/>
      <c r="U157" s="99"/>
    </row>
    <row r="159" spans="1:40" x14ac:dyDescent="0.3">
      <c r="C159" s="99"/>
      <c r="F159" s="172"/>
      <c r="H159" s="172"/>
      <c r="I159" s="172"/>
      <c r="J159" s="181"/>
      <c r="K159" s="181"/>
      <c r="L159" s="110"/>
      <c r="M159" s="110"/>
      <c r="N159" s="141"/>
      <c r="O159" s="141"/>
      <c r="R159" s="110"/>
      <c r="T159" s="99"/>
      <c r="V159" s="110"/>
      <c r="Y159" s="172"/>
      <c r="Z159" s="181"/>
      <c r="AA159" s="110"/>
      <c r="AB159" s="110"/>
      <c r="AC159" s="141"/>
      <c r="AD159" s="141"/>
      <c r="AE159" s="110"/>
      <c r="AF159" s="110"/>
      <c r="AG159" s="224"/>
      <c r="AH159" s="225"/>
      <c r="AL159" s="110"/>
      <c r="AM159" s="226"/>
      <c r="AN159" s="226"/>
    </row>
    <row r="160" spans="1:40" x14ac:dyDescent="0.3">
      <c r="C160" s="99"/>
      <c r="F160" s="172"/>
      <c r="H160" s="172"/>
      <c r="I160" s="172"/>
      <c r="J160" s="181"/>
      <c r="K160" s="181"/>
      <c r="L160" s="110"/>
      <c r="M160" s="110"/>
      <c r="N160" s="141"/>
      <c r="O160" s="141"/>
      <c r="R160" s="110"/>
      <c r="T160" s="99"/>
      <c r="V160" s="110"/>
      <c r="Y160" s="172"/>
      <c r="Z160" s="181"/>
      <c r="AA160" s="110"/>
      <c r="AB160" s="110"/>
      <c r="AC160" s="141"/>
      <c r="AD160" s="141"/>
      <c r="AE160" s="110"/>
      <c r="AF160" s="110"/>
      <c r="AH160" s="207"/>
      <c r="AL160" s="110"/>
      <c r="AM160" s="141"/>
      <c r="AN160" s="141"/>
    </row>
    <row r="161" spans="3:40" x14ac:dyDescent="0.3">
      <c r="F161" s="192"/>
      <c r="H161" s="110"/>
      <c r="I161" s="110"/>
      <c r="J161" s="217"/>
      <c r="K161" s="217"/>
      <c r="L161" s="192"/>
      <c r="M161" s="192"/>
      <c r="N161" s="192"/>
      <c r="O161" s="192"/>
      <c r="P161" s="192"/>
      <c r="Q161" s="192"/>
      <c r="R161" s="192"/>
      <c r="V161" s="192"/>
      <c r="Y161" s="110"/>
      <c r="Z161" s="217"/>
      <c r="AA161" s="192"/>
      <c r="AB161" s="192"/>
      <c r="AC161" s="192"/>
      <c r="AD161" s="192"/>
      <c r="AE161" s="192"/>
      <c r="AF161" s="192"/>
      <c r="AI161" s="192"/>
      <c r="AJ161" s="192"/>
      <c r="AK161" s="194"/>
      <c r="AL161" s="192"/>
      <c r="AM161" s="141"/>
      <c r="AN161" s="141"/>
    </row>
    <row r="162" spans="3:40" x14ac:dyDescent="0.3">
      <c r="C162" s="99"/>
      <c r="F162" s="110"/>
      <c r="H162" s="110"/>
      <c r="I162" s="110"/>
      <c r="J162" s="217"/>
      <c r="K162" s="217"/>
      <c r="L162" s="110"/>
      <c r="M162" s="110"/>
      <c r="N162" s="141"/>
      <c r="O162" s="141"/>
      <c r="P162" s="110"/>
      <c r="Q162" s="110"/>
      <c r="R162" s="110"/>
      <c r="T162" s="99"/>
      <c r="V162" s="110"/>
      <c r="Y162" s="110"/>
      <c r="Z162" s="198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3:40" x14ac:dyDescent="0.3">
      <c r="F163" s="192"/>
      <c r="H163" s="110"/>
      <c r="I163" s="110"/>
      <c r="J163" s="217"/>
      <c r="K163" s="217"/>
      <c r="L163" s="192"/>
      <c r="M163" s="192"/>
      <c r="N163" s="192"/>
      <c r="O163" s="192"/>
      <c r="P163" s="192"/>
      <c r="Q163" s="192"/>
      <c r="R163" s="192"/>
      <c r="V163" s="192"/>
      <c r="Y163" s="110"/>
      <c r="Z163" s="217"/>
      <c r="AA163" s="192"/>
      <c r="AB163" s="192"/>
      <c r="AC163" s="192"/>
      <c r="AD163" s="192"/>
      <c r="AE163" s="192"/>
      <c r="AF163" s="192"/>
      <c r="AI163" s="192"/>
      <c r="AJ163" s="192"/>
      <c r="AK163" s="194"/>
      <c r="AL163" s="192"/>
      <c r="AM163" s="141"/>
      <c r="AN163" s="141"/>
    </row>
    <row r="164" spans="3:40" x14ac:dyDescent="0.3">
      <c r="F164" s="110"/>
      <c r="H164" s="110"/>
      <c r="I164" s="110"/>
      <c r="J164" s="217"/>
      <c r="K164" s="217"/>
      <c r="L164" s="110"/>
      <c r="M164" s="110"/>
      <c r="N164" s="141"/>
      <c r="O164" s="141"/>
      <c r="P164" s="110"/>
      <c r="Q164" s="110"/>
      <c r="R164" s="110"/>
      <c r="V164" s="110"/>
      <c r="Y164" s="110"/>
      <c r="Z164" s="198"/>
      <c r="AA164" s="110"/>
      <c r="AB164" s="110"/>
      <c r="AC164" s="141"/>
      <c r="AD164" s="141"/>
      <c r="AE164" s="110"/>
      <c r="AF164" s="110"/>
      <c r="AH164" s="207"/>
      <c r="AI164" s="110"/>
      <c r="AJ164" s="110"/>
      <c r="AL164" s="110"/>
      <c r="AM164" s="141"/>
      <c r="AN164" s="141"/>
    </row>
    <row r="165" spans="3:40" x14ac:dyDescent="0.3">
      <c r="C165" s="99"/>
      <c r="F165" s="172"/>
      <c r="H165" s="172"/>
      <c r="I165" s="172"/>
      <c r="J165" s="181"/>
      <c r="K165" s="181"/>
      <c r="L165" s="110"/>
      <c r="M165" s="110"/>
      <c r="N165" s="141"/>
      <c r="O165" s="141"/>
      <c r="P165" s="110"/>
      <c r="Q165" s="110"/>
      <c r="R165" s="110"/>
      <c r="T165" s="99"/>
      <c r="V165" s="172"/>
      <c r="Y165" s="110"/>
      <c r="Z165" s="181"/>
      <c r="AA165" s="110"/>
      <c r="AB165" s="110"/>
      <c r="AC165" s="141"/>
      <c r="AD165" s="141"/>
      <c r="AE165" s="110"/>
      <c r="AF165" s="110"/>
      <c r="AG165" s="224"/>
      <c r="AH165" s="225"/>
      <c r="AI165" s="110"/>
      <c r="AJ165" s="110"/>
      <c r="AL165" s="110"/>
      <c r="AM165" s="226"/>
      <c r="AN165" s="226"/>
    </row>
    <row r="166" spans="3:40" x14ac:dyDescent="0.3">
      <c r="C166" s="99"/>
      <c r="F166" s="172"/>
      <c r="H166" s="172"/>
      <c r="I166" s="172"/>
      <c r="J166" s="181"/>
      <c r="K166" s="181"/>
      <c r="L166" s="110"/>
      <c r="M166" s="110"/>
      <c r="N166" s="141"/>
      <c r="O166" s="141"/>
      <c r="P166" s="110"/>
      <c r="Q166" s="110"/>
      <c r="R166" s="110"/>
      <c r="T166" s="99"/>
      <c r="V166" s="172"/>
      <c r="Y166" s="110"/>
      <c r="Z166" s="181"/>
      <c r="AA166" s="110"/>
      <c r="AB166" s="110"/>
      <c r="AC166" s="141"/>
      <c r="AD166" s="141"/>
      <c r="AE166" s="110"/>
      <c r="AF166" s="110"/>
      <c r="AH166" s="207"/>
      <c r="AI166" s="110"/>
      <c r="AJ166" s="110"/>
      <c r="AL166" s="110"/>
      <c r="AM166" s="141"/>
      <c r="AN166" s="141"/>
    </row>
    <row r="167" spans="3:40" x14ac:dyDescent="0.3">
      <c r="F167" s="110"/>
      <c r="H167" s="192"/>
      <c r="I167" s="192"/>
      <c r="J167" s="217"/>
      <c r="K167" s="217"/>
      <c r="L167" s="192"/>
      <c r="M167" s="192"/>
      <c r="N167" s="192"/>
      <c r="O167" s="192"/>
      <c r="P167" s="192"/>
      <c r="Q167" s="192"/>
      <c r="R167" s="192"/>
      <c r="V167" s="110"/>
      <c r="Y167" s="192"/>
      <c r="Z167" s="217"/>
      <c r="AA167" s="192"/>
      <c r="AB167" s="192"/>
      <c r="AC167" s="192"/>
      <c r="AD167" s="192"/>
      <c r="AE167" s="192"/>
      <c r="AF167" s="192"/>
      <c r="AI167" s="192"/>
      <c r="AJ167" s="192"/>
      <c r="AK167" s="194"/>
      <c r="AL167" s="192"/>
      <c r="AM167" s="141"/>
      <c r="AN167" s="141"/>
    </row>
    <row r="168" spans="3:40" x14ac:dyDescent="0.3">
      <c r="C168" s="99"/>
      <c r="F168" s="110"/>
      <c r="H168" s="110"/>
      <c r="I168" s="110"/>
      <c r="J168" s="217"/>
      <c r="K168" s="217"/>
      <c r="L168" s="110"/>
      <c r="M168" s="110"/>
      <c r="N168" s="141"/>
      <c r="O168" s="141"/>
      <c r="P168" s="110"/>
      <c r="Q168" s="110"/>
      <c r="R168" s="110"/>
      <c r="T168" s="99"/>
      <c r="V168" s="110"/>
      <c r="Y168" s="110"/>
      <c r="Z168" s="217"/>
      <c r="AA168" s="110"/>
      <c r="AB168" s="110"/>
      <c r="AC168" s="141"/>
      <c r="AD168" s="141"/>
      <c r="AE168" s="110"/>
      <c r="AF168" s="110"/>
      <c r="AH168" s="207"/>
      <c r="AI168" s="110"/>
      <c r="AJ168" s="110"/>
      <c r="AL168" s="110"/>
      <c r="AM168" s="141"/>
      <c r="AN168" s="141"/>
    </row>
    <row r="169" spans="3:40" x14ac:dyDescent="0.3">
      <c r="F169" s="110"/>
      <c r="H169" s="192"/>
      <c r="I169" s="192"/>
      <c r="J169" s="217"/>
      <c r="K169" s="217"/>
      <c r="L169" s="192"/>
      <c r="M169" s="192"/>
      <c r="N169" s="192"/>
      <c r="O169" s="192"/>
      <c r="P169" s="192"/>
      <c r="Q169" s="192"/>
      <c r="R169" s="192"/>
      <c r="V169" s="110"/>
      <c r="Y169" s="192"/>
      <c r="Z169" s="217"/>
      <c r="AA169" s="192"/>
      <c r="AB169" s="192"/>
      <c r="AC169" s="192"/>
      <c r="AD169" s="192"/>
      <c r="AE169" s="192"/>
      <c r="AF169" s="192"/>
      <c r="AI169" s="192"/>
      <c r="AJ169" s="192"/>
      <c r="AK169" s="194"/>
      <c r="AL169" s="192"/>
      <c r="AM169" s="141"/>
      <c r="AN169" s="141"/>
    </row>
    <row r="170" spans="3:40" x14ac:dyDescent="0.3">
      <c r="F170" s="110"/>
      <c r="H170" s="110"/>
      <c r="I170" s="110"/>
      <c r="J170" s="217"/>
      <c r="K170" s="217"/>
      <c r="L170" s="110"/>
      <c r="M170" s="110"/>
      <c r="N170" s="110"/>
      <c r="O170" s="110"/>
      <c r="P170" s="110"/>
      <c r="Q170" s="110"/>
      <c r="R170" s="110"/>
      <c r="V170" s="110"/>
      <c r="Y170" s="110"/>
      <c r="Z170" s="217"/>
      <c r="AA170" s="110"/>
      <c r="AB170" s="110"/>
      <c r="AC170" s="110"/>
      <c r="AD170" s="110"/>
      <c r="AE170" s="110"/>
      <c r="AF170" s="110"/>
      <c r="AH170" s="207"/>
      <c r="AI170" s="110"/>
      <c r="AJ170" s="110"/>
      <c r="AL170" s="110"/>
      <c r="AM170" s="141"/>
      <c r="AN170" s="141"/>
    </row>
    <row r="171" spans="3:40" x14ac:dyDescent="0.3">
      <c r="C171" s="99"/>
      <c r="F171" s="172"/>
      <c r="H171" s="172"/>
      <c r="I171" s="172"/>
      <c r="J171" s="222"/>
      <c r="K171" s="222"/>
      <c r="L171" s="110"/>
      <c r="M171" s="110"/>
      <c r="N171" s="141"/>
      <c r="O171" s="141"/>
      <c r="P171" s="172"/>
      <c r="Q171" s="172"/>
      <c r="R171" s="110"/>
      <c r="T171" s="99"/>
      <c r="V171" s="172"/>
      <c r="Y171" s="172"/>
      <c r="Z171" s="227"/>
      <c r="AA171" s="110"/>
      <c r="AB171" s="110"/>
      <c r="AC171" s="141"/>
      <c r="AD171" s="141"/>
      <c r="AE171" s="110"/>
      <c r="AF171" s="110"/>
      <c r="AH171" s="207"/>
      <c r="AI171" s="172"/>
      <c r="AJ171" s="172"/>
      <c r="AL171" s="110"/>
      <c r="AM171" s="141"/>
      <c r="AN171" s="141"/>
    </row>
    <row r="172" spans="3:40" x14ac:dyDescent="0.3">
      <c r="C172" s="99"/>
      <c r="F172" s="172"/>
      <c r="H172" s="172"/>
      <c r="I172" s="172"/>
      <c r="J172" s="222"/>
      <c r="K172" s="222"/>
      <c r="L172" s="110"/>
      <c r="M172" s="110"/>
      <c r="N172" s="141"/>
      <c r="O172" s="141"/>
      <c r="P172" s="172"/>
      <c r="Q172" s="172"/>
      <c r="R172" s="110"/>
      <c r="T172" s="99"/>
      <c r="V172" s="172"/>
      <c r="Y172" s="110"/>
      <c r="Z172" s="216"/>
      <c r="AA172" s="110"/>
      <c r="AB172" s="110"/>
      <c r="AC172" s="141"/>
      <c r="AD172" s="141"/>
      <c r="AE172" s="110"/>
      <c r="AF172" s="110"/>
      <c r="AH172" s="207"/>
      <c r="AI172" s="172"/>
      <c r="AJ172" s="172"/>
      <c r="AL172" s="110"/>
      <c r="AM172" s="141"/>
      <c r="AN172" s="141"/>
    </row>
    <row r="173" spans="3:40" x14ac:dyDescent="0.3">
      <c r="C173" s="99"/>
      <c r="F173" s="172"/>
      <c r="H173" s="172"/>
      <c r="I173" s="172"/>
      <c r="J173" s="222"/>
      <c r="K173" s="222"/>
      <c r="L173" s="110"/>
      <c r="M173" s="110"/>
      <c r="N173" s="141"/>
      <c r="O173" s="141"/>
      <c r="P173" s="172"/>
      <c r="Q173" s="172"/>
      <c r="R173" s="110"/>
      <c r="T173" s="99"/>
      <c r="V173" s="172"/>
      <c r="Y173" s="110"/>
      <c r="Z173" s="216"/>
      <c r="AA173" s="110"/>
      <c r="AB173" s="110"/>
      <c r="AC173" s="141"/>
      <c r="AD173" s="141"/>
      <c r="AE173" s="110"/>
      <c r="AF173" s="110"/>
      <c r="AH173" s="207"/>
      <c r="AI173" s="172"/>
      <c r="AJ173" s="172"/>
      <c r="AL173" s="110"/>
      <c r="AM173" s="141"/>
      <c r="AN173" s="141"/>
    </row>
    <row r="174" spans="3:40" x14ac:dyDescent="0.3">
      <c r="F174" s="192"/>
      <c r="H174" s="192"/>
      <c r="I174" s="192"/>
      <c r="J174" s="217"/>
      <c r="K174" s="217"/>
      <c r="L174" s="192"/>
      <c r="M174" s="192"/>
      <c r="N174" s="192"/>
      <c r="O174" s="192"/>
      <c r="P174" s="192"/>
      <c r="Q174" s="192"/>
      <c r="R174" s="192"/>
      <c r="V174" s="192"/>
      <c r="Y174" s="192"/>
      <c r="Z174" s="217"/>
      <c r="AA174" s="192"/>
      <c r="AB174" s="192"/>
      <c r="AC174" s="192"/>
      <c r="AD174" s="192"/>
      <c r="AE174" s="192"/>
      <c r="AF174" s="192"/>
      <c r="AI174" s="192"/>
      <c r="AJ174" s="192"/>
      <c r="AK174" s="194"/>
      <c r="AL174" s="192"/>
      <c r="AM174" s="141"/>
      <c r="AN174" s="141"/>
    </row>
    <row r="175" spans="3:40" x14ac:dyDescent="0.3">
      <c r="C175" s="99"/>
      <c r="F175" s="110"/>
      <c r="H175" s="110"/>
      <c r="I175" s="110"/>
      <c r="J175" s="198"/>
      <c r="K175" s="198"/>
      <c r="L175" s="110"/>
      <c r="M175" s="110"/>
      <c r="N175" s="141"/>
      <c r="O175" s="141"/>
      <c r="P175" s="110"/>
      <c r="Q175" s="110"/>
      <c r="R175" s="110"/>
      <c r="T175" s="99"/>
      <c r="V175" s="110"/>
      <c r="Y175" s="110"/>
      <c r="Z175" s="198"/>
      <c r="AA175" s="110"/>
      <c r="AB175" s="110"/>
      <c r="AC175" s="141"/>
      <c r="AD175" s="141"/>
      <c r="AE175" s="110"/>
      <c r="AF175" s="110"/>
      <c r="AH175" s="207"/>
      <c r="AI175" s="110"/>
      <c r="AJ175" s="110"/>
      <c r="AL175" s="110"/>
      <c r="AM175" s="141"/>
      <c r="AN175" s="141"/>
    </row>
    <row r="176" spans="3:40" x14ac:dyDescent="0.3">
      <c r="F176" s="192"/>
      <c r="H176" s="192"/>
      <c r="I176" s="192"/>
      <c r="J176" s="217"/>
      <c r="K176" s="217"/>
      <c r="L176" s="192"/>
      <c r="M176" s="192"/>
      <c r="N176" s="192"/>
      <c r="O176" s="192"/>
      <c r="P176" s="192"/>
      <c r="Q176" s="192"/>
      <c r="R176" s="192"/>
      <c r="V176" s="192"/>
      <c r="Y176" s="192"/>
      <c r="Z176" s="217"/>
      <c r="AA176" s="192"/>
      <c r="AB176" s="192"/>
      <c r="AC176" s="192"/>
      <c r="AD176" s="192"/>
      <c r="AE176" s="192"/>
      <c r="AF176" s="192"/>
      <c r="AI176" s="192"/>
      <c r="AJ176" s="192"/>
      <c r="AK176" s="194"/>
      <c r="AL176" s="192"/>
      <c r="AM176" s="141"/>
      <c r="AN176" s="141"/>
    </row>
    <row r="177" spans="1:40" x14ac:dyDescent="0.3">
      <c r="C177" s="99"/>
      <c r="F177" s="110"/>
      <c r="H177" s="110"/>
      <c r="I177" s="110"/>
      <c r="J177" s="198"/>
      <c r="K177" s="198"/>
      <c r="L177" s="110"/>
      <c r="M177" s="110"/>
      <c r="N177" s="141"/>
      <c r="O177" s="141"/>
      <c r="P177" s="110"/>
      <c r="Q177" s="110"/>
      <c r="R177" s="110"/>
      <c r="T177" s="99"/>
      <c r="V177" s="110"/>
      <c r="Y177" s="110"/>
      <c r="Z177" s="198"/>
      <c r="AA177" s="110"/>
      <c r="AB177" s="110"/>
      <c r="AC177" s="141"/>
      <c r="AD177" s="141"/>
      <c r="AE177" s="110"/>
      <c r="AF177" s="110"/>
      <c r="AH177" s="207"/>
      <c r="AI177" s="110"/>
      <c r="AJ177" s="110"/>
      <c r="AL177" s="110"/>
      <c r="AM177" s="141"/>
      <c r="AN177" s="141"/>
    </row>
    <row r="178" spans="1:40" x14ac:dyDescent="0.3">
      <c r="C178" s="99"/>
      <c r="F178" s="110"/>
      <c r="H178" s="110"/>
      <c r="I178" s="110"/>
      <c r="J178" s="198"/>
      <c r="K178" s="198"/>
      <c r="L178" s="110"/>
      <c r="M178" s="110"/>
      <c r="N178" s="141"/>
      <c r="O178" s="141"/>
      <c r="P178" s="110"/>
      <c r="Q178" s="110"/>
      <c r="R178" s="110"/>
      <c r="T178" s="99"/>
      <c r="V178" s="110"/>
      <c r="Y178" s="110"/>
      <c r="Z178" s="198"/>
      <c r="AA178" s="110"/>
      <c r="AB178" s="110"/>
      <c r="AC178" s="141"/>
      <c r="AD178" s="141"/>
      <c r="AE178" s="110"/>
      <c r="AF178" s="110"/>
      <c r="AH178" s="207"/>
      <c r="AI178" s="110"/>
      <c r="AJ178" s="110"/>
      <c r="AL178" s="110"/>
      <c r="AM178" s="141"/>
      <c r="AN178" s="141"/>
    </row>
    <row r="179" spans="1:40" x14ac:dyDescent="0.3">
      <c r="F179" s="192"/>
      <c r="H179" s="192"/>
      <c r="I179" s="192"/>
      <c r="J179" s="217"/>
      <c r="K179" s="217"/>
      <c r="L179" s="192"/>
      <c r="M179" s="192"/>
      <c r="N179" s="192"/>
      <c r="O179" s="192"/>
      <c r="P179" s="192"/>
      <c r="Q179" s="192"/>
      <c r="R179" s="192"/>
      <c r="V179" s="192"/>
      <c r="Y179" s="192"/>
      <c r="Z179" s="217"/>
      <c r="AA179" s="192"/>
      <c r="AB179" s="192"/>
      <c r="AC179" s="192"/>
      <c r="AD179" s="192"/>
      <c r="AE179" s="192"/>
      <c r="AF179" s="192"/>
      <c r="AI179" s="192"/>
      <c r="AJ179" s="192"/>
      <c r="AK179" s="194"/>
      <c r="AL179" s="192"/>
      <c r="AM179" s="110"/>
      <c r="AN179" s="110"/>
    </row>
    <row r="180" spans="1:40" x14ac:dyDescent="0.3">
      <c r="F180" s="110"/>
      <c r="H180" s="110"/>
      <c r="I180" s="110"/>
      <c r="J180" s="198"/>
      <c r="K180" s="198"/>
      <c r="L180" s="110"/>
      <c r="M180" s="110"/>
      <c r="N180" s="110"/>
      <c r="O180" s="110"/>
      <c r="P180" s="110"/>
      <c r="Q180" s="110"/>
      <c r="R180" s="110"/>
      <c r="V180" s="110"/>
      <c r="Y180" s="110"/>
      <c r="Z180" s="198"/>
      <c r="AA180" s="110"/>
      <c r="AB180" s="110"/>
      <c r="AC180" s="110"/>
      <c r="AD180" s="110"/>
    </row>
    <row r="181" spans="1:40" x14ac:dyDescent="0.3">
      <c r="C181" s="99"/>
      <c r="F181" s="110"/>
      <c r="H181" s="110"/>
      <c r="I181" s="110"/>
      <c r="J181" s="198"/>
      <c r="K181" s="198"/>
      <c r="L181" s="110"/>
      <c r="M181" s="110"/>
      <c r="N181" s="110"/>
      <c r="O181" s="110"/>
      <c r="P181" s="110"/>
      <c r="Q181" s="110"/>
      <c r="R181" s="110"/>
      <c r="T181" s="99"/>
      <c r="V181" s="110"/>
      <c r="Y181" s="110"/>
      <c r="Z181" s="198"/>
      <c r="AA181" s="110"/>
      <c r="AB181" s="110"/>
      <c r="AC181" s="110"/>
      <c r="AD181" s="110"/>
    </row>
    <row r="182" spans="1:40" x14ac:dyDescent="0.3">
      <c r="A182" s="99"/>
    </row>
    <row r="184" spans="1:40" x14ac:dyDescent="0.3">
      <c r="H184" s="99"/>
      <c r="I184" s="99"/>
      <c r="Y184" s="99"/>
    </row>
    <row r="186" spans="1:40" x14ac:dyDescent="0.3">
      <c r="L186" s="99"/>
      <c r="M186" s="99"/>
      <c r="AA186" s="99"/>
      <c r="AB186" s="99"/>
    </row>
    <row r="187" spans="1:40" x14ac:dyDescent="0.3">
      <c r="R187" s="99"/>
      <c r="AK187" s="190"/>
      <c r="AL187" s="99"/>
    </row>
    <row r="188" spans="1:40" x14ac:dyDescent="0.3">
      <c r="R188" s="99"/>
      <c r="AK188" s="190"/>
      <c r="AL188" s="99"/>
    </row>
    <row r="189" spans="1:40" x14ac:dyDescent="0.3">
      <c r="A189" s="99"/>
      <c r="R189" s="99"/>
      <c r="AK189" s="190"/>
      <c r="AL189" s="99"/>
    </row>
    <row r="190" spans="1:40" x14ac:dyDescent="0.3">
      <c r="L190" s="99"/>
      <c r="M190" s="99"/>
      <c r="AA190" s="99"/>
      <c r="AB190" s="99"/>
    </row>
    <row r="191" spans="1:40" x14ac:dyDescent="0.3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91"/>
      <c r="AH191" s="101"/>
      <c r="AI191" s="101"/>
      <c r="AJ191" s="101"/>
      <c r="AK191" s="191"/>
      <c r="AL191" s="101"/>
      <c r="AM191" s="101"/>
      <c r="AN191" s="101"/>
    </row>
    <row r="192" spans="1:40" x14ac:dyDescent="0.3">
      <c r="L192" s="102"/>
      <c r="M192" s="102"/>
      <c r="N192" s="102"/>
      <c r="O192" s="102"/>
      <c r="R192" s="102"/>
      <c r="AA192" s="102"/>
      <c r="AB192" s="102"/>
      <c r="AC192" s="102"/>
      <c r="AD192" s="102"/>
      <c r="AE192" s="102"/>
      <c r="AF192" s="102"/>
      <c r="AG192" s="151"/>
      <c r="AH192" s="102"/>
      <c r="AK192" s="151"/>
      <c r="AL192" s="102"/>
      <c r="AM192" s="102"/>
      <c r="AN192" s="102"/>
    </row>
    <row r="193" spans="1:40" x14ac:dyDescent="0.3">
      <c r="L193" s="102"/>
      <c r="M193" s="102"/>
      <c r="N193" s="102"/>
      <c r="O193" s="102"/>
      <c r="R193" s="102"/>
      <c r="Z193" s="102"/>
      <c r="AA193" s="102"/>
      <c r="AB193" s="102"/>
      <c r="AC193" s="102"/>
      <c r="AD193" s="102"/>
      <c r="AE193" s="102"/>
      <c r="AF193" s="102"/>
      <c r="AG193" s="151"/>
      <c r="AH193" s="102"/>
      <c r="AK193" s="151"/>
      <c r="AL193" s="102"/>
      <c r="AM193" s="102"/>
      <c r="AN193" s="102"/>
    </row>
    <row r="194" spans="1:40" x14ac:dyDescent="0.3">
      <c r="A194" s="102"/>
      <c r="C194" s="102"/>
      <c r="D194" s="102"/>
      <c r="E194" s="102"/>
      <c r="F194" s="102"/>
      <c r="J194" s="102"/>
      <c r="K194" s="102"/>
      <c r="L194" s="102"/>
      <c r="M194" s="102"/>
      <c r="N194" s="102"/>
      <c r="O194" s="102"/>
      <c r="P194" s="102"/>
      <c r="Q194" s="102"/>
      <c r="R194" s="102"/>
      <c r="T194" s="102"/>
      <c r="U194" s="102"/>
      <c r="V194" s="102"/>
      <c r="Z194" s="102"/>
      <c r="AA194" s="102"/>
      <c r="AB194" s="102"/>
      <c r="AC194" s="102"/>
      <c r="AD194" s="102"/>
      <c r="AE194" s="102"/>
      <c r="AF194" s="102"/>
      <c r="AG194" s="151"/>
      <c r="AH194" s="102"/>
      <c r="AI194" s="102"/>
      <c r="AJ194" s="102"/>
      <c r="AK194" s="151"/>
      <c r="AL194" s="102"/>
      <c r="AM194" s="102"/>
      <c r="AN194" s="102"/>
    </row>
    <row r="195" spans="1:40" x14ac:dyDescent="0.3">
      <c r="A195" s="102"/>
      <c r="C195" s="102"/>
      <c r="D195" s="102"/>
      <c r="E195" s="102"/>
      <c r="F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T195" s="102"/>
      <c r="U195" s="102"/>
      <c r="V195" s="102"/>
      <c r="Y195" s="102"/>
      <c r="Z195" s="102"/>
      <c r="AA195" s="102"/>
      <c r="AB195" s="102"/>
      <c r="AC195" s="102"/>
      <c r="AD195" s="102"/>
      <c r="AE195" s="102"/>
      <c r="AF195" s="102"/>
      <c r="AG195" s="151"/>
      <c r="AH195" s="102"/>
      <c r="AI195" s="102"/>
      <c r="AJ195" s="102"/>
      <c r="AK195" s="151"/>
      <c r="AL195" s="102"/>
      <c r="AM195" s="102"/>
      <c r="AN195" s="102"/>
    </row>
    <row r="196" spans="1:40" x14ac:dyDescent="0.3">
      <c r="C196" s="102"/>
      <c r="D196" s="102"/>
      <c r="E196" s="102"/>
      <c r="F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T196" s="102"/>
      <c r="U196" s="102"/>
      <c r="V196" s="102"/>
      <c r="Y196" s="102"/>
      <c r="Z196" s="102"/>
      <c r="AA196" s="102"/>
      <c r="AB196" s="102"/>
      <c r="AC196" s="102"/>
      <c r="AD196" s="102"/>
      <c r="AE196" s="102"/>
      <c r="AF196" s="102"/>
      <c r="AG196" s="151"/>
      <c r="AH196" s="102"/>
      <c r="AI196" s="102"/>
      <c r="AJ196" s="102"/>
      <c r="AK196" s="151"/>
      <c r="AL196" s="102"/>
      <c r="AM196" s="102"/>
      <c r="AN196" s="102"/>
    </row>
    <row r="197" spans="1:40" x14ac:dyDescent="0.3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91"/>
      <c r="AH197" s="101"/>
      <c r="AI197" s="101"/>
      <c r="AJ197" s="101"/>
      <c r="AK197" s="191"/>
      <c r="AL197" s="101"/>
      <c r="AM197" s="101"/>
      <c r="AN197" s="101"/>
    </row>
    <row r="198" spans="1:40" x14ac:dyDescent="0.3"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Y198" s="102"/>
      <c r="Z198" s="102"/>
      <c r="AA198" s="102"/>
      <c r="AB198" s="102"/>
      <c r="AC198" s="102"/>
      <c r="AD198" s="102"/>
      <c r="AE198" s="102"/>
      <c r="AF198" s="102"/>
      <c r="AG198" s="151"/>
      <c r="AH198" s="102"/>
      <c r="AI198" s="102"/>
      <c r="AJ198" s="102"/>
      <c r="AK198" s="151"/>
      <c r="AL198" s="102"/>
      <c r="AM198" s="102"/>
      <c r="AN198" s="102"/>
    </row>
    <row r="199" spans="1:40" x14ac:dyDescent="0.3">
      <c r="C199" s="99"/>
      <c r="D199" s="99"/>
      <c r="E199" s="99"/>
      <c r="T199" s="99"/>
      <c r="U199" s="99"/>
    </row>
    <row r="201" spans="1:40" x14ac:dyDescent="0.3">
      <c r="C201" s="99"/>
      <c r="F201" s="172"/>
      <c r="H201" s="220"/>
      <c r="I201" s="220"/>
      <c r="J201" s="181"/>
      <c r="K201" s="181"/>
      <c r="L201" s="110"/>
      <c r="M201" s="110"/>
      <c r="R201" s="110"/>
      <c r="T201" s="99"/>
      <c r="V201" s="110"/>
      <c r="Z201" s="181"/>
      <c r="AA201" s="110"/>
      <c r="AB201" s="110"/>
      <c r="AE201" s="110"/>
      <c r="AF201" s="110"/>
      <c r="AG201" s="224"/>
      <c r="AH201" s="225"/>
      <c r="AI201" s="110"/>
      <c r="AJ201" s="110"/>
      <c r="AL201" s="110"/>
      <c r="AM201" s="226"/>
      <c r="AN201" s="226"/>
    </row>
    <row r="202" spans="1:40" x14ac:dyDescent="0.3">
      <c r="F202" s="172"/>
      <c r="H202" s="220"/>
      <c r="I202" s="220"/>
      <c r="J202" s="220"/>
      <c r="K202" s="220"/>
      <c r="R202" s="110"/>
      <c r="V202" s="110"/>
      <c r="Z202" s="220"/>
    </row>
    <row r="203" spans="1:40" x14ac:dyDescent="0.3">
      <c r="C203" s="99"/>
      <c r="F203" s="172"/>
      <c r="H203" s="172"/>
      <c r="I203" s="172"/>
      <c r="J203" s="222"/>
      <c r="K203" s="222"/>
      <c r="L203" s="110"/>
      <c r="M203" s="110"/>
      <c r="N203" s="141"/>
      <c r="O203" s="141"/>
      <c r="P203" s="172"/>
      <c r="Q203" s="172"/>
      <c r="R203" s="110"/>
      <c r="T203" s="99"/>
      <c r="V203" s="110"/>
      <c r="Y203" s="110"/>
      <c r="Z203" s="216"/>
      <c r="AA203" s="110"/>
      <c r="AB203" s="110"/>
      <c r="AC203" s="141"/>
      <c r="AD203" s="141"/>
      <c r="AE203" s="110"/>
      <c r="AF203" s="110"/>
      <c r="AH203" s="207"/>
      <c r="AI203" s="172"/>
      <c r="AJ203" s="172"/>
      <c r="AL203" s="110"/>
      <c r="AM203" s="141"/>
      <c r="AN203" s="141"/>
    </row>
    <row r="204" spans="1:40" x14ac:dyDescent="0.3">
      <c r="F204" s="192"/>
      <c r="H204" s="192"/>
      <c r="I204" s="192"/>
      <c r="J204" s="217"/>
      <c r="K204" s="217"/>
      <c r="L204" s="192"/>
      <c r="M204" s="192"/>
      <c r="N204" s="192"/>
      <c r="O204" s="192"/>
      <c r="P204" s="192"/>
      <c r="Q204" s="192"/>
      <c r="R204" s="192"/>
      <c r="V204" s="192"/>
      <c r="Y204" s="192"/>
      <c r="Z204" s="217"/>
      <c r="AA204" s="192"/>
      <c r="AB204" s="192"/>
      <c r="AC204" s="192"/>
      <c r="AD204" s="192"/>
      <c r="AE204" s="192"/>
      <c r="AF204" s="192"/>
      <c r="AI204" s="192"/>
      <c r="AJ204" s="192"/>
      <c r="AK204" s="194"/>
      <c r="AL204" s="192"/>
    </row>
    <row r="205" spans="1:40" x14ac:dyDescent="0.3">
      <c r="D205" s="99"/>
      <c r="E205" s="99"/>
      <c r="F205" s="110"/>
      <c r="H205" s="110"/>
      <c r="I205" s="110"/>
      <c r="J205" s="198"/>
      <c r="K205" s="198"/>
      <c r="L205" s="110"/>
      <c r="M205" s="110"/>
      <c r="N205" s="141"/>
      <c r="O205" s="141"/>
      <c r="P205" s="110"/>
      <c r="Q205" s="110"/>
      <c r="R205" s="110"/>
      <c r="U205" s="99"/>
      <c r="V205" s="110"/>
      <c r="Y205" s="110"/>
      <c r="Z205" s="198"/>
      <c r="AA205" s="110"/>
      <c r="AB205" s="110"/>
      <c r="AC205" s="141"/>
      <c r="AD205" s="141"/>
      <c r="AE205" s="110"/>
      <c r="AF205" s="110"/>
      <c r="AH205" s="207"/>
      <c r="AI205" s="110"/>
      <c r="AJ205" s="110"/>
      <c r="AL205" s="110"/>
      <c r="AM205" s="141"/>
      <c r="AN205" s="141"/>
    </row>
    <row r="206" spans="1:40" x14ac:dyDescent="0.3">
      <c r="F206" s="192"/>
      <c r="H206" s="192"/>
      <c r="I206" s="192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92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</row>
    <row r="207" spans="1:40" x14ac:dyDescent="0.3">
      <c r="R207" s="110"/>
    </row>
    <row r="208" spans="1:40" x14ac:dyDescent="0.3">
      <c r="R208" s="110"/>
    </row>
    <row r="209" spans="1:40" x14ac:dyDescent="0.3">
      <c r="R209" s="110"/>
    </row>
    <row r="210" spans="1:40" x14ac:dyDescent="0.3">
      <c r="C210" s="99"/>
      <c r="D210" s="99"/>
      <c r="E210" s="99"/>
      <c r="H210" s="110"/>
      <c r="I210" s="110"/>
      <c r="J210" s="198"/>
      <c r="K210" s="198"/>
      <c r="L210" s="110"/>
      <c r="M210" s="110"/>
      <c r="N210" s="141"/>
      <c r="O210" s="141"/>
      <c r="P210" s="110"/>
      <c r="Q210" s="110"/>
      <c r="R210" s="110"/>
      <c r="T210" s="99"/>
      <c r="U210" s="99"/>
      <c r="Y210" s="110"/>
      <c r="Z210" s="198"/>
      <c r="AA210" s="110"/>
      <c r="AB210" s="110"/>
      <c r="AC210" s="141"/>
      <c r="AD210" s="141"/>
    </row>
    <row r="211" spans="1:40" x14ac:dyDescent="0.3">
      <c r="H211" s="110"/>
      <c r="I211" s="110"/>
      <c r="J211" s="198"/>
      <c r="K211" s="198"/>
      <c r="L211" s="110"/>
      <c r="M211" s="110"/>
      <c r="N211" s="141"/>
      <c r="O211" s="141"/>
      <c r="P211" s="110"/>
      <c r="Q211" s="110"/>
      <c r="R211" s="110"/>
      <c r="Y211" s="110"/>
      <c r="Z211" s="198"/>
      <c r="AA211" s="110"/>
      <c r="AB211" s="110"/>
      <c r="AC211" s="141"/>
      <c r="AD211" s="141"/>
    </row>
    <row r="212" spans="1:40" x14ac:dyDescent="0.3">
      <c r="C212" s="99"/>
      <c r="F212" s="172"/>
      <c r="H212" s="172"/>
      <c r="I212" s="172"/>
      <c r="J212" s="208"/>
      <c r="K212" s="208"/>
      <c r="L212" s="172"/>
      <c r="M212" s="172"/>
      <c r="N212" s="141"/>
      <c r="O212" s="141"/>
      <c r="P212" s="110"/>
      <c r="Q212" s="110"/>
      <c r="R212" s="110"/>
      <c r="T212" s="99"/>
      <c r="V212" s="110"/>
      <c r="Y212" s="110"/>
      <c r="Z212" s="208"/>
      <c r="AA212" s="110"/>
      <c r="AB212" s="110"/>
      <c r="AC212" s="141"/>
      <c r="AD212" s="141"/>
      <c r="AE212" s="110"/>
      <c r="AF212" s="110"/>
      <c r="AH212" s="207"/>
      <c r="AI212" s="110"/>
      <c r="AJ212" s="110"/>
      <c r="AL212" s="110"/>
      <c r="AM212" s="141"/>
      <c r="AN212" s="141"/>
    </row>
    <row r="213" spans="1:40" x14ac:dyDescent="0.3">
      <c r="F213" s="172"/>
      <c r="H213" s="220"/>
      <c r="I213" s="220"/>
      <c r="J213" s="220"/>
      <c r="K213" s="220"/>
      <c r="R213" s="110"/>
      <c r="V213" s="110"/>
      <c r="Z213" s="220"/>
    </row>
    <row r="214" spans="1:40" x14ac:dyDescent="0.3">
      <c r="C214" s="99"/>
      <c r="F214" s="172"/>
      <c r="H214" s="172"/>
      <c r="I214" s="172"/>
      <c r="J214" s="181"/>
      <c r="K214" s="181"/>
      <c r="L214" s="110"/>
      <c r="M214" s="110"/>
      <c r="N214" s="141"/>
      <c r="O214" s="141"/>
      <c r="P214" s="110"/>
      <c r="Q214" s="110"/>
      <c r="R214" s="110"/>
      <c r="T214" s="99"/>
      <c r="V214" s="110"/>
      <c r="Y214" s="110"/>
      <c r="Z214" s="181"/>
      <c r="AA214" s="110"/>
      <c r="AB214" s="110"/>
      <c r="AC214" s="141"/>
      <c r="AD214" s="141"/>
      <c r="AE214" s="110"/>
      <c r="AF214" s="110"/>
      <c r="AH214" s="207"/>
      <c r="AI214" s="110"/>
      <c r="AJ214" s="110"/>
      <c r="AL214" s="110"/>
      <c r="AM214" s="141"/>
      <c r="AN214" s="141"/>
    </row>
    <row r="215" spans="1:40" x14ac:dyDescent="0.3">
      <c r="F215" s="172"/>
      <c r="H215" s="220"/>
      <c r="I215" s="220"/>
      <c r="J215" s="220"/>
      <c r="K215" s="220"/>
      <c r="R215" s="110"/>
      <c r="V215" s="110"/>
      <c r="Z215" s="220"/>
    </row>
    <row r="216" spans="1:40" x14ac:dyDescent="0.3">
      <c r="C216" s="99"/>
      <c r="F216" s="172"/>
      <c r="H216" s="172"/>
      <c r="I216" s="172"/>
      <c r="J216" s="222"/>
      <c r="K216" s="222"/>
      <c r="L216" s="110"/>
      <c r="M216" s="110"/>
      <c r="N216" s="141"/>
      <c r="O216" s="141"/>
      <c r="P216" s="110"/>
      <c r="Q216" s="110"/>
      <c r="R216" s="110"/>
      <c r="T216" s="99"/>
      <c r="V216" s="110"/>
      <c r="Y216" s="110"/>
      <c r="Z216" s="216"/>
      <c r="AA216" s="110"/>
      <c r="AB216" s="110"/>
      <c r="AC216" s="141"/>
      <c r="AD216" s="141"/>
      <c r="AE216" s="110"/>
      <c r="AF216" s="110"/>
      <c r="AH216" s="207"/>
      <c r="AI216" s="110"/>
      <c r="AJ216" s="110"/>
      <c r="AL216" s="110"/>
      <c r="AM216" s="141"/>
      <c r="AN216" s="141"/>
    </row>
    <row r="217" spans="1:40" x14ac:dyDescent="0.3">
      <c r="F217" s="192"/>
      <c r="H217" s="192"/>
      <c r="I217" s="192"/>
      <c r="J217" s="217"/>
      <c r="K217" s="217"/>
      <c r="L217" s="192"/>
      <c r="M217" s="192"/>
      <c r="N217" s="192"/>
      <c r="O217" s="192"/>
      <c r="P217" s="192"/>
      <c r="Q217" s="192"/>
      <c r="R217" s="192"/>
      <c r="S217" s="110"/>
      <c r="V217" s="192"/>
      <c r="Y217" s="192"/>
      <c r="Z217" s="217"/>
      <c r="AA217" s="192"/>
      <c r="AB217" s="192"/>
      <c r="AC217" s="192"/>
      <c r="AD217" s="192"/>
      <c r="AE217" s="192"/>
      <c r="AF217" s="192"/>
      <c r="AI217" s="192"/>
      <c r="AJ217" s="192"/>
      <c r="AK217" s="194"/>
      <c r="AL217" s="192"/>
    </row>
    <row r="218" spans="1:40" x14ac:dyDescent="0.3">
      <c r="D218" s="99"/>
      <c r="E218" s="99"/>
      <c r="F218" s="110"/>
      <c r="H218" s="110"/>
      <c r="I218" s="110"/>
      <c r="J218" s="198"/>
      <c r="K218" s="198"/>
      <c r="L218" s="110"/>
      <c r="M218" s="110"/>
      <c r="N218" s="141"/>
      <c r="O218" s="141"/>
      <c r="P218" s="172"/>
      <c r="Q218" s="172"/>
      <c r="R218" s="110"/>
      <c r="S218" s="110"/>
      <c r="U218" s="99"/>
      <c r="V218" s="110"/>
      <c r="Y218" s="110"/>
      <c r="Z218" s="198"/>
      <c r="AA218" s="110"/>
      <c r="AB218" s="110"/>
      <c r="AC218" s="141"/>
      <c r="AD218" s="141"/>
      <c r="AE218" s="110"/>
      <c r="AF218" s="110"/>
      <c r="AH218" s="207"/>
      <c r="AI218" s="172"/>
      <c r="AJ218" s="172"/>
      <c r="AL218" s="110"/>
      <c r="AM218" s="141"/>
      <c r="AN218" s="141"/>
    </row>
    <row r="219" spans="1:40" x14ac:dyDescent="0.3">
      <c r="F219" s="192"/>
      <c r="H219" s="192"/>
      <c r="I219" s="192"/>
      <c r="J219" s="217"/>
      <c r="K219" s="217"/>
      <c r="L219" s="192"/>
      <c r="M219" s="192"/>
      <c r="N219" s="192"/>
      <c r="O219" s="192"/>
      <c r="P219" s="192"/>
      <c r="Q219" s="192"/>
      <c r="R219" s="192"/>
      <c r="S219" s="110"/>
      <c r="V219" s="192"/>
      <c r="Y219" s="192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</row>
    <row r="220" spans="1:40" x14ac:dyDescent="0.3">
      <c r="R220" s="110"/>
    </row>
    <row r="221" spans="1:40" x14ac:dyDescent="0.3">
      <c r="F221" s="110"/>
      <c r="H221" s="110"/>
      <c r="I221" s="110"/>
      <c r="J221" s="198"/>
      <c r="K221" s="198"/>
      <c r="L221" s="110"/>
      <c r="M221" s="110"/>
      <c r="N221" s="110"/>
      <c r="O221" s="110"/>
      <c r="P221" s="110"/>
      <c r="Q221" s="110"/>
      <c r="R221" s="110"/>
      <c r="V221" s="110"/>
      <c r="Y221" s="110"/>
      <c r="Z221" s="198"/>
      <c r="AA221" s="110"/>
      <c r="AB221" s="110"/>
      <c r="AC221" s="110"/>
      <c r="AD221" s="110"/>
    </row>
    <row r="222" spans="1:40" x14ac:dyDescent="0.3">
      <c r="C222" s="99"/>
      <c r="F222" s="110"/>
      <c r="H222" s="110"/>
      <c r="I222" s="110"/>
      <c r="J222" s="198"/>
      <c r="K222" s="198"/>
      <c r="L222" s="110"/>
      <c r="M222" s="110"/>
      <c r="N222" s="110"/>
      <c r="O222" s="110"/>
      <c r="P222" s="110"/>
      <c r="Q222" s="110"/>
      <c r="R222" s="110"/>
      <c r="T222" s="99"/>
      <c r="V222" s="110"/>
      <c r="Y222" s="110"/>
      <c r="Z222" s="198"/>
      <c r="AA222" s="110"/>
      <c r="AB222" s="110"/>
      <c r="AC222" s="110"/>
      <c r="AD222" s="110"/>
    </row>
    <row r="223" spans="1:40" x14ac:dyDescent="0.3">
      <c r="C223" s="99"/>
      <c r="T223" s="99"/>
    </row>
    <row r="224" spans="1:40" x14ac:dyDescent="0.3">
      <c r="A224" s="99"/>
    </row>
    <row r="227" spans="1:40" x14ac:dyDescent="0.3">
      <c r="H227" s="99"/>
      <c r="I227" s="99"/>
      <c r="Y227" s="99"/>
    </row>
    <row r="229" spans="1:40" x14ac:dyDescent="0.3">
      <c r="L229" s="99"/>
      <c r="M229" s="99"/>
      <c r="AA229" s="99"/>
      <c r="AB229" s="99"/>
    </row>
    <row r="230" spans="1:40" x14ac:dyDescent="0.3">
      <c r="R230" s="99"/>
      <c r="AK230" s="190"/>
      <c r="AL230" s="99"/>
    </row>
    <row r="231" spans="1:40" x14ac:dyDescent="0.3">
      <c r="R231" s="99"/>
      <c r="AK231" s="190"/>
      <c r="AL231" s="99"/>
    </row>
    <row r="232" spans="1:40" x14ac:dyDescent="0.3">
      <c r="A232" s="99"/>
      <c r="R232" s="99"/>
      <c r="AK232" s="190"/>
      <c r="AL232" s="99"/>
    </row>
    <row r="233" spans="1:40" x14ac:dyDescent="0.3">
      <c r="L233" s="99"/>
      <c r="M233" s="99"/>
      <c r="AA233" s="99"/>
      <c r="AB233" s="99"/>
    </row>
    <row r="234" spans="1:40" x14ac:dyDescent="0.3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91"/>
      <c r="AH234" s="101"/>
      <c r="AI234" s="101"/>
      <c r="AJ234" s="101"/>
      <c r="AK234" s="191"/>
      <c r="AL234" s="101"/>
      <c r="AM234" s="101"/>
      <c r="AN234" s="101"/>
    </row>
    <row r="235" spans="1:40" x14ac:dyDescent="0.3">
      <c r="L235" s="102"/>
      <c r="M235" s="102"/>
      <c r="N235" s="102"/>
      <c r="O235" s="102"/>
      <c r="R235" s="102"/>
      <c r="AA235" s="102"/>
      <c r="AB235" s="102"/>
      <c r="AC235" s="102"/>
      <c r="AD235" s="102"/>
      <c r="AE235" s="102"/>
      <c r="AF235" s="102"/>
      <c r="AG235" s="151"/>
      <c r="AH235" s="102"/>
      <c r="AK235" s="151"/>
      <c r="AL235" s="102"/>
      <c r="AM235" s="102"/>
      <c r="AN235" s="102"/>
    </row>
    <row r="236" spans="1:40" x14ac:dyDescent="0.3">
      <c r="L236" s="102"/>
      <c r="M236" s="102"/>
      <c r="N236" s="102"/>
      <c r="O236" s="102"/>
      <c r="R236" s="102"/>
      <c r="Z236" s="102"/>
      <c r="AA236" s="102"/>
      <c r="AB236" s="102"/>
      <c r="AC236" s="102"/>
      <c r="AD236" s="102"/>
      <c r="AE236" s="102"/>
      <c r="AF236" s="102"/>
      <c r="AG236" s="151"/>
      <c r="AH236" s="102"/>
      <c r="AK236" s="151"/>
      <c r="AL236" s="102"/>
      <c r="AM236" s="102"/>
      <c r="AN236" s="102"/>
    </row>
    <row r="237" spans="1:40" x14ac:dyDescent="0.3">
      <c r="A237" s="102"/>
      <c r="C237" s="102"/>
      <c r="D237" s="102"/>
      <c r="E237" s="102"/>
      <c r="F237" s="102"/>
      <c r="J237" s="102"/>
      <c r="K237" s="102"/>
      <c r="L237" s="102"/>
      <c r="M237" s="102"/>
      <c r="N237" s="102"/>
      <c r="O237" s="102"/>
      <c r="P237" s="102"/>
      <c r="Q237" s="102"/>
      <c r="R237" s="102"/>
      <c r="T237" s="102"/>
      <c r="U237" s="102"/>
      <c r="V237" s="102"/>
      <c r="Z237" s="102"/>
      <c r="AA237" s="102"/>
      <c r="AB237" s="102"/>
      <c r="AC237" s="102"/>
      <c r="AD237" s="102"/>
      <c r="AE237" s="102"/>
      <c r="AF237" s="102"/>
      <c r="AG237" s="151"/>
      <c r="AH237" s="102"/>
      <c r="AI237" s="102"/>
      <c r="AJ237" s="102"/>
      <c r="AK237" s="151"/>
      <c r="AL237" s="102"/>
      <c r="AM237" s="102"/>
      <c r="AN237" s="102"/>
    </row>
    <row r="238" spans="1:40" x14ac:dyDescent="0.3">
      <c r="A238" s="102"/>
      <c r="C238" s="102"/>
      <c r="D238" s="102"/>
      <c r="E238" s="102"/>
      <c r="F238" s="102"/>
      <c r="H238" s="102"/>
      <c r="I238" s="102"/>
      <c r="J238" s="102"/>
      <c r="K238" s="102"/>
      <c r="L238" s="102"/>
      <c r="M238" s="102"/>
      <c r="N238" s="102"/>
      <c r="O238" s="102"/>
      <c r="P238" s="102"/>
      <c r="Q238" s="102"/>
      <c r="R238" s="102"/>
      <c r="T238" s="102"/>
      <c r="U238" s="102"/>
      <c r="V238" s="102"/>
      <c r="Y238" s="102"/>
      <c r="Z238" s="102"/>
      <c r="AA238" s="102"/>
      <c r="AB238" s="102"/>
      <c r="AC238" s="102"/>
      <c r="AD238" s="102"/>
      <c r="AE238" s="102"/>
      <c r="AF238" s="102"/>
      <c r="AG238" s="151"/>
      <c r="AH238" s="102"/>
      <c r="AI238" s="102"/>
      <c r="AJ238" s="102"/>
      <c r="AK238" s="151"/>
      <c r="AL238" s="102"/>
      <c r="AM238" s="102"/>
      <c r="AN238" s="102"/>
    </row>
    <row r="239" spans="1:40" x14ac:dyDescent="0.3">
      <c r="C239" s="102"/>
      <c r="D239" s="102"/>
      <c r="E239" s="102"/>
      <c r="F239" s="102"/>
      <c r="H239" s="102"/>
      <c r="I239" s="102"/>
      <c r="J239" s="102"/>
      <c r="K239" s="102"/>
      <c r="L239" s="102"/>
      <c r="M239" s="102"/>
      <c r="N239" s="102"/>
      <c r="O239" s="102"/>
      <c r="P239" s="102"/>
      <c r="Q239" s="102"/>
      <c r="R239" s="102"/>
      <c r="T239" s="102"/>
      <c r="U239" s="102"/>
      <c r="V239" s="102"/>
      <c r="Y239" s="102"/>
      <c r="Z239" s="102"/>
      <c r="AA239" s="102"/>
      <c r="AB239" s="102"/>
      <c r="AC239" s="102"/>
      <c r="AD239" s="102"/>
      <c r="AE239" s="102"/>
      <c r="AF239" s="102"/>
      <c r="AG239" s="151"/>
      <c r="AH239" s="102"/>
      <c r="AI239" s="102"/>
      <c r="AJ239" s="102"/>
      <c r="AK239" s="151"/>
      <c r="AL239" s="102"/>
      <c r="AM239" s="102"/>
      <c r="AN239" s="102"/>
    </row>
    <row r="240" spans="1:40" x14ac:dyDescent="0.3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91"/>
      <c r="AH240" s="101"/>
      <c r="AI240" s="101"/>
      <c r="AJ240" s="101"/>
      <c r="AK240" s="191"/>
      <c r="AL240" s="101"/>
      <c r="AM240" s="101"/>
      <c r="AN240" s="101"/>
    </row>
    <row r="241" spans="3:40" x14ac:dyDescent="0.3"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Y241" s="102"/>
      <c r="Z241" s="102"/>
      <c r="AA241" s="102"/>
      <c r="AB241" s="102"/>
      <c r="AC241" s="102"/>
      <c r="AD241" s="102"/>
      <c r="AE241" s="102"/>
      <c r="AF241" s="102"/>
      <c r="AG241" s="151"/>
      <c r="AH241" s="102"/>
      <c r="AI241" s="102"/>
      <c r="AJ241" s="102"/>
      <c r="AK241" s="151"/>
      <c r="AL241" s="102"/>
      <c r="AM241" s="102"/>
      <c r="AN241" s="102"/>
    </row>
    <row r="242" spans="3:40" x14ac:dyDescent="0.3">
      <c r="C242" s="99"/>
      <c r="D242" s="99"/>
      <c r="E242" s="99"/>
      <c r="T242" s="99"/>
      <c r="U242" s="99"/>
    </row>
    <row r="243" spans="3:40" x14ac:dyDescent="0.3">
      <c r="D243" s="99"/>
      <c r="E243" s="99"/>
      <c r="U243" s="99"/>
    </row>
    <row r="245" spans="3:40" x14ac:dyDescent="0.3">
      <c r="C245" s="99"/>
      <c r="F245" s="110"/>
      <c r="J245" s="209"/>
      <c r="K245" s="209"/>
      <c r="L245" s="110"/>
      <c r="M245" s="110"/>
      <c r="R245" s="110"/>
      <c r="T245" s="99"/>
      <c r="V245" s="110"/>
      <c r="Z245" s="209"/>
      <c r="AA245" s="110"/>
      <c r="AB245" s="110"/>
      <c r="AL245" s="110"/>
    </row>
    <row r="246" spans="3:40" x14ac:dyDescent="0.3">
      <c r="F246" s="110"/>
      <c r="R246" s="110"/>
      <c r="V246" s="110"/>
      <c r="AL246" s="110"/>
    </row>
    <row r="247" spans="3:40" x14ac:dyDescent="0.3">
      <c r="C247" s="99"/>
      <c r="F247" s="172"/>
      <c r="H247" s="172"/>
      <c r="I247" s="172"/>
      <c r="J247" s="181"/>
      <c r="K247" s="181"/>
      <c r="L247" s="110"/>
      <c r="M247" s="110"/>
      <c r="N247" s="141"/>
      <c r="O247" s="141"/>
      <c r="P247" s="110"/>
      <c r="Q247" s="110"/>
      <c r="R247" s="110"/>
      <c r="T247" s="99"/>
      <c r="V247" s="110"/>
      <c r="Y247" s="110"/>
      <c r="Z247" s="181"/>
      <c r="AA247" s="110"/>
      <c r="AB247" s="110"/>
      <c r="AC247" s="141"/>
      <c r="AD247" s="141"/>
      <c r="AE247" s="110"/>
      <c r="AF247" s="110"/>
      <c r="AH247" s="207"/>
      <c r="AI247" s="110"/>
      <c r="AJ247" s="110"/>
      <c r="AL247" s="110"/>
      <c r="AM247" s="141"/>
      <c r="AN247" s="141"/>
    </row>
    <row r="248" spans="3:40" x14ac:dyDescent="0.3">
      <c r="C248" s="99"/>
      <c r="F248" s="172"/>
      <c r="H248" s="220"/>
      <c r="I248" s="220"/>
      <c r="J248" s="181"/>
      <c r="K248" s="181"/>
      <c r="L248" s="110"/>
      <c r="M248" s="110"/>
      <c r="N248" s="141"/>
      <c r="O248" s="141"/>
      <c r="P248" s="110"/>
      <c r="Q248" s="110"/>
      <c r="R248" s="110"/>
      <c r="T248" s="99"/>
      <c r="V248" s="110"/>
      <c r="Y248" s="110"/>
      <c r="Z248" s="181"/>
      <c r="AA248" s="110"/>
      <c r="AB248" s="110"/>
      <c r="AC248" s="141"/>
      <c r="AD248" s="141"/>
      <c r="AE248" s="110"/>
      <c r="AF248" s="110"/>
      <c r="AH248" s="207"/>
      <c r="AI248" s="110"/>
      <c r="AJ248" s="110"/>
      <c r="AL248" s="110"/>
      <c r="AM248" s="141"/>
      <c r="AN248" s="141"/>
    </row>
    <row r="249" spans="3:40" x14ac:dyDescent="0.3">
      <c r="F249" s="192"/>
      <c r="H249" s="110"/>
      <c r="I249" s="110"/>
      <c r="J249" s="217"/>
      <c r="K249" s="217"/>
      <c r="L249" s="192"/>
      <c r="M249" s="192"/>
      <c r="N249" s="192"/>
      <c r="O249" s="192"/>
      <c r="P249" s="192"/>
      <c r="Q249" s="192"/>
      <c r="R249" s="192"/>
      <c r="V249" s="192"/>
      <c r="Y249" s="110"/>
      <c r="Z249" s="217"/>
      <c r="AA249" s="192"/>
      <c r="AB249" s="192"/>
      <c r="AC249" s="192"/>
      <c r="AD249" s="192"/>
      <c r="AE249" s="192"/>
      <c r="AF249" s="192"/>
      <c r="AI249" s="192"/>
      <c r="AJ249" s="192"/>
      <c r="AK249" s="194"/>
      <c r="AL249" s="192"/>
    </row>
    <row r="250" spans="3:40" x14ac:dyDescent="0.3">
      <c r="C250" s="99"/>
      <c r="F250" s="110"/>
      <c r="H250" s="110"/>
      <c r="I250" s="110"/>
      <c r="J250" s="198"/>
      <c r="K250" s="198"/>
      <c r="L250" s="110"/>
      <c r="M250" s="110"/>
      <c r="N250" s="141"/>
      <c r="O250" s="141"/>
      <c r="P250" s="110"/>
      <c r="Q250" s="110"/>
      <c r="R250" s="110"/>
      <c r="T250" s="99"/>
      <c r="V250" s="110"/>
      <c r="Y250" s="110"/>
      <c r="Z250" s="198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3:40" x14ac:dyDescent="0.3">
      <c r="F251" s="192"/>
      <c r="H251" s="110"/>
      <c r="I251" s="110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10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</row>
    <row r="252" spans="3:40" x14ac:dyDescent="0.3">
      <c r="F252" s="110"/>
      <c r="R252" s="110"/>
      <c r="V252" s="110"/>
      <c r="AL252" s="110"/>
    </row>
    <row r="253" spans="3:40" x14ac:dyDescent="0.3">
      <c r="C253" s="99"/>
      <c r="F253" s="110"/>
      <c r="R253" s="110"/>
      <c r="T253" s="99"/>
      <c r="V253" s="110"/>
      <c r="AL253" s="110"/>
    </row>
    <row r="254" spans="3:40" x14ac:dyDescent="0.3">
      <c r="F254" s="110"/>
      <c r="R254" s="110"/>
      <c r="V254" s="110"/>
      <c r="AL254" s="110"/>
    </row>
    <row r="255" spans="3:40" x14ac:dyDescent="0.3">
      <c r="C255" s="99"/>
      <c r="F255" s="110"/>
      <c r="H255" s="172"/>
      <c r="I255" s="172"/>
      <c r="J255" s="222"/>
      <c r="K255" s="222"/>
      <c r="L255" s="110"/>
      <c r="M255" s="110"/>
      <c r="N255" s="141"/>
      <c r="O255" s="141"/>
      <c r="P255" s="172"/>
      <c r="Q255" s="172"/>
      <c r="R255" s="110"/>
      <c r="T255" s="99"/>
      <c r="V255" s="110"/>
      <c r="Y255" s="110"/>
      <c r="Z255" s="216"/>
      <c r="AA255" s="110"/>
      <c r="AB255" s="110"/>
      <c r="AC255" s="141"/>
      <c r="AD255" s="141"/>
      <c r="AE255" s="110"/>
      <c r="AF255" s="110"/>
      <c r="AH255" s="207"/>
      <c r="AI255" s="172"/>
      <c r="AJ255" s="172"/>
      <c r="AL255" s="110"/>
      <c r="AM255" s="141"/>
      <c r="AN255" s="141"/>
    </row>
    <row r="256" spans="3:40" x14ac:dyDescent="0.3">
      <c r="H256" s="192"/>
      <c r="I256" s="192"/>
      <c r="J256" s="217"/>
      <c r="K256" s="217"/>
      <c r="L256" s="192"/>
      <c r="M256" s="192"/>
      <c r="N256" s="192"/>
      <c r="O256" s="192"/>
      <c r="P256" s="192"/>
      <c r="Q256" s="192"/>
      <c r="R256" s="192"/>
      <c r="V256" s="192"/>
      <c r="Y256" s="192"/>
      <c r="Z256" s="217"/>
      <c r="AA256" s="192"/>
      <c r="AB256" s="192"/>
      <c r="AC256" s="192"/>
      <c r="AD256" s="192"/>
      <c r="AE256" s="192"/>
      <c r="AF256" s="192"/>
      <c r="AI256" s="192"/>
      <c r="AJ256" s="192"/>
      <c r="AK256" s="194"/>
      <c r="AL256" s="192"/>
    </row>
    <row r="257" spans="1:40" x14ac:dyDescent="0.3">
      <c r="F257" s="192"/>
    </row>
    <row r="258" spans="1:40" x14ac:dyDescent="0.3">
      <c r="C258" s="99"/>
      <c r="F258" s="110"/>
      <c r="H258" s="110"/>
      <c r="I258" s="110"/>
      <c r="J258" s="209"/>
      <c r="K258" s="209"/>
      <c r="L258" s="110"/>
      <c r="M258" s="110"/>
      <c r="N258" s="141"/>
      <c r="O258" s="141"/>
      <c r="P258" s="110"/>
      <c r="Q258" s="110"/>
      <c r="R258" s="110"/>
      <c r="T258" s="99"/>
      <c r="V258" s="110"/>
      <c r="Y258" s="110"/>
      <c r="Z258" s="209"/>
      <c r="AA258" s="110"/>
      <c r="AB258" s="110"/>
      <c r="AC258" s="141"/>
      <c r="AD258" s="141"/>
      <c r="AE258" s="110"/>
      <c r="AF258" s="110"/>
      <c r="AH258" s="207"/>
      <c r="AI258" s="110"/>
      <c r="AJ258" s="110"/>
      <c r="AL258" s="110"/>
      <c r="AM258" s="141"/>
      <c r="AN258" s="141"/>
    </row>
    <row r="259" spans="1:40" x14ac:dyDescent="0.3">
      <c r="F259" s="192"/>
      <c r="H259" s="192"/>
      <c r="I259" s="192"/>
      <c r="J259" s="217"/>
      <c r="K259" s="217"/>
      <c r="L259" s="192"/>
      <c r="M259" s="192"/>
      <c r="N259" s="192"/>
      <c r="O259" s="192"/>
      <c r="P259" s="192"/>
      <c r="Q259" s="192"/>
      <c r="R259" s="192"/>
      <c r="V259" s="192"/>
      <c r="Y259" s="192"/>
      <c r="Z259" s="217"/>
      <c r="AA259" s="192"/>
      <c r="AB259" s="192"/>
      <c r="AC259" s="192"/>
      <c r="AD259" s="192"/>
      <c r="AE259" s="192"/>
      <c r="AF259" s="192"/>
      <c r="AI259" s="192"/>
      <c r="AJ259" s="192"/>
      <c r="AK259" s="194"/>
      <c r="AL259" s="192"/>
    </row>
    <row r="260" spans="1:40" x14ac:dyDescent="0.3">
      <c r="R260" s="110"/>
      <c r="AH260" s="110"/>
    </row>
    <row r="261" spans="1:40" x14ac:dyDescent="0.3">
      <c r="F261" s="110"/>
      <c r="H261" s="110"/>
      <c r="I261" s="110"/>
      <c r="J261" s="198"/>
      <c r="K261" s="198"/>
      <c r="L261" s="110"/>
      <c r="M261" s="110"/>
      <c r="N261" s="110"/>
      <c r="O261" s="110"/>
      <c r="P261" s="110"/>
      <c r="Q261" s="110"/>
      <c r="R261" s="110"/>
      <c r="V261" s="110"/>
      <c r="Y261" s="110"/>
      <c r="Z261" s="198"/>
      <c r="AA261" s="110"/>
      <c r="AB261" s="110"/>
      <c r="AC261" s="110"/>
      <c r="AD261" s="110"/>
      <c r="AE261" s="110"/>
      <c r="AF261" s="110"/>
      <c r="AH261" s="110"/>
    </row>
    <row r="262" spans="1:40" x14ac:dyDescent="0.3">
      <c r="C262" s="99"/>
      <c r="F262" s="110"/>
      <c r="H262" s="110"/>
      <c r="I262" s="110"/>
      <c r="J262" s="198"/>
      <c r="K262" s="198"/>
      <c r="L262" s="110"/>
      <c r="M262" s="110"/>
      <c r="N262" s="110"/>
      <c r="O262" s="110"/>
      <c r="P262" s="110"/>
      <c r="Q262" s="110"/>
      <c r="R262" s="110"/>
      <c r="T262" s="99"/>
      <c r="V262" s="110"/>
      <c r="Y262" s="110"/>
      <c r="Z262" s="198"/>
      <c r="AA262" s="110"/>
      <c r="AB262" s="110"/>
      <c r="AC262" s="110"/>
      <c r="AD262" s="110"/>
      <c r="AE262" s="110"/>
      <c r="AF262" s="110"/>
      <c r="AH262" s="110"/>
    </row>
    <row r="263" spans="1:40" x14ac:dyDescent="0.3">
      <c r="A263" s="99"/>
    </row>
    <row r="266" spans="1:40" x14ac:dyDescent="0.3">
      <c r="H266" s="99"/>
      <c r="I266" s="99"/>
      <c r="Y266" s="99"/>
    </row>
    <row r="268" spans="1:40" x14ac:dyDescent="0.3">
      <c r="L268" s="99"/>
      <c r="M268" s="99"/>
      <c r="AA268" s="99"/>
      <c r="AB268" s="99"/>
    </row>
    <row r="269" spans="1:40" x14ac:dyDescent="0.3">
      <c r="R269" s="99"/>
      <c r="AK269" s="190"/>
      <c r="AL269" s="99"/>
    </row>
    <row r="270" spans="1:40" x14ac:dyDescent="0.3">
      <c r="R270" s="99"/>
      <c r="AK270" s="190"/>
      <c r="AL270" s="99"/>
    </row>
    <row r="271" spans="1:40" x14ac:dyDescent="0.3">
      <c r="A271" s="99"/>
      <c r="R271" s="99"/>
      <c r="AK271" s="190"/>
      <c r="AL271" s="99"/>
    </row>
    <row r="272" spans="1:40" x14ac:dyDescent="0.3">
      <c r="L272" s="99"/>
      <c r="M272" s="99"/>
      <c r="AA272" s="99"/>
      <c r="AB272" s="99"/>
    </row>
    <row r="273" spans="1:40" x14ac:dyDescent="0.3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91"/>
      <c r="AH273" s="101"/>
      <c r="AI273" s="101"/>
      <c r="AJ273" s="101"/>
      <c r="AK273" s="191"/>
      <c r="AL273" s="101"/>
      <c r="AM273" s="101"/>
      <c r="AN273" s="101"/>
    </row>
    <row r="274" spans="1:40" x14ac:dyDescent="0.3">
      <c r="L274" s="102"/>
      <c r="M274" s="102"/>
      <c r="N274" s="102"/>
      <c r="O274" s="102"/>
      <c r="R274" s="102"/>
      <c r="AA274" s="102"/>
      <c r="AB274" s="102"/>
      <c r="AC274" s="102"/>
      <c r="AD274" s="102"/>
      <c r="AE274" s="102"/>
      <c r="AF274" s="102"/>
      <c r="AG274" s="151"/>
      <c r="AH274" s="102"/>
      <c r="AK274" s="151"/>
      <c r="AL274" s="102"/>
      <c r="AM274" s="102"/>
      <c r="AN274" s="102"/>
    </row>
    <row r="275" spans="1:40" x14ac:dyDescent="0.3">
      <c r="L275" s="102"/>
      <c r="M275" s="102"/>
      <c r="N275" s="102"/>
      <c r="O275" s="102"/>
      <c r="R275" s="102"/>
      <c r="Z275" s="102"/>
      <c r="AA275" s="102"/>
      <c r="AB275" s="102"/>
      <c r="AC275" s="102"/>
      <c r="AD275" s="102"/>
      <c r="AE275" s="102"/>
      <c r="AF275" s="102"/>
      <c r="AG275" s="151"/>
      <c r="AH275" s="102"/>
      <c r="AK275" s="151"/>
      <c r="AL275" s="102"/>
      <c r="AM275" s="102"/>
      <c r="AN275" s="102"/>
    </row>
    <row r="276" spans="1:40" x14ac:dyDescent="0.3">
      <c r="A276" s="102"/>
      <c r="C276" s="102"/>
      <c r="D276" s="102"/>
      <c r="E276" s="102"/>
      <c r="F276" s="102"/>
      <c r="J276" s="102"/>
      <c r="K276" s="102"/>
      <c r="L276" s="102"/>
      <c r="M276" s="102"/>
      <c r="N276" s="102"/>
      <c r="O276" s="102"/>
      <c r="P276" s="102"/>
      <c r="Q276" s="102"/>
      <c r="R276" s="102"/>
      <c r="T276" s="102"/>
      <c r="U276" s="102"/>
      <c r="V276" s="102"/>
      <c r="Z276" s="102"/>
      <c r="AA276" s="102"/>
      <c r="AB276" s="102"/>
      <c r="AC276" s="102"/>
      <c r="AD276" s="102"/>
      <c r="AE276" s="102"/>
      <c r="AF276" s="102"/>
      <c r="AG276" s="151"/>
      <c r="AH276" s="102"/>
      <c r="AI276" s="102"/>
      <c r="AJ276" s="102"/>
      <c r="AK276" s="151"/>
      <c r="AL276" s="102"/>
      <c r="AM276" s="102"/>
      <c r="AN276" s="102"/>
    </row>
    <row r="277" spans="1:40" x14ac:dyDescent="0.3">
      <c r="A277" s="102"/>
      <c r="C277" s="102"/>
      <c r="D277" s="102"/>
      <c r="E277" s="102"/>
      <c r="F277" s="102"/>
      <c r="H277" s="102"/>
      <c r="I277" s="102"/>
      <c r="J277" s="102"/>
      <c r="K277" s="102"/>
      <c r="L277" s="102"/>
      <c r="M277" s="102"/>
      <c r="N277" s="102"/>
      <c r="O277" s="102"/>
      <c r="P277" s="102"/>
      <c r="Q277" s="102"/>
      <c r="R277" s="102"/>
      <c r="T277" s="102"/>
      <c r="U277" s="102"/>
      <c r="V277" s="102"/>
      <c r="Y277" s="102"/>
      <c r="Z277" s="102"/>
      <c r="AA277" s="102"/>
      <c r="AB277" s="102"/>
      <c r="AC277" s="102"/>
      <c r="AD277" s="102"/>
      <c r="AE277" s="102"/>
      <c r="AF277" s="102"/>
      <c r="AG277" s="151"/>
      <c r="AH277" s="102"/>
      <c r="AI277" s="102"/>
      <c r="AJ277" s="102"/>
      <c r="AK277" s="151"/>
      <c r="AL277" s="102"/>
      <c r="AM277" s="102"/>
      <c r="AN277" s="102"/>
    </row>
    <row r="278" spans="1:40" x14ac:dyDescent="0.3">
      <c r="C278" s="102"/>
      <c r="D278" s="102"/>
      <c r="E278" s="102"/>
      <c r="F278" s="102"/>
      <c r="H278" s="102"/>
      <c r="I278" s="102"/>
      <c r="J278" s="102"/>
      <c r="K278" s="102"/>
      <c r="L278" s="102"/>
      <c r="M278" s="102"/>
      <c r="N278" s="102"/>
      <c r="O278" s="102"/>
      <c r="P278" s="102"/>
      <c r="Q278" s="102"/>
      <c r="R278" s="102"/>
      <c r="T278" s="102"/>
      <c r="U278" s="102"/>
      <c r="V278" s="102"/>
      <c r="Y278" s="102"/>
      <c r="Z278" s="102"/>
      <c r="AA278" s="102"/>
      <c r="AB278" s="102"/>
      <c r="AC278" s="102"/>
      <c r="AD278" s="102"/>
      <c r="AE278" s="102"/>
      <c r="AF278" s="102"/>
      <c r="AG278" s="151"/>
      <c r="AH278" s="102"/>
      <c r="AI278" s="102"/>
      <c r="AJ278" s="102"/>
      <c r="AK278" s="151"/>
      <c r="AL278" s="102"/>
      <c r="AM278" s="102"/>
      <c r="AN278" s="102"/>
    </row>
    <row r="279" spans="1:40" x14ac:dyDescent="0.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91"/>
      <c r="AH279" s="101"/>
      <c r="AI279" s="101"/>
      <c r="AJ279" s="101"/>
      <c r="AK279" s="191"/>
      <c r="AL279" s="101"/>
      <c r="AM279" s="101"/>
      <c r="AN279" s="101"/>
    </row>
    <row r="280" spans="1:40" x14ac:dyDescent="0.3">
      <c r="H280" s="102"/>
      <c r="I280" s="102"/>
      <c r="J280" s="102"/>
      <c r="K280" s="102"/>
      <c r="L280" s="102"/>
      <c r="M280" s="102"/>
      <c r="N280" s="102"/>
      <c r="O280" s="102"/>
      <c r="P280" s="102"/>
      <c r="Q280" s="102"/>
      <c r="R280" s="102"/>
      <c r="Y280" s="102"/>
      <c r="Z280" s="102"/>
      <c r="AA280" s="102"/>
      <c r="AB280" s="102"/>
      <c r="AC280" s="102"/>
      <c r="AD280" s="102"/>
      <c r="AE280" s="102"/>
      <c r="AF280" s="102"/>
      <c r="AG280" s="151"/>
      <c r="AH280" s="102"/>
      <c r="AI280" s="102"/>
      <c r="AJ280" s="102"/>
      <c r="AK280" s="151"/>
      <c r="AL280" s="102"/>
      <c r="AM280" s="102"/>
      <c r="AN280" s="102"/>
    </row>
    <row r="281" spans="1:40" x14ac:dyDescent="0.3">
      <c r="C281" s="99"/>
      <c r="D281" s="99"/>
      <c r="E281" s="99"/>
      <c r="T281" s="99"/>
      <c r="U281" s="99"/>
    </row>
    <row r="282" spans="1:40" x14ac:dyDescent="0.3">
      <c r="C282" s="99"/>
      <c r="T282" s="99"/>
    </row>
    <row r="284" spans="1:40" x14ac:dyDescent="0.3">
      <c r="C284" s="99"/>
      <c r="F284" s="172"/>
      <c r="H284" s="172"/>
      <c r="I284" s="172"/>
      <c r="J284" s="181"/>
      <c r="K284" s="181"/>
      <c r="L284" s="110"/>
      <c r="M284" s="110"/>
      <c r="N284" s="141"/>
      <c r="O284" s="141"/>
      <c r="R284" s="110"/>
      <c r="T284" s="99"/>
      <c r="V284" s="110"/>
      <c r="Y284" s="172"/>
      <c r="Z284" s="181"/>
      <c r="AA284" s="110"/>
      <c r="AB284" s="110"/>
      <c r="AC284" s="141"/>
      <c r="AD284" s="141"/>
      <c r="AE284" s="110"/>
      <c r="AF284" s="110"/>
      <c r="AH284" s="207"/>
      <c r="AL284" s="110"/>
      <c r="AM284" s="141"/>
      <c r="AN284" s="141"/>
    </row>
    <row r="285" spans="1:40" x14ac:dyDescent="0.3">
      <c r="F285" s="192"/>
      <c r="H285" s="110"/>
      <c r="I285" s="110"/>
      <c r="J285" s="217"/>
      <c r="K285" s="217"/>
      <c r="L285" s="192"/>
      <c r="M285" s="192"/>
      <c r="N285" s="192"/>
      <c r="O285" s="192"/>
      <c r="P285" s="192"/>
      <c r="Q285" s="192"/>
      <c r="R285" s="192"/>
      <c r="V285" s="192"/>
      <c r="Y285" s="110"/>
      <c r="Z285" s="217"/>
      <c r="AA285" s="192"/>
      <c r="AB285" s="192"/>
      <c r="AC285" s="192"/>
      <c r="AD285" s="192"/>
      <c r="AE285" s="192"/>
      <c r="AF285" s="192"/>
      <c r="AI285" s="192"/>
      <c r="AJ285" s="192"/>
      <c r="AK285" s="194"/>
      <c r="AL285" s="192"/>
      <c r="AM285" s="141"/>
      <c r="AN285" s="141"/>
    </row>
    <row r="286" spans="1:40" x14ac:dyDescent="0.3">
      <c r="C286" s="99"/>
      <c r="F286" s="172"/>
      <c r="H286" s="172"/>
      <c r="I286" s="172"/>
      <c r="J286" s="227"/>
      <c r="K286" s="227"/>
      <c r="L286" s="110"/>
      <c r="M286" s="110"/>
      <c r="N286" s="141"/>
      <c r="O286" s="141"/>
      <c r="P286" s="110"/>
      <c r="Q286" s="110"/>
      <c r="R286" s="110"/>
      <c r="S286" s="110"/>
      <c r="T286" s="99"/>
      <c r="V286" s="172"/>
      <c r="Y286" s="172"/>
      <c r="Z286" s="227"/>
      <c r="AA286" s="110"/>
      <c r="AB286" s="110"/>
      <c r="AC286" s="141"/>
      <c r="AD286" s="141"/>
      <c r="AE286" s="110"/>
      <c r="AF286" s="110"/>
      <c r="AH286" s="141"/>
      <c r="AI286" s="110"/>
      <c r="AJ286" s="110"/>
      <c r="AL286" s="110"/>
      <c r="AM286" s="141"/>
      <c r="AN286" s="141"/>
    </row>
    <row r="287" spans="1:40" x14ac:dyDescent="0.3">
      <c r="C287" s="99"/>
      <c r="F287" s="172"/>
      <c r="H287" s="172"/>
      <c r="I287" s="172"/>
      <c r="J287" s="181"/>
      <c r="K287" s="181"/>
      <c r="L287" s="110"/>
      <c r="M287" s="110"/>
      <c r="N287" s="141"/>
      <c r="O287" s="141"/>
      <c r="P287" s="110"/>
      <c r="Q287" s="110"/>
      <c r="R287" s="110"/>
      <c r="T287" s="99"/>
      <c r="V287" s="172"/>
      <c r="Y287" s="110"/>
      <c r="Z287" s="181"/>
      <c r="AA287" s="110"/>
      <c r="AB287" s="110"/>
      <c r="AC287" s="141"/>
      <c r="AD287" s="141"/>
      <c r="AE287" s="110"/>
      <c r="AF287" s="110"/>
      <c r="AH287" s="207"/>
      <c r="AI287" s="110"/>
      <c r="AJ287" s="110"/>
      <c r="AL287" s="110"/>
      <c r="AM287" s="141"/>
      <c r="AN287" s="141"/>
    </row>
    <row r="288" spans="1:40" x14ac:dyDescent="0.3">
      <c r="C288" s="99"/>
      <c r="F288" s="172"/>
      <c r="H288" s="172"/>
      <c r="I288" s="172"/>
      <c r="J288" s="181"/>
      <c r="K288" s="181"/>
      <c r="L288" s="110"/>
      <c r="M288" s="110"/>
      <c r="N288" s="141"/>
      <c r="O288" s="141"/>
      <c r="P288" s="110"/>
      <c r="Q288" s="110"/>
      <c r="R288" s="110"/>
      <c r="T288" s="99"/>
      <c r="V288" s="172"/>
      <c r="Y288" s="110"/>
      <c r="Z288" s="181"/>
      <c r="AA288" s="110"/>
      <c r="AB288" s="110"/>
      <c r="AC288" s="141"/>
      <c r="AD288" s="141"/>
      <c r="AE288" s="110"/>
      <c r="AF288" s="110"/>
      <c r="AH288" s="207"/>
      <c r="AI288" s="110"/>
      <c r="AJ288" s="110"/>
      <c r="AL288" s="110"/>
      <c r="AM288" s="141"/>
      <c r="AN288" s="141"/>
    </row>
    <row r="289" spans="3:40" x14ac:dyDescent="0.3">
      <c r="F289" s="192"/>
      <c r="H289" s="192"/>
      <c r="I289" s="192"/>
      <c r="J289" s="217"/>
      <c r="K289" s="217"/>
      <c r="L289" s="192"/>
      <c r="M289" s="192"/>
      <c r="N289" s="192"/>
      <c r="O289" s="192"/>
      <c r="P289" s="192"/>
      <c r="Q289" s="192"/>
      <c r="R289" s="192"/>
      <c r="V289" s="192"/>
      <c r="Y289" s="192"/>
      <c r="Z289" s="217"/>
      <c r="AA289" s="192"/>
      <c r="AB289" s="192"/>
      <c r="AC289" s="192"/>
      <c r="AD289" s="192"/>
      <c r="AE289" s="192"/>
      <c r="AF289" s="192"/>
      <c r="AI289" s="192"/>
      <c r="AJ289" s="192"/>
      <c r="AK289" s="194"/>
      <c r="AL289" s="192"/>
      <c r="AM289" s="141"/>
      <c r="AN289" s="141"/>
    </row>
    <row r="290" spans="3:40" x14ac:dyDescent="0.3">
      <c r="C290" s="99"/>
      <c r="F290" s="110"/>
      <c r="H290" s="110"/>
      <c r="I290" s="110"/>
      <c r="J290" s="198"/>
      <c r="K290" s="198"/>
      <c r="L290" s="110"/>
      <c r="M290" s="110"/>
      <c r="N290" s="141"/>
      <c r="O290" s="141"/>
      <c r="P290" s="110"/>
      <c r="Q290" s="110"/>
      <c r="R290" s="110"/>
      <c r="T290" s="99"/>
      <c r="V290" s="110"/>
      <c r="Y290" s="110"/>
      <c r="Z290" s="198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3:40" x14ac:dyDescent="0.3">
      <c r="F291" s="192"/>
      <c r="H291" s="192"/>
      <c r="I291" s="192"/>
      <c r="J291" s="217"/>
      <c r="K291" s="217"/>
      <c r="L291" s="192"/>
      <c r="M291" s="192"/>
      <c r="N291" s="192"/>
      <c r="O291" s="192"/>
      <c r="P291" s="192"/>
      <c r="Q291" s="192"/>
      <c r="R291" s="192"/>
      <c r="V291" s="192"/>
      <c r="Y291" s="192"/>
      <c r="Z291" s="217"/>
      <c r="AA291" s="192"/>
      <c r="AB291" s="192"/>
      <c r="AC291" s="192"/>
      <c r="AD291" s="192"/>
      <c r="AE291" s="192"/>
      <c r="AF291" s="192"/>
      <c r="AI291" s="192"/>
      <c r="AJ291" s="192"/>
      <c r="AK291" s="194"/>
      <c r="AL291" s="192"/>
      <c r="AM291" s="141"/>
      <c r="AN291" s="141"/>
    </row>
    <row r="292" spans="3:40" x14ac:dyDescent="0.3">
      <c r="C292" s="99"/>
      <c r="F292" s="110"/>
      <c r="H292" s="110"/>
      <c r="I292" s="110"/>
      <c r="J292" s="198"/>
      <c r="K292" s="198"/>
      <c r="L292" s="110"/>
      <c r="M292" s="110"/>
      <c r="N292" s="141"/>
      <c r="O292" s="141"/>
      <c r="P292" s="110"/>
      <c r="Q292" s="110"/>
      <c r="R292" s="110"/>
      <c r="T292" s="99"/>
      <c r="V292" s="110"/>
      <c r="Y292" s="110"/>
      <c r="Z292" s="198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C293" s="99"/>
      <c r="F293" s="110"/>
      <c r="H293" s="172"/>
      <c r="I293" s="172"/>
      <c r="J293" s="222"/>
      <c r="K293" s="222"/>
      <c r="L293" s="110"/>
      <c r="M293" s="110"/>
      <c r="N293" s="141"/>
      <c r="O293" s="141"/>
      <c r="P293" s="110"/>
      <c r="Q293" s="110"/>
      <c r="R293" s="110"/>
      <c r="T293" s="99"/>
      <c r="V293" s="110"/>
      <c r="Y293" s="110"/>
      <c r="Z293" s="216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3:40" x14ac:dyDescent="0.3">
      <c r="H294" s="192"/>
      <c r="I294" s="192"/>
      <c r="J294" s="217"/>
      <c r="K294" s="217"/>
      <c r="L294" s="192"/>
      <c r="M294" s="192"/>
      <c r="N294" s="192"/>
      <c r="O294" s="192"/>
      <c r="P294" s="192"/>
      <c r="Q294" s="192"/>
      <c r="R294" s="192"/>
      <c r="V294" s="192"/>
      <c r="Y294" s="192"/>
      <c r="Z294" s="217"/>
      <c r="AA294" s="192"/>
      <c r="AB294" s="192"/>
      <c r="AC294" s="192"/>
      <c r="AD294" s="192"/>
      <c r="AE294" s="192"/>
      <c r="AF294" s="192"/>
      <c r="AI294" s="192"/>
      <c r="AJ294" s="192"/>
      <c r="AK294" s="194"/>
      <c r="AL294" s="192"/>
      <c r="AM294" s="141"/>
      <c r="AN294" s="141"/>
    </row>
    <row r="295" spans="3:40" x14ac:dyDescent="0.3">
      <c r="F295" s="192"/>
    </row>
    <row r="296" spans="3:40" x14ac:dyDescent="0.3">
      <c r="C296" s="99"/>
      <c r="F296" s="110"/>
      <c r="H296" s="110"/>
      <c r="I296" s="110"/>
      <c r="J296" s="217"/>
      <c r="K296" s="217"/>
      <c r="L296" s="110"/>
      <c r="M296" s="110"/>
      <c r="N296" s="141"/>
      <c r="O296" s="141"/>
      <c r="P296" s="110"/>
      <c r="Q296" s="110"/>
      <c r="R296" s="110"/>
      <c r="S296" s="110"/>
      <c r="T296" s="99"/>
      <c r="V296" s="110"/>
      <c r="Y296" s="110"/>
      <c r="Z296" s="217"/>
      <c r="AA296" s="110"/>
      <c r="AB296" s="110"/>
      <c r="AC296" s="141"/>
      <c r="AD296" s="141"/>
      <c r="AE296" s="110"/>
      <c r="AF296" s="110"/>
      <c r="AH296" s="141"/>
      <c r="AI296" s="110"/>
      <c r="AJ296" s="110"/>
      <c r="AL296" s="110"/>
      <c r="AM296" s="141"/>
      <c r="AN296" s="141"/>
    </row>
    <row r="297" spans="3:40" x14ac:dyDescent="0.3">
      <c r="F297" s="192"/>
      <c r="H297" s="192"/>
      <c r="I297" s="192"/>
      <c r="J297" s="217"/>
      <c r="K297" s="217"/>
      <c r="L297" s="192"/>
      <c r="M297" s="192"/>
      <c r="N297" s="192"/>
      <c r="O297" s="192"/>
      <c r="P297" s="192"/>
      <c r="Q297" s="192"/>
      <c r="R297" s="192"/>
      <c r="S297" s="110"/>
      <c r="V297" s="192"/>
      <c r="Y297" s="192"/>
      <c r="Z297" s="217"/>
      <c r="AA297" s="192"/>
      <c r="AB297" s="192"/>
      <c r="AC297" s="192"/>
      <c r="AD297" s="192"/>
      <c r="AE297" s="192"/>
      <c r="AF297" s="192"/>
      <c r="AI297" s="192"/>
      <c r="AJ297" s="192"/>
      <c r="AK297" s="194"/>
      <c r="AL297" s="192"/>
      <c r="AM297" s="141"/>
      <c r="AN297" s="141"/>
    </row>
    <row r="298" spans="3:40" x14ac:dyDescent="0.3">
      <c r="C298" s="99"/>
      <c r="H298" s="172"/>
      <c r="I298" s="172"/>
      <c r="J298" s="217"/>
      <c r="K298" s="217"/>
      <c r="L298" s="110"/>
      <c r="M298" s="110"/>
      <c r="N298" s="141"/>
      <c r="O298" s="141"/>
      <c r="P298" s="110"/>
      <c r="Q298" s="110"/>
      <c r="R298" s="110"/>
      <c r="S298" s="110"/>
      <c r="T298" s="99"/>
      <c r="V298" s="172"/>
      <c r="Y298" s="172"/>
      <c r="Z298" s="217"/>
      <c r="AA298" s="110"/>
      <c r="AB298" s="110"/>
      <c r="AC298" s="141"/>
      <c r="AD298" s="141"/>
      <c r="AE298" s="110"/>
      <c r="AF298" s="110"/>
      <c r="AI298" s="110"/>
      <c r="AJ298" s="110"/>
      <c r="AL298" s="110"/>
      <c r="AM298" s="141"/>
      <c r="AN298" s="141"/>
    </row>
    <row r="299" spans="3:40" x14ac:dyDescent="0.3">
      <c r="F299" s="172"/>
    </row>
    <row r="300" spans="3:40" x14ac:dyDescent="0.3">
      <c r="C300" s="99"/>
      <c r="F300" s="172"/>
      <c r="H300" s="172"/>
      <c r="I300" s="172"/>
      <c r="J300" s="181"/>
      <c r="K300" s="181"/>
      <c r="L300" s="110"/>
      <c r="M300" s="110"/>
      <c r="N300" s="141"/>
      <c r="O300" s="141"/>
      <c r="R300" s="110"/>
      <c r="T300" s="99"/>
      <c r="V300" s="110"/>
      <c r="Y300" s="172"/>
      <c r="Z300" s="181"/>
      <c r="AA300" s="110"/>
      <c r="AB300" s="110"/>
      <c r="AC300" s="141"/>
      <c r="AD300" s="141"/>
      <c r="AE300" s="110"/>
      <c r="AF300" s="110"/>
      <c r="AH300" s="207"/>
      <c r="AL300" s="110"/>
      <c r="AM300" s="141"/>
      <c r="AN300" s="141"/>
    </row>
    <row r="301" spans="3:40" x14ac:dyDescent="0.3">
      <c r="F301" s="192"/>
      <c r="H301" s="110"/>
      <c r="I301" s="110"/>
      <c r="J301" s="217"/>
      <c r="K301" s="217"/>
      <c r="L301" s="192"/>
      <c r="M301" s="192"/>
      <c r="N301" s="192"/>
      <c r="O301" s="192"/>
      <c r="P301" s="192"/>
      <c r="Q301" s="192"/>
      <c r="R301" s="192"/>
      <c r="V301" s="192"/>
      <c r="Y301" s="110"/>
      <c r="Z301" s="217"/>
      <c r="AA301" s="192"/>
      <c r="AB301" s="192"/>
      <c r="AC301" s="192"/>
      <c r="AD301" s="192"/>
      <c r="AE301" s="192"/>
      <c r="AF301" s="192"/>
      <c r="AI301" s="192"/>
      <c r="AJ301" s="192"/>
      <c r="AK301" s="194"/>
      <c r="AL301" s="192"/>
      <c r="AM301" s="141"/>
      <c r="AN301" s="141"/>
    </row>
    <row r="302" spans="3:40" x14ac:dyDescent="0.3">
      <c r="C302" s="99"/>
      <c r="F302" s="172"/>
      <c r="H302" s="172"/>
      <c r="I302" s="172"/>
      <c r="J302" s="227"/>
      <c r="K302" s="227"/>
      <c r="L302" s="110"/>
      <c r="M302" s="110"/>
      <c r="N302" s="141"/>
      <c r="O302" s="141"/>
      <c r="P302" s="110"/>
      <c r="Q302" s="110"/>
      <c r="R302" s="110"/>
      <c r="S302" s="110"/>
      <c r="T302" s="99"/>
      <c r="V302" s="172"/>
      <c r="Y302" s="172"/>
      <c r="Z302" s="227"/>
      <c r="AA302" s="110"/>
      <c r="AB302" s="110"/>
      <c r="AC302" s="141"/>
      <c r="AD302" s="141"/>
      <c r="AE302" s="110"/>
      <c r="AF302" s="110"/>
      <c r="AH302" s="141"/>
      <c r="AI302" s="110"/>
      <c r="AJ302" s="110"/>
      <c r="AL302" s="110"/>
      <c r="AM302" s="141"/>
      <c r="AN302" s="141"/>
    </row>
    <row r="303" spans="3:40" x14ac:dyDescent="0.3">
      <c r="C303" s="99"/>
      <c r="F303" s="172"/>
      <c r="H303" s="172"/>
      <c r="I303" s="172"/>
      <c r="J303" s="181"/>
      <c r="K303" s="181"/>
      <c r="L303" s="110"/>
      <c r="M303" s="110"/>
      <c r="N303" s="141"/>
      <c r="O303" s="141"/>
      <c r="P303" s="110"/>
      <c r="Q303" s="110"/>
      <c r="R303" s="110"/>
      <c r="T303" s="99"/>
      <c r="V303" s="172"/>
      <c r="Y303" s="110"/>
      <c r="Z303" s="181"/>
      <c r="AA303" s="110"/>
      <c r="AB303" s="110"/>
      <c r="AC303" s="141"/>
      <c r="AD303" s="141"/>
      <c r="AE303" s="110"/>
      <c r="AF303" s="110"/>
      <c r="AH303" s="207"/>
      <c r="AI303" s="110"/>
      <c r="AJ303" s="110"/>
      <c r="AL303" s="110"/>
      <c r="AM303" s="141"/>
      <c r="AN303" s="141"/>
    </row>
    <row r="304" spans="3:40" x14ac:dyDescent="0.3">
      <c r="C304" s="99"/>
      <c r="F304" s="172"/>
      <c r="H304" s="172"/>
      <c r="I304" s="172"/>
      <c r="J304" s="181"/>
      <c r="K304" s="181"/>
      <c r="L304" s="110"/>
      <c r="M304" s="110"/>
      <c r="N304" s="141"/>
      <c r="O304" s="141"/>
      <c r="P304" s="110"/>
      <c r="Q304" s="110"/>
      <c r="R304" s="110"/>
      <c r="T304" s="99"/>
      <c r="V304" s="172"/>
      <c r="Y304" s="110"/>
      <c r="Z304" s="181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1:40" x14ac:dyDescent="0.3">
      <c r="F305" s="192"/>
      <c r="H305" s="192"/>
      <c r="I305" s="192"/>
      <c r="J305" s="217"/>
      <c r="K305" s="217"/>
      <c r="L305" s="192"/>
      <c r="M305" s="192"/>
      <c r="N305" s="192"/>
      <c r="O305" s="192"/>
      <c r="P305" s="192"/>
      <c r="Q305" s="192"/>
      <c r="R305" s="192"/>
      <c r="V305" s="192"/>
      <c r="Y305" s="192"/>
      <c r="Z305" s="217"/>
      <c r="AA305" s="192"/>
      <c r="AB305" s="192"/>
      <c r="AC305" s="192"/>
      <c r="AD305" s="192"/>
      <c r="AE305" s="192"/>
      <c r="AF305" s="192"/>
      <c r="AI305" s="192"/>
      <c r="AJ305" s="192"/>
      <c r="AK305" s="194"/>
      <c r="AL305" s="192"/>
      <c r="AM305" s="141"/>
      <c r="AN305" s="141"/>
    </row>
    <row r="306" spans="1:40" x14ac:dyDescent="0.3">
      <c r="C306" s="99"/>
      <c r="F306" s="110"/>
      <c r="H306" s="110"/>
      <c r="I306" s="110"/>
      <c r="J306" s="198"/>
      <c r="K306" s="198"/>
      <c r="L306" s="110"/>
      <c r="M306" s="110"/>
      <c r="N306" s="141"/>
      <c r="O306" s="141"/>
      <c r="P306" s="110"/>
      <c r="Q306" s="110"/>
      <c r="R306" s="110"/>
      <c r="T306" s="99"/>
      <c r="V306" s="110"/>
      <c r="Y306" s="110"/>
      <c r="Z306" s="198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1:40" x14ac:dyDescent="0.3">
      <c r="F307" s="192"/>
      <c r="H307" s="192"/>
      <c r="I307" s="192"/>
      <c r="J307" s="217"/>
      <c r="K307" s="217"/>
      <c r="L307" s="192"/>
      <c r="M307" s="192"/>
      <c r="N307" s="192"/>
      <c r="O307" s="192"/>
      <c r="P307" s="192"/>
      <c r="Q307" s="192"/>
      <c r="R307" s="192"/>
      <c r="V307" s="192"/>
      <c r="Y307" s="192"/>
      <c r="Z307" s="217"/>
      <c r="AA307" s="192"/>
      <c r="AB307" s="192"/>
      <c r="AC307" s="192"/>
      <c r="AD307" s="192"/>
      <c r="AE307" s="192"/>
      <c r="AF307" s="192"/>
      <c r="AI307" s="192"/>
      <c r="AJ307" s="192"/>
      <c r="AK307" s="194"/>
      <c r="AL307" s="192"/>
      <c r="AM307" s="141"/>
      <c r="AN307" s="141"/>
    </row>
    <row r="308" spans="1:40" x14ac:dyDescent="0.3">
      <c r="C308" s="99"/>
      <c r="F308" s="110"/>
      <c r="H308" s="110"/>
      <c r="I308" s="110"/>
      <c r="J308" s="198"/>
      <c r="K308" s="198"/>
      <c r="L308" s="110"/>
      <c r="M308" s="110"/>
      <c r="N308" s="141"/>
      <c r="O308" s="141"/>
      <c r="P308" s="110"/>
      <c r="Q308" s="110"/>
      <c r="R308" s="110"/>
      <c r="T308" s="99"/>
      <c r="V308" s="110"/>
      <c r="Y308" s="110"/>
      <c r="Z308" s="19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1:40" x14ac:dyDescent="0.3">
      <c r="C309" s="99"/>
      <c r="F309" s="110"/>
      <c r="H309" s="172"/>
      <c r="I309" s="172"/>
      <c r="J309" s="222"/>
      <c r="K309" s="222"/>
      <c r="L309" s="110"/>
      <c r="M309" s="110"/>
      <c r="N309" s="141"/>
      <c r="O309" s="141"/>
      <c r="P309" s="110"/>
      <c r="Q309" s="110"/>
      <c r="R309" s="110"/>
      <c r="T309" s="99"/>
      <c r="V309" s="110"/>
      <c r="Y309" s="110"/>
      <c r="Z309" s="216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1:40" x14ac:dyDescent="0.3">
      <c r="H310" s="192"/>
      <c r="I310" s="192"/>
      <c r="J310" s="217"/>
      <c r="K310" s="217"/>
      <c r="L310" s="192"/>
      <c r="M310" s="192"/>
      <c r="N310" s="192"/>
      <c r="O310" s="192"/>
      <c r="P310" s="192"/>
      <c r="Q310" s="192"/>
      <c r="R310" s="192"/>
      <c r="V310" s="192"/>
      <c r="Y310" s="192"/>
      <c r="Z310" s="217"/>
      <c r="AA310" s="192"/>
      <c r="AB310" s="192"/>
      <c r="AC310" s="192"/>
      <c r="AD310" s="192"/>
      <c r="AE310" s="192"/>
      <c r="AF310" s="192"/>
      <c r="AI310" s="192"/>
      <c r="AJ310" s="192"/>
      <c r="AK310" s="194"/>
      <c r="AL310" s="192"/>
      <c r="AM310" s="141"/>
      <c r="AN310" s="141"/>
    </row>
    <row r="311" spans="1:40" x14ac:dyDescent="0.3">
      <c r="F311" s="192"/>
    </row>
    <row r="312" spans="1:40" x14ac:dyDescent="0.3">
      <c r="C312" s="99"/>
      <c r="F312" s="110"/>
      <c r="H312" s="110"/>
      <c r="I312" s="110"/>
      <c r="J312" s="217"/>
      <c r="K312" s="217"/>
      <c r="L312" s="110"/>
      <c r="M312" s="110"/>
      <c r="N312" s="141"/>
      <c r="O312" s="141"/>
      <c r="P312" s="110"/>
      <c r="Q312" s="110"/>
      <c r="R312" s="110"/>
      <c r="S312" s="110"/>
      <c r="T312" s="99"/>
      <c r="V312" s="110"/>
      <c r="Y312" s="110"/>
      <c r="Z312" s="217"/>
      <c r="AA312" s="110"/>
      <c r="AB312" s="110"/>
      <c r="AC312" s="141"/>
      <c r="AD312" s="141"/>
      <c r="AE312" s="110"/>
      <c r="AF312" s="110"/>
      <c r="AH312" s="141"/>
      <c r="AI312" s="110"/>
      <c r="AJ312" s="110"/>
      <c r="AL312" s="110"/>
      <c r="AM312" s="141"/>
      <c r="AN312" s="141"/>
    </row>
    <row r="313" spans="1:40" x14ac:dyDescent="0.3">
      <c r="F313" s="192"/>
      <c r="H313" s="192"/>
      <c r="I313" s="192"/>
      <c r="J313" s="217"/>
      <c r="K313" s="217"/>
      <c r="L313" s="192"/>
      <c r="M313" s="192"/>
      <c r="N313" s="192"/>
      <c r="O313" s="192"/>
      <c r="P313" s="192"/>
      <c r="Q313" s="192"/>
      <c r="R313" s="192"/>
      <c r="S313" s="110"/>
      <c r="V313" s="192"/>
      <c r="Y313" s="192"/>
      <c r="Z313" s="217"/>
      <c r="AA313" s="192"/>
      <c r="AB313" s="192"/>
      <c r="AC313" s="192"/>
      <c r="AD313" s="192"/>
      <c r="AE313" s="192"/>
      <c r="AF313" s="192"/>
      <c r="AI313" s="192"/>
      <c r="AJ313" s="192"/>
      <c r="AK313" s="194"/>
      <c r="AL313" s="192"/>
      <c r="AM313" s="141"/>
      <c r="AN313" s="141"/>
    </row>
    <row r="314" spans="1:40" x14ac:dyDescent="0.3">
      <c r="C314" s="99"/>
      <c r="T314" s="99"/>
    </row>
    <row r="315" spans="1:40" x14ac:dyDescent="0.3">
      <c r="C315" s="99"/>
      <c r="F315" s="110"/>
      <c r="H315" s="110"/>
      <c r="I315" s="110"/>
      <c r="L315" s="110"/>
      <c r="M315" s="110"/>
      <c r="N315" s="141"/>
      <c r="O315" s="141"/>
      <c r="P315" s="172"/>
      <c r="Q315" s="172"/>
      <c r="R315" s="110"/>
      <c r="T315" s="99"/>
      <c r="V315" s="110"/>
      <c r="Y315" s="110"/>
      <c r="AA315" s="110"/>
      <c r="AB315" s="110"/>
      <c r="AC315" s="141"/>
      <c r="AD315" s="141"/>
      <c r="AE315" s="110"/>
      <c r="AF315" s="110"/>
      <c r="AH315" s="141"/>
      <c r="AI315" s="172"/>
      <c r="AJ315" s="172"/>
      <c r="AL315" s="110"/>
      <c r="AM315" s="141"/>
      <c r="AN315" s="141"/>
    </row>
    <row r="316" spans="1:40" x14ac:dyDescent="0.3">
      <c r="H316" s="192"/>
      <c r="I316" s="192"/>
      <c r="J316" s="217"/>
      <c r="K316" s="217"/>
      <c r="L316" s="192"/>
      <c r="M316" s="192"/>
      <c r="N316" s="192"/>
      <c r="O316" s="192"/>
      <c r="P316" s="192"/>
      <c r="Q316" s="192"/>
      <c r="R316" s="192"/>
      <c r="V316" s="192"/>
      <c r="Y316" s="192"/>
      <c r="Z316" s="217"/>
      <c r="AA316" s="192"/>
      <c r="AB316" s="192"/>
      <c r="AC316" s="192"/>
      <c r="AD316" s="192"/>
      <c r="AE316" s="192"/>
      <c r="AF316" s="192"/>
      <c r="AI316" s="192"/>
      <c r="AJ316" s="192"/>
      <c r="AK316" s="194"/>
      <c r="AL316" s="192"/>
    </row>
    <row r="317" spans="1:40" x14ac:dyDescent="0.3">
      <c r="F317" s="192"/>
    </row>
    <row r="318" spans="1:40" x14ac:dyDescent="0.3">
      <c r="C318" s="99"/>
      <c r="L318" s="110"/>
      <c r="M318" s="110"/>
      <c r="N318" s="110"/>
      <c r="O318" s="110"/>
      <c r="P318" s="110"/>
      <c r="Q318" s="110"/>
      <c r="R318" s="110"/>
      <c r="S318" s="110"/>
      <c r="T318" s="99"/>
      <c r="AA318" s="110"/>
      <c r="AB318" s="110"/>
      <c r="AC318" s="110"/>
      <c r="AD318" s="110"/>
      <c r="AI318" s="110"/>
      <c r="AJ318" s="110"/>
      <c r="AL318" s="110"/>
    </row>
    <row r="319" spans="1:40" x14ac:dyDescent="0.3">
      <c r="A319" s="99"/>
    </row>
    <row r="321" spans="1:40" x14ac:dyDescent="0.3">
      <c r="H321" s="99"/>
      <c r="I321" s="99"/>
      <c r="Y321" s="99"/>
    </row>
    <row r="323" spans="1:40" x14ac:dyDescent="0.3">
      <c r="L323" s="99"/>
      <c r="M323" s="99"/>
      <c r="AA323" s="99"/>
      <c r="AB323" s="99"/>
    </row>
    <row r="324" spans="1:40" x14ac:dyDescent="0.3">
      <c r="R324" s="99"/>
      <c r="AK324" s="190"/>
      <c r="AL324" s="99"/>
    </row>
    <row r="325" spans="1:40" x14ac:dyDescent="0.3">
      <c r="R325" s="99"/>
      <c r="AK325" s="190"/>
      <c r="AL325" s="99"/>
    </row>
    <row r="326" spans="1:40" x14ac:dyDescent="0.3">
      <c r="A326" s="99"/>
      <c r="R326" s="99"/>
      <c r="AK326" s="190"/>
      <c r="AL326" s="99"/>
    </row>
    <row r="327" spans="1:40" x14ac:dyDescent="0.3">
      <c r="L327" s="99"/>
      <c r="M327" s="99"/>
      <c r="AA327" s="99"/>
      <c r="AB327" s="99"/>
    </row>
    <row r="328" spans="1:40" x14ac:dyDescent="0.3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T328" s="101"/>
      <c r="U328" s="101"/>
      <c r="V328" s="101"/>
      <c r="W328" s="101"/>
      <c r="X328" s="101"/>
      <c r="Y328" s="101"/>
      <c r="Z328" s="101"/>
      <c r="AA328" s="101"/>
      <c r="AB328" s="101"/>
      <c r="AC328" s="101"/>
      <c r="AD328" s="101"/>
      <c r="AE328" s="101"/>
      <c r="AF328" s="101"/>
      <c r="AG328" s="191"/>
      <c r="AH328" s="101"/>
      <c r="AI328" s="101"/>
      <c r="AJ328" s="101"/>
      <c r="AK328" s="191"/>
      <c r="AL328" s="101"/>
      <c r="AM328" s="101"/>
      <c r="AN328" s="101"/>
    </row>
    <row r="329" spans="1:40" x14ac:dyDescent="0.3">
      <c r="L329" s="102"/>
      <c r="M329" s="102"/>
      <c r="N329" s="102"/>
      <c r="O329" s="102"/>
      <c r="R329" s="102"/>
      <c r="AA329" s="102"/>
      <c r="AB329" s="102"/>
      <c r="AC329" s="102"/>
      <c r="AD329" s="102"/>
      <c r="AE329" s="102"/>
      <c r="AF329" s="102"/>
      <c r="AG329" s="151"/>
      <c r="AH329" s="102"/>
      <c r="AK329" s="151"/>
      <c r="AL329" s="102"/>
      <c r="AM329" s="102"/>
      <c r="AN329" s="102"/>
    </row>
    <row r="330" spans="1:40" x14ac:dyDescent="0.3">
      <c r="L330" s="102"/>
      <c r="M330" s="102"/>
      <c r="N330" s="102"/>
      <c r="O330" s="102"/>
      <c r="R330" s="102"/>
      <c r="Z330" s="102"/>
      <c r="AA330" s="102"/>
      <c r="AB330" s="102"/>
      <c r="AC330" s="102"/>
      <c r="AD330" s="102"/>
      <c r="AE330" s="102"/>
      <c r="AF330" s="102"/>
      <c r="AG330" s="151"/>
      <c r="AH330" s="102"/>
      <c r="AK330" s="151"/>
      <c r="AL330" s="102"/>
      <c r="AM330" s="102"/>
      <c r="AN330" s="102"/>
    </row>
    <row r="331" spans="1:40" x14ac:dyDescent="0.3">
      <c r="A331" s="102"/>
      <c r="C331" s="102"/>
      <c r="D331" s="102"/>
      <c r="E331" s="102"/>
      <c r="F331" s="102"/>
      <c r="J331" s="102"/>
      <c r="K331" s="102"/>
      <c r="L331" s="102"/>
      <c r="M331" s="102"/>
      <c r="N331" s="102"/>
      <c r="O331" s="102"/>
      <c r="P331" s="102"/>
      <c r="Q331" s="102"/>
      <c r="R331" s="102"/>
      <c r="T331" s="102"/>
      <c r="U331" s="102"/>
      <c r="V331" s="102"/>
      <c r="Z331" s="102"/>
      <c r="AA331" s="102"/>
      <c r="AB331" s="102"/>
      <c r="AC331" s="102"/>
      <c r="AD331" s="102"/>
      <c r="AE331" s="102"/>
      <c r="AF331" s="102"/>
      <c r="AG331" s="151"/>
      <c r="AH331" s="102"/>
      <c r="AI331" s="102"/>
      <c r="AJ331" s="102"/>
      <c r="AK331" s="151"/>
      <c r="AL331" s="102"/>
      <c r="AM331" s="102"/>
      <c r="AN331" s="102"/>
    </row>
    <row r="332" spans="1:40" x14ac:dyDescent="0.3">
      <c r="A332" s="102"/>
      <c r="C332" s="102"/>
      <c r="D332" s="102"/>
      <c r="E332" s="102"/>
      <c r="F332" s="102"/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T332" s="102"/>
      <c r="U332" s="102"/>
      <c r="V332" s="102"/>
      <c r="Y332" s="102"/>
      <c r="Z332" s="102"/>
      <c r="AA332" s="102"/>
      <c r="AB332" s="102"/>
      <c r="AC332" s="102"/>
      <c r="AD332" s="102"/>
      <c r="AE332" s="102"/>
      <c r="AF332" s="102"/>
      <c r="AG332" s="151"/>
      <c r="AH332" s="102"/>
      <c r="AI332" s="102"/>
      <c r="AJ332" s="102"/>
      <c r="AK332" s="151"/>
      <c r="AL332" s="102"/>
      <c r="AM332" s="102"/>
      <c r="AN332" s="102"/>
    </row>
    <row r="333" spans="1:40" x14ac:dyDescent="0.3">
      <c r="C333" s="102"/>
      <c r="D333" s="102"/>
      <c r="E333" s="102"/>
      <c r="F333" s="102"/>
      <c r="H333" s="102"/>
      <c r="I333" s="102"/>
      <c r="J333" s="102"/>
      <c r="K333" s="102"/>
      <c r="L333" s="102"/>
      <c r="M333" s="102"/>
      <c r="N333" s="102"/>
      <c r="O333" s="102"/>
      <c r="P333" s="102"/>
      <c r="Q333" s="102"/>
      <c r="R333" s="102"/>
      <c r="T333" s="102"/>
      <c r="U333" s="102"/>
      <c r="V333" s="102"/>
      <c r="Y333" s="102"/>
      <c r="Z333" s="102"/>
      <c r="AA333" s="102"/>
      <c r="AB333" s="102"/>
      <c r="AC333" s="102"/>
      <c r="AD333" s="102"/>
      <c r="AE333" s="102"/>
      <c r="AF333" s="102"/>
      <c r="AG333" s="151"/>
      <c r="AH333" s="102"/>
      <c r="AI333" s="102"/>
      <c r="AJ333" s="102"/>
      <c r="AK333" s="151"/>
      <c r="AL333" s="102"/>
      <c r="AM333" s="102"/>
      <c r="AN333" s="102"/>
    </row>
    <row r="334" spans="1:40" x14ac:dyDescent="0.3">
      <c r="A334" s="101"/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T334" s="101"/>
      <c r="U334" s="101"/>
      <c r="V334" s="101"/>
      <c r="W334" s="101"/>
      <c r="X334" s="101"/>
      <c r="Y334" s="101"/>
      <c r="Z334" s="101"/>
      <c r="AA334" s="101"/>
      <c r="AB334" s="101"/>
      <c r="AC334" s="101"/>
      <c r="AD334" s="101"/>
      <c r="AE334" s="101"/>
      <c r="AF334" s="101"/>
      <c r="AG334" s="191"/>
      <c r="AH334" s="101"/>
      <c r="AI334" s="101"/>
      <c r="AJ334" s="101"/>
      <c r="AK334" s="191"/>
      <c r="AL334" s="101"/>
      <c r="AM334" s="101"/>
      <c r="AN334" s="101"/>
    </row>
    <row r="335" spans="1:40" x14ac:dyDescent="0.3">
      <c r="H335" s="102"/>
      <c r="I335" s="102"/>
      <c r="J335" s="102"/>
      <c r="K335" s="102"/>
      <c r="L335" s="102"/>
      <c r="M335" s="102"/>
      <c r="N335" s="102"/>
      <c r="O335" s="102"/>
      <c r="P335" s="102"/>
      <c r="Q335" s="102"/>
      <c r="R335" s="102"/>
      <c r="Y335" s="102"/>
      <c r="Z335" s="102"/>
      <c r="AA335" s="102"/>
      <c r="AB335" s="102"/>
      <c r="AC335" s="102"/>
      <c r="AD335" s="102"/>
      <c r="AE335" s="102"/>
      <c r="AF335" s="102"/>
      <c r="AG335" s="151"/>
      <c r="AH335" s="102"/>
      <c r="AI335" s="102"/>
      <c r="AJ335" s="102"/>
      <c r="AK335" s="151"/>
      <c r="AL335" s="102"/>
      <c r="AM335" s="102"/>
      <c r="AN335" s="102"/>
    </row>
    <row r="336" spans="1:40" x14ac:dyDescent="0.3">
      <c r="C336" s="99"/>
      <c r="D336" s="99"/>
      <c r="E336" s="99"/>
      <c r="T336" s="99"/>
      <c r="U336" s="99"/>
    </row>
    <row r="337" spans="3:40" x14ac:dyDescent="0.3">
      <c r="D337" s="99"/>
      <c r="E337" s="99"/>
      <c r="U337" s="99"/>
    </row>
    <row r="339" spans="3:40" x14ac:dyDescent="0.3">
      <c r="C339" s="99"/>
      <c r="T339" s="99"/>
    </row>
    <row r="340" spans="3:40" x14ac:dyDescent="0.3">
      <c r="C340" s="99"/>
      <c r="F340" s="172"/>
      <c r="H340" s="172"/>
      <c r="I340" s="172"/>
      <c r="J340" s="228"/>
      <c r="K340" s="228"/>
      <c r="L340" s="110"/>
      <c r="M340" s="110"/>
      <c r="N340" s="141"/>
      <c r="O340" s="141"/>
      <c r="P340" s="110"/>
      <c r="Q340" s="110"/>
      <c r="R340" s="110"/>
      <c r="T340" s="99"/>
      <c r="V340" s="172"/>
      <c r="W340" s="110"/>
      <c r="X340" s="110"/>
      <c r="Y340" s="172"/>
      <c r="Z340" s="228"/>
      <c r="AA340" s="110"/>
      <c r="AB340" s="110"/>
      <c r="AC340" s="141"/>
      <c r="AD340" s="141"/>
      <c r="AE340" s="110"/>
      <c r="AF340" s="110"/>
      <c r="AH340" s="207"/>
      <c r="AI340" s="110"/>
      <c r="AJ340" s="110"/>
      <c r="AL340" s="110"/>
      <c r="AM340" s="141"/>
      <c r="AN340" s="141"/>
    </row>
    <row r="341" spans="3:40" x14ac:dyDescent="0.3">
      <c r="C341" s="99"/>
      <c r="F341" s="110"/>
      <c r="H341" s="110"/>
      <c r="I341" s="110"/>
      <c r="J341" s="217"/>
      <c r="K341" s="217"/>
      <c r="L341" s="110"/>
      <c r="M341" s="110"/>
      <c r="N341" s="141"/>
      <c r="O341" s="141"/>
      <c r="P341" s="110"/>
      <c r="Q341" s="110"/>
      <c r="R341" s="110"/>
      <c r="T341" s="99"/>
      <c r="V341" s="172"/>
      <c r="W341" s="110"/>
      <c r="X341" s="110"/>
      <c r="Y341" s="172"/>
      <c r="Z341" s="217"/>
      <c r="AA341" s="110"/>
      <c r="AB341" s="110"/>
      <c r="AC341" s="141"/>
      <c r="AD341" s="141"/>
      <c r="AE341" s="110"/>
      <c r="AF341" s="110"/>
      <c r="AH341" s="207"/>
      <c r="AI341" s="110"/>
      <c r="AJ341" s="110"/>
      <c r="AL341" s="110"/>
      <c r="AM341" s="141"/>
      <c r="AN341" s="141"/>
    </row>
    <row r="342" spans="3:40" x14ac:dyDescent="0.3">
      <c r="C342" s="99"/>
      <c r="F342" s="172"/>
      <c r="H342" s="172"/>
      <c r="I342" s="172"/>
      <c r="J342" s="228"/>
      <c r="K342" s="228"/>
      <c r="L342" s="110"/>
      <c r="M342" s="110"/>
      <c r="N342" s="141"/>
      <c r="O342" s="141"/>
      <c r="P342" s="110"/>
      <c r="Q342" s="110"/>
      <c r="R342" s="110"/>
      <c r="T342" s="99"/>
      <c r="V342" s="172"/>
      <c r="W342" s="110"/>
      <c r="X342" s="110"/>
      <c r="Y342" s="172"/>
      <c r="Z342" s="228"/>
      <c r="AA342" s="110"/>
      <c r="AB342" s="110"/>
      <c r="AC342" s="141"/>
      <c r="AD342" s="141"/>
      <c r="AE342" s="110"/>
      <c r="AF342" s="110"/>
      <c r="AH342" s="207"/>
      <c r="AI342" s="110"/>
      <c r="AJ342" s="110"/>
      <c r="AL342" s="110"/>
      <c r="AM342" s="141"/>
      <c r="AN342" s="141"/>
    </row>
    <row r="343" spans="3:40" x14ac:dyDescent="0.3">
      <c r="C343" s="99"/>
      <c r="F343" s="172"/>
      <c r="H343" s="172"/>
      <c r="I343" s="172"/>
      <c r="J343" s="228"/>
      <c r="K343" s="228"/>
      <c r="L343" s="110"/>
      <c r="M343" s="110"/>
      <c r="N343" s="141"/>
      <c r="O343" s="141"/>
      <c r="P343" s="110"/>
      <c r="Q343" s="110"/>
      <c r="R343" s="110"/>
      <c r="T343" s="99"/>
      <c r="V343" s="172"/>
      <c r="W343" s="110"/>
      <c r="X343" s="110"/>
      <c r="Y343" s="172"/>
      <c r="Z343" s="228"/>
      <c r="AA343" s="110"/>
      <c r="AB343" s="110"/>
      <c r="AC343" s="141"/>
      <c r="AD343" s="141"/>
      <c r="AE343" s="110"/>
      <c r="AF343" s="110"/>
      <c r="AH343" s="207"/>
      <c r="AI343" s="110"/>
      <c r="AJ343" s="110"/>
      <c r="AL343" s="110"/>
      <c r="AM343" s="141"/>
      <c r="AN343" s="141"/>
    </row>
    <row r="344" spans="3:40" x14ac:dyDescent="0.3">
      <c r="C344" s="99"/>
      <c r="F344" s="172"/>
      <c r="H344" s="172"/>
      <c r="I344" s="172"/>
      <c r="J344" s="228"/>
      <c r="K344" s="228"/>
      <c r="L344" s="110"/>
      <c r="M344" s="110"/>
      <c r="N344" s="141"/>
      <c r="O344" s="141"/>
      <c r="P344" s="110"/>
      <c r="Q344" s="110"/>
      <c r="R344" s="110"/>
      <c r="T344" s="99"/>
      <c r="V344" s="172"/>
      <c r="W344" s="110"/>
      <c r="X344" s="110"/>
      <c r="Y344" s="172"/>
      <c r="Z344" s="228"/>
      <c r="AA344" s="110"/>
      <c r="AB344" s="110"/>
      <c r="AC344" s="141"/>
      <c r="AD344" s="141"/>
      <c r="AE344" s="110"/>
      <c r="AF344" s="110"/>
      <c r="AH344" s="207"/>
      <c r="AI344" s="110"/>
      <c r="AJ344" s="110"/>
      <c r="AL344" s="110"/>
      <c r="AM344" s="141"/>
      <c r="AN344" s="141"/>
    </row>
    <row r="345" spans="3:40" x14ac:dyDescent="0.3">
      <c r="C345" s="99"/>
      <c r="F345" s="110"/>
      <c r="H345" s="110"/>
      <c r="I345" s="110"/>
      <c r="J345" s="228"/>
      <c r="K345" s="228"/>
      <c r="L345" s="110"/>
      <c r="M345" s="110"/>
      <c r="N345" s="141"/>
      <c r="O345" s="141"/>
      <c r="P345" s="110"/>
      <c r="Q345" s="110"/>
      <c r="R345" s="110"/>
      <c r="T345" s="99"/>
      <c r="V345" s="172"/>
      <c r="W345" s="110"/>
      <c r="X345" s="110"/>
      <c r="Y345" s="172"/>
      <c r="Z345" s="228"/>
      <c r="AA345" s="110"/>
      <c r="AB345" s="110"/>
      <c r="AC345" s="141"/>
      <c r="AD345" s="141"/>
      <c r="AE345" s="110"/>
      <c r="AF345" s="110"/>
      <c r="AH345" s="207"/>
      <c r="AI345" s="110"/>
      <c r="AJ345" s="110"/>
      <c r="AL345" s="110"/>
      <c r="AM345" s="141"/>
      <c r="AN345" s="141"/>
    </row>
    <row r="346" spans="3:40" x14ac:dyDescent="0.3">
      <c r="C346" s="99"/>
      <c r="F346" s="110"/>
      <c r="H346" s="110"/>
      <c r="I346" s="110"/>
      <c r="J346" s="228"/>
      <c r="K346" s="228"/>
      <c r="L346" s="110"/>
      <c r="M346" s="110"/>
      <c r="N346" s="141"/>
      <c r="O346" s="141"/>
      <c r="P346" s="110"/>
      <c r="Q346" s="110"/>
      <c r="R346" s="110"/>
      <c r="T346" s="99"/>
      <c r="V346" s="172"/>
      <c r="W346" s="110"/>
      <c r="X346" s="110"/>
      <c r="Y346" s="172"/>
      <c r="Z346" s="228"/>
      <c r="AA346" s="110"/>
      <c r="AB346" s="110"/>
      <c r="AC346" s="141"/>
      <c r="AD346" s="141"/>
      <c r="AE346" s="110"/>
      <c r="AF346" s="110"/>
      <c r="AH346" s="207"/>
      <c r="AI346" s="110"/>
      <c r="AJ346" s="110"/>
      <c r="AL346" s="110"/>
      <c r="AM346" s="141"/>
      <c r="AN346" s="141"/>
    </row>
    <row r="347" spans="3:40" x14ac:dyDescent="0.3">
      <c r="F347" s="210"/>
      <c r="H347" s="230"/>
      <c r="I347" s="230"/>
      <c r="J347" s="228"/>
      <c r="K347" s="228"/>
      <c r="L347" s="210"/>
      <c r="M347" s="210"/>
      <c r="N347" s="192"/>
      <c r="O347" s="192"/>
      <c r="P347" s="210"/>
      <c r="Q347" s="210"/>
      <c r="R347" s="210"/>
      <c r="V347" s="210"/>
      <c r="W347" s="110"/>
      <c r="X347" s="110"/>
      <c r="Y347" s="210"/>
      <c r="Z347" s="228"/>
      <c r="AA347" s="210"/>
      <c r="AB347" s="210"/>
      <c r="AC347" s="211"/>
      <c r="AD347" s="211"/>
      <c r="AE347" s="210"/>
      <c r="AF347" s="210"/>
      <c r="AH347" s="207"/>
      <c r="AI347" s="210"/>
      <c r="AJ347" s="210"/>
      <c r="AK347" s="191"/>
      <c r="AL347" s="210"/>
      <c r="AM347" s="141"/>
      <c r="AN347" s="141"/>
    </row>
    <row r="348" spans="3:40" x14ac:dyDescent="0.3">
      <c r="C348" s="99"/>
      <c r="F348" s="110"/>
      <c r="H348" s="110"/>
      <c r="I348" s="110"/>
      <c r="J348" s="228"/>
      <c r="K348" s="228"/>
      <c r="L348" s="110"/>
      <c r="M348" s="110"/>
      <c r="N348" s="207"/>
      <c r="O348" s="207"/>
      <c r="P348" s="110"/>
      <c r="Q348" s="110"/>
      <c r="R348" s="110"/>
      <c r="T348" s="102"/>
      <c r="V348" s="110"/>
      <c r="W348" s="110"/>
      <c r="X348" s="110"/>
      <c r="Y348" s="110"/>
      <c r="Z348" s="228"/>
      <c r="AA348" s="110"/>
      <c r="AB348" s="110"/>
      <c r="AC348" s="207"/>
      <c r="AD348" s="207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F349" s="101"/>
      <c r="H349" s="101"/>
      <c r="I349" s="101"/>
      <c r="L349" s="101"/>
      <c r="M349" s="101"/>
      <c r="N349" s="211"/>
      <c r="O349" s="211"/>
      <c r="P349" s="210"/>
      <c r="Q349" s="210"/>
      <c r="R349" s="210"/>
      <c r="V349" s="210"/>
      <c r="Y349" s="210"/>
      <c r="Z349" s="217"/>
      <c r="AA349" s="210"/>
      <c r="AB349" s="210"/>
      <c r="AC349" s="210"/>
      <c r="AD349" s="210"/>
      <c r="AE349" s="210"/>
      <c r="AF349" s="210"/>
      <c r="AI349" s="210"/>
      <c r="AJ349" s="210"/>
      <c r="AK349" s="191"/>
      <c r="AL349" s="210"/>
      <c r="AM349" s="211"/>
      <c r="AN349" s="211"/>
    </row>
    <row r="354" spans="1:40" x14ac:dyDescent="0.3">
      <c r="N354" s="110"/>
      <c r="O354" s="110"/>
      <c r="P354" s="110"/>
      <c r="Q354" s="110"/>
      <c r="R354" s="110"/>
      <c r="V354" s="110"/>
      <c r="Y354" s="110"/>
      <c r="Z354" s="198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1:40" x14ac:dyDescent="0.3">
      <c r="C355" s="99"/>
      <c r="D355" s="99"/>
      <c r="E355" s="99"/>
      <c r="J355" s="163"/>
      <c r="K355" s="163"/>
      <c r="T355" s="99"/>
      <c r="U355" s="99"/>
      <c r="Z355" s="163"/>
      <c r="AE355" s="110"/>
      <c r="AF355" s="110"/>
      <c r="AI355" s="110"/>
      <c r="AJ355" s="110"/>
      <c r="AL355" s="110"/>
      <c r="AM355" s="141"/>
      <c r="AN355" s="141"/>
    </row>
    <row r="356" spans="1:40" x14ac:dyDescent="0.3">
      <c r="D356" s="99"/>
      <c r="E356" s="99"/>
      <c r="F356" s="110"/>
      <c r="H356" s="110"/>
      <c r="I356" s="110"/>
      <c r="J356" s="228"/>
      <c r="K356" s="228"/>
      <c r="L356" s="110"/>
      <c r="M356" s="110"/>
      <c r="N356" s="141"/>
      <c r="O356" s="141"/>
      <c r="P356" s="110"/>
      <c r="Q356" s="110"/>
      <c r="R356" s="110"/>
      <c r="U356" s="99"/>
      <c r="V356" s="110"/>
      <c r="Y356" s="110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1:40" x14ac:dyDescent="0.3">
      <c r="F357" s="110"/>
      <c r="H357" s="110"/>
      <c r="I357" s="110"/>
      <c r="J357" s="217"/>
      <c r="K357" s="217"/>
      <c r="L357" s="110"/>
      <c r="M357" s="110"/>
      <c r="N357" s="110"/>
      <c r="O357" s="110"/>
      <c r="P357" s="110"/>
      <c r="Q357" s="110"/>
      <c r="R357" s="110"/>
      <c r="V357" s="110"/>
      <c r="Y357" s="110"/>
      <c r="Z357" s="217"/>
      <c r="AA357" s="110"/>
      <c r="AB357" s="110"/>
      <c r="AC357" s="110"/>
      <c r="AD357" s="110"/>
      <c r="AE357" s="110"/>
      <c r="AF357" s="110"/>
      <c r="AH357" s="207"/>
      <c r="AI357" s="172"/>
      <c r="AJ357" s="172"/>
      <c r="AL357" s="110"/>
      <c r="AM357" s="141"/>
      <c r="AN357" s="141"/>
    </row>
    <row r="358" spans="1:40" x14ac:dyDescent="0.3">
      <c r="C358" s="99"/>
      <c r="F358" s="172"/>
      <c r="H358" s="172"/>
      <c r="I358" s="172"/>
      <c r="J358" s="216"/>
      <c r="K358" s="216"/>
      <c r="L358" s="110"/>
      <c r="M358" s="110"/>
      <c r="N358" s="141"/>
      <c r="O358" s="141"/>
      <c r="P358" s="110"/>
      <c r="Q358" s="110"/>
      <c r="R358" s="110"/>
      <c r="T358" s="99"/>
      <c r="V358" s="172"/>
      <c r="Y358" s="172"/>
      <c r="Z358" s="216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1:40" x14ac:dyDescent="0.3">
      <c r="F359" s="101"/>
      <c r="H359" s="101"/>
      <c r="I359" s="101"/>
      <c r="L359" s="101"/>
      <c r="M359" s="101"/>
      <c r="N359" s="101"/>
      <c r="O359" s="101"/>
      <c r="P359" s="101"/>
      <c r="Q359" s="101"/>
      <c r="R359" s="101"/>
      <c r="V359" s="101"/>
      <c r="Y359" s="101"/>
      <c r="AA359" s="101"/>
      <c r="AB359" s="101"/>
      <c r="AC359" s="101"/>
      <c r="AD359" s="101"/>
      <c r="AE359" s="101"/>
      <c r="AF359" s="101"/>
      <c r="AG359" s="191"/>
      <c r="AH359" s="101"/>
      <c r="AI359" s="101"/>
      <c r="AJ359" s="101"/>
      <c r="AK359" s="191"/>
      <c r="AL359" s="101"/>
      <c r="AM359" s="101"/>
      <c r="AN359" s="101"/>
    </row>
    <row r="360" spans="1:40" x14ac:dyDescent="0.3">
      <c r="C360" s="102"/>
      <c r="F360" s="172"/>
      <c r="H360" s="172"/>
      <c r="I360" s="172"/>
      <c r="J360" s="181"/>
      <c r="K360" s="181"/>
      <c r="L360" s="172"/>
      <c r="M360" s="172"/>
      <c r="N360" s="141"/>
      <c r="O360" s="141"/>
      <c r="P360" s="172"/>
      <c r="Q360" s="172"/>
      <c r="R360" s="172"/>
      <c r="T360" s="102"/>
      <c r="V360" s="110"/>
      <c r="Y360" s="110"/>
      <c r="Z360" s="198"/>
      <c r="AA360" s="110"/>
      <c r="AB360" s="110"/>
      <c r="AC360" s="141"/>
      <c r="AD360" s="141"/>
      <c r="AH360" s="207"/>
      <c r="AI360" s="110"/>
      <c r="AJ360" s="110"/>
      <c r="AL360" s="110"/>
      <c r="AM360" s="141"/>
      <c r="AN360" s="141"/>
    </row>
    <row r="361" spans="1:40" x14ac:dyDescent="0.3">
      <c r="F361" s="210"/>
      <c r="H361" s="210"/>
      <c r="I361" s="210"/>
      <c r="J361" s="217"/>
      <c r="K361" s="217"/>
      <c r="L361" s="210"/>
      <c r="M361" s="210"/>
      <c r="N361" s="210"/>
      <c r="O361" s="210"/>
      <c r="P361" s="210"/>
      <c r="Q361" s="210"/>
      <c r="R361" s="210"/>
      <c r="V361" s="101"/>
      <c r="Y361" s="101"/>
      <c r="AA361" s="101"/>
      <c r="AB361" s="101"/>
      <c r="AC361" s="101"/>
      <c r="AD361" s="101"/>
      <c r="AE361" s="101"/>
      <c r="AF361" s="101"/>
      <c r="AG361" s="191"/>
      <c r="AH361" s="101"/>
      <c r="AI361" s="101"/>
      <c r="AJ361" s="101"/>
      <c r="AK361" s="191"/>
      <c r="AL361" s="101"/>
      <c r="AM361" s="101"/>
      <c r="AN361" s="101"/>
    </row>
    <row r="362" spans="1:40" x14ac:dyDescent="0.3">
      <c r="F362" s="172"/>
      <c r="H362" s="172"/>
      <c r="I362" s="172"/>
      <c r="J362" s="227"/>
      <c r="K362" s="227"/>
      <c r="L362" s="110"/>
      <c r="M362" s="110"/>
      <c r="N362" s="141"/>
      <c r="O362" s="141"/>
      <c r="P362" s="110"/>
      <c r="Q362" s="110"/>
      <c r="R362" s="110"/>
    </row>
    <row r="363" spans="1:40" x14ac:dyDescent="0.3">
      <c r="A363" s="99"/>
      <c r="F363" s="172"/>
      <c r="H363" s="172"/>
      <c r="I363" s="172"/>
      <c r="J363" s="181"/>
      <c r="K363" s="181"/>
      <c r="L363" s="110"/>
      <c r="M363" s="110"/>
      <c r="N363" s="141"/>
      <c r="O363" s="141"/>
      <c r="P363" s="110"/>
      <c r="Q363" s="110"/>
      <c r="R363" s="110"/>
    </row>
    <row r="364" spans="1:40" x14ac:dyDescent="0.3">
      <c r="F364" s="172"/>
      <c r="H364" s="172"/>
      <c r="I364" s="172"/>
      <c r="J364" s="181"/>
      <c r="K364" s="181"/>
      <c r="L364" s="110"/>
      <c r="M364" s="110"/>
      <c r="N364" s="141"/>
      <c r="O364" s="141"/>
      <c r="P364" s="110"/>
      <c r="Q364" s="110"/>
      <c r="R364" s="110"/>
    </row>
    <row r="365" spans="1:40" x14ac:dyDescent="0.3">
      <c r="A365" s="99"/>
    </row>
    <row r="368" spans="1:40" x14ac:dyDescent="0.3">
      <c r="H368" s="99"/>
      <c r="I368" s="99"/>
      <c r="Y368" s="99"/>
    </row>
    <row r="370" spans="1:40" x14ac:dyDescent="0.3">
      <c r="L370" s="99"/>
      <c r="M370" s="99"/>
      <c r="AA370" s="99"/>
      <c r="AB370" s="99"/>
    </row>
    <row r="371" spans="1:40" x14ac:dyDescent="0.3">
      <c r="R371" s="99"/>
      <c r="AK371" s="190"/>
      <c r="AL371" s="99"/>
    </row>
    <row r="372" spans="1:40" x14ac:dyDescent="0.3">
      <c r="R372" s="99"/>
      <c r="AK372" s="190"/>
      <c r="AL372" s="99"/>
    </row>
    <row r="373" spans="1:40" x14ac:dyDescent="0.3">
      <c r="A373" s="99"/>
      <c r="R373" s="99"/>
      <c r="AK373" s="190"/>
      <c r="AL373" s="99"/>
    </row>
    <row r="374" spans="1:40" x14ac:dyDescent="0.3">
      <c r="L374" s="99"/>
      <c r="M374" s="99"/>
      <c r="AA374" s="99"/>
      <c r="AB374" s="99"/>
    </row>
    <row r="375" spans="1:40" x14ac:dyDescent="0.3">
      <c r="A375" s="101"/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/>
      <c r="AD375" s="101"/>
      <c r="AE375" s="101"/>
      <c r="AF375" s="101"/>
      <c r="AG375" s="191"/>
      <c r="AH375" s="101"/>
      <c r="AI375" s="101"/>
      <c r="AJ375" s="101"/>
      <c r="AK375" s="191"/>
      <c r="AL375" s="101"/>
      <c r="AM375" s="101"/>
      <c r="AN375" s="101"/>
    </row>
    <row r="376" spans="1:40" x14ac:dyDescent="0.3">
      <c r="L376" s="102"/>
      <c r="M376" s="102"/>
      <c r="N376" s="102"/>
      <c r="O376" s="102"/>
      <c r="R376" s="102"/>
      <c r="AA376" s="102"/>
      <c r="AB376" s="102"/>
      <c r="AC376" s="102"/>
      <c r="AD376" s="102"/>
      <c r="AE376" s="102"/>
      <c r="AF376" s="102"/>
      <c r="AG376" s="151"/>
      <c r="AH376" s="102"/>
      <c r="AK376" s="151"/>
      <c r="AL376" s="102"/>
      <c r="AM376" s="102"/>
      <c r="AN376" s="102"/>
    </row>
    <row r="377" spans="1:40" x14ac:dyDescent="0.3">
      <c r="L377" s="102"/>
      <c r="M377" s="102"/>
      <c r="N377" s="102"/>
      <c r="O377" s="102"/>
      <c r="R377" s="102"/>
      <c r="Z377" s="102"/>
      <c r="AA377" s="102"/>
      <c r="AB377" s="102"/>
      <c r="AC377" s="102"/>
      <c r="AD377" s="102"/>
      <c r="AE377" s="102"/>
      <c r="AF377" s="102"/>
      <c r="AG377" s="151"/>
      <c r="AH377" s="102"/>
      <c r="AK377" s="151"/>
      <c r="AL377" s="102"/>
      <c r="AM377" s="102"/>
      <c r="AN377" s="102"/>
    </row>
    <row r="378" spans="1:40" x14ac:dyDescent="0.3">
      <c r="A378" s="102"/>
      <c r="C378" s="102"/>
      <c r="D378" s="102"/>
      <c r="E378" s="102"/>
      <c r="F378" s="102"/>
      <c r="J378" s="102"/>
      <c r="K378" s="102"/>
      <c r="L378" s="102"/>
      <c r="M378" s="102"/>
      <c r="N378" s="102"/>
      <c r="O378" s="102"/>
      <c r="P378" s="102"/>
      <c r="Q378" s="102"/>
      <c r="R378" s="102"/>
      <c r="T378" s="102"/>
      <c r="U378" s="102"/>
      <c r="V378" s="102"/>
      <c r="Z378" s="102"/>
      <c r="AA378" s="102"/>
      <c r="AB378" s="102"/>
      <c r="AC378" s="102"/>
      <c r="AD378" s="102"/>
      <c r="AE378" s="102"/>
      <c r="AF378" s="102"/>
      <c r="AG378" s="151"/>
      <c r="AH378" s="102"/>
      <c r="AI378" s="102"/>
      <c r="AJ378" s="102"/>
      <c r="AK378" s="151"/>
      <c r="AL378" s="102"/>
      <c r="AM378" s="102"/>
      <c r="AN378" s="102"/>
    </row>
    <row r="379" spans="1:40" x14ac:dyDescent="0.3">
      <c r="A379" s="102"/>
      <c r="C379" s="102"/>
      <c r="D379" s="102"/>
      <c r="E379" s="102"/>
      <c r="F379" s="102"/>
      <c r="H379" s="102"/>
      <c r="I379" s="102"/>
      <c r="J379" s="102"/>
      <c r="K379" s="102"/>
      <c r="L379" s="102"/>
      <c r="M379" s="102"/>
      <c r="N379" s="102"/>
      <c r="O379" s="102"/>
      <c r="P379" s="102"/>
      <c r="Q379" s="102"/>
      <c r="R379" s="102"/>
      <c r="T379" s="102"/>
      <c r="U379" s="102"/>
      <c r="V379" s="102"/>
      <c r="Y379" s="102"/>
      <c r="Z379" s="102"/>
      <c r="AA379" s="102"/>
      <c r="AB379" s="102"/>
      <c r="AC379" s="102"/>
      <c r="AD379" s="102"/>
      <c r="AE379" s="102"/>
      <c r="AF379" s="102"/>
      <c r="AG379" s="151"/>
      <c r="AH379" s="102"/>
      <c r="AI379" s="102"/>
      <c r="AJ379" s="102"/>
      <c r="AK379" s="151"/>
      <c r="AL379" s="102"/>
      <c r="AM379" s="102"/>
      <c r="AN379" s="102"/>
    </row>
    <row r="380" spans="1:40" x14ac:dyDescent="0.3">
      <c r="C380" s="102"/>
      <c r="D380" s="102"/>
      <c r="E380" s="102"/>
      <c r="F380" s="102"/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T380" s="102"/>
      <c r="U380" s="102"/>
      <c r="V380" s="102"/>
      <c r="Y380" s="102"/>
      <c r="Z380" s="102"/>
      <c r="AA380" s="102"/>
      <c r="AB380" s="102"/>
      <c r="AC380" s="102"/>
      <c r="AD380" s="102"/>
      <c r="AE380" s="102"/>
      <c r="AF380" s="102"/>
      <c r="AG380" s="151"/>
      <c r="AH380" s="102"/>
      <c r="AI380" s="102"/>
      <c r="AJ380" s="102"/>
      <c r="AK380" s="151"/>
      <c r="AL380" s="102"/>
      <c r="AM380" s="102"/>
      <c r="AN380" s="102"/>
    </row>
    <row r="381" spans="1:40" x14ac:dyDescent="0.3">
      <c r="A381" s="101"/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T381" s="101"/>
      <c r="U381" s="101"/>
      <c r="V381" s="101"/>
      <c r="W381" s="101"/>
      <c r="X381" s="101"/>
      <c r="Y381" s="101"/>
      <c r="Z381" s="101"/>
      <c r="AA381" s="101"/>
      <c r="AB381" s="101"/>
      <c r="AC381" s="101"/>
      <c r="AD381" s="101"/>
      <c r="AE381" s="101"/>
      <c r="AF381" s="101"/>
      <c r="AG381" s="191"/>
      <c r="AH381" s="101"/>
      <c r="AI381" s="101"/>
      <c r="AJ381" s="101"/>
      <c r="AK381" s="191"/>
      <c r="AL381" s="101"/>
      <c r="AM381" s="101"/>
      <c r="AN381" s="101"/>
    </row>
    <row r="382" spans="1:40" x14ac:dyDescent="0.3">
      <c r="H382" s="102"/>
      <c r="I382" s="102"/>
      <c r="J382" s="102"/>
      <c r="K382" s="102"/>
      <c r="L382" s="102"/>
      <c r="M382" s="102"/>
      <c r="N382" s="102"/>
      <c r="O382" s="102"/>
      <c r="P382" s="102"/>
      <c r="Q382" s="102"/>
      <c r="R382" s="102"/>
      <c r="Y382" s="102"/>
      <c r="Z382" s="102"/>
      <c r="AA382" s="102"/>
      <c r="AB382" s="102"/>
      <c r="AC382" s="102"/>
      <c r="AD382" s="102"/>
      <c r="AE382" s="102"/>
      <c r="AF382" s="102"/>
      <c r="AG382" s="151"/>
      <c r="AH382" s="102"/>
      <c r="AI382" s="102"/>
      <c r="AJ382" s="102"/>
      <c r="AK382" s="151"/>
      <c r="AL382" s="102"/>
      <c r="AM382" s="102"/>
      <c r="AN382" s="102"/>
    </row>
    <row r="383" spans="1:40" x14ac:dyDescent="0.3">
      <c r="C383" s="99"/>
      <c r="D383" s="99"/>
      <c r="E383" s="99"/>
      <c r="T383" s="99"/>
      <c r="U383" s="99"/>
    </row>
    <row r="385" spans="3:40" x14ac:dyDescent="0.3">
      <c r="C385" s="99"/>
      <c r="T385" s="99"/>
    </row>
    <row r="386" spans="3:40" x14ac:dyDescent="0.3">
      <c r="C386" s="99"/>
      <c r="F386" s="172"/>
      <c r="H386" s="172"/>
      <c r="I386" s="172"/>
      <c r="J386" s="217"/>
      <c r="K386" s="217"/>
      <c r="L386" s="110"/>
      <c r="M386" s="110"/>
      <c r="N386" s="141"/>
      <c r="O386" s="141"/>
      <c r="P386" s="110"/>
      <c r="Q386" s="110"/>
      <c r="R386" s="110"/>
      <c r="T386" s="99"/>
      <c r="V386" s="172"/>
      <c r="Y386" s="172"/>
      <c r="Z386" s="217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T387" s="99"/>
    </row>
    <row r="388" spans="3:40" x14ac:dyDescent="0.3">
      <c r="C388" s="99"/>
      <c r="F388" s="172"/>
      <c r="H388" s="172"/>
      <c r="I388" s="172"/>
      <c r="J388" s="228"/>
      <c r="K388" s="228"/>
      <c r="L388" s="110"/>
      <c r="M388" s="110"/>
      <c r="N388" s="141"/>
      <c r="O388" s="141"/>
      <c r="P388" s="110"/>
      <c r="Q388" s="110"/>
      <c r="R388" s="110"/>
      <c r="T388" s="99"/>
      <c r="V388" s="110"/>
      <c r="Y388" s="110"/>
      <c r="Z388" s="228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10"/>
      <c r="Y389" s="110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C390" s="99"/>
      <c r="F390" s="172"/>
      <c r="H390" s="172"/>
      <c r="I390" s="172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10"/>
      <c r="Y390" s="110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72"/>
      <c r="H391" s="172"/>
      <c r="I391" s="172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10"/>
      <c r="Y391" s="110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C392" s="99"/>
      <c r="J392" s="163"/>
      <c r="K392" s="163"/>
      <c r="T392" s="99"/>
      <c r="Z392" s="163"/>
    </row>
    <row r="393" spans="3:40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Y393" s="110"/>
      <c r="Z393" s="228"/>
      <c r="AA393" s="110"/>
      <c r="AB393" s="110"/>
      <c r="AC393" s="141"/>
      <c r="AD393" s="141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C394" s="99"/>
      <c r="F394" s="172"/>
      <c r="H394" s="172"/>
      <c r="I394" s="172"/>
      <c r="J394" s="228"/>
      <c r="K394" s="228"/>
      <c r="L394" s="110"/>
      <c r="M394" s="110"/>
      <c r="N394" s="141"/>
      <c r="O394" s="141"/>
      <c r="P394" s="110"/>
      <c r="Q394" s="110"/>
      <c r="R394" s="110"/>
      <c r="T394" s="99"/>
      <c r="V394" s="110"/>
      <c r="Y394" s="110"/>
      <c r="Z394" s="228"/>
      <c r="AA394" s="110"/>
      <c r="AB394" s="110"/>
      <c r="AC394" s="141"/>
      <c r="AD394" s="141"/>
      <c r="AE394" s="110"/>
      <c r="AF394" s="110"/>
      <c r="AH394" s="207"/>
      <c r="AI394" s="110"/>
      <c r="AJ394" s="110"/>
      <c r="AL394" s="110"/>
      <c r="AM394" s="141"/>
      <c r="AN394" s="141"/>
    </row>
    <row r="395" spans="3:40" x14ac:dyDescent="0.3">
      <c r="C395" s="99"/>
      <c r="F395" s="172"/>
      <c r="H395" s="172"/>
      <c r="I395" s="172"/>
      <c r="J395" s="228"/>
      <c r="K395" s="228"/>
      <c r="L395" s="110"/>
      <c r="M395" s="110"/>
      <c r="N395" s="141"/>
      <c r="O395" s="141"/>
      <c r="P395" s="110"/>
      <c r="Q395" s="110"/>
      <c r="R395" s="110"/>
      <c r="T395" s="99"/>
      <c r="V395" s="110"/>
      <c r="Y395" s="110"/>
      <c r="Z395" s="228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C396" s="99"/>
      <c r="J396" s="163"/>
      <c r="K396" s="163"/>
      <c r="T396" s="99"/>
      <c r="Z396" s="163"/>
    </row>
    <row r="397" spans="3:40" x14ac:dyDescent="0.3">
      <c r="C397" s="99"/>
      <c r="F397" s="172"/>
      <c r="H397" s="172"/>
      <c r="I397" s="172"/>
      <c r="J397" s="228"/>
      <c r="K397" s="228"/>
      <c r="L397" s="110"/>
      <c r="M397" s="110"/>
      <c r="N397" s="141"/>
      <c r="O397" s="141"/>
      <c r="P397" s="110"/>
      <c r="Q397" s="110"/>
      <c r="R397" s="110"/>
      <c r="T397" s="99"/>
      <c r="V397" s="110"/>
      <c r="Y397" s="110"/>
      <c r="Z397" s="228"/>
      <c r="AA397" s="110"/>
      <c r="AB397" s="110"/>
      <c r="AC397" s="141"/>
      <c r="AD397" s="141"/>
      <c r="AE397" s="110"/>
      <c r="AF397" s="110"/>
      <c r="AH397" s="207"/>
      <c r="AI397" s="110"/>
      <c r="AJ397" s="110"/>
      <c r="AL397" s="110"/>
      <c r="AM397" s="141"/>
      <c r="AN397" s="141"/>
    </row>
    <row r="398" spans="3:40" x14ac:dyDescent="0.3">
      <c r="C398" s="99"/>
      <c r="F398" s="172"/>
      <c r="H398" s="172"/>
      <c r="I398" s="172"/>
      <c r="J398" s="228"/>
      <c r="K398" s="228"/>
      <c r="L398" s="110"/>
      <c r="M398" s="110"/>
      <c r="N398" s="141"/>
      <c r="O398" s="141"/>
      <c r="P398" s="110"/>
      <c r="Q398" s="110"/>
      <c r="R398" s="110"/>
      <c r="T398" s="99"/>
      <c r="V398" s="110"/>
      <c r="Y398" s="110"/>
      <c r="Z398" s="228"/>
      <c r="AA398" s="110"/>
      <c r="AB398" s="110"/>
      <c r="AC398" s="141"/>
      <c r="AD398" s="141"/>
      <c r="AE398" s="110"/>
      <c r="AF398" s="110"/>
      <c r="AH398" s="207"/>
      <c r="AI398" s="110"/>
      <c r="AJ398" s="110"/>
      <c r="AL398" s="110"/>
      <c r="AM398" s="141"/>
      <c r="AN398" s="141"/>
    </row>
    <row r="399" spans="3:40" x14ac:dyDescent="0.3">
      <c r="C399" s="99"/>
      <c r="J399" s="163"/>
      <c r="K399" s="163"/>
      <c r="T399" s="99"/>
      <c r="Z399" s="163"/>
    </row>
    <row r="400" spans="3:40" x14ac:dyDescent="0.3">
      <c r="C400" s="99"/>
      <c r="F400" s="172"/>
      <c r="H400" s="172"/>
      <c r="I400" s="172"/>
      <c r="J400" s="228"/>
      <c r="K400" s="228"/>
      <c r="L400" s="110"/>
      <c r="M400" s="110"/>
      <c r="N400" s="141"/>
      <c r="O400" s="141"/>
      <c r="P400" s="110"/>
      <c r="Q400" s="110"/>
      <c r="R400" s="110"/>
      <c r="T400" s="99"/>
      <c r="V400" s="110"/>
      <c r="Y400" s="110"/>
      <c r="Z400" s="228"/>
      <c r="AA400" s="110"/>
      <c r="AB400" s="110"/>
      <c r="AC400" s="141"/>
      <c r="AD400" s="141"/>
      <c r="AE400" s="110"/>
      <c r="AF400" s="110"/>
      <c r="AH400" s="207"/>
      <c r="AI400" s="110"/>
      <c r="AJ400" s="110"/>
      <c r="AL400" s="110"/>
      <c r="AM400" s="141"/>
      <c r="AN400" s="141"/>
    </row>
    <row r="401" spans="3:40" x14ac:dyDescent="0.3">
      <c r="C401" s="99"/>
      <c r="F401" s="172"/>
      <c r="H401" s="172"/>
      <c r="I401" s="172"/>
      <c r="J401" s="228"/>
      <c r="K401" s="228"/>
      <c r="L401" s="110"/>
      <c r="M401" s="110"/>
      <c r="N401" s="141"/>
      <c r="O401" s="141"/>
      <c r="P401" s="110"/>
      <c r="Q401" s="110"/>
      <c r="R401" s="110"/>
      <c r="T401" s="99"/>
      <c r="V401" s="110"/>
      <c r="Y401" s="110"/>
      <c r="Z401" s="228"/>
      <c r="AA401" s="110"/>
      <c r="AB401" s="110"/>
      <c r="AC401" s="141"/>
      <c r="AD401" s="141"/>
      <c r="AE401" s="110"/>
      <c r="AF401" s="110"/>
      <c r="AH401" s="207"/>
      <c r="AI401" s="110"/>
      <c r="AJ401" s="110"/>
      <c r="AL401" s="110"/>
      <c r="AM401" s="141"/>
      <c r="AN401" s="141"/>
    </row>
    <row r="402" spans="3:40" x14ac:dyDescent="0.3">
      <c r="C402" s="99"/>
      <c r="F402" s="172"/>
      <c r="H402" s="172"/>
      <c r="I402" s="172"/>
      <c r="J402" s="228"/>
      <c r="K402" s="228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Z402" s="228"/>
      <c r="AA402" s="110"/>
      <c r="AB402" s="110"/>
      <c r="AC402" s="141"/>
      <c r="AD402" s="141"/>
      <c r="AE402" s="110"/>
      <c r="AF402" s="110"/>
      <c r="AH402" s="207"/>
      <c r="AI402" s="110"/>
      <c r="AJ402" s="110"/>
      <c r="AL402" s="110"/>
      <c r="AM402" s="141"/>
      <c r="AN402" s="141"/>
    </row>
    <row r="403" spans="3:40" x14ac:dyDescent="0.3">
      <c r="F403" s="192"/>
      <c r="H403" s="192"/>
      <c r="I403" s="192"/>
      <c r="J403" s="228"/>
      <c r="K403" s="228"/>
      <c r="L403" s="192"/>
      <c r="M403" s="192"/>
      <c r="N403" s="192"/>
      <c r="O403" s="192"/>
      <c r="P403" s="192"/>
      <c r="Q403" s="192"/>
      <c r="R403" s="192"/>
      <c r="V403" s="192"/>
      <c r="Y403" s="192"/>
      <c r="Z403" s="228"/>
      <c r="AA403" s="192"/>
      <c r="AB403" s="192"/>
      <c r="AC403" s="192"/>
      <c r="AD403" s="192"/>
      <c r="AE403" s="192"/>
      <c r="AF403" s="192"/>
      <c r="AI403" s="192"/>
      <c r="AJ403" s="192"/>
      <c r="AK403" s="194"/>
      <c r="AL403" s="192"/>
    </row>
    <row r="404" spans="3:40" x14ac:dyDescent="0.3">
      <c r="C404" s="102"/>
      <c r="F404" s="110"/>
      <c r="H404" s="110"/>
      <c r="I404" s="110"/>
      <c r="J404" s="163"/>
      <c r="K404" s="163"/>
      <c r="L404" s="110"/>
      <c r="M404" s="110"/>
      <c r="N404" s="207"/>
      <c r="O404" s="207"/>
      <c r="P404" s="110"/>
      <c r="Q404" s="110"/>
      <c r="R404" s="110"/>
      <c r="T404" s="102"/>
      <c r="V404" s="110"/>
      <c r="Y404" s="110"/>
      <c r="Z404" s="163"/>
      <c r="AA404" s="110"/>
      <c r="AB404" s="110"/>
      <c r="AC404" s="110"/>
      <c r="AD404" s="110"/>
      <c r="AE404" s="110"/>
      <c r="AF404" s="110"/>
      <c r="AH404" s="207"/>
      <c r="AI404" s="110"/>
      <c r="AJ404" s="110"/>
      <c r="AL404" s="110"/>
      <c r="AM404" s="141"/>
      <c r="AN404" s="141"/>
    </row>
    <row r="405" spans="3:40" x14ac:dyDescent="0.3">
      <c r="F405" s="192"/>
      <c r="H405" s="192"/>
      <c r="I405" s="192"/>
      <c r="J405" s="228"/>
      <c r="K405" s="228"/>
      <c r="L405" s="192"/>
      <c r="M405" s="192"/>
      <c r="N405" s="192"/>
      <c r="O405" s="192"/>
      <c r="P405" s="192"/>
      <c r="Q405" s="192"/>
      <c r="R405" s="192"/>
      <c r="V405" s="192"/>
      <c r="Y405" s="192"/>
      <c r="Z405" s="228"/>
      <c r="AA405" s="192"/>
      <c r="AB405" s="192"/>
      <c r="AC405" s="192"/>
      <c r="AD405" s="192"/>
      <c r="AE405" s="192"/>
      <c r="AF405" s="192"/>
      <c r="AI405" s="192"/>
      <c r="AJ405" s="192"/>
      <c r="AK405" s="194"/>
      <c r="AL405" s="192"/>
    </row>
    <row r="406" spans="3:40" x14ac:dyDescent="0.3">
      <c r="C406" s="99"/>
      <c r="J406" s="163"/>
      <c r="K406" s="163"/>
      <c r="T406" s="99"/>
      <c r="Z406" s="163"/>
    </row>
    <row r="407" spans="3:40" x14ac:dyDescent="0.3">
      <c r="C407" s="99"/>
      <c r="J407" s="163"/>
      <c r="K407" s="163"/>
      <c r="T407" s="99"/>
      <c r="Z407" s="163"/>
    </row>
    <row r="408" spans="3:40" x14ac:dyDescent="0.3">
      <c r="C408" s="99"/>
      <c r="F408" s="172"/>
      <c r="H408" s="172"/>
      <c r="I408" s="172"/>
      <c r="J408" s="228"/>
      <c r="K408" s="228"/>
      <c r="L408" s="110"/>
      <c r="M408" s="110"/>
      <c r="N408" s="141"/>
      <c r="O408" s="141"/>
      <c r="P408" s="110"/>
      <c r="Q408" s="110"/>
      <c r="R408" s="110"/>
      <c r="T408" s="99"/>
      <c r="V408" s="110"/>
      <c r="Y408" s="110"/>
      <c r="Z408" s="228"/>
      <c r="AA408" s="110"/>
      <c r="AB408" s="110"/>
      <c r="AC408" s="141"/>
      <c r="AD408" s="141"/>
      <c r="AE408" s="110"/>
      <c r="AF408" s="110"/>
      <c r="AH408" s="207"/>
      <c r="AI408" s="110"/>
      <c r="AJ408" s="110"/>
      <c r="AL408" s="110"/>
      <c r="AM408" s="141"/>
      <c r="AN408" s="141"/>
    </row>
    <row r="409" spans="3:40" x14ac:dyDescent="0.3">
      <c r="C409" s="99"/>
      <c r="F409" s="172"/>
      <c r="H409" s="172"/>
      <c r="I409" s="172"/>
      <c r="J409" s="228"/>
      <c r="K409" s="228"/>
      <c r="L409" s="110"/>
      <c r="M409" s="110"/>
      <c r="N409" s="141"/>
      <c r="O409" s="141"/>
      <c r="P409" s="110"/>
      <c r="Q409" s="110"/>
      <c r="R409" s="110"/>
      <c r="T409" s="99"/>
      <c r="V409" s="110"/>
      <c r="Y409" s="110"/>
      <c r="Z409" s="228"/>
      <c r="AA409" s="110"/>
      <c r="AB409" s="110"/>
      <c r="AC409" s="141"/>
      <c r="AD409" s="141"/>
      <c r="AE409" s="110"/>
      <c r="AF409" s="110"/>
      <c r="AH409" s="207"/>
      <c r="AI409" s="110"/>
      <c r="AJ409" s="110"/>
      <c r="AL409" s="110"/>
      <c r="AM409" s="141"/>
      <c r="AN409" s="141"/>
    </row>
    <row r="410" spans="3:40" x14ac:dyDescent="0.3">
      <c r="C410" s="99"/>
      <c r="F410" s="172"/>
      <c r="H410" s="172"/>
      <c r="I410" s="172"/>
      <c r="J410" s="228"/>
      <c r="K410" s="228"/>
      <c r="L410" s="110"/>
      <c r="M410" s="110"/>
      <c r="N410" s="141"/>
      <c r="O410" s="141"/>
      <c r="P410" s="110"/>
      <c r="Q410" s="110"/>
      <c r="R410" s="110"/>
      <c r="T410" s="99"/>
      <c r="V410" s="110"/>
      <c r="Y410" s="110"/>
      <c r="Z410" s="228"/>
      <c r="AA410" s="110"/>
      <c r="AB410" s="110"/>
      <c r="AC410" s="141"/>
      <c r="AD410" s="141"/>
      <c r="AE410" s="110"/>
      <c r="AF410" s="110"/>
      <c r="AH410" s="207"/>
      <c r="AI410" s="110"/>
      <c r="AJ410" s="110"/>
      <c r="AL410" s="110"/>
      <c r="AM410" s="141"/>
      <c r="AN410" s="141"/>
    </row>
    <row r="411" spans="3:40" x14ac:dyDescent="0.3">
      <c r="C411" s="99"/>
      <c r="F411" s="172"/>
      <c r="H411" s="172"/>
      <c r="I411" s="172"/>
      <c r="J411" s="228"/>
      <c r="K411" s="228"/>
      <c r="L411" s="110"/>
      <c r="M411" s="110"/>
      <c r="N411" s="141"/>
      <c r="O411" s="141"/>
      <c r="P411" s="110"/>
      <c r="Q411" s="110"/>
      <c r="R411" s="110"/>
      <c r="T411" s="99"/>
      <c r="V411" s="110"/>
      <c r="Y411" s="110"/>
      <c r="Z411" s="228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3:40" x14ac:dyDescent="0.3">
      <c r="C412" s="99"/>
      <c r="F412" s="172"/>
      <c r="H412" s="172"/>
      <c r="I412" s="172"/>
      <c r="J412" s="228"/>
      <c r="K412" s="228"/>
      <c r="L412" s="110"/>
      <c r="M412" s="110"/>
      <c r="N412" s="141"/>
      <c r="O412" s="141"/>
      <c r="P412" s="110"/>
      <c r="Q412" s="110"/>
      <c r="R412" s="110"/>
      <c r="T412" s="99"/>
      <c r="V412" s="110"/>
      <c r="Y412" s="110"/>
      <c r="Z412" s="228"/>
      <c r="AA412" s="110"/>
      <c r="AB412" s="110"/>
      <c r="AC412" s="141"/>
      <c r="AD412" s="141"/>
      <c r="AE412" s="110"/>
      <c r="AF412" s="110"/>
      <c r="AH412" s="207"/>
      <c r="AI412" s="110"/>
      <c r="AJ412" s="110"/>
      <c r="AL412" s="110"/>
      <c r="AM412" s="141"/>
      <c r="AN412" s="141"/>
    </row>
    <row r="413" spans="3:40" x14ac:dyDescent="0.3">
      <c r="C413" s="99"/>
      <c r="F413" s="172"/>
      <c r="H413" s="172"/>
      <c r="I413" s="172"/>
      <c r="J413" s="228"/>
      <c r="K413" s="228"/>
      <c r="L413" s="110"/>
      <c r="M413" s="110"/>
      <c r="N413" s="141"/>
      <c r="O413" s="141"/>
      <c r="P413" s="110"/>
      <c r="Q413" s="110"/>
      <c r="R413" s="110"/>
      <c r="T413" s="99"/>
      <c r="V413" s="110"/>
      <c r="Y413" s="110"/>
      <c r="Z413" s="228"/>
      <c r="AA413" s="110"/>
      <c r="AB413" s="110"/>
      <c r="AC413" s="141"/>
      <c r="AD413" s="141"/>
      <c r="AE413" s="110"/>
      <c r="AF413" s="110"/>
      <c r="AH413" s="207"/>
      <c r="AI413" s="110"/>
      <c r="AJ413" s="110"/>
      <c r="AL413" s="110"/>
      <c r="AM413" s="141"/>
      <c r="AN413" s="141"/>
    </row>
    <row r="414" spans="3:40" x14ac:dyDescent="0.3">
      <c r="C414" s="99"/>
      <c r="F414" s="172"/>
      <c r="H414" s="172"/>
      <c r="I414" s="172"/>
      <c r="J414" s="228"/>
      <c r="K414" s="228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228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J415" s="163"/>
      <c r="K415" s="163"/>
      <c r="T415" s="99"/>
      <c r="Z415" s="163"/>
    </row>
    <row r="416" spans="3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C417" s="99"/>
      <c r="F417" s="172"/>
      <c r="H417" s="172"/>
      <c r="I417" s="172"/>
      <c r="J417" s="228"/>
      <c r="K417" s="228"/>
      <c r="L417" s="110"/>
      <c r="M417" s="110"/>
      <c r="N417" s="141"/>
      <c r="O417" s="141"/>
      <c r="P417" s="110"/>
      <c r="Q417" s="110"/>
      <c r="R417" s="110"/>
      <c r="T417" s="99"/>
      <c r="V417" s="110"/>
      <c r="Y417" s="110"/>
      <c r="Z417" s="228"/>
      <c r="AA417" s="110"/>
      <c r="AB417" s="110"/>
      <c r="AC417" s="141"/>
      <c r="AD417" s="141"/>
      <c r="AE417" s="110"/>
      <c r="AF417" s="110"/>
      <c r="AH417" s="207"/>
      <c r="AI417" s="110"/>
      <c r="AJ417" s="110"/>
      <c r="AL417" s="110"/>
      <c r="AM417" s="141"/>
      <c r="AN417" s="141"/>
    </row>
    <row r="418" spans="3:40" x14ac:dyDescent="0.3">
      <c r="C418" s="99"/>
      <c r="F418" s="172"/>
      <c r="H418" s="172"/>
      <c r="I418" s="172"/>
      <c r="J418" s="228"/>
      <c r="K418" s="228"/>
      <c r="L418" s="110"/>
      <c r="M418" s="110"/>
      <c r="N418" s="141"/>
      <c r="O418" s="141"/>
      <c r="P418" s="110"/>
      <c r="Q418" s="110"/>
      <c r="R418" s="110"/>
      <c r="T418" s="99"/>
      <c r="V418" s="110"/>
      <c r="Y418" s="110"/>
      <c r="Z418" s="228"/>
      <c r="AA418" s="110"/>
      <c r="AB418" s="110"/>
      <c r="AC418" s="141"/>
      <c r="AD418" s="141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C419" s="99"/>
      <c r="F419" s="172"/>
      <c r="H419" s="172"/>
      <c r="I419" s="172"/>
      <c r="J419" s="228"/>
      <c r="K419" s="228"/>
      <c r="L419" s="110"/>
      <c r="M419" s="110"/>
      <c r="N419" s="141"/>
      <c r="O419" s="141"/>
      <c r="P419" s="110"/>
      <c r="Q419" s="110"/>
      <c r="R419" s="110"/>
      <c r="T419" s="99"/>
      <c r="V419" s="110"/>
      <c r="Y419" s="110"/>
      <c r="Z419" s="228"/>
      <c r="AA419" s="110"/>
      <c r="AB419" s="110"/>
      <c r="AC419" s="141"/>
      <c r="AD419" s="141"/>
      <c r="AE419" s="110"/>
      <c r="AF419" s="110"/>
      <c r="AH419" s="207"/>
      <c r="AI419" s="110"/>
      <c r="AJ419" s="110"/>
      <c r="AL419" s="110"/>
      <c r="AM419" s="141"/>
      <c r="AN419" s="141"/>
    </row>
    <row r="420" spans="3:40" x14ac:dyDescent="0.3">
      <c r="C420" s="99"/>
      <c r="J420" s="163"/>
      <c r="K420" s="163"/>
      <c r="T420" s="99"/>
      <c r="Z420" s="163"/>
    </row>
    <row r="421" spans="3:40" x14ac:dyDescent="0.3">
      <c r="C421" s="99"/>
      <c r="F421" s="172"/>
      <c r="H421" s="172"/>
      <c r="I421" s="172"/>
      <c r="J421" s="228"/>
      <c r="K421" s="228"/>
      <c r="L421" s="110"/>
      <c r="M421" s="110"/>
      <c r="N421" s="141"/>
      <c r="O421" s="141"/>
      <c r="P421" s="110"/>
      <c r="Q421" s="110"/>
      <c r="R421" s="110"/>
      <c r="T421" s="99"/>
      <c r="V421" s="110"/>
      <c r="Y421" s="110"/>
      <c r="Z421" s="228"/>
      <c r="AA421" s="110"/>
      <c r="AB421" s="110"/>
      <c r="AC421" s="141"/>
      <c r="AD421" s="141"/>
      <c r="AE421" s="110"/>
      <c r="AF421" s="110"/>
      <c r="AH421" s="207"/>
      <c r="AI421" s="110"/>
      <c r="AJ421" s="110"/>
      <c r="AL421" s="110"/>
      <c r="AM421" s="141"/>
      <c r="AN421" s="141"/>
    </row>
    <row r="422" spans="3:40" x14ac:dyDescent="0.3">
      <c r="C422" s="99"/>
      <c r="F422" s="172"/>
      <c r="H422" s="172"/>
      <c r="I422" s="172"/>
      <c r="J422" s="228"/>
      <c r="K422" s="228"/>
      <c r="L422" s="110"/>
      <c r="M422" s="110"/>
      <c r="N422" s="141"/>
      <c r="O422" s="141"/>
      <c r="P422" s="110"/>
      <c r="Q422" s="110"/>
      <c r="R422" s="110"/>
      <c r="T422" s="99"/>
      <c r="V422" s="110"/>
      <c r="Y422" s="110"/>
      <c r="Z422" s="228"/>
      <c r="AA422" s="110"/>
      <c r="AB422" s="110"/>
      <c r="AC422" s="141"/>
      <c r="AD422" s="141"/>
      <c r="AE422" s="110"/>
      <c r="AF422" s="110"/>
      <c r="AH422" s="207"/>
      <c r="AI422" s="110"/>
      <c r="AJ422" s="110"/>
      <c r="AL422" s="110"/>
      <c r="AM422" s="141"/>
      <c r="AN422" s="141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F426" s="192"/>
      <c r="H426" s="192"/>
      <c r="I426" s="192"/>
      <c r="J426" s="217"/>
      <c r="K426" s="217"/>
      <c r="L426" s="192"/>
      <c r="M426" s="192"/>
      <c r="N426" s="192"/>
      <c r="O426" s="192"/>
      <c r="P426" s="192"/>
      <c r="Q426" s="192"/>
      <c r="R426" s="192"/>
      <c r="V426" s="192"/>
      <c r="Y426" s="192"/>
      <c r="Z426" s="228"/>
      <c r="AA426" s="192"/>
      <c r="AB426" s="192"/>
      <c r="AC426" s="192"/>
      <c r="AD426" s="192"/>
      <c r="AE426" s="192"/>
      <c r="AF426" s="192"/>
      <c r="AI426" s="192"/>
      <c r="AJ426" s="192"/>
      <c r="AK426" s="194"/>
      <c r="AL426" s="192"/>
    </row>
    <row r="427" spans="3:40" x14ac:dyDescent="0.3">
      <c r="C427" s="99"/>
      <c r="F427" s="110"/>
      <c r="H427" s="110"/>
      <c r="I427" s="110"/>
      <c r="L427" s="110"/>
      <c r="M427" s="110"/>
      <c r="N427" s="207"/>
      <c r="O427" s="207"/>
      <c r="P427" s="110"/>
      <c r="Q427" s="110"/>
      <c r="R427" s="110"/>
      <c r="T427" s="99"/>
      <c r="V427" s="110"/>
      <c r="Y427" s="110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F428" s="192"/>
      <c r="H428" s="192"/>
      <c r="I428" s="192"/>
      <c r="J428" s="217"/>
      <c r="K428" s="217"/>
      <c r="L428" s="192"/>
      <c r="M428" s="192"/>
      <c r="N428" s="192"/>
      <c r="O428" s="192"/>
      <c r="P428" s="192"/>
      <c r="Q428" s="192"/>
      <c r="R428" s="192"/>
      <c r="V428" s="192"/>
      <c r="Y428" s="192"/>
      <c r="Z428" s="217"/>
      <c r="AA428" s="192"/>
      <c r="AB428" s="192"/>
      <c r="AC428" s="192"/>
      <c r="AD428" s="192"/>
      <c r="AE428" s="192"/>
      <c r="AF428" s="192"/>
      <c r="AI428" s="192"/>
      <c r="AJ428" s="192"/>
      <c r="AK428" s="194"/>
      <c r="AL428" s="192"/>
    </row>
    <row r="429" spans="3:40" x14ac:dyDescent="0.3">
      <c r="C429" s="99"/>
      <c r="T429" s="99"/>
    </row>
    <row r="430" spans="3:40" x14ac:dyDescent="0.3">
      <c r="C430" s="99"/>
      <c r="F430" s="172"/>
      <c r="H430" s="172"/>
      <c r="I430" s="172"/>
      <c r="J430" s="181"/>
      <c r="K430" s="181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181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F431" s="172"/>
      <c r="H431" s="172"/>
      <c r="I431" s="172"/>
      <c r="J431" s="181"/>
      <c r="K431" s="181"/>
      <c r="L431" s="110"/>
      <c r="M431" s="110"/>
      <c r="N431" s="141"/>
      <c r="O431" s="141"/>
      <c r="P431" s="110"/>
      <c r="Q431" s="110"/>
      <c r="R431" s="110"/>
      <c r="T431" s="99"/>
      <c r="V431" s="110"/>
      <c r="Y431" s="110"/>
      <c r="Z431" s="181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3:40" x14ac:dyDescent="0.3">
      <c r="F432" s="192"/>
      <c r="H432" s="110"/>
      <c r="I432" s="110"/>
      <c r="J432" s="217"/>
      <c r="K432" s="217"/>
      <c r="L432" s="192"/>
      <c r="M432" s="192"/>
      <c r="N432" s="192"/>
      <c r="O432" s="192"/>
      <c r="P432" s="192"/>
      <c r="Q432" s="192"/>
      <c r="R432" s="192"/>
      <c r="V432" s="192"/>
      <c r="Y432" s="110"/>
      <c r="Z432" s="217"/>
      <c r="AA432" s="192"/>
      <c r="AB432" s="192"/>
      <c r="AC432" s="192"/>
      <c r="AD432" s="192"/>
      <c r="AE432" s="192"/>
      <c r="AF432" s="192"/>
      <c r="AI432" s="192"/>
      <c r="AJ432" s="192"/>
      <c r="AK432" s="194"/>
      <c r="AL432" s="192"/>
    </row>
    <row r="433" spans="1:40" x14ac:dyDescent="0.3">
      <c r="F433" s="110"/>
      <c r="H433" s="110"/>
      <c r="I433" s="110"/>
      <c r="J433" s="217"/>
      <c r="K433" s="217"/>
      <c r="L433" s="110"/>
      <c r="M433" s="110"/>
      <c r="N433" s="110"/>
      <c r="O433" s="110"/>
      <c r="P433" s="110"/>
      <c r="Q433" s="110"/>
      <c r="R433" s="110"/>
      <c r="V433" s="110"/>
      <c r="Y433" s="110"/>
      <c r="Z433" s="217"/>
      <c r="AA433" s="110"/>
      <c r="AB433" s="110"/>
      <c r="AC433" s="110"/>
      <c r="AD433" s="110"/>
      <c r="AE433" s="110"/>
      <c r="AF433" s="110"/>
      <c r="AI433" s="110"/>
      <c r="AJ433" s="110"/>
      <c r="AL433" s="110"/>
    </row>
    <row r="434" spans="1:40" x14ac:dyDescent="0.3">
      <c r="C434" s="99"/>
      <c r="F434" s="110"/>
      <c r="H434" s="110"/>
      <c r="I434" s="110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AA434" s="110"/>
      <c r="AB434" s="110"/>
      <c r="AC434" s="141"/>
      <c r="AD434" s="141"/>
      <c r="AE434" s="110"/>
      <c r="AF434" s="110"/>
      <c r="AH434" s="207"/>
      <c r="AI434" s="172"/>
      <c r="AJ434" s="172"/>
      <c r="AL434" s="110"/>
      <c r="AM434" s="141"/>
      <c r="AN434" s="141"/>
    </row>
    <row r="435" spans="1:40" x14ac:dyDescent="0.3">
      <c r="H435" s="192"/>
      <c r="I435" s="192"/>
      <c r="J435" s="217"/>
      <c r="K435" s="217"/>
      <c r="L435" s="192"/>
      <c r="M435" s="192"/>
      <c r="N435" s="192"/>
      <c r="O435" s="192"/>
      <c r="P435" s="192"/>
      <c r="Q435" s="192"/>
      <c r="R435" s="192"/>
      <c r="V435" s="192"/>
      <c r="Y435" s="192"/>
      <c r="Z435" s="217"/>
      <c r="AA435" s="192"/>
      <c r="AB435" s="192"/>
      <c r="AC435" s="192"/>
      <c r="AD435" s="192"/>
      <c r="AE435" s="192"/>
      <c r="AF435" s="192"/>
      <c r="AI435" s="192"/>
      <c r="AJ435" s="192"/>
      <c r="AK435" s="194"/>
      <c r="AL435" s="192"/>
    </row>
    <row r="436" spans="1:40" x14ac:dyDescent="0.3">
      <c r="F436" s="192"/>
    </row>
    <row r="437" spans="1:40" x14ac:dyDescent="0.3">
      <c r="A437" s="99"/>
      <c r="T437" s="99"/>
    </row>
    <row r="438" spans="1:40" x14ac:dyDescent="0.3">
      <c r="A438" s="99"/>
      <c r="T438" s="99"/>
    </row>
    <row r="439" spans="1:40" x14ac:dyDescent="0.3">
      <c r="A439" s="99"/>
      <c r="T439" s="99"/>
    </row>
    <row r="440" spans="1:40" x14ac:dyDescent="0.3">
      <c r="A440" s="99"/>
      <c r="T440" s="99"/>
    </row>
    <row r="441" spans="1:40" x14ac:dyDescent="0.3">
      <c r="A441" s="99"/>
      <c r="T441" s="99"/>
    </row>
    <row r="442" spans="1:40" x14ac:dyDescent="0.3">
      <c r="A442" s="99"/>
      <c r="T442" s="99"/>
    </row>
    <row r="443" spans="1:40" x14ac:dyDescent="0.3">
      <c r="A443" s="99"/>
      <c r="T443" s="99"/>
    </row>
    <row r="444" spans="1:40" x14ac:dyDescent="0.3">
      <c r="A444" s="99"/>
      <c r="T444" s="99"/>
    </row>
    <row r="445" spans="1:40" x14ac:dyDescent="0.3">
      <c r="A445" s="99"/>
      <c r="T445" s="99"/>
    </row>
    <row r="447" spans="1:40" x14ac:dyDescent="0.3">
      <c r="A447" s="99"/>
    </row>
    <row r="449" spans="1:40" x14ac:dyDescent="0.3">
      <c r="H449" s="99"/>
      <c r="I449" s="99"/>
      <c r="Y449" s="99"/>
    </row>
    <row r="451" spans="1:40" x14ac:dyDescent="0.3">
      <c r="L451" s="99"/>
      <c r="M451" s="99"/>
      <c r="AA451" s="99"/>
      <c r="AB451" s="99"/>
    </row>
    <row r="452" spans="1:40" x14ac:dyDescent="0.3">
      <c r="R452" s="99"/>
      <c r="AK452" s="190"/>
      <c r="AL452" s="99"/>
    </row>
    <row r="453" spans="1:40" x14ac:dyDescent="0.3">
      <c r="R453" s="99"/>
      <c r="AK453" s="190"/>
      <c r="AL453" s="99"/>
    </row>
    <row r="454" spans="1:40" x14ac:dyDescent="0.3">
      <c r="A454" s="99"/>
      <c r="R454" s="99"/>
      <c r="AK454" s="190"/>
      <c r="AL454" s="99"/>
    </row>
    <row r="455" spans="1:40" x14ac:dyDescent="0.3">
      <c r="L455" s="99"/>
      <c r="M455" s="99"/>
      <c r="AA455" s="99"/>
      <c r="AB455" s="99"/>
    </row>
    <row r="456" spans="1:40" x14ac:dyDescent="0.3">
      <c r="A456" s="101"/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/>
      <c r="AD456" s="101"/>
      <c r="AE456" s="101"/>
      <c r="AF456" s="101"/>
      <c r="AG456" s="191"/>
      <c r="AH456" s="101"/>
      <c r="AI456" s="101"/>
      <c r="AJ456" s="101"/>
      <c r="AK456" s="191"/>
      <c r="AL456" s="101"/>
      <c r="AM456" s="101"/>
      <c r="AN456" s="101"/>
    </row>
    <row r="457" spans="1:40" x14ac:dyDescent="0.3">
      <c r="L457" s="102"/>
      <c r="M457" s="102"/>
      <c r="N457" s="102"/>
      <c r="O457" s="102"/>
      <c r="R457" s="102"/>
      <c r="AA457" s="102"/>
      <c r="AB457" s="102"/>
      <c r="AC457" s="102"/>
      <c r="AD457" s="102"/>
      <c r="AE457" s="102"/>
      <c r="AF457" s="102"/>
      <c r="AG457" s="151"/>
      <c r="AH457" s="102"/>
      <c r="AK457" s="151"/>
      <c r="AL457" s="102"/>
      <c r="AM457" s="102"/>
      <c r="AN457" s="102"/>
    </row>
    <row r="458" spans="1:40" x14ac:dyDescent="0.3">
      <c r="L458" s="102"/>
      <c r="M458" s="102"/>
      <c r="N458" s="102"/>
      <c r="O458" s="102"/>
      <c r="R458" s="102"/>
      <c r="Z458" s="102"/>
      <c r="AA458" s="102"/>
      <c r="AB458" s="102"/>
      <c r="AC458" s="102"/>
      <c r="AD458" s="102"/>
      <c r="AE458" s="102"/>
      <c r="AF458" s="102"/>
      <c r="AG458" s="151"/>
      <c r="AH458" s="102"/>
      <c r="AK458" s="151"/>
      <c r="AL458" s="102"/>
      <c r="AM458" s="102"/>
      <c r="AN458" s="102"/>
    </row>
    <row r="459" spans="1:40" x14ac:dyDescent="0.3">
      <c r="A459" s="102"/>
      <c r="C459" s="102"/>
      <c r="D459" s="102"/>
      <c r="E459" s="102"/>
      <c r="F459" s="102"/>
      <c r="J459" s="102"/>
      <c r="K459" s="102"/>
      <c r="L459" s="102"/>
      <c r="M459" s="102"/>
      <c r="N459" s="102"/>
      <c r="O459" s="102"/>
      <c r="P459" s="102"/>
      <c r="Q459" s="102"/>
      <c r="R459" s="102"/>
      <c r="T459" s="102"/>
      <c r="U459" s="102"/>
      <c r="V459" s="102"/>
      <c r="Z459" s="102"/>
      <c r="AA459" s="102"/>
      <c r="AB459" s="102"/>
      <c r="AC459" s="102"/>
      <c r="AD459" s="102"/>
      <c r="AE459" s="102"/>
      <c r="AF459" s="102"/>
      <c r="AG459" s="151"/>
      <c r="AH459" s="102"/>
      <c r="AI459" s="102"/>
      <c r="AJ459" s="102"/>
      <c r="AK459" s="151"/>
      <c r="AL459" s="102"/>
      <c r="AM459" s="102"/>
      <c r="AN459" s="102"/>
    </row>
    <row r="460" spans="1:40" x14ac:dyDescent="0.3">
      <c r="A460" s="102"/>
      <c r="C460" s="102"/>
      <c r="D460" s="102"/>
      <c r="E460" s="102"/>
      <c r="F460" s="102"/>
      <c r="H460" s="102"/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T460" s="102"/>
      <c r="U460" s="102"/>
      <c r="V460" s="102"/>
      <c r="Y460" s="102"/>
      <c r="Z460" s="102"/>
      <c r="AA460" s="102"/>
      <c r="AB460" s="102"/>
      <c r="AC460" s="102"/>
      <c r="AD460" s="102"/>
      <c r="AE460" s="102"/>
      <c r="AF460" s="102"/>
      <c r="AG460" s="151"/>
      <c r="AH460" s="102"/>
      <c r="AI460" s="102"/>
      <c r="AJ460" s="102"/>
      <c r="AK460" s="151"/>
      <c r="AL460" s="102"/>
      <c r="AM460" s="102"/>
      <c r="AN460" s="102"/>
    </row>
    <row r="461" spans="1:40" x14ac:dyDescent="0.3">
      <c r="C461" s="102"/>
      <c r="D461" s="102"/>
      <c r="E461" s="102"/>
      <c r="F461" s="102"/>
      <c r="H461" s="102"/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T461" s="102"/>
      <c r="U461" s="102"/>
      <c r="V461" s="102"/>
      <c r="Y461" s="102"/>
      <c r="Z461" s="102"/>
      <c r="AA461" s="102"/>
      <c r="AB461" s="102"/>
      <c r="AC461" s="102"/>
      <c r="AD461" s="102"/>
      <c r="AE461" s="102"/>
      <c r="AF461" s="102"/>
      <c r="AG461" s="151"/>
      <c r="AH461" s="102"/>
      <c r="AI461" s="102"/>
      <c r="AJ461" s="102"/>
      <c r="AK461" s="151"/>
      <c r="AL461" s="102"/>
      <c r="AM461" s="102"/>
      <c r="AN461" s="102"/>
    </row>
    <row r="462" spans="1:40" x14ac:dyDescent="0.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91"/>
      <c r="AH462" s="101"/>
      <c r="AI462" s="101"/>
      <c r="AJ462" s="101"/>
      <c r="AK462" s="191"/>
      <c r="AL462" s="101"/>
      <c r="AM462" s="101"/>
      <c r="AN462" s="101"/>
    </row>
    <row r="463" spans="1:40" x14ac:dyDescent="0.3"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Y463" s="102"/>
      <c r="Z463" s="102"/>
      <c r="AA463" s="102"/>
      <c r="AB463" s="102"/>
      <c r="AC463" s="102"/>
      <c r="AD463" s="102"/>
      <c r="AE463" s="102"/>
      <c r="AF463" s="102"/>
      <c r="AG463" s="151"/>
      <c r="AH463" s="102"/>
      <c r="AI463" s="102"/>
      <c r="AJ463" s="102"/>
      <c r="AK463" s="151"/>
      <c r="AL463" s="102"/>
      <c r="AM463" s="102"/>
      <c r="AN463" s="102"/>
    </row>
    <row r="464" spans="1:40" x14ac:dyDescent="0.3">
      <c r="C464" s="99"/>
      <c r="D464" s="99"/>
      <c r="E464" s="99"/>
      <c r="T464" s="99"/>
      <c r="U464" s="99"/>
    </row>
    <row r="465" spans="3:40" x14ac:dyDescent="0.3">
      <c r="D465" s="99"/>
      <c r="E465" s="99"/>
      <c r="U465" s="99"/>
    </row>
    <row r="467" spans="3:40" x14ac:dyDescent="0.3">
      <c r="C467" s="99"/>
      <c r="F467" s="110"/>
      <c r="J467" s="209"/>
      <c r="K467" s="209"/>
      <c r="L467" s="110"/>
      <c r="M467" s="110"/>
      <c r="R467" s="110"/>
      <c r="T467" s="99"/>
      <c r="V467" s="110"/>
      <c r="Z467" s="209"/>
      <c r="AA467" s="110"/>
      <c r="AB467" s="110"/>
      <c r="AH467" s="110"/>
      <c r="AL467" s="110"/>
    </row>
    <row r="468" spans="3:40" x14ac:dyDescent="0.3">
      <c r="C468" s="99"/>
      <c r="F468" s="110"/>
      <c r="R468" s="110"/>
      <c r="T468" s="99"/>
      <c r="V468" s="110"/>
      <c r="AH468" s="110"/>
      <c r="AL468" s="110"/>
    </row>
    <row r="469" spans="3:40" x14ac:dyDescent="0.3">
      <c r="AI469" s="110"/>
      <c r="AJ469" s="110"/>
      <c r="AL469" s="110"/>
      <c r="AM469" s="141"/>
      <c r="AN469" s="141"/>
    </row>
    <row r="470" spans="3:40" x14ac:dyDescent="0.3">
      <c r="C470" s="99"/>
      <c r="F470" s="172"/>
      <c r="H470" s="172"/>
      <c r="I470" s="172"/>
      <c r="J470" s="227"/>
      <c r="K470" s="227"/>
      <c r="L470" s="110"/>
      <c r="M470" s="110"/>
      <c r="N470" s="141"/>
      <c r="O470" s="141"/>
      <c r="P470" s="110"/>
      <c r="Q470" s="110"/>
      <c r="R470" s="110"/>
      <c r="T470" s="99"/>
      <c r="V470" s="110"/>
      <c r="Y470" s="110"/>
      <c r="Z470" s="227"/>
      <c r="AA470" s="110"/>
      <c r="AB470" s="110"/>
      <c r="AC470" s="141"/>
      <c r="AD470" s="141"/>
      <c r="AE470" s="110"/>
      <c r="AF470" s="110"/>
      <c r="AH470" s="207"/>
      <c r="AI470" s="110"/>
      <c r="AJ470" s="110"/>
      <c r="AL470" s="110"/>
      <c r="AM470" s="141"/>
      <c r="AN470" s="141"/>
    </row>
    <row r="471" spans="3:40" x14ac:dyDescent="0.3">
      <c r="F471" s="110"/>
      <c r="H471" s="110"/>
      <c r="I471" s="110"/>
      <c r="J471" s="198"/>
      <c r="K471" s="198"/>
      <c r="L471" s="110"/>
      <c r="M471" s="110"/>
      <c r="P471" s="110"/>
      <c r="Q471" s="110"/>
      <c r="R471" s="110"/>
      <c r="V471" s="110"/>
      <c r="Y471" s="110"/>
      <c r="Z471" s="198"/>
      <c r="AA471" s="110"/>
      <c r="AB471" s="110"/>
      <c r="AI471" s="110"/>
      <c r="AJ471" s="110"/>
      <c r="AL471" s="110"/>
      <c r="AM471" s="141"/>
      <c r="AN471" s="141"/>
    </row>
    <row r="472" spans="3:40" x14ac:dyDescent="0.3">
      <c r="F472" s="110"/>
      <c r="R472" s="110"/>
      <c r="V472" s="110"/>
      <c r="AL472" s="110"/>
      <c r="AM472" s="141"/>
      <c r="AN472" s="141"/>
    </row>
    <row r="473" spans="3:40" x14ac:dyDescent="0.3">
      <c r="C473" s="99"/>
      <c r="F473" s="110"/>
      <c r="J473" s="209"/>
      <c r="K473" s="209"/>
      <c r="L473" s="110"/>
      <c r="M473" s="110"/>
      <c r="N473" s="141"/>
      <c r="O473" s="141"/>
      <c r="R473" s="110"/>
      <c r="T473" s="99"/>
      <c r="V473" s="110"/>
      <c r="Z473" s="209"/>
      <c r="AA473" s="110"/>
      <c r="AB473" s="110"/>
      <c r="AC473" s="141"/>
      <c r="AD473" s="141"/>
      <c r="AL473" s="110"/>
      <c r="AM473" s="141"/>
      <c r="AN473" s="141"/>
    </row>
    <row r="474" spans="3:40" x14ac:dyDescent="0.3">
      <c r="C474" s="99"/>
      <c r="F474" s="110"/>
      <c r="H474" s="110"/>
      <c r="I474" s="110"/>
      <c r="J474" s="209"/>
      <c r="K474" s="209"/>
      <c r="L474" s="110"/>
      <c r="M474" s="110"/>
      <c r="N474" s="141"/>
      <c r="O474" s="141"/>
      <c r="P474" s="110"/>
      <c r="Q474" s="110"/>
      <c r="R474" s="110"/>
      <c r="T474" s="99"/>
      <c r="V474" s="110"/>
      <c r="Y474" s="110"/>
      <c r="Z474" s="209"/>
      <c r="AA474" s="110"/>
      <c r="AB474" s="110"/>
      <c r="AC474" s="141"/>
      <c r="AD474" s="141"/>
      <c r="AI474" s="110"/>
      <c r="AJ474" s="110"/>
      <c r="AL474" s="110"/>
      <c r="AM474" s="141"/>
      <c r="AN474" s="141"/>
    </row>
    <row r="475" spans="3:40" x14ac:dyDescent="0.3">
      <c r="C475" s="99"/>
      <c r="T475" s="99"/>
      <c r="AM475" s="141"/>
      <c r="AN475" s="141"/>
    </row>
    <row r="476" spans="3:40" x14ac:dyDescent="0.3">
      <c r="C476" s="99"/>
      <c r="T476" s="99"/>
      <c r="AM476" s="141"/>
      <c r="AN476" s="141"/>
    </row>
    <row r="477" spans="3:40" x14ac:dyDescent="0.3">
      <c r="AM477" s="141"/>
      <c r="AN477" s="141"/>
    </row>
    <row r="478" spans="3:40" x14ac:dyDescent="0.3">
      <c r="C478" s="99"/>
      <c r="F478" s="172"/>
      <c r="H478" s="172"/>
      <c r="I478" s="172"/>
      <c r="J478" s="227"/>
      <c r="K478" s="227"/>
      <c r="L478" s="110"/>
      <c r="M478" s="110"/>
      <c r="N478" s="141"/>
      <c r="O478" s="141"/>
      <c r="P478" s="110"/>
      <c r="Q478" s="110"/>
      <c r="R478" s="110"/>
      <c r="T478" s="99"/>
      <c r="V478" s="110"/>
      <c r="Y478" s="110"/>
      <c r="Z478" s="227"/>
      <c r="AA478" s="110"/>
      <c r="AB478" s="110"/>
      <c r="AC478" s="141"/>
      <c r="AD478" s="141"/>
      <c r="AE478" s="110"/>
      <c r="AF478" s="110"/>
      <c r="AH478" s="207"/>
      <c r="AI478" s="110"/>
      <c r="AJ478" s="110"/>
      <c r="AL478" s="110"/>
      <c r="AM478" s="141"/>
      <c r="AN478" s="141"/>
    </row>
    <row r="479" spans="3:40" x14ac:dyDescent="0.3">
      <c r="F479" s="192"/>
      <c r="H479" s="192"/>
      <c r="I479" s="192"/>
      <c r="J479" s="217"/>
      <c r="K479" s="217"/>
      <c r="L479" s="192"/>
      <c r="M479" s="192"/>
      <c r="N479" s="192"/>
      <c r="O479" s="192"/>
      <c r="P479" s="192"/>
      <c r="Q479" s="192"/>
      <c r="R479" s="192"/>
      <c r="V479" s="192"/>
      <c r="Y479" s="192"/>
      <c r="Z479" s="217"/>
      <c r="AA479" s="192"/>
      <c r="AB479" s="192"/>
      <c r="AC479" s="192"/>
      <c r="AD479" s="192"/>
      <c r="AE479" s="192"/>
      <c r="AF479" s="192"/>
      <c r="AI479" s="192"/>
      <c r="AJ479" s="192"/>
      <c r="AK479" s="194"/>
      <c r="AL479" s="192"/>
      <c r="AM479" s="141"/>
      <c r="AN479" s="141"/>
    </row>
    <row r="480" spans="3:40" x14ac:dyDescent="0.3">
      <c r="H480" s="110"/>
      <c r="I480" s="110"/>
      <c r="Y480" s="110"/>
      <c r="AM480" s="141"/>
      <c r="AN480" s="141"/>
    </row>
    <row r="481" spans="1:40" x14ac:dyDescent="0.3">
      <c r="C481" s="99"/>
      <c r="F481" s="110"/>
      <c r="H481" s="110"/>
      <c r="I481" s="110"/>
      <c r="L481" s="110"/>
      <c r="M481" s="110"/>
      <c r="N481" s="141"/>
      <c r="O481" s="141"/>
      <c r="P481" s="172"/>
      <c r="Q481" s="172"/>
      <c r="R481" s="110"/>
      <c r="T481" s="99"/>
      <c r="V481" s="110"/>
      <c r="Y481" s="110"/>
      <c r="AA481" s="110"/>
      <c r="AB481" s="110"/>
      <c r="AC481" s="141"/>
      <c r="AD481" s="141"/>
      <c r="AE481" s="110"/>
      <c r="AF481" s="110"/>
      <c r="AH481" s="207"/>
      <c r="AI481" s="172"/>
      <c r="AJ481" s="172"/>
      <c r="AL481" s="110"/>
      <c r="AM481" s="141"/>
      <c r="AN481" s="141"/>
    </row>
    <row r="482" spans="1:40" x14ac:dyDescent="0.3">
      <c r="H482" s="192"/>
      <c r="I482" s="192"/>
      <c r="J482" s="217"/>
      <c r="K482" s="217"/>
      <c r="L482" s="192"/>
      <c r="M482" s="192"/>
      <c r="N482" s="192"/>
      <c r="O482" s="192"/>
      <c r="P482" s="192"/>
      <c r="Q482" s="192"/>
      <c r="R482" s="192"/>
      <c r="V482" s="192"/>
      <c r="Y482" s="192"/>
      <c r="Z482" s="217"/>
      <c r="AA482" s="192"/>
      <c r="AB482" s="192"/>
      <c r="AC482" s="192"/>
      <c r="AD482" s="192"/>
      <c r="AE482" s="192"/>
      <c r="AF482" s="192"/>
      <c r="AI482" s="192"/>
      <c r="AJ482" s="192"/>
      <c r="AK482" s="194"/>
      <c r="AL482" s="192"/>
      <c r="AM482" s="141"/>
      <c r="AN482" s="141"/>
    </row>
    <row r="483" spans="1:40" x14ac:dyDescent="0.3">
      <c r="F483" s="192"/>
    </row>
    <row r="484" spans="1:40" x14ac:dyDescent="0.3">
      <c r="F484" s="110"/>
      <c r="H484" s="110"/>
      <c r="I484" s="110"/>
      <c r="J484" s="198"/>
      <c r="K484" s="198"/>
      <c r="L484" s="110"/>
      <c r="M484" s="110"/>
      <c r="N484" s="110"/>
      <c r="O484" s="110"/>
      <c r="P484" s="110"/>
      <c r="Q484" s="110"/>
      <c r="R484" s="110"/>
      <c r="V484" s="110"/>
      <c r="Y484" s="110"/>
      <c r="Z484" s="198"/>
      <c r="AA484" s="110"/>
      <c r="AB484" s="110"/>
      <c r="AC484" s="110"/>
      <c r="AD484" s="110"/>
      <c r="AE484" s="110"/>
      <c r="AF484" s="110"/>
      <c r="AH484" s="110"/>
      <c r="AI484" s="110"/>
      <c r="AJ484" s="110"/>
      <c r="AL484" s="110"/>
    </row>
    <row r="485" spans="1:40" x14ac:dyDescent="0.3">
      <c r="A485" s="99"/>
    </row>
    <row r="487" spans="1:40" x14ac:dyDescent="0.3">
      <c r="H487" s="99"/>
      <c r="I487" s="99"/>
      <c r="Y487" s="99"/>
    </row>
    <row r="489" spans="1:40" x14ac:dyDescent="0.3">
      <c r="L489" s="99"/>
      <c r="M489" s="99"/>
      <c r="AA489" s="99"/>
      <c r="AB489" s="99"/>
    </row>
    <row r="490" spans="1:40" x14ac:dyDescent="0.3">
      <c r="R490" s="99"/>
      <c r="AK490" s="190"/>
      <c r="AL490" s="99"/>
    </row>
    <row r="491" spans="1:40" x14ac:dyDescent="0.3">
      <c r="R491" s="99"/>
      <c r="AK491" s="190"/>
      <c r="AL491" s="99"/>
    </row>
    <row r="492" spans="1:40" x14ac:dyDescent="0.3">
      <c r="A492" s="99"/>
      <c r="R492" s="99"/>
      <c r="AK492" s="190"/>
      <c r="AL492" s="99"/>
    </row>
    <row r="493" spans="1:40" x14ac:dyDescent="0.3">
      <c r="L493" s="99"/>
      <c r="M493" s="99"/>
      <c r="AA493" s="99"/>
      <c r="AB493" s="99"/>
    </row>
    <row r="494" spans="1:40" x14ac:dyDescent="0.3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91"/>
      <c r="AH494" s="101"/>
      <c r="AI494" s="101"/>
      <c r="AJ494" s="101"/>
      <c r="AK494" s="191"/>
      <c r="AL494" s="101"/>
      <c r="AM494" s="101"/>
      <c r="AN494" s="101"/>
    </row>
    <row r="495" spans="1:40" x14ac:dyDescent="0.3">
      <c r="L495" s="102"/>
      <c r="M495" s="102"/>
      <c r="N495" s="102"/>
      <c r="O495" s="102"/>
      <c r="R495" s="102"/>
      <c r="AA495" s="102"/>
      <c r="AB495" s="102"/>
      <c r="AC495" s="102"/>
      <c r="AD495" s="102"/>
      <c r="AE495" s="102"/>
      <c r="AF495" s="102"/>
      <c r="AG495" s="151"/>
      <c r="AH495" s="102"/>
      <c r="AK495" s="151"/>
      <c r="AL495" s="102"/>
      <c r="AM495" s="102"/>
      <c r="AN495" s="102"/>
    </row>
    <row r="496" spans="1:40" x14ac:dyDescent="0.3">
      <c r="L496" s="102"/>
      <c r="M496" s="102"/>
      <c r="N496" s="102"/>
      <c r="O496" s="102"/>
      <c r="R496" s="102"/>
      <c r="Z496" s="102"/>
      <c r="AA496" s="102"/>
      <c r="AB496" s="102"/>
      <c r="AC496" s="102"/>
      <c r="AD496" s="102"/>
      <c r="AE496" s="102"/>
      <c r="AF496" s="102"/>
      <c r="AG496" s="151"/>
      <c r="AH496" s="102"/>
      <c r="AK496" s="151"/>
      <c r="AL496" s="102"/>
      <c r="AM496" s="102"/>
      <c r="AN496" s="102"/>
    </row>
    <row r="497" spans="1:40" x14ac:dyDescent="0.3">
      <c r="A497" s="102"/>
      <c r="C497" s="102"/>
      <c r="D497" s="102"/>
      <c r="E497" s="102"/>
      <c r="F497" s="102"/>
      <c r="J497" s="102"/>
      <c r="K497" s="102"/>
      <c r="L497" s="102"/>
      <c r="M497" s="102"/>
      <c r="N497" s="102"/>
      <c r="O497" s="102"/>
      <c r="P497" s="102"/>
      <c r="Q497" s="102"/>
      <c r="R497" s="102"/>
      <c r="T497" s="102"/>
      <c r="U497" s="102"/>
      <c r="V497" s="102"/>
      <c r="Z497" s="102"/>
      <c r="AA497" s="102"/>
      <c r="AB497" s="102"/>
      <c r="AC497" s="102"/>
      <c r="AD497" s="102"/>
      <c r="AE497" s="102"/>
      <c r="AF497" s="102"/>
      <c r="AG497" s="151"/>
      <c r="AH497" s="102"/>
      <c r="AI497" s="102"/>
      <c r="AJ497" s="102"/>
      <c r="AK497" s="151"/>
      <c r="AL497" s="102"/>
      <c r="AM497" s="102"/>
      <c r="AN497" s="102"/>
    </row>
    <row r="498" spans="1:40" x14ac:dyDescent="0.3">
      <c r="A498" s="102"/>
      <c r="C498" s="102"/>
      <c r="D498" s="102"/>
      <c r="E498" s="102"/>
      <c r="F498" s="102"/>
      <c r="H498" s="102"/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T498" s="102"/>
      <c r="U498" s="102"/>
      <c r="V498" s="102"/>
      <c r="Y498" s="102"/>
      <c r="Z498" s="102"/>
      <c r="AA498" s="102"/>
      <c r="AB498" s="102"/>
      <c r="AC498" s="102"/>
      <c r="AD498" s="102"/>
      <c r="AE498" s="102"/>
      <c r="AF498" s="102"/>
      <c r="AG498" s="151"/>
      <c r="AH498" s="102"/>
      <c r="AI498" s="102"/>
      <c r="AJ498" s="102"/>
      <c r="AK498" s="151"/>
      <c r="AL498" s="102"/>
      <c r="AM498" s="102"/>
      <c r="AN498" s="102"/>
    </row>
    <row r="499" spans="1:40" x14ac:dyDescent="0.3">
      <c r="C499" s="102"/>
      <c r="D499" s="102"/>
      <c r="E499" s="102"/>
      <c r="F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T499" s="102"/>
      <c r="U499" s="102"/>
      <c r="V499" s="102"/>
      <c r="Y499" s="102"/>
      <c r="Z499" s="102"/>
      <c r="AA499" s="102"/>
      <c r="AB499" s="102"/>
      <c r="AC499" s="102"/>
      <c r="AD499" s="102"/>
      <c r="AE499" s="102"/>
      <c r="AF499" s="102"/>
      <c r="AG499" s="151"/>
      <c r="AH499" s="102"/>
      <c r="AI499" s="102"/>
      <c r="AJ499" s="102"/>
      <c r="AK499" s="151"/>
      <c r="AL499" s="102"/>
      <c r="AM499" s="102"/>
      <c r="AN499" s="102"/>
    </row>
    <row r="500" spans="1:40" x14ac:dyDescent="0.3">
      <c r="A500" s="101"/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91"/>
      <c r="AH500" s="101"/>
      <c r="AI500" s="101"/>
      <c r="AJ500" s="101"/>
      <c r="AK500" s="191"/>
      <c r="AL500" s="101"/>
      <c r="AM500" s="101"/>
      <c r="AN500" s="101"/>
    </row>
    <row r="501" spans="1:40" x14ac:dyDescent="0.3">
      <c r="H501" s="102"/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Y501" s="102"/>
      <c r="Z501" s="102"/>
      <c r="AA501" s="102"/>
      <c r="AB501" s="102"/>
      <c r="AC501" s="102"/>
      <c r="AD501" s="102"/>
      <c r="AE501" s="102"/>
      <c r="AF501" s="102"/>
      <c r="AG501" s="151"/>
      <c r="AH501" s="102"/>
      <c r="AI501" s="102"/>
      <c r="AJ501" s="102"/>
      <c r="AK501" s="151"/>
      <c r="AL501" s="102"/>
      <c r="AM501" s="102"/>
      <c r="AN501" s="102"/>
    </row>
    <row r="502" spans="1:40" x14ac:dyDescent="0.3">
      <c r="C502" s="99"/>
      <c r="D502" s="99"/>
      <c r="E502" s="99"/>
      <c r="T502" s="99"/>
      <c r="U502" s="99"/>
      <c r="V502" s="110"/>
      <c r="W502" s="110"/>
      <c r="X502" s="110"/>
      <c r="Y502" s="110"/>
      <c r="Z502" s="227"/>
    </row>
    <row r="504" spans="1:40" x14ac:dyDescent="0.3">
      <c r="C504" s="99"/>
      <c r="T504" s="99"/>
      <c r="V504" s="110"/>
      <c r="W504" s="110"/>
      <c r="X504" s="110"/>
      <c r="Y504" s="110"/>
      <c r="Z504" s="227"/>
    </row>
    <row r="505" spans="1:40" x14ac:dyDescent="0.3">
      <c r="C505" s="99"/>
      <c r="F505" s="172"/>
      <c r="H505" s="172"/>
      <c r="I505" s="172"/>
      <c r="J505" s="228"/>
      <c r="K505" s="228"/>
      <c r="L505" s="110"/>
      <c r="M505" s="110"/>
      <c r="N505" s="141"/>
      <c r="O505" s="141"/>
      <c r="P505" s="110"/>
      <c r="Q505" s="110"/>
      <c r="R505" s="110"/>
      <c r="T505" s="99"/>
      <c r="V505" s="110"/>
      <c r="W505" s="110"/>
      <c r="X505" s="110"/>
      <c r="Y505" s="110"/>
      <c r="Z505" s="228"/>
      <c r="AA505" s="110"/>
      <c r="AB505" s="110"/>
      <c r="AC505" s="141"/>
      <c r="AD505" s="141"/>
      <c r="AE505" s="110"/>
      <c r="AF505" s="110"/>
      <c r="AH505" s="207"/>
      <c r="AI505" s="110"/>
      <c r="AJ505" s="110"/>
      <c r="AL505" s="110"/>
      <c r="AM505" s="141"/>
      <c r="AN505" s="141"/>
    </row>
    <row r="506" spans="1:40" x14ac:dyDescent="0.3">
      <c r="C506" s="99"/>
      <c r="F506" s="172"/>
      <c r="H506" s="172"/>
      <c r="I506" s="172"/>
      <c r="J506" s="228"/>
      <c r="K506" s="228"/>
      <c r="L506" s="110"/>
      <c r="M506" s="110"/>
      <c r="N506" s="141"/>
      <c r="O506" s="141"/>
      <c r="P506" s="110"/>
      <c r="Q506" s="110"/>
      <c r="R506" s="110"/>
      <c r="T506" s="99"/>
      <c r="V506" s="110"/>
      <c r="W506" s="110"/>
      <c r="X506" s="110"/>
      <c r="Y506" s="110"/>
      <c r="Z506" s="228"/>
      <c r="AA506" s="110"/>
      <c r="AB506" s="110"/>
      <c r="AC506" s="141"/>
      <c r="AD506" s="141"/>
      <c r="AE506" s="110"/>
      <c r="AF506" s="110"/>
      <c r="AH506" s="207"/>
      <c r="AI506" s="110"/>
      <c r="AJ506" s="110"/>
      <c r="AL506" s="110"/>
      <c r="AM506" s="141"/>
      <c r="AN506" s="141"/>
    </row>
    <row r="507" spans="1:40" x14ac:dyDescent="0.3">
      <c r="C507" s="99"/>
      <c r="F507" s="172"/>
      <c r="H507" s="172"/>
      <c r="I507" s="172"/>
      <c r="J507" s="228"/>
      <c r="K507" s="228"/>
      <c r="L507" s="110"/>
      <c r="M507" s="110"/>
      <c r="N507" s="141"/>
      <c r="O507" s="141"/>
      <c r="P507" s="110"/>
      <c r="Q507" s="110"/>
      <c r="R507" s="110"/>
      <c r="T507" s="99"/>
      <c r="V507" s="110"/>
      <c r="W507" s="110"/>
      <c r="X507" s="110"/>
      <c r="Y507" s="110"/>
      <c r="Z507" s="228"/>
      <c r="AA507" s="110"/>
      <c r="AB507" s="110"/>
      <c r="AC507" s="141"/>
      <c r="AD507" s="141"/>
      <c r="AE507" s="110"/>
      <c r="AF507" s="110"/>
      <c r="AH507" s="207"/>
      <c r="AI507" s="110"/>
      <c r="AJ507" s="110"/>
      <c r="AL507" s="110"/>
      <c r="AM507" s="141"/>
      <c r="AN507" s="141"/>
    </row>
    <row r="508" spans="1:40" x14ac:dyDescent="0.3">
      <c r="C508" s="99"/>
      <c r="F508" s="172"/>
      <c r="H508" s="172"/>
      <c r="I508" s="172"/>
      <c r="J508" s="228"/>
      <c r="K508" s="228"/>
      <c r="L508" s="110"/>
      <c r="M508" s="110"/>
      <c r="N508" s="141"/>
      <c r="O508" s="141"/>
      <c r="P508" s="110"/>
      <c r="Q508" s="110"/>
      <c r="R508" s="110"/>
      <c r="T508" s="99"/>
      <c r="V508" s="110"/>
      <c r="W508" s="110"/>
      <c r="X508" s="110"/>
      <c r="Y508" s="110"/>
      <c r="Z508" s="228"/>
      <c r="AA508" s="110"/>
      <c r="AB508" s="110"/>
      <c r="AC508" s="141"/>
      <c r="AD508" s="141"/>
      <c r="AE508" s="110"/>
      <c r="AF508" s="110"/>
      <c r="AH508" s="207"/>
      <c r="AI508" s="110"/>
      <c r="AJ508" s="110"/>
      <c r="AL508" s="110"/>
      <c r="AM508" s="141"/>
      <c r="AN508" s="141"/>
    </row>
    <row r="509" spans="1:40" x14ac:dyDescent="0.3">
      <c r="J509" s="163"/>
      <c r="K509" s="163"/>
      <c r="V509" s="110"/>
      <c r="W509" s="110"/>
      <c r="X509" s="110"/>
      <c r="Y509" s="110"/>
      <c r="Z509" s="228"/>
    </row>
    <row r="510" spans="1:40" x14ac:dyDescent="0.3">
      <c r="C510" s="99"/>
      <c r="F510" s="172"/>
      <c r="H510" s="172"/>
      <c r="I510" s="172"/>
      <c r="J510" s="228"/>
      <c r="K510" s="228"/>
      <c r="L510" s="110"/>
      <c r="M510" s="110"/>
      <c r="N510" s="141"/>
      <c r="O510" s="141"/>
      <c r="P510" s="110"/>
      <c r="Q510" s="110"/>
      <c r="R510" s="110"/>
      <c r="T510" s="99"/>
      <c r="V510" s="110"/>
      <c r="W510" s="110"/>
      <c r="X510" s="110"/>
      <c r="Y510" s="110"/>
      <c r="Z510" s="228"/>
      <c r="AA510" s="110"/>
      <c r="AB510" s="110"/>
      <c r="AC510" s="141"/>
      <c r="AD510" s="141"/>
      <c r="AE510" s="110"/>
      <c r="AF510" s="110"/>
      <c r="AH510" s="207"/>
      <c r="AI510" s="110"/>
      <c r="AJ510" s="110"/>
      <c r="AL510" s="110"/>
      <c r="AM510" s="207"/>
      <c r="AN510" s="207"/>
    </row>
    <row r="511" spans="1:40" x14ac:dyDescent="0.3">
      <c r="C511" s="99"/>
      <c r="J511" s="163"/>
      <c r="K511" s="163"/>
      <c r="T511" s="99"/>
      <c r="V511" s="110"/>
      <c r="W511" s="110"/>
      <c r="X511" s="110"/>
      <c r="Y511" s="110"/>
      <c r="Z511" s="228"/>
    </row>
    <row r="512" spans="1:40" x14ac:dyDescent="0.3">
      <c r="C512" s="99"/>
      <c r="F512" s="172"/>
      <c r="H512" s="172"/>
      <c r="I512" s="172"/>
      <c r="J512" s="228"/>
      <c r="K512" s="228"/>
      <c r="L512" s="110"/>
      <c r="M512" s="110"/>
      <c r="N512" s="141"/>
      <c r="O512" s="141"/>
      <c r="P512" s="110"/>
      <c r="Q512" s="110"/>
      <c r="R512" s="110"/>
      <c r="T512" s="99"/>
      <c r="V512" s="110"/>
      <c r="W512" s="110"/>
      <c r="X512" s="110"/>
      <c r="Y512" s="110"/>
      <c r="Z512" s="228"/>
      <c r="AA512" s="110"/>
      <c r="AB512" s="110"/>
      <c r="AC512" s="141"/>
      <c r="AD512" s="141"/>
      <c r="AE512" s="110"/>
      <c r="AF512" s="110"/>
      <c r="AH512" s="207"/>
      <c r="AI512" s="110"/>
      <c r="AJ512" s="110"/>
      <c r="AL512" s="110"/>
      <c r="AM512" s="207"/>
      <c r="AN512" s="207"/>
    </row>
    <row r="513" spans="1:40" x14ac:dyDescent="0.3">
      <c r="J513" s="163"/>
      <c r="K513" s="163"/>
      <c r="Z513" s="163"/>
    </row>
    <row r="514" spans="1:40" x14ac:dyDescent="0.3">
      <c r="C514" s="99"/>
      <c r="J514" s="163"/>
      <c r="K514" s="163"/>
      <c r="T514" s="99"/>
      <c r="V514" s="110"/>
      <c r="W514" s="110"/>
      <c r="X514" s="110"/>
      <c r="Y514" s="110"/>
      <c r="Z514" s="228"/>
    </row>
    <row r="515" spans="1:40" x14ac:dyDescent="0.3">
      <c r="C515" s="99"/>
      <c r="F515" s="172"/>
      <c r="H515" s="172"/>
      <c r="I515" s="172"/>
      <c r="J515" s="228"/>
      <c r="K515" s="228"/>
      <c r="L515" s="110"/>
      <c r="M515" s="110"/>
      <c r="N515" s="141"/>
      <c r="O515" s="141"/>
      <c r="P515" s="110"/>
      <c r="Q515" s="110"/>
      <c r="R515" s="110"/>
      <c r="T515" s="99"/>
      <c r="V515" s="110"/>
      <c r="W515" s="110"/>
      <c r="X515" s="110"/>
      <c r="Y515" s="110"/>
      <c r="Z515" s="228"/>
      <c r="AA515" s="110"/>
      <c r="AB515" s="110"/>
      <c r="AC515" s="141"/>
      <c r="AD515" s="141"/>
      <c r="AE515" s="110"/>
      <c r="AF515" s="110"/>
      <c r="AH515" s="207"/>
      <c r="AI515" s="110"/>
      <c r="AJ515" s="110"/>
      <c r="AL515" s="110"/>
      <c r="AM515" s="207"/>
      <c r="AN515" s="207"/>
    </row>
    <row r="516" spans="1:40" x14ac:dyDescent="0.3">
      <c r="C516" s="99"/>
      <c r="F516" s="172"/>
      <c r="H516" s="172"/>
      <c r="I516" s="172"/>
      <c r="J516" s="228"/>
      <c r="K516" s="228"/>
      <c r="L516" s="110"/>
      <c r="M516" s="110"/>
      <c r="N516" s="141"/>
      <c r="O516" s="141"/>
      <c r="P516" s="110"/>
      <c r="Q516" s="110"/>
      <c r="R516" s="110"/>
      <c r="T516" s="99"/>
      <c r="V516" s="110"/>
      <c r="W516" s="110"/>
      <c r="X516" s="110"/>
      <c r="Y516" s="110"/>
      <c r="Z516" s="228"/>
      <c r="AA516" s="110"/>
      <c r="AB516" s="110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1:40" x14ac:dyDescent="0.3">
      <c r="F517" s="192"/>
      <c r="H517" s="192"/>
      <c r="I517" s="192"/>
      <c r="J517" s="228"/>
      <c r="K517" s="228"/>
      <c r="L517" s="192"/>
      <c r="M517" s="192"/>
      <c r="N517" s="192"/>
      <c r="O517" s="192"/>
      <c r="P517" s="192"/>
      <c r="Q517" s="192"/>
      <c r="R517" s="192"/>
      <c r="V517" s="192"/>
      <c r="Y517" s="192"/>
      <c r="Z517" s="217"/>
      <c r="AA517" s="192"/>
      <c r="AB517" s="192"/>
      <c r="AC517" s="192"/>
      <c r="AD517" s="192"/>
      <c r="AE517" s="192"/>
      <c r="AF517" s="192"/>
      <c r="AI517" s="192"/>
      <c r="AJ517" s="192"/>
      <c r="AK517" s="194"/>
      <c r="AL517" s="192"/>
    </row>
    <row r="518" spans="1:40" x14ac:dyDescent="0.3">
      <c r="C518" s="99"/>
      <c r="F518" s="110"/>
      <c r="H518" s="110"/>
      <c r="I518" s="110"/>
      <c r="L518" s="110"/>
      <c r="M518" s="110"/>
      <c r="N518" s="141"/>
      <c r="O518" s="141"/>
      <c r="P518" s="172"/>
      <c r="Q518" s="172"/>
      <c r="R518" s="110"/>
      <c r="T518" s="99"/>
      <c r="V518" s="110"/>
      <c r="W518" s="110"/>
      <c r="X518" s="110"/>
      <c r="Y518" s="110"/>
      <c r="Z518" s="227"/>
      <c r="AA518" s="110"/>
      <c r="AB518" s="110"/>
      <c r="AC518" s="141"/>
      <c r="AD518" s="141"/>
      <c r="AE518" s="110"/>
      <c r="AF518" s="110"/>
      <c r="AH518" s="207"/>
      <c r="AI518" s="172"/>
      <c r="AJ518" s="172"/>
      <c r="AL518" s="110"/>
      <c r="AM518" s="207"/>
      <c r="AN518" s="207"/>
    </row>
    <row r="519" spans="1:40" x14ac:dyDescent="0.3">
      <c r="H519" s="192"/>
      <c r="I519" s="192"/>
      <c r="J519" s="217"/>
      <c r="K519" s="217"/>
      <c r="L519" s="192"/>
      <c r="M519" s="192"/>
      <c r="N519" s="192"/>
      <c r="O519" s="192"/>
      <c r="P519" s="192"/>
      <c r="Q519" s="192"/>
      <c r="R519" s="192"/>
      <c r="V519" s="192"/>
      <c r="Y519" s="192"/>
      <c r="Z519" s="217"/>
      <c r="AA519" s="192"/>
      <c r="AB519" s="192"/>
      <c r="AC519" s="192"/>
      <c r="AD519" s="192"/>
      <c r="AE519" s="192"/>
      <c r="AF519" s="192"/>
      <c r="AI519" s="192"/>
      <c r="AJ519" s="192"/>
      <c r="AK519" s="194"/>
      <c r="AL519" s="192"/>
    </row>
    <row r="520" spans="1:40" x14ac:dyDescent="0.3">
      <c r="F520" s="192"/>
    </row>
    <row r="522" spans="1:40" x14ac:dyDescent="0.3">
      <c r="A522" s="99"/>
    </row>
    <row r="524" spans="1:40" x14ac:dyDescent="0.3">
      <c r="H524" s="99"/>
      <c r="I524" s="99"/>
      <c r="Y524" s="99"/>
    </row>
    <row r="526" spans="1:40" x14ac:dyDescent="0.3">
      <c r="L526" s="99"/>
      <c r="M526" s="99"/>
      <c r="AA526" s="99"/>
      <c r="AB526" s="99"/>
    </row>
    <row r="527" spans="1:40" x14ac:dyDescent="0.3">
      <c r="R527" s="99"/>
      <c r="AK527" s="190"/>
      <c r="AL527" s="99"/>
    </row>
    <row r="528" spans="1:40" x14ac:dyDescent="0.3">
      <c r="R528" s="99"/>
      <c r="AK528" s="190"/>
      <c r="AL528" s="99"/>
    </row>
    <row r="529" spans="1:40" x14ac:dyDescent="0.3">
      <c r="A529" s="99"/>
      <c r="R529" s="99"/>
      <c r="AK529" s="190"/>
      <c r="AL529" s="99"/>
    </row>
    <row r="530" spans="1:40" x14ac:dyDescent="0.3">
      <c r="L530" s="99"/>
      <c r="M530" s="99"/>
      <c r="AA530" s="99"/>
      <c r="AB530" s="99"/>
    </row>
    <row r="531" spans="1:40" x14ac:dyDescent="0.3">
      <c r="A531" s="10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91"/>
      <c r="AH531" s="101"/>
      <c r="AI531" s="101"/>
      <c r="AJ531" s="101"/>
      <c r="AK531" s="191"/>
      <c r="AL531" s="101"/>
      <c r="AM531" s="101"/>
      <c r="AN531" s="101"/>
    </row>
    <row r="532" spans="1:40" x14ac:dyDescent="0.3">
      <c r="L532" s="102"/>
      <c r="M532" s="102"/>
      <c r="N532" s="102"/>
      <c r="O532" s="102"/>
      <c r="R532" s="102"/>
      <c r="AA532" s="102"/>
      <c r="AB532" s="102"/>
      <c r="AC532" s="102"/>
      <c r="AD532" s="102"/>
      <c r="AE532" s="102"/>
      <c r="AF532" s="102"/>
      <c r="AG532" s="151"/>
      <c r="AH532" s="102"/>
      <c r="AK532" s="151"/>
      <c r="AL532" s="102"/>
      <c r="AM532" s="102"/>
      <c r="AN532" s="102"/>
    </row>
    <row r="533" spans="1:40" x14ac:dyDescent="0.3">
      <c r="L533" s="102"/>
      <c r="M533" s="102"/>
      <c r="N533" s="102"/>
      <c r="O533" s="102"/>
      <c r="R533" s="102"/>
      <c r="Z533" s="102"/>
      <c r="AA533" s="102"/>
      <c r="AB533" s="102"/>
      <c r="AC533" s="102"/>
      <c r="AD533" s="102"/>
      <c r="AE533" s="102"/>
      <c r="AF533" s="102"/>
      <c r="AG533" s="151"/>
      <c r="AH533" s="102"/>
      <c r="AK533" s="151"/>
      <c r="AL533" s="102"/>
      <c r="AM533" s="102"/>
      <c r="AN533" s="102"/>
    </row>
    <row r="534" spans="1:40" x14ac:dyDescent="0.3">
      <c r="A534" s="102"/>
      <c r="C534" s="102"/>
      <c r="D534" s="102"/>
      <c r="E534" s="102"/>
      <c r="F534" s="102"/>
      <c r="J534" s="102"/>
      <c r="K534" s="102"/>
      <c r="L534" s="102"/>
      <c r="M534" s="102"/>
      <c r="N534" s="102"/>
      <c r="O534" s="102"/>
      <c r="P534" s="102"/>
      <c r="Q534" s="102"/>
      <c r="R534" s="102"/>
      <c r="T534" s="102"/>
      <c r="U534" s="102"/>
      <c r="V534" s="102"/>
      <c r="Z534" s="102"/>
      <c r="AA534" s="102"/>
      <c r="AB534" s="102"/>
      <c r="AC534" s="102"/>
      <c r="AD534" s="102"/>
      <c r="AE534" s="102"/>
      <c r="AF534" s="102"/>
      <c r="AG534" s="151"/>
      <c r="AH534" s="102"/>
      <c r="AI534" s="102"/>
      <c r="AJ534" s="102"/>
      <c r="AK534" s="151"/>
      <c r="AL534" s="102"/>
      <c r="AM534" s="102"/>
      <c r="AN534" s="102"/>
    </row>
    <row r="535" spans="1:40" x14ac:dyDescent="0.3">
      <c r="A535" s="102"/>
      <c r="C535" s="102"/>
      <c r="D535" s="102"/>
      <c r="E535" s="102"/>
      <c r="F535" s="102"/>
      <c r="H535" s="102"/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T535" s="102"/>
      <c r="U535" s="102"/>
      <c r="V535" s="102"/>
      <c r="Y535" s="102"/>
      <c r="Z535" s="102"/>
      <c r="AA535" s="102"/>
      <c r="AB535" s="102"/>
      <c r="AC535" s="102"/>
      <c r="AD535" s="102"/>
      <c r="AE535" s="102"/>
      <c r="AF535" s="102"/>
      <c r="AG535" s="151"/>
      <c r="AH535" s="102"/>
      <c r="AI535" s="102"/>
      <c r="AJ535" s="102"/>
      <c r="AK535" s="151"/>
      <c r="AL535" s="102"/>
      <c r="AM535" s="102"/>
      <c r="AN535" s="102"/>
    </row>
    <row r="536" spans="1:40" x14ac:dyDescent="0.3">
      <c r="C536" s="102"/>
      <c r="D536" s="102"/>
      <c r="E536" s="102"/>
      <c r="F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T536" s="102"/>
      <c r="U536" s="102"/>
      <c r="V536" s="102"/>
      <c r="Y536" s="102"/>
      <c r="Z536" s="102"/>
      <c r="AA536" s="102"/>
      <c r="AB536" s="102"/>
      <c r="AC536" s="102"/>
      <c r="AD536" s="102"/>
      <c r="AE536" s="102"/>
      <c r="AF536" s="102"/>
      <c r="AG536" s="151"/>
      <c r="AH536" s="102"/>
      <c r="AI536" s="102"/>
      <c r="AJ536" s="102"/>
      <c r="AK536" s="151"/>
      <c r="AL536" s="102"/>
      <c r="AM536" s="102"/>
      <c r="AN536" s="102"/>
    </row>
    <row r="537" spans="1:40" x14ac:dyDescent="0.3">
      <c r="A537" s="101"/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T537" s="101"/>
      <c r="U537" s="101"/>
      <c r="V537" s="101"/>
      <c r="W537" s="101"/>
      <c r="X537" s="101"/>
      <c r="Y537" s="101"/>
      <c r="Z537" s="101"/>
      <c r="AA537" s="101"/>
      <c r="AB537" s="101"/>
      <c r="AC537" s="101"/>
      <c r="AD537" s="101"/>
      <c r="AE537" s="101"/>
      <c r="AF537" s="101"/>
      <c r="AG537" s="191"/>
      <c r="AH537" s="101"/>
      <c r="AI537" s="101"/>
      <c r="AJ537" s="101"/>
      <c r="AK537" s="191"/>
      <c r="AL537" s="101"/>
      <c r="AM537" s="101"/>
      <c r="AN537" s="101"/>
    </row>
    <row r="538" spans="1:40" x14ac:dyDescent="0.3">
      <c r="H538" s="102"/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Y538" s="102"/>
      <c r="Z538" s="102"/>
      <c r="AA538" s="102"/>
      <c r="AB538" s="102"/>
      <c r="AC538" s="102"/>
      <c r="AD538" s="102"/>
      <c r="AE538" s="102"/>
      <c r="AF538" s="102"/>
      <c r="AG538" s="151"/>
      <c r="AH538" s="102"/>
      <c r="AI538" s="102"/>
      <c r="AJ538" s="102"/>
      <c r="AK538" s="151"/>
      <c r="AL538" s="102"/>
      <c r="AM538" s="102"/>
      <c r="AN538" s="102"/>
    </row>
    <row r="539" spans="1:40" x14ac:dyDescent="0.3">
      <c r="C539" s="99"/>
      <c r="D539" s="99"/>
      <c r="E539" s="99"/>
      <c r="T539" s="99"/>
      <c r="U539" s="99"/>
    </row>
    <row r="541" spans="1:40" x14ac:dyDescent="0.3">
      <c r="C541" s="99"/>
      <c r="T541" s="99"/>
    </row>
    <row r="542" spans="1:40" x14ac:dyDescent="0.3">
      <c r="C542" s="99"/>
      <c r="T542" s="99"/>
    </row>
    <row r="543" spans="1:40" x14ac:dyDescent="0.3">
      <c r="C543" s="99"/>
      <c r="F543" s="172"/>
      <c r="H543" s="172"/>
      <c r="I543" s="172"/>
      <c r="J543" s="228"/>
      <c r="K543" s="228"/>
      <c r="L543" s="110"/>
      <c r="M543" s="110"/>
      <c r="N543" s="141"/>
      <c r="O543" s="141"/>
      <c r="P543" s="110"/>
      <c r="Q543" s="110"/>
      <c r="R543" s="110"/>
      <c r="T543" s="99"/>
      <c r="V543" s="110"/>
      <c r="W543" s="110"/>
      <c r="X543" s="110"/>
      <c r="Y543" s="110"/>
      <c r="Z543" s="228"/>
      <c r="AA543" s="110"/>
      <c r="AB543" s="110"/>
      <c r="AC543" s="141"/>
      <c r="AD543" s="141"/>
      <c r="AE543" s="110"/>
      <c r="AF543" s="110"/>
      <c r="AH543" s="207"/>
      <c r="AI543" s="110"/>
      <c r="AJ543" s="110"/>
      <c r="AL543" s="110"/>
      <c r="AM543" s="207"/>
      <c r="AN543" s="207"/>
    </row>
    <row r="544" spans="1:40" x14ac:dyDescent="0.3">
      <c r="C544" s="99"/>
      <c r="F544" s="110"/>
      <c r="H544" s="110"/>
      <c r="I544" s="110"/>
      <c r="J544" s="163"/>
      <c r="K544" s="163"/>
      <c r="L544" s="110"/>
      <c r="M544" s="110"/>
      <c r="N544" s="141"/>
      <c r="O544" s="141"/>
      <c r="P544" s="110"/>
      <c r="Q544" s="110"/>
      <c r="R544" s="110"/>
      <c r="T544" s="99"/>
      <c r="V544" s="110"/>
      <c r="W544" s="110"/>
      <c r="X544" s="110"/>
      <c r="Y544" s="110"/>
      <c r="Z544" s="163"/>
      <c r="AA544" s="110"/>
      <c r="AB544" s="110"/>
      <c r="AC544" s="141"/>
      <c r="AD544" s="141"/>
      <c r="AE544" s="110"/>
      <c r="AF544" s="110"/>
      <c r="AH544" s="207"/>
      <c r="AI544" s="110"/>
      <c r="AJ544" s="110"/>
      <c r="AL544" s="110"/>
      <c r="AM544" s="207"/>
      <c r="AN544" s="207"/>
    </row>
    <row r="545" spans="3:40" x14ac:dyDescent="0.3">
      <c r="C545" s="99"/>
      <c r="F545" s="110"/>
      <c r="H545" s="110"/>
      <c r="I545" s="110"/>
      <c r="J545" s="163"/>
      <c r="K545" s="163"/>
      <c r="L545" s="110"/>
      <c r="M545" s="110"/>
      <c r="N545" s="141"/>
      <c r="O545" s="141"/>
      <c r="P545" s="110"/>
      <c r="Q545" s="110"/>
      <c r="R545" s="110"/>
      <c r="T545" s="99"/>
      <c r="V545" s="110"/>
      <c r="W545" s="110"/>
      <c r="X545" s="110"/>
      <c r="Y545" s="110"/>
      <c r="Z545" s="163"/>
      <c r="AA545" s="110"/>
      <c r="AB545" s="110"/>
      <c r="AC545" s="141"/>
      <c r="AD545" s="141"/>
      <c r="AE545" s="110"/>
      <c r="AF545" s="110"/>
      <c r="AH545" s="207"/>
      <c r="AI545" s="110"/>
      <c r="AJ545" s="110"/>
      <c r="AL545" s="110"/>
      <c r="AM545" s="207"/>
      <c r="AN545" s="207"/>
    </row>
    <row r="546" spans="3:40" x14ac:dyDescent="0.3">
      <c r="C546" s="99"/>
      <c r="F546" s="110"/>
      <c r="H546" s="110"/>
      <c r="I546" s="110"/>
      <c r="J546" s="163"/>
      <c r="K546" s="163"/>
      <c r="T546" s="99"/>
      <c r="V546" s="110"/>
      <c r="Z546" s="163"/>
    </row>
    <row r="547" spans="3:40" x14ac:dyDescent="0.3">
      <c r="C547" s="99"/>
      <c r="F547" s="172"/>
      <c r="H547" s="172"/>
      <c r="I547" s="172"/>
      <c r="J547" s="228"/>
      <c r="K547" s="228"/>
      <c r="L547" s="110"/>
      <c r="M547" s="110"/>
      <c r="N547" s="141"/>
      <c r="O547" s="141"/>
      <c r="P547" s="110"/>
      <c r="Q547" s="110"/>
      <c r="R547" s="110"/>
      <c r="T547" s="99"/>
      <c r="V547" s="110"/>
      <c r="W547" s="110"/>
      <c r="X547" s="110"/>
      <c r="Y547" s="110"/>
      <c r="Z547" s="228"/>
      <c r="AA547" s="110"/>
      <c r="AB547" s="110"/>
      <c r="AC547" s="141"/>
      <c r="AD547" s="141"/>
      <c r="AE547" s="110"/>
      <c r="AF547" s="110"/>
      <c r="AH547" s="207"/>
      <c r="AI547" s="110"/>
      <c r="AJ547" s="110"/>
      <c r="AL547" s="110"/>
      <c r="AM547" s="207"/>
      <c r="AN547" s="207"/>
    </row>
    <row r="548" spans="3:40" x14ac:dyDescent="0.3">
      <c r="C548" s="99"/>
      <c r="F548" s="110"/>
      <c r="H548" s="110"/>
      <c r="I548" s="110"/>
      <c r="J548" s="163"/>
      <c r="K548" s="163"/>
      <c r="T548" s="99"/>
      <c r="V548" s="110"/>
      <c r="W548" s="110"/>
      <c r="X548" s="110"/>
      <c r="Y548" s="110"/>
      <c r="Z548" s="163"/>
      <c r="AC548" s="141"/>
      <c r="AD548" s="141"/>
      <c r="AE548" s="110"/>
      <c r="AF548" s="110"/>
      <c r="AH548" s="207"/>
      <c r="AI548" s="110"/>
      <c r="AJ548" s="110"/>
      <c r="AL548" s="110"/>
      <c r="AM548" s="207"/>
      <c r="AN548" s="207"/>
    </row>
    <row r="549" spans="3:40" x14ac:dyDescent="0.3">
      <c r="C549" s="99"/>
      <c r="F549" s="172"/>
      <c r="H549" s="172"/>
      <c r="I549" s="172"/>
      <c r="J549" s="228"/>
      <c r="K549" s="228"/>
      <c r="L549" s="110"/>
      <c r="M549" s="110"/>
      <c r="N549" s="141"/>
      <c r="O549" s="141"/>
      <c r="P549" s="110"/>
      <c r="Q549" s="110"/>
      <c r="R549" s="110"/>
      <c r="T549" s="99"/>
      <c r="V549" s="110"/>
      <c r="W549" s="110"/>
      <c r="X549" s="110"/>
      <c r="Y549" s="110"/>
      <c r="Z549" s="228"/>
      <c r="AA549" s="110"/>
      <c r="AB549" s="110"/>
      <c r="AC549" s="141"/>
      <c r="AD549" s="141"/>
      <c r="AE549" s="110"/>
      <c r="AF549" s="110"/>
      <c r="AH549" s="207"/>
      <c r="AI549" s="110"/>
      <c r="AJ549" s="110"/>
      <c r="AL549" s="110"/>
      <c r="AM549" s="207"/>
      <c r="AN549" s="207"/>
    </row>
    <row r="550" spans="3:40" x14ac:dyDescent="0.3">
      <c r="C550" s="99"/>
      <c r="F550" s="110"/>
      <c r="H550" s="110"/>
      <c r="I550" s="110"/>
      <c r="J550" s="163"/>
      <c r="K550" s="163"/>
      <c r="L550" s="110"/>
      <c r="M550" s="110"/>
      <c r="N550" s="141"/>
      <c r="O550" s="141"/>
      <c r="P550" s="110"/>
      <c r="Q550" s="110"/>
      <c r="R550" s="110"/>
      <c r="T550" s="99"/>
      <c r="V550" s="110"/>
      <c r="W550" s="110"/>
      <c r="X550" s="110"/>
      <c r="Y550" s="110"/>
      <c r="Z550" s="163"/>
      <c r="AA550" s="110"/>
      <c r="AB550" s="110"/>
      <c r="AC550" s="141"/>
      <c r="AD550" s="141"/>
      <c r="AE550" s="110"/>
      <c r="AF550" s="110"/>
      <c r="AH550" s="207"/>
      <c r="AI550" s="110"/>
      <c r="AJ550" s="110"/>
      <c r="AL550" s="110"/>
      <c r="AM550" s="207"/>
      <c r="AN550" s="207"/>
    </row>
    <row r="551" spans="3:40" x14ac:dyDescent="0.3">
      <c r="F551" s="110"/>
      <c r="H551" s="110"/>
      <c r="I551" s="110"/>
      <c r="J551" s="163"/>
      <c r="K551" s="163"/>
      <c r="Z551" s="163"/>
    </row>
    <row r="552" spans="3:40" x14ac:dyDescent="0.3">
      <c r="C552" s="99"/>
      <c r="F552" s="110"/>
      <c r="H552" s="172"/>
      <c r="I552" s="172"/>
      <c r="J552" s="228"/>
      <c r="K552" s="228"/>
      <c r="L552" s="110"/>
      <c r="M552" s="110"/>
      <c r="N552" s="141"/>
      <c r="O552" s="141"/>
      <c r="P552" s="110"/>
      <c r="Q552" s="110"/>
      <c r="R552" s="110"/>
      <c r="T552" s="99"/>
      <c r="V552" s="110"/>
      <c r="W552" s="110"/>
      <c r="X552" s="110"/>
      <c r="Y552" s="110"/>
      <c r="Z552" s="228"/>
      <c r="AA552" s="110"/>
      <c r="AB552" s="110"/>
      <c r="AC552" s="141"/>
      <c r="AD552" s="141"/>
      <c r="AE552" s="110"/>
      <c r="AF552" s="110"/>
      <c r="AH552" s="207"/>
      <c r="AI552" s="110"/>
      <c r="AJ552" s="110"/>
      <c r="AL552" s="110"/>
      <c r="AM552" s="207"/>
      <c r="AN552" s="207"/>
    </row>
    <row r="553" spans="3:40" x14ac:dyDescent="0.3">
      <c r="F553" s="192"/>
      <c r="H553" s="192"/>
      <c r="I553" s="192"/>
      <c r="J553" s="228"/>
      <c r="K553" s="228"/>
      <c r="L553" s="192"/>
      <c r="M553" s="192"/>
      <c r="N553" s="192"/>
      <c r="O553" s="192"/>
      <c r="P553" s="192"/>
      <c r="Q553" s="192"/>
      <c r="R553" s="192"/>
      <c r="V553" s="192"/>
      <c r="Y553" s="192"/>
      <c r="Z553" s="228"/>
      <c r="AA553" s="192"/>
      <c r="AB553" s="192"/>
      <c r="AC553" s="192"/>
      <c r="AD553" s="192"/>
      <c r="AE553" s="192"/>
      <c r="AF553" s="192"/>
      <c r="AI553" s="192"/>
      <c r="AJ553" s="192"/>
      <c r="AK553" s="194"/>
      <c r="AL553" s="192"/>
    </row>
    <row r="554" spans="3:40" x14ac:dyDescent="0.3">
      <c r="C554" s="99"/>
      <c r="F554" s="110"/>
      <c r="H554" s="110"/>
      <c r="I554" s="110"/>
      <c r="J554" s="163"/>
      <c r="K554" s="163"/>
      <c r="L554" s="110"/>
      <c r="M554" s="110"/>
      <c r="P554" s="110"/>
      <c r="Q554" s="110"/>
      <c r="R554" s="110"/>
      <c r="T554" s="99"/>
      <c r="V554" s="110"/>
      <c r="Y554" s="110"/>
      <c r="Z554" s="163"/>
      <c r="AA554" s="110"/>
      <c r="AB554" s="110"/>
      <c r="AC554" s="207"/>
      <c r="AD554" s="207"/>
      <c r="AE554" s="110"/>
      <c r="AF554" s="110"/>
      <c r="AH554" s="207"/>
      <c r="AI554" s="110"/>
      <c r="AJ554" s="110"/>
      <c r="AL554" s="110"/>
      <c r="AM554" s="207"/>
      <c r="AN554" s="207"/>
    </row>
    <row r="555" spans="3:40" x14ac:dyDescent="0.3">
      <c r="F555" s="192"/>
      <c r="H555" s="192"/>
      <c r="I555" s="192"/>
      <c r="J555" s="228"/>
      <c r="K555" s="228"/>
      <c r="L555" s="192"/>
      <c r="M555" s="192"/>
      <c r="N555" s="192"/>
      <c r="O555" s="192"/>
      <c r="P555" s="192"/>
      <c r="Q555" s="192"/>
      <c r="R555" s="192"/>
      <c r="V555" s="192"/>
      <c r="Y555" s="192"/>
      <c r="Z555" s="228"/>
      <c r="AA555" s="192"/>
      <c r="AB555" s="192"/>
      <c r="AC555" s="192"/>
      <c r="AD555" s="192"/>
      <c r="AE555" s="192"/>
      <c r="AF555" s="192"/>
      <c r="AI555" s="192"/>
      <c r="AJ555" s="192"/>
      <c r="AK555" s="194"/>
      <c r="AL555" s="192"/>
    </row>
    <row r="556" spans="3:40" x14ac:dyDescent="0.3">
      <c r="J556" s="163"/>
      <c r="K556" s="163"/>
      <c r="Z556" s="163"/>
    </row>
    <row r="557" spans="3:40" x14ac:dyDescent="0.3">
      <c r="C557" s="99"/>
      <c r="J557" s="163"/>
      <c r="K557" s="163"/>
      <c r="T557" s="99"/>
      <c r="Z557" s="163"/>
    </row>
    <row r="558" spans="3:40" x14ac:dyDescent="0.3">
      <c r="C558" s="99"/>
      <c r="J558" s="163"/>
      <c r="K558" s="163"/>
      <c r="T558" s="99"/>
      <c r="Z558" s="163"/>
    </row>
    <row r="559" spans="3:40" x14ac:dyDescent="0.3">
      <c r="C559" s="99"/>
      <c r="F559" s="172"/>
      <c r="H559" s="172"/>
      <c r="I559" s="172"/>
      <c r="J559" s="228"/>
      <c r="K559" s="228"/>
      <c r="L559" s="110"/>
      <c r="M559" s="110"/>
      <c r="N559" s="141"/>
      <c r="O559" s="141"/>
      <c r="P559" s="110"/>
      <c r="Q559" s="110"/>
      <c r="R559" s="110"/>
      <c r="T559" s="99"/>
      <c r="V559" s="110"/>
      <c r="W559" s="110"/>
      <c r="X559" s="110"/>
      <c r="Y559" s="110"/>
      <c r="Z559" s="228"/>
      <c r="AA559" s="110"/>
      <c r="AB559" s="110"/>
      <c r="AC559" s="141"/>
      <c r="AD559" s="141"/>
      <c r="AE559" s="110"/>
      <c r="AF559" s="110"/>
      <c r="AH559" s="207"/>
      <c r="AI559" s="110"/>
      <c r="AJ559" s="110"/>
      <c r="AL559" s="110"/>
      <c r="AM559" s="207"/>
      <c r="AN559" s="207"/>
    </row>
    <row r="560" spans="3:40" x14ac:dyDescent="0.3">
      <c r="C560" s="99"/>
      <c r="J560" s="163"/>
      <c r="K560" s="163"/>
      <c r="T560" s="99"/>
      <c r="Z560" s="163"/>
    </row>
    <row r="561" spans="1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1:40" x14ac:dyDescent="0.3">
      <c r="F562" s="192"/>
      <c r="H562" s="192"/>
      <c r="I562" s="192"/>
      <c r="J562" s="228"/>
      <c r="K562" s="228"/>
      <c r="L562" s="192"/>
      <c r="M562" s="192"/>
      <c r="N562" s="192"/>
      <c r="O562" s="192"/>
      <c r="P562" s="192"/>
      <c r="Q562" s="192"/>
      <c r="R562" s="192"/>
      <c r="V562" s="192"/>
      <c r="Y562" s="192"/>
      <c r="Z562" s="228"/>
      <c r="AA562" s="192"/>
      <c r="AB562" s="192"/>
      <c r="AC562" s="192"/>
      <c r="AD562" s="192"/>
      <c r="AE562" s="192"/>
      <c r="AF562" s="192"/>
      <c r="AI562" s="192"/>
      <c r="AJ562" s="192"/>
      <c r="AK562" s="194"/>
      <c r="AL562" s="192"/>
    </row>
    <row r="563" spans="1:40" x14ac:dyDescent="0.3">
      <c r="C563" s="99"/>
      <c r="F563" s="110"/>
      <c r="H563" s="110"/>
      <c r="I563" s="110"/>
      <c r="J563" s="163"/>
      <c r="K563" s="163"/>
      <c r="L563" s="110"/>
      <c r="M563" s="110"/>
      <c r="N563" s="207"/>
      <c r="O563" s="207"/>
      <c r="P563" s="110"/>
      <c r="Q563" s="110"/>
      <c r="R563" s="110"/>
      <c r="T563" s="99"/>
      <c r="V563" s="110"/>
      <c r="Y563" s="110"/>
      <c r="Z563" s="163"/>
      <c r="AA563" s="110"/>
      <c r="AB563" s="110"/>
      <c r="AC563" s="207"/>
      <c r="AD563" s="207"/>
      <c r="AE563" s="110"/>
      <c r="AF563" s="110"/>
      <c r="AH563" s="207"/>
      <c r="AI563" s="110"/>
      <c r="AJ563" s="110"/>
      <c r="AL563" s="110"/>
      <c r="AM563" s="207"/>
      <c r="AN563" s="207"/>
    </row>
    <row r="564" spans="1:40" x14ac:dyDescent="0.3">
      <c r="F564" s="192"/>
      <c r="H564" s="192"/>
      <c r="I564" s="192"/>
      <c r="J564" s="228"/>
      <c r="K564" s="228"/>
      <c r="L564" s="192"/>
      <c r="M564" s="192"/>
      <c r="N564" s="192"/>
      <c r="O564" s="192"/>
      <c r="P564" s="192"/>
      <c r="Q564" s="192"/>
      <c r="R564" s="192"/>
      <c r="V564" s="192"/>
      <c r="Y564" s="192"/>
      <c r="Z564" s="217"/>
      <c r="AA564" s="192"/>
      <c r="AB564" s="192"/>
      <c r="AC564" s="192"/>
      <c r="AD564" s="192"/>
      <c r="AE564" s="192"/>
      <c r="AF564" s="192"/>
      <c r="AI564" s="192"/>
      <c r="AJ564" s="192"/>
      <c r="AK564" s="194"/>
      <c r="AL564" s="192"/>
    </row>
    <row r="565" spans="1:40" x14ac:dyDescent="0.3">
      <c r="J565" s="163"/>
      <c r="K565" s="163"/>
    </row>
    <row r="566" spans="1:40" x14ac:dyDescent="0.3">
      <c r="C566" s="99"/>
      <c r="F566" s="110"/>
      <c r="H566" s="110"/>
      <c r="I566" s="110"/>
      <c r="J566" s="163"/>
      <c r="K566" s="163"/>
      <c r="L566" s="110"/>
      <c r="M566" s="110"/>
      <c r="N566" s="141"/>
      <c r="O566" s="141"/>
      <c r="P566" s="172"/>
      <c r="Q566" s="172"/>
      <c r="R566" s="110"/>
      <c r="T566" s="99"/>
      <c r="V566" s="110"/>
      <c r="Y566" s="110"/>
      <c r="AA566" s="110"/>
      <c r="AB566" s="110"/>
      <c r="AC566" s="207"/>
      <c r="AD566" s="207"/>
      <c r="AE566" s="110"/>
      <c r="AF566" s="110"/>
      <c r="AH566" s="207"/>
      <c r="AI566" s="172"/>
      <c r="AJ566" s="172"/>
      <c r="AL566" s="110"/>
      <c r="AM566" s="207"/>
      <c r="AN566" s="207"/>
    </row>
    <row r="567" spans="1:40" x14ac:dyDescent="0.3">
      <c r="H567" s="192"/>
      <c r="I567" s="192"/>
      <c r="J567" s="228"/>
      <c r="K567" s="228"/>
      <c r="L567" s="192"/>
      <c r="M567" s="192"/>
      <c r="N567" s="192"/>
      <c r="O567" s="192"/>
      <c r="P567" s="192"/>
      <c r="Q567" s="192"/>
      <c r="R567" s="192"/>
      <c r="V567" s="192"/>
      <c r="Y567" s="192"/>
      <c r="Z567" s="217"/>
      <c r="AA567" s="192"/>
      <c r="AB567" s="192"/>
      <c r="AC567" s="192"/>
      <c r="AD567" s="192"/>
      <c r="AE567" s="192"/>
      <c r="AF567" s="192"/>
      <c r="AI567" s="192"/>
      <c r="AJ567" s="192"/>
      <c r="AK567" s="194"/>
      <c r="AL567" s="192"/>
    </row>
    <row r="568" spans="1:40" x14ac:dyDescent="0.3">
      <c r="F568" s="192"/>
    </row>
    <row r="570" spans="1:40" x14ac:dyDescent="0.3">
      <c r="A570" s="99"/>
    </row>
    <row r="572" spans="1:40" x14ac:dyDescent="0.3">
      <c r="H572" s="99"/>
      <c r="I572" s="99"/>
      <c r="Y572" s="99"/>
    </row>
    <row r="574" spans="1:40" x14ac:dyDescent="0.3">
      <c r="L574" s="99"/>
      <c r="M574" s="99"/>
      <c r="AA574" s="99"/>
      <c r="AB574" s="99"/>
    </row>
    <row r="575" spans="1:40" x14ac:dyDescent="0.3">
      <c r="R575" s="99"/>
      <c r="AK575" s="190"/>
      <c r="AL575" s="99"/>
    </row>
    <row r="576" spans="1:40" x14ac:dyDescent="0.3">
      <c r="R576" s="99"/>
      <c r="AK576" s="190"/>
      <c r="AL576" s="99"/>
    </row>
    <row r="577" spans="1:40" x14ac:dyDescent="0.3">
      <c r="A577" s="99"/>
      <c r="R577" s="99"/>
      <c r="AK577" s="190"/>
      <c r="AL577" s="99"/>
    </row>
    <row r="578" spans="1:40" x14ac:dyDescent="0.3">
      <c r="L578" s="99"/>
      <c r="M578" s="99"/>
      <c r="AA578" s="99"/>
      <c r="AB578" s="99"/>
    </row>
    <row r="579" spans="1:40" x14ac:dyDescent="0.3">
      <c r="A579" s="101"/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91"/>
      <c r="AH579" s="101"/>
      <c r="AI579" s="101"/>
      <c r="AJ579" s="101"/>
      <c r="AK579" s="191"/>
      <c r="AL579" s="101"/>
      <c r="AM579" s="101"/>
      <c r="AN579" s="101"/>
    </row>
    <row r="580" spans="1:40" x14ac:dyDescent="0.3">
      <c r="L580" s="102"/>
      <c r="M580" s="102"/>
      <c r="N580" s="102"/>
      <c r="O580" s="102"/>
      <c r="R580" s="102"/>
      <c r="AA580" s="102"/>
      <c r="AB580" s="102"/>
      <c r="AC580" s="102"/>
      <c r="AD580" s="102"/>
      <c r="AE580" s="102"/>
      <c r="AF580" s="102"/>
      <c r="AG580" s="151"/>
      <c r="AH580" s="102"/>
      <c r="AK580" s="151"/>
      <c r="AL580" s="102"/>
      <c r="AM580" s="102"/>
      <c r="AN580" s="102"/>
    </row>
    <row r="581" spans="1:40" x14ac:dyDescent="0.3">
      <c r="L581" s="102"/>
      <c r="M581" s="102"/>
      <c r="N581" s="102"/>
      <c r="O581" s="102"/>
      <c r="R581" s="102"/>
      <c r="Z581" s="102"/>
      <c r="AA581" s="102"/>
      <c r="AB581" s="102"/>
      <c r="AC581" s="102"/>
      <c r="AD581" s="102"/>
      <c r="AE581" s="102"/>
      <c r="AF581" s="102"/>
      <c r="AG581" s="151"/>
      <c r="AH581" s="102"/>
      <c r="AK581" s="151"/>
      <c r="AL581" s="102"/>
      <c r="AM581" s="102"/>
      <c r="AN581" s="102"/>
    </row>
    <row r="582" spans="1:40" x14ac:dyDescent="0.3">
      <c r="A582" s="102"/>
      <c r="C582" s="102"/>
      <c r="D582" s="102"/>
      <c r="E582" s="102"/>
      <c r="F582" s="102"/>
      <c r="J582" s="102"/>
      <c r="K582" s="102"/>
      <c r="L582" s="102"/>
      <c r="M582" s="102"/>
      <c r="N582" s="102"/>
      <c r="O582" s="102"/>
      <c r="P582" s="102"/>
      <c r="Q582" s="102"/>
      <c r="R582" s="102"/>
      <c r="T582" s="102"/>
      <c r="U582" s="102"/>
      <c r="V582" s="102"/>
      <c r="Z582" s="102"/>
      <c r="AA582" s="102"/>
      <c r="AB582" s="102"/>
      <c r="AC582" s="102"/>
      <c r="AD582" s="102"/>
      <c r="AE582" s="102"/>
      <c r="AF582" s="102"/>
      <c r="AG582" s="151"/>
      <c r="AH582" s="102"/>
      <c r="AI582" s="102"/>
      <c r="AJ582" s="102"/>
      <c r="AK582" s="151"/>
      <c r="AL582" s="102"/>
      <c r="AM582" s="102"/>
      <c r="AN582" s="102"/>
    </row>
    <row r="583" spans="1:40" x14ac:dyDescent="0.3">
      <c r="A583" s="102"/>
      <c r="C583" s="102"/>
      <c r="D583" s="102"/>
      <c r="E583" s="102"/>
      <c r="F583" s="102"/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T583" s="102"/>
      <c r="U583" s="102"/>
      <c r="V583" s="102"/>
      <c r="Y583" s="102"/>
      <c r="Z583" s="102"/>
      <c r="AA583" s="102"/>
      <c r="AB583" s="102"/>
      <c r="AC583" s="102"/>
      <c r="AD583" s="102"/>
      <c r="AE583" s="102"/>
      <c r="AF583" s="102"/>
      <c r="AG583" s="151"/>
      <c r="AH583" s="102"/>
      <c r="AI583" s="102"/>
      <c r="AJ583" s="102"/>
      <c r="AK583" s="151"/>
      <c r="AL583" s="102"/>
      <c r="AM583" s="102"/>
      <c r="AN583" s="102"/>
    </row>
    <row r="584" spans="1:40" x14ac:dyDescent="0.3">
      <c r="C584" s="102"/>
      <c r="D584" s="102"/>
      <c r="E584" s="102"/>
      <c r="F584" s="102"/>
      <c r="H584" s="102"/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T584" s="102"/>
      <c r="U584" s="102"/>
      <c r="V584" s="102"/>
      <c r="Y584" s="102"/>
      <c r="Z584" s="102"/>
      <c r="AA584" s="102"/>
      <c r="AB584" s="102"/>
      <c r="AC584" s="102"/>
      <c r="AD584" s="102"/>
      <c r="AE584" s="102"/>
      <c r="AF584" s="102"/>
      <c r="AG584" s="151"/>
      <c r="AH584" s="102"/>
      <c r="AI584" s="102"/>
      <c r="AJ584" s="102"/>
      <c r="AK584" s="151"/>
      <c r="AL584" s="102"/>
      <c r="AM584" s="102"/>
      <c r="AN584" s="102"/>
    </row>
    <row r="585" spans="1:40" x14ac:dyDescent="0.3">
      <c r="A585" s="101"/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T585" s="101"/>
      <c r="U585" s="101"/>
      <c r="V585" s="101"/>
      <c r="W585" s="101"/>
      <c r="X585" s="101"/>
      <c r="Y585" s="101"/>
      <c r="Z585" s="101"/>
      <c r="AA585" s="101"/>
      <c r="AB585" s="101"/>
      <c r="AC585" s="101"/>
      <c r="AD585" s="101"/>
      <c r="AE585" s="101"/>
      <c r="AF585" s="101"/>
      <c r="AG585" s="191"/>
      <c r="AH585" s="101"/>
      <c r="AI585" s="101"/>
      <c r="AJ585" s="101"/>
      <c r="AK585" s="191"/>
      <c r="AL585" s="101"/>
      <c r="AM585" s="101"/>
      <c r="AN585" s="101"/>
    </row>
    <row r="586" spans="1:40" x14ac:dyDescent="0.3">
      <c r="H586" s="102"/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Y586" s="102"/>
      <c r="Z586" s="102"/>
      <c r="AA586" s="102"/>
      <c r="AB586" s="102"/>
      <c r="AC586" s="102"/>
      <c r="AD586" s="102"/>
      <c r="AE586" s="102"/>
      <c r="AF586" s="102"/>
      <c r="AG586" s="151"/>
      <c r="AH586" s="102"/>
      <c r="AI586" s="102"/>
      <c r="AJ586" s="102"/>
      <c r="AK586" s="151"/>
      <c r="AL586" s="102"/>
      <c r="AM586" s="102"/>
      <c r="AN586" s="102"/>
    </row>
    <row r="587" spans="1:40" x14ac:dyDescent="0.3">
      <c r="C587" s="99"/>
      <c r="D587" s="99"/>
      <c r="E587" s="99"/>
      <c r="T587" s="99"/>
      <c r="U587" s="99"/>
    </row>
    <row r="589" spans="1:40" x14ac:dyDescent="0.3">
      <c r="C589" s="99"/>
      <c r="D589" s="99"/>
      <c r="E589" s="99"/>
      <c r="T589" s="99"/>
      <c r="U589" s="99"/>
    </row>
    <row r="590" spans="1:40" x14ac:dyDescent="0.3">
      <c r="C590" s="99"/>
      <c r="T590" s="99"/>
    </row>
    <row r="591" spans="1:40" x14ac:dyDescent="0.3">
      <c r="C591" s="99"/>
      <c r="T591" s="99"/>
    </row>
    <row r="592" spans="1:40" x14ac:dyDescent="0.3">
      <c r="C592" s="99"/>
      <c r="H592" s="172"/>
      <c r="I592" s="172"/>
      <c r="J592" s="228"/>
      <c r="K592" s="228"/>
      <c r="L592" s="110"/>
      <c r="M592" s="110"/>
      <c r="N592" s="141"/>
      <c r="O592" s="141"/>
      <c r="P592" s="110"/>
      <c r="Q592" s="110"/>
      <c r="R592" s="110"/>
      <c r="T592" s="99"/>
      <c r="V592" s="110"/>
      <c r="W592" s="110"/>
      <c r="X592" s="110"/>
      <c r="Y592" s="110"/>
      <c r="Z592" s="228"/>
      <c r="AA592" s="110"/>
      <c r="AB592" s="110"/>
      <c r="AC592" s="141"/>
      <c r="AD592" s="141"/>
      <c r="AE592" s="110"/>
      <c r="AF592" s="110"/>
      <c r="AH592" s="207"/>
      <c r="AI592" s="110"/>
      <c r="AJ592" s="110"/>
      <c r="AL592" s="110"/>
      <c r="AM592" s="141"/>
      <c r="AN592" s="141"/>
    </row>
    <row r="593" spans="3:40" x14ac:dyDescent="0.3">
      <c r="C593" s="99"/>
      <c r="F593" s="172"/>
      <c r="J593" s="163"/>
      <c r="K593" s="163"/>
      <c r="T593" s="99"/>
      <c r="V593" s="110"/>
      <c r="W593" s="110"/>
      <c r="X593" s="110"/>
      <c r="Y593" s="110"/>
      <c r="Z593" s="228"/>
    </row>
    <row r="594" spans="3:40" x14ac:dyDescent="0.3">
      <c r="C594" s="99"/>
      <c r="H594" s="172"/>
      <c r="I594" s="172"/>
      <c r="J594" s="228"/>
      <c r="K594" s="228"/>
      <c r="L594" s="110"/>
      <c r="M594" s="110"/>
      <c r="N594" s="141"/>
      <c r="O594" s="141"/>
      <c r="P594" s="110"/>
      <c r="Q594" s="110"/>
      <c r="R594" s="110"/>
      <c r="T594" s="99"/>
      <c r="V594" s="110"/>
      <c r="W594" s="110"/>
      <c r="X594" s="110"/>
      <c r="Y594" s="110"/>
      <c r="Z594" s="228"/>
      <c r="AA594" s="110"/>
      <c r="AB594" s="110"/>
      <c r="AC594" s="141"/>
      <c r="AD594" s="141"/>
      <c r="AE594" s="110"/>
      <c r="AF594" s="110"/>
      <c r="AH594" s="207"/>
      <c r="AI594" s="110"/>
      <c r="AJ594" s="110"/>
      <c r="AL594" s="110"/>
      <c r="AM594" s="141"/>
      <c r="AN594" s="141"/>
    </row>
    <row r="595" spans="3:40" x14ac:dyDescent="0.3">
      <c r="C595" s="99"/>
      <c r="F595" s="172"/>
      <c r="J595" s="163"/>
      <c r="K595" s="163"/>
      <c r="T595" s="99"/>
      <c r="V595" s="110"/>
      <c r="W595" s="110"/>
      <c r="X595" s="110"/>
      <c r="Y595" s="110"/>
      <c r="Z595" s="228"/>
    </row>
    <row r="596" spans="3:40" x14ac:dyDescent="0.3">
      <c r="C596" s="99"/>
      <c r="H596" s="172"/>
      <c r="I596" s="172"/>
      <c r="J596" s="228"/>
      <c r="K596" s="228"/>
      <c r="L596" s="110"/>
      <c r="M596" s="110"/>
      <c r="N596" s="141"/>
      <c r="O596" s="141"/>
      <c r="P596" s="110"/>
      <c r="Q596" s="110"/>
      <c r="R596" s="110"/>
      <c r="T596" s="99"/>
      <c r="V596" s="110"/>
      <c r="W596" s="110"/>
      <c r="X596" s="110"/>
      <c r="Y596" s="110"/>
      <c r="Z596" s="228"/>
      <c r="AA596" s="110"/>
      <c r="AB596" s="110"/>
      <c r="AC596" s="141"/>
      <c r="AD596" s="141"/>
      <c r="AE596" s="110"/>
      <c r="AF596" s="110"/>
      <c r="AH596" s="207"/>
      <c r="AI596" s="110"/>
      <c r="AJ596" s="110"/>
      <c r="AL596" s="110"/>
      <c r="AM596" s="141"/>
      <c r="AN596" s="141"/>
    </row>
    <row r="597" spans="3:40" x14ac:dyDescent="0.3">
      <c r="C597" s="99"/>
      <c r="F597" s="172"/>
      <c r="J597" s="163"/>
      <c r="K597" s="163"/>
      <c r="T597" s="99"/>
      <c r="V597" s="110"/>
      <c r="W597" s="110"/>
      <c r="X597" s="110"/>
      <c r="Y597" s="110"/>
      <c r="Z597" s="228"/>
    </row>
    <row r="598" spans="3:40" x14ac:dyDescent="0.3">
      <c r="C598" s="99"/>
      <c r="H598" s="172"/>
      <c r="I598" s="172"/>
      <c r="J598" s="228"/>
      <c r="K598" s="228"/>
      <c r="L598" s="110"/>
      <c r="M598" s="110"/>
      <c r="N598" s="141"/>
      <c r="O598" s="141"/>
      <c r="P598" s="110"/>
      <c r="Q598" s="110"/>
      <c r="R598" s="110"/>
      <c r="T598" s="99"/>
      <c r="V598" s="110"/>
      <c r="W598" s="110"/>
      <c r="X598" s="110"/>
      <c r="Y598" s="110"/>
      <c r="Z598" s="228"/>
      <c r="AA598" s="110"/>
      <c r="AB598" s="110"/>
      <c r="AC598" s="141"/>
      <c r="AD598" s="141"/>
      <c r="AE598" s="110"/>
      <c r="AF598" s="110"/>
      <c r="AH598" s="207"/>
      <c r="AI598" s="110"/>
      <c r="AJ598" s="110"/>
      <c r="AL598" s="110"/>
      <c r="AM598" s="141"/>
      <c r="AN598" s="141"/>
    </row>
    <row r="599" spans="3:40" x14ac:dyDescent="0.3">
      <c r="C599" s="99"/>
      <c r="F599" s="172"/>
      <c r="J599" s="163"/>
      <c r="K599" s="163"/>
      <c r="T599" s="99"/>
      <c r="V599" s="110"/>
      <c r="W599" s="110"/>
      <c r="X599" s="110"/>
      <c r="Y599" s="110"/>
      <c r="Z599" s="228"/>
    </row>
    <row r="600" spans="3:40" x14ac:dyDescent="0.3">
      <c r="C600" s="99"/>
      <c r="H600" s="172"/>
      <c r="I600" s="172"/>
      <c r="J600" s="228"/>
      <c r="K600" s="228"/>
      <c r="L600" s="110"/>
      <c r="M600" s="110"/>
      <c r="N600" s="141"/>
      <c r="O600" s="141"/>
      <c r="P600" s="110"/>
      <c r="Q600" s="110"/>
      <c r="R600" s="110"/>
      <c r="T600" s="99"/>
      <c r="V600" s="110"/>
      <c r="W600" s="110"/>
      <c r="X600" s="110"/>
      <c r="Y600" s="110"/>
      <c r="Z600" s="228"/>
      <c r="AA600" s="110"/>
      <c r="AB600" s="110"/>
      <c r="AC600" s="141"/>
      <c r="AD600" s="141"/>
      <c r="AE600" s="110"/>
      <c r="AF600" s="110"/>
      <c r="AH600" s="207"/>
      <c r="AI600" s="110"/>
      <c r="AJ600" s="110"/>
      <c r="AL600" s="110"/>
      <c r="AM600" s="141"/>
      <c r="AN600" s="141"/>
    </row>
    <row r="601" spans="3:40" x14ac:dyDescent="0.3">
      <c r="C601" s="99"/>
      <c r="F601" s="172"/>
      <c r="J601" s="163"/>
      <c r="K601" s="163"/>
      <c r="T601" s="99"/>
      <c r="V601" s="110"/>
      <c r="W601" s="110"/>
      <c r="X601" s="110"/>
      <c r="Y601" s="110"/>
      <c r="Z601" s="228"/>
    </row>
    <row r="602" spans="3:40" x14ac:dyDescent="0.3">
      <c r="C602" s="99"/>
      <c r="H602" s="172"/>
      <c r="I602" s="172"/>
      <c r="J602" s="228"/>
      <c r="K602" s="228"/>
      <c r="L602" s="110"/>
      <c r="M602" s="110"/>
      <c r="N602" s="141"/>
      <c r="O602" s="141"/>
      <c r="P602" s="110"/>
      <c r="Q602" s="110"/>
      <c r="R602" s="110"/>
      <c r="T602" s="99"/>
      <c r="V602" s="110"/>
      <c r="W602" s="110"/>
      <c r="X602" s="110"/>
      <c r="Y602" s="110"/>
      <c r="Z602" s="228"/>
      <c r="AA602" s="110"/>
      <c r="AB602" s="110"/>
      <c r="AC602" s="141"/>
      <c r="AD602" s="141"/>
      <c r="AE602" s="110"/>
      <c r="AF602" s="110"/>
      <c r="AH602" s="207"/>
      <c r="AI602" s="110"/>
      <c r="AJ602" s="110"/>
      <c r="AL602" s="110"/>
      <c r="AM602" s="141"/>
      <c r="AN602" s="141"/>
    </row>
    <row r="603" spans="3:40" x14ac:dyDescent="0.3">
      <c r="F603" s="172"/>
      <c r="H603" s="192"/>
      <c r="I603" s="192"/>
      <c r="J603" s="228"/>
      <c r="K603" s="228"/>
      <c r="L603" s="192"/>
      <c r="M603" s="192"/>
      <c r="N603" s="192"/>
      <c r="O603" s="192"/>
      <c r="P603" s="192"/>
      <c r="Q603" s="192"/>
      <c r="R603" s="192"/>
      <c r="V603" s="192"/>
      <c r="Y603" s="192"/>
      <c r="Z603" s="228"/>
      <c r="AA603" s="192"/>
      <c r="AB603" s="192"/>
      <c r="AC603" s="192"/>
      <c r="AD603" s="192"/>
      <c r="AE603" s="192"/>
      <c r="AF603" s="192"/>
      <c r="AI603" s="192"/>
      <c r="AJ603" s="192"/>
      <c r="AK603" s="194"/>
      <c r="AL603" s="192"/>
      <c r="AM603" s="141"/>
      <c r="AN603" s="141"/>
    </row>
    <row r="604" spans="3:40" x14ac:dyDescent="0.3">
      <c r="C604" s="99"/>
      <c r="F604" s="192"/>
      <c r="H604" s="110"/>
      <c r="I604" s="110"/>
      <c r="J604" s="163"/>
      <c r="K604" s="163"/>
      <c r="L604" s="110"/>
      <c r="M604" s="110"/>
      <c r="N604" s="141"/>
      <c r="O604" s="141"/>
      <c r="P604" s="172"/>
      <c r="Q604" s="172"/>
      <c r="R604" s="110"/>
      <c r="T604" s="99"/>
      <c r="V604" s="110"/>
      <c r="W604" s="110"/>
      <c r="X604" s="110"/>
      <c r="Y604" s="110"/>
      <c r="Z604" s="228"/>
      <c r="AA604" s="110"/>
      <c r="AB604" s="110"/>
      <c r="AC604" s="141"/>
      <c r="AD604" s="141"/>
      <c r="AE604" s="110"/>
      <c r="AF604" s="110"/>
      <c r="AH604" s="207"/>
      <c r="AI604" s="172"/>
      <c r="AJ604" s="172"/>
      <c r="AL604" s="110"/>
      <c r="AM604" s="141"/>
      <c r="AN604" s="141"/>
    </row>
    <row r="605" spans="3:40" x14ac:dyDescent="0.3">
      <c r="F605" s="110"/>
      <c r="H605" s="192"/>
      <c r="I605" s="192"/>
      <c r="J605" s="228"/>
      <c r="K605" s="228"/>
      <c r="L605" s="192"/>
      <c r="M605" s="192"/>
      <c r="N605" s="192"/>
      <c r="O605" s="192"/>
      <c r="P605" s="192"/>
      <c r="Q605" s="192"/>
      <c r="R605" s="192"/>
      <c r="V605" s="192"/>
      <c r="Y605" s="192"/>
      <c r="Z605" s="228"/>
      <c r="AA605" s="192"/>
      <c r="AB605" s="192"/>
      <c r="AC605" s="192"/>
      <c r="AD605" s="192"/>
      <c r="AE605" s="192"/>
      <c r="AF605" s="192"/>
      <c r="AI605" s="192"/>
      <c r="AJ605" s="192"/>
      <c r="AK605" s="194"/>
      <c r="AL605" s="192"/>
    </row>
    <row r="606" spans="3:40" x14ac:dyDescent="0.3">
      <c r="C606" s="99"/>
      <c r="D606" s="99"/>
      <c r="E606" s="99"/>
      <c r="F606" s="192"/>
      <c r="J606" s="163"/>
      <c r="K606" s="163"/>
      <c r="T606" s="99"/>
      <c r="U606" s="99"/>
      <c r="V606" s="110"/>
      <c r="W606" s="110"/>
      <c r="X606" s="110"/>
      <c r="Y606" s="110"/>
      <c r="Z606" s="228"/>
    </row>
    <row r="607" spans="3:40" x14ac:dyDescent="0.3">
      <c r="C607" s="99"/>
      <c r="J607" s="163"/>
      <c r="K607" s="163"/>
      <c r="T607" s="99"/>
      <c r="V607" s="110"/>
      <c r="W607" s="110"/>
      <c r="X607" s="110"/>
      <c r="Y607" s="110"/>
      <c r="Z607" s="228"/>
    </row>
    <row r="608" spans="3:40" x14ac:dyDescent="0.3">
      <c r="C608" s="99"/>
      <c r="J608" s="163"/>
      <c r="K608" s="163"/>
      <c r="T608" s="99"/>
      <c r="V608" s="110"/>
      <c r="W608" s="110"/>
      <c r="X608" s="110"/>
      <c r="Y608" s="110"/>
      <c r="Z608" s="228"/>
    </row>
    <row r="609" spans="3:40" x14ac:dyDescent="0.3">
      <c r="C609" s="99"/>
      <c r="H609" s="172"/>
      <c r="I609" s="172"/>
      <c r="J609" s="228"/>
      <c r="K609" s="228"/>
      <c r="L609" s="110"/>
      <c r="M609" s="110"/>
      <c r="N609" s="141"/>
      <c r="O609" s="141"/>
      <c r="P609" s="110"/>
      <c r="Q609" s="110"/>
      <c r="R609" s="110"/>
      <c r="T609" s="99"/>
      <c r="V609" s="110"/>
      <c r="W609" s="110"/>
      <c r="X609" s="110"/>
      <c r="Y609" s="110"/>
      <c r="Z609" s="228"/>
      <c r="AA609" s="110"/>
      <c r="AB609" s="110"/>
      <c r="AC609" s="141"/>
      <c r="AD609" s="141"/>
      <c r="AE609" s="110"/>
      <c r="AF609" s="110"/>
      <c r="AH609" s="207"/>
      <c r="AI609" s="110"/>
      <c r="AJ609" s="110"/>
      <c r="AL609" s="110"/>
      <c r="AM609" s="141"/>
      <c r="AN609" s="141"/>
    </row>
    <row r="610" spans="3:40" x14ac:dyDescent="0.3">
      <c r="C610" s="99"/>
      <c r="F610" s="172"/>
      <c r="J610" s="163"/>
      <c r="K610" s="163"/>
      <c r="T610" s="99"/>
      <c r="V610" s="110"/>
      <c r="W610" s="110"/>
      <c r="X610" s="110"/>
      <c r="Y610" s="110"/>
      <c r="Z610" s="228"/>
    </row>
    <row r="611" spans="3:40" x14ac:dyDescent="0.3">
      <c r="C611" s="99"/>
      <c r="H611" s="172"/>
      <c r="I611" s="172"/>
      <c r="J611" s="228"/>
      <c r="K611" s="228"/>
      <c r="L611" s="110"/>
      <c r="M611" s="110"/>
      <c r="N611" s="141"/>
      <c r="O611" s="141"/>
      <c r="P611" s="110"/>
      <c r="Q611" s="110"/>
      <c r="R611" s="110"/>
      <c r="T611" s="99"/>
      <c r="V611" s="110"/>
      <c r="W611" s="110"/>
      <c r="X611" s="110"/>
      <c r="Y611" s="110"/>
      <c r="Z611" s="228"/>
      <c r="AA611" s="110"/>
      <c r="AB611" s="110"/>
      <c r="AC611" s="141"/>
      <c r="AD611" s="141"/>
      <c r="AE611" s="110"/>
      <c r="AF611" s="110"/>
      <c r="AH611" s="207"/>
      <c r="AI611" s="110"/>
      <c r="AJ611" s="110"/>
      <c r="AL611" s="110"/>
      <c r="AM611" s="141"/>
      <c r="AN611" s="141"/>
    </row>
    <row r="612" spans="3:40" x14ac:dyDescent="0.3">
      <c r="F612" s="172"/>
      <c r="H612" s="192"/>
      <c r="I612" s="192"/>
      <c r="J612" s="228"/>
      <c r="K612" s="228"/>
      <c r="L612" s="192"/>
      <c r="M612" s="192"/>
      <c r="N612" s="192"/>
      <c r="O612" s="192"/>
      <c r="P612" s="192"/>
      <c r="Q612" s="192"/>
      <c r="R612" s="192"/>
      <c r="V612" s="192"/>
      <c r="Y612" s="192"/>
      <c r="Z612" s="217"/>
      <c r="AA612" s="192"/>
      <c r="AB612" s="192"/>
      <c r="AC612" s="192"/>
      <c r="AD612" s="192"/>
      <c r="AE612" s="192"/>
      <c r="AF612" s="192"/>
      <c r="AI612" s="192"/>
      <c r="AJ612" s="192"/>
      <c r="AK612" s="194"/>
      <c r="AL612" s="192"/>
    </row>
    <row r="613" spans="3:40" x14ac:dyDescent="0.3">
      <c r="C613" s="99"/>
      <c r="F613" s="192"/>
      <c r="H613" s="110"/>
      <c r="I613" s="110"/>
      <c r="L613" s="110"/>
      <c r="M613" s="110"/>
      <c r="N613" s="141"/>
      <c r="O613" s="141"/>
      <c r="P613" s="172"/>
      <c r="Q613" s="172"/>
      <c r="R613" s="110"/>
      <c r="T613" s="99"/>
      <c r="V613" s="110"/>
      <c r="W613" s="110"/>
      <c r="X613" s="110"/>
      <c r="Y613" s="110"/>
      <c r="Z613" s="227"/>
      <c r="AA613" s="110"/>
      <c r="AB613" s="110"/>
      <c r="AC613" s="141"/>
      <c r="AD613" s="141"/>
      <c r="AE613" s="110"/>
      <c r="AF613" s="110"/>
      <c r="AH613" s="207"/>
      <c r="AI613" s="172"/>
      <c r="AJ613" s="172"/>
      <c r="AL613" s="110"/>
      <c r="AM613" s="141"/>
      <c r="AN613" s="141"/>
    </row>
    <row r="614" spans="3:40" x14ac:dyDescent="0.3">
      <c r="F614" s="110"/>
      <c r="H614" s="192"/>
      <c r="I614" s="192"/>
      <c r="J614" s="217"/>
      <c r="K614" s="217"/>
      <c r="L614" s="192"/>
      <c r="M614" s="192"/>
      <c r="N614" s="192"/>
      <c r="O614" s="192"/>
      <c r="P614" s="192"/>
      <c r="Q614" s="192"/>
      <c r="R614" s="192"/>
      <c r="V614" s="192"/>
      <c r="Y614" s="192"/>
      <c r="Z614" s="217"/>
      <c r="AA614" s="192"/>
      <c r="AB614" s="192"/>
      <c r="AC614" s="192"/>
      <c r="AD614" s="192"/>
      <c r="AE614" s="192"/>
      <c r="AF614" s="192"/>
      <c r="AI614" s="192"/>
      <c r="AJ614" s="192"/>
      <c r="AK614" s="194"/>
      <c r="AL614" s="192"/>
    </row>
    <row r="615" spans="3:40" x14ac:dyDescent="0.3">
      <c r="C615" s="99"/>
      <c r="D615" s="99"/>
      <c r="E615" s="99"/>
      <c r="F615" s="192"/>
      <c r="T615" s="99"/>
      <c r="U615" s="99"/>
      <c r="V615" s="110"/>
      <c r="W615" s="110"/>
      <c r="X615" s="110"/>
      <c r="Y615" s="110"/>
      <c r="Z615" s="227"/>
    </row>
    <row r="616" spans="3:40" x14ac:dyDescent="0.3">
      <c r="C616" s="99"/>
      <c r="T616" s="99"/>
      <c r="V616" s="110"/>
      <c r="W616" s="110"/>
      <c r="X616" s="110"/>
      <c r="Y616" s="110"/>
      <c r="Z616" s="227"/>
    </row>
    <row r="617" spans="3:40" x14ac:dyDescent="0.3">
      <c r="C617" s="99"/>
      <c r="H617" s="172"/>
      <c r="I617" s="172"/>
      <c r="J617" s="227"/>
      <c r="K617" s="227"/>
      <c r="L617" s="110"/>
      <c r="M617" s="110"/>
      <c r="N617" s="141"/>
      <c r="O617" s="141"/>
      <c r="P617" s="110"/>
      <c r="Q617" s="110"/>
      <c r="R617" s="110"/>
      <c r="T617" s="99"/>
      <c r="V617" s="110"/>
      <c r="W617" s="110"/>
      <c r="X617" s="110"/>
      <c r="Y617" s="110"/>
      <c r="Z617" s="227"/>
      <c r="AA617" s="110"/>
      <c r="AB617" s="110"/>
      <c r="AC617" s="141"/>
      <c r="AD617" s="141"/>
      <c r="AE617" s="110"/>
      <c r="AF617" s="110"/>
      <c r="AH617" s="207"/>
      <c r="AI617" s="110"/>
      <c r="AJ617" s="110"/>
      <c r="AL617" s="110"/>
      <c r="AM617" s="141"/>
      <c r="AN617" s="141"/>
    </row>
    <row r="618" spans="3:40" x14ac:dyDescent="0.3">
      <c r="C618" s="99"/>
      <c r="F618" s="172"/>
      <c r="T618" s="99"/>
      <c r="V618" s="110"/>
      <c r="W618" s="110"/>
      <c r="X618" s="110"/>
      <c r="Y618" s="110"/>
      <c r="Z618" s="227"/>
    </row>
    <row r="619" spans="3:40" x14ac:dyDescent="0.3">
      <c r="C619" s="99"/>
      <c r="H619" s="172"/>
      <c r="I619" s="172"/>
      <c r="J619" s="227"/>
      <c r="K619" s="227"/>
      <c r="L619" s="110"/>
      <c r="M619" s="110"/>
      <c r="N619" s="141"/>
      <c r="O619" s="141"/>
      <c r="P619" s="110"/>
      <c r="Q619" s="110"/>
      <c r="R619" s="110"/>
      <c r="T619" s="99"/>
      <c r="V619" s="110"/>
      <c r="W619" s="110"/>
      <c r="X619" s="110"/>
      <c r="Y619" s="110"/>
      <c r="Z619" s="227"/>
      <c r="AA619" s="110"/>
      <c r="AB619" s="110"/>
      <c r="AC619" s="141"/>
      <c r="AD619" s="141"/>
      <c r="AE619" s="110"/>
      <c r="AF619" s="110"/>
      <c r="AH619" s="207"/>
      <c r="AI619" s="110"/>
      <c r="AJ619" s="110"/>
      <c r="AL619" s="110"/>
      <c r="AM619" s="141"/>
      <c r="AN619" s="141"/>
    </row>
    <row r="620" spans="3:40" x14ac:dyDescent="0.3">
      <c r="C620" s="99"/>
      <c r="F620" s="172"/>
      <c r="T620" s="99"/>
      <c r="V620" s="110"/>
      <c r="W620" s="110"/>
      <c r="X620" s="110"/>
      <c r="Y620" s="110"/>
      <c r="Z620" s="227"/>
    </row>
    <row r="621" spans="3:40" x14ac:dyDescent="0.3">
      <c r="C621" s="99"/>
      <c r="H621" s="172"/>
      <c r="I621" s="172"/>
      <c r="J621" s="227"/>
      <c r="K621" s="227"/>
      <c r="L621" s="110"/>
      <c r="M621" s="110"/>
      <c r="N621" s="141"/>
      <c r="O621" s="141"/>
      <c r="P621" s="110"/>
      <c r="Q621" s="110"/>
      <c r="R621" s="110"/>
      <c r="T621" s="99"/>
      <c r="V621" s="110"/>
      <c r="W621" s="110"/>
      <c r="X621" s="110"/>
      <c r="Y621" s="110"/>
      <c r="Z621" s="227"/>
      <c r="AA621" s="110"/>
      <c r="AB621" s="110"/>
      <c r="AC621" s="141"/>
      <c r="AD621" s="141"/>
      <c r="AE621" s="110"/>
      <c r="AF621" s="110"/>
      <c r="AH621" s="207"/>
      <c r="AI621" s="110"/>
      <c r="AJ621" s="110"/>
      <c r="AL621" s="110"/>
      <c r="AM621" s="141"/>
      <c r="AN621" s="141"/>
    </row>
    <row r="622" spans="3:40" x14ac:dyDescent="0.3">
      <c r="C622" s="99"/>
      <c r="F622" s="172"/>
      <c r="T622" s="99"/>
      <c r="V622" s="110"/>
      <c r="W622" s="110"/>
      <c r="X622" s="110"/>
      <c r="Y622" s="110"/>
      <c r="Z622" s="227"/>
    </row>
    <row r="623" spans="3:40" x14ac:dyDescent="0.3">
      <c r="C623" s="99"/>
      <c r="H623" s="172"/>
      <c r="I623" s="172"/>
      <c r="J623" s="227"/>
      <c r="K623" s="227"/>
      <c r="L623" s="110"/>
      <c r="M623" s="110"/>
      <c r="N623" s="141"/>
      <c r="O623" s="141"/>
      <c r="P623" s="110"/>
      <c r="Q623" s="110"/>
      <c r="R623" s="110"/>
      <c r="T623" s="99"/>
      <c r="V623" s="110"/>
      <c r="W623" s="110"/>
      <c r="X623" s="110"/>
      <c r="Y623" s="110"/>
      <c r="Z623" s="227"/>
      <c r="AA623" s="110"/>
      <c r="AB623" s="110"/>
      <c r="AC623" s="141"/>
      <c r="AD623" s="141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F624" s="172"/>
      <c r="H624" s="192"/>
      <c r="I624" s="192"/>
      <c r="J624" s="217"/>
      <c r="K624" s="217"/>
      <c r="L624" s="192"/>
      <c r="M624" s="192"/>
      <c r="N624" s="192"/>
      <c r="O624" s="192"/>
      <c r="P624" s="192"/>
      <c r="Q624" s="192"/>
      <c r="R624" s="192"/>
      <c r="V624" s="192"/>
      <c r="Y624" s="192"/>
      <c r="Z624" s="217"/>
      <c r="AA624" s="192"/>
      <c r="AB624" s="192"/>
      <c r="AC624" s="192"/>
      <c r="AD624" s="192"/>
      <c r="AE624" s="192"/>
      <c r="AF624" s="192"/>
      <c r="AI624" s="192"/>
      <c r="AJ624" s="192"/>
      <c r="AK624" s="194"/>
      <c r="AL624" s="192"/>
    </row>
    <row r="625" spans="1:40" x14ac:dyDescent="0.3">
      <c r="C625" s="99"/>
      <c r="F625" s="192"/>
      <c r="H625" s="110"/>
      <c r="I625" s="110"/>
      <c r="L625" s="110"/>
      <c r="M625" s="110"/>
      <c r="N625" s="141"/>
      <c r="O625" s="141"/>
      <c r="P625" s="172"/>
      <c r="Q625" s="172"/>
      <c r="R625" s="110"/>
      <c r="T625" s="99"/>
      <c r="V625" s="110"/>
      <c r="W625" s="110"/>
      <c r="X625" s="110"/>
      <c r="Y625" s="110"/>
      <c r="Z625" s="227"/>
      <c r="AA625" s="110"/>
      <c r="AB625" s="110"/>
      <c r="AC625" s="141"/>
      <c r="AD625" s="141"/>
      <c r="AE625" s="110"/>
      <c r="AF625" s="110"/>
      <c r="AH625" s="207"/>
      <c r="AI625" s="172"/>
      <c r="AJ625" s="172"/>
      <c r="AL625" s="110"/>
      <c r="AM625" s="141"/>
      <c r="AN625" s="141"/>
    </row>
    <row r="626" spans="1:40" x14ac:dyDescent="0.3">
      <c r="F626" s="110"/>
      <c r="H626" s="192"/>
      <c r="I626" s="192"/>
      <c r="J626" s="217"/>
      <c r="K626" s="217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</row>
    <row r="627" spans="1:40" x14ac:dyDescent="0.3">
      <c r="C627" s="99"/>
      <c r="F627" s="192"/>
      <c r="H627" s="110"/>
      <c r="I627" s="110"/>
      <c r="L627" s="110"/>
      <c r="M627" s="110"/>
      <c r="N627" s="141"/>
      <c r="O627" s="141"/>
      <c r="P627" s="110"/>
      <c r="Q627" s="110"/>
      <c r="R627" s="110"/>
      <c r="T627" s="99"/>
      <c r="V627" s="110"/>
      <c r="W627" s="110"/>
      <c r="X627" s="110"/>
      <c r="Y627" s="110"/>
      <c r="AA627" s="110"/>
      <c r="AB627" s="110"/>
      <c r="AC627" s="141"/>
      <c r="AD627" s="141"/>
      <c r="AE627" s="110"/>
      <c r="AF627" s="110"/>
      <c r="AH627" s="207"/>
      <c r="AI627" s="110"/>
      <c r="AJ627" s="110"/>
      <c r="AL627" s="110"/>
      <c r="AM627" s="207"/>
      <c r="AN627" s="207"/>
    </row>
    <row r="628" spans="1:40" x14ac:dyDescent="0.3">
      <c r="F628" s="110"/>
      <c r="H628" s="192"/>
      <c r="I628" s="192"/>
      <c r="J628" s="217"/>
      <c r="K628" s="217"/>
      <c r="L628" s="192"/>
      <c r="M628" s="192"/>
      <c r="N628" s="192"/>
      <c r="O628" s="192"/>
      <c r="P628" s="192"/>
      <c r="Q628" s="192"/>
      <c r="R628" s="192"/>
      <c r="V628" s="192"/>
      <c r="Y628" s="192"/>
      <c r="Z628" s="217"/>
      <c r="AA628" s="192"/>
      <c r="AB628" s="192"/>
      <c r="AC628" s="192"/>
      <c r="AD628" s="192"/>
      <c r="AE628" s="192"/>
      <c r="AF628" s="192"/>
      <c r="AI628" s="192"/>
      <c r="AJ628" s="192"/>
      <c r="AK628" s="194"/>
      <c r="AL628" s="192"/>
    </row>
    <row r="630" spans="1:40" x14ac:dyDescent="0.3">
      <c r="F630" s="192"/>
    </row>
    <row r="631" spans="1:40" x14ac:dyDescent="0.3">
      <c r="A631" s="99"/>
    </row>
    <row r="633" spans="1:40" x14ac:dyDescent="0.3">
      <c r="H633" s="99"/>
      <c r="I633" s="99"/>
      <c r="Y633" s="99"/>
    </row>
    <row r="635" spans="1:40" x14ac:dyDescent="0.3">
      <c r="L635" s="99"/>
      <c r="M635" s="99"/>
      <c r="AA635" s="99"/>
      <c r="AB635" s="99"/>
    </row>
    <row r="636" spans="1:40" x14ac:dyDescent="0.3">
      <c r="R636" s="99"/>
      <c r="AK636" s="190"/>
      <c r="AL636" s="99"/>
    </row>
    <row r="637" spans="1:40" x14ac:dyDescent="0.3">
      <c r="R637" s="99"/>
      <c r="AK637" s="190"/>
      <c r="AL637" s="99"/>
    </row>
    <row r="638" spans="1:40" x14ac:dyDescent="0.3">
      <c r="A638" s="99"/>
      <c r="R638" s="99"/>
      <c r="AK638" s="190"/>
      <c r="AL638" s="99"/>
    </row>
    <row r="639" spans="1:40" x14ac:dyDescent="0.3">
      <c r="L639" s="99"/>
      <c r="M639" s="99"/>
      <c r="AA639" s="99"/>
      <c r="AB639" s="99"/>
    </row>
    <row r="640" spans="1:40" x14ac:dyDescent="0.3">
      <c r="A640" s="101"/>
      <c r="B640" s="101"/>
      <c r="C640" s="101"/>
      <c r="D640" s="101"/>
      <c r="E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T640" s="101"/>
      <c r="U640" s="101"/>
      <c r="V640" s="101"/>
      <c r="W640" s="101"/>
      <c r="X640" s="101"/>
      <c r="Y640" s="101"/>
      <c r="Z640" s="101"/>
      <c r="AA640" s="101"/>
      <c r="AB640" s="101"/>
      <c r="AC640" s="101"/>
      <c r="AD640" s="101"/>
      <c r="AE640" s="101"/>
      <c r="AF640" s="101"/>
      <c r="AG640" s="191"/>
      <c r="AH640" s="101"/>
      <c r="AI640" s="101"/>
      <c r="AJ640" s="101"/>
      <c r="AK640" s="191"/>
      <c r="AL640" s="101"/>
      <c r="AM640" s="101"/>
      <c r="AN640" s="101"/>
    </row>
    <row r="641" spans="1:40" x14ac:dyDescent="0.3">
      <c r="F641" s="101"/>
      <c r="L641" s="102"/>
      <c r="M641" s="102"/>
      <c r="N641" s="102"/>
      <c r="O641" s="102"/>
      <c r="R641" s="102"/>
      <c r="AA641" s="102"/>
      <c r="AB641" s="102"/>
      <c r="AC641" s="102"/>
      <c r="AD641" s="102"/>
      <c r="AE641" s="102"/>
      <c r="AF641" s="102"/>
      <c r="AG641" s="151"/>
      <c r="AH641" s="102"/>
      <c r="AK641" s="151"/>
      <c r="AL641" s="102"/>
      <c r="AM641" s="102"/>
      <c r="AN641" s="102"/>
    </row>
    <row r="642" spans="1:40" x14ac:dyDescent="0.3">
      <c r="L642" s="102"/>
      <c r="M642" s="102"/>
      <c r="N642" s="102"/>
      <c r="O642" s="102"/>
      <c r="R642" s="102"/>
      <c r="Z642" s="102"/>
      <c r="AA642" s="102"/>
      <c r="AB642" s="102"/>
      <c r="AC642" s="102"/>
      <c r="AD642" s="102"/>
      <c r="AE642" s="102"/>
      <c r="AF642" s="102"/>
      <c r="AG642" s="151"/>
      <c r="AH642" s="102"/>
      <c r="AK642" s="151"/>
      <c r="AL642" s="102"/>
      <c r="AM642" s="102"/>
      <c r="AN642" s="102"/>
    </row>
    <row r="643" spans="1:40" x14ac:dyDescent="0.3">
      <c r="A643" s="102"/>
      <c r="C643" s="102"/>
      <c r="D643" s="102"/>
      <c r="E643" s="102"/>
      <c r="J643" s="102"/>
      <c r="K643" s="102"/>
      <c r="L643" s="102"/>
      <c r="M643" s="102"/>
      <c r="N643" s="102"/>
      <c r="O643" s="102"/>
      <c r="P643" s="102"/>
      <c r="Q643" s="102"/>
      <c r="R643" s="102"/>
      <c r="T643" s="102"/>
      <c r="U643" s="102"/>
      <c r="V643" s="102"/>
      <c r="Z643" s="102"/>
      <c r="AA643" s="102"/>
      <c r="AB643" s="102"/>
      <c r="AC643" s="102"/>
      <c r="AD643" s="102"/>
      <c r="AE643" s="102"/>
      <c r="AF643" s="102"/>
      <c r="AG643" s="151"/>
      <c r="AH643" s="102"/>
      <c r="AI643" s="102"/>
      <c r="AJ643" s="102"/>
      <c r="AK643" s="151"/>
      <c r="AL643" s="102"/>
      <c r="AM643" s="102"/>
      <c r="AN643" s="102"/>
    </row>
    <row r="644" spans="1:40" x14ac:dyDescent="0.3">
      <c r="A644" s="102"/>
      <c r="C644" s="102"/>
      <c r="D644" s="102"/>
      <c r="E644" s="102"/>
      <c r="F644" s="102"/>
      <c r="H644" s="102"/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T644" s="102"/>
      <c r="U644" s="102"/>
      <c r="V644" s="102"/>
      <c r="Y644" s="102"/>
      <c r="Z644" s="102"/>
      <c r="AA644" s="102"/>
      <c r="AB644" s="102"/>
      <c r="AC644" s="102"/>
      <c r="AD644" s="102"/>
      <c r="AE644" s="102"/>
      <c r="AF644" s="102"/>
      <c r="AG644" s="151"/>
      <c r="AH644" s="102"/>
      <c r="AI644" s="102"/>
      <c r="AJ644" s="102"/>
      <c r="AK644" s="151"/>
      <c r="AL644" s="102"/>
      <c r="AM644" s="102"/>
      <c r="AN644" s="102"/>
    </row>
    <row r="645" spans="1:40" x14ac:dyDescent="0.3">
      <c r="C645" s="102"/>
      <c r="D645" s="102"/>
      <c r="E645" s="102"/>
      <c r="F645" s="102"/>
      <c r="H645" s="102"/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T645" s="102"/>
      <c r="U645" s="102"/>
      <c r="V645" s="102"/>
      <c r="Y645" s="102"/>
      <c r="Z645" s="102"/>
      <c r="AA645" s="102"/>
      <c r="AB645" s="102"/>
      <c r="AC645" s="102"/>
      <c r="AD645" s="102"/>
      <c r="AE645" s="102"/>
      <c r="AF645" s="102"/>
      <c r="AG645" s="151"/>
      <c r="AH645" s="102"/>
      <c r="AI645" s="102"/>
      <c r="AJ645" s="102"/>
      <c r="AK645" s="151"/>
      <c r="AL645" s="102"/>
      <c r="AM645" s="102"/>
      <c r="AN645" s="102"/>
    </row>
    <row r="646" spans="1:40" x14ac:dyDescent="0.3">
      <c r="A646" s="101"/>
      <c r="B646" s="101"/>
      <c r="C646" s="101"/>
      <c r="D646" s="101"/>
      <c r="E646" s="101"/>
      <c r="F646" s="102"/>
      <c r="G646" s="101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T646" s="101"/>
      <c r="U646" s="101"/>
      <c r="V646" s="101"/>
      <c r="W646" s="101"/>
      <c r="X646" s="101"/>
      <c r="Y646" s="101"/>
      <c r="Z646" s="101"/>
      <c r="AA646" s="101"/>
      <c r="AB646" s="101"/>
      <c r="AC646" s="101"/>
      <c r="AD646" s="101"/>
      <c r="AE646" s="101"/>
      <c r="AF646" s="101"/>
      <c r="AG646" s="191"/>
      <c r="AH646" s="101"/>
      <c r="AI646" s="101"/>
      <c r="AJ646" s="101"/>
      <c r="AK646" s="191"/>
      <c r="AL646" s="101"/>
      <c r="AM646" s="101"/>
      <c r="AN646" s="101"/>
    </row>
    <row r="647" spans="1:40" x14ac:dyDescent="0.3">
      <c r="F647" s="101"/>
      <c r="H647" s="102"/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Y647" s="102"/>
      <c r="Z647" s="102"/>
      <c r="AA647" s="102"/>
      <c r="AB647" s="102"/>
      <c r="AC647" s="102"/>
      <c r="AD647" s="102"/>
      <c r="AE647" s="102"/>
      <c r="AF647" s="102"/>
      <c r="AG647" s="151"/>
      <c r="AH647" s="102"/>
      <c r="AI647" s="102"/>
      <c r="AJ647" s="102"/>
      <c r="AK647" s="151"/>
      <c r="AL647" s="102"/>
      <c r="AM647" s="102"/>
      <c r="AN647" s="102"/>
    </row>
    <row r="648" spans="1:40" x14ac:dyDescent="0.3">
      <c r="C648" s="99"/>
      <c r="D648" s="99"/>
      <c r="E648" s="99"/>
      <c r="H648" s="110"/>
      <c r="I648" s="110"/>
      <c r="J648" s="198"/>
      <c r="K648" s="198"/>
      <c r="L648" s="110"/>
      <c r="M648" s="110"/>
      <c r="N648" s="198"/>
      <c r="O648" s="198"/>
      <c r="P648" s="110"/>
      <c r="Q648" s="110"/>
      <c r="R648" s="110"/>
      <c r="T648" s="99"/>
      <c r="U648" s="99"/>
      <c r="V648" s="110"/>
      <c r="Y648" s="110"/>
      <c r="Z648" s="198"/>
      <c r="AA648" s="110"/>
      <c r="AB648" s="110"/>
      <c r="AC648" s="198"/>
      <c r="AD648" s="198"/>
      <c r="AE648" s="110"/>
      <c r="AF648" s="110"/>
      <c r="AH648" s="207"/>
      <c r="AI648" s="110"/>
      <c r="AJ648" s="110"/>
      <c r="AL648" s="110"/>
      <c r="AM648" s="141"/>
      <c r="AN648" s="141"/>
    </row>
    <row r="649" spans="1:40" x14ac:dyDescent="0.3">
      <c r="F649" s="110"/>
      <c r="H649" s="192"/>
      <c r="I649" s="192"/>
      <c r="J649" s="217"/>
      <c r="K649" s="217"/>
      <c r="L649" s="192"/>
      <c r="M649" s="192"/>
      <c r="N649" s="192"/>
      <c r="O649" s="192"/>
      <c r="P649" s="192"/>
      <c r="Q649" s="192"/>
      <c r="R649" s="192"/>
      <c r="V649" s="192"/>
      <c r="Y649" s="192"/>
      <c r="Z649" s="217"/>
      <c r="AA649" s="192"/>
      <c r="AB649" s="192"/>
      <c r="AC649" s="192"/>
      <c r="AD649" s="192"/>
      <c r="AE649" s="192"/>
      <c r="AF649" s="192"/>
      <c r="AI649" s="192"/>
      <c r="AJ649" s="192"/>
      <c r="AK649" s="194"/>
      <c r="AL649" s="192"/>
      <c r="AM649" s="141"/>
      <c r="AN649" s="141"/>
    </row>
    <row r="650" spans="1:40" x14ac:dyDescent="0.3">
      <c r="C650" s="99"/>
      <c r="F650" s="192"/>
      <c r="H650" s="110"/>
      <c r="I650" s="110"/>
      <c r="J650" s="198"/>
      <c r="K650" s="198"/>
      <c r="L650" s="110"/>
      <c r="M650" s="110"/>
      <c r="N650" s="198"/>
      <c r="O650" s="198"/>
      <c r="P650" s="110"/>
      <c r="Q650" s="110"/>
      <c r="R650" s="110"/>
      <c r="T650" s="99"/>
      <c r="V650" s="110"/>
      <c r="Y650" s="110"/>
      <c r="Z650" s="198"/>
      <c r="AA650" s="110"/>
      <c r="AB650" s="110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1:40" x14ac:dyDescent="0.3">
      <c r="F651" s="110"/>
      <c r="H651" s="110"/>
      <c r="I651" s="110"/>
      <c r="J651" s="198"/>
      <c r="K651" s="198"/>
      <c r="L651" s="110"/>
      <c r="M651" s="110"/>
      <c r="N651" s="198"/>
      <c r="O651" s="198"/>
      <c r="P651" s="110"/>
      <c r="Q651" s="110"/>
      <c r="R651" s="110"/>
      <c r="V651" s="110"/>
      <c r="Y651" s="110"/>
      <c r="Z651" s="198"/>
      <c r="AA651" s="110"/>
      <c r="AB651" s="110"/>
      <c r="AC651" s="198"/>
      <c r="AD651" s="198"/>
      <c r="AH651" s="207"/>
      <c r="AI651" s="110"/>
      <c r="AJ651" s="110"/>
      <c r="AL651" s="110"/>
      <c r="AM651" s="141"/>
      <c r="AN651" s="141"/>
    </row>
    <row r="652" spans="1:40" x14ac:dyDescent="0.3">
      <c r="C652" s="99"/>
      <c r="D652" s="99"/>
      <c r="E652" s="99"/>
      <c r="F652" s="110"/>
      <c r="H652" s="110"/>
      <c r="I652" s="110"/>
      <c r="J652" s="198"/>
      <c r="K652" s="198"/>
      <c r="L652" s="110"/>
      <c r="M652" s="110"/>
      <c r="N652" s="198"/>
      <c r="O652" s="198"/>
      <c r="P652" s="110"/>
      <c r="Q652" s="110"/>
      <c r="R652" s="110"/>
      <c r="T652" s="99"/>
      <c r="U652" s="99"/>
      <c r="V652" s="110"/>
      <c r="Y652" s="110"/>
      <c r="Z652" s="198"/>
      <c r="AA652" s="110"/>
      <c r="AB652" s="110"/>
      <c r="AC652" s="198"/>
      <c r="AD652" s="198"/>
      <c r="AE652" s="110"/>
      <c r="AF652" s="110"/>
      <c r="AH652" s="207"/>
      <c r="AI652" s="110"/>
      <c r="AJ652" s="110"/>
      <c r="AL652" s="110"/>
      <c r="AM652" s="141"/>
      <c r="AN652" s="141"/>
    </row>
    <row r="653" spans="1:40" x14ac:dyDescent="0.3">
      <c r="C653" s="99"/>
      <c r="D653" s="99"/>
      <c r="E653" s="99"/>
      <c r="F653" s="110"/>
      <c r="H653" s="110"/>
      <c r="I653" s="110"/>
      <c r="J653" s="198"/>
      <c r="K653" s="198"/>
      <c r="L653" s="110"/>
      <c r="M653" s="110"/>
      <c r="N653" s="198"/>
      <c r="O653" s="198"/>
      <c r="P653" s="110"/>
      <c r="Q653" s="110"/>
      <c r="R653" s="110"/>
      <c r="T653" s="99"/>
      <c r="U653" s="99"/>
      <c r="V653" s="110"/>
      <c r="Y653" s="110"/>
      <c r="Z653" s="198"/>
      <c r="AA653" s="110"/>
      <c r="AB653" s="110"/>
      <c r="AC653" s="198"/>
      <c r="AD653" s="198"/>
      <c r="AE653" s="110"/>
      <c r="AF653" s="110"/>
      <c r="AH653" s="207"/>
      <c r="AI653" s="110"/>
      <c r="AJ653" s="110"/>
      <c r="AL653" s="110"/>
      <c r="AM653" s="141"/>
      <c r="AN653" s="141"/>
    </row>
    <row r="654" spans="1:40" x14ac:dyDescent="0.3">
      <c r="C654" s="99"/>
      <c r="D654" s="99"/>
      <c r="E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U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1:40" x14ac:dyDescent="0.3">
      <c r="C655" s="99"/>
      <c r="D655" s="99"/>
      <c r="E655" s="99"/>
      <c r="F655" s="110"/>
      <c r="H655" s="110"/>
      <c r="I655" s="110"/>
      <c r="J655" s="198"/>
      <c r="K655" s="198"/>
      <c r="L655" s="110"/>
      <c r="M655" s="110"/>
      <c r="N655" s="198"/>
      <c r="O655" s="198"/>
      <c r="P655" s="110"/>
      <c r="Q655" s="110"/>
      <c r="R655" s="110"/>
      <c r="T655" s="99"/>
      <c r="U655" s="99"/>
      <c r="V655" s="110"/>
      <c r="Y655" s="110"/>
      <c r="Z655" s="198"/>
      <c r="AA655" s="110"/>
      <c r="AB655" s="110"/>
      <c r="AC655" s="198"/>
      <c r="AD655" s="198"/>
      <c r="AE655" s="110"/>
      <c r="AF655" s="110"/>
      <c r="AH655" s="207"/>
      <c r="AI655" s="110"/>
      <c r="AJ655" s="110"/>
      <c r="AL655" s="110"/>
      <c r="AM655" s="141"/>
      <c r="AN655" s="141"/>
    </row>
    <row r="656" spans="1:40" x14ac:dyDescent="0.3">
      <c r="C656" s="99"/>
      <c r="D656" s="99"/>
      <c r="E656" s="99"/>
      <c r="F656" s="110"/>
      <c r="H656" s="110"/>
      <c r="I656" s="110"/>
      <c r="J656" s="198"/>
      <c r="K656" s="198"/>
      <c r="L656" s="110"/>
      <c r="M656" s="110"/>
      <c r="N656" s="198"/>
      <c r="O656" s="198"/>
      <c r="P656" s="110"/>
      <c r="Q656" s="110"/>
      <c r="R656" s="110"/>
      <c r="T656" s="99"/>
      <c r="U656" s="99"/>
      <c r="V656" s="110"/>
      <c r="Y656" s="110"/>
      <c r="Z656" s="198"/>
      <c r="AA656" s="110"/>
      <c r="AB656" s="110"/>
      <c r="AC656" s="198"/>
      <c r="AD656" s="198"/>
      <c r="AE656" s="110"/>
      <c r="AF656" s="110"/>
      <c r="AH656" s="207"/>
      <c r="AI656" s="110"/>
      <c r="AJ656" s="110"/>
      <c r="AL656" s="110"/>
      <c r="AM656" s="141"/>
      <c r="AN656" s="141"/>
    </row>
    <row r="657" spans="3:40" x14ac:dyDescent="0.3">
      <c r="C657" s="99"/>
      <c r="D657" s="99"/>
      <c r="E657" s="99"/>
      <c r="F657" s="110"/>
      <c r="H657" s="110"/>
      <c r="I657" s="110"/>
      <c r="J657" s="198"/>
      <c r="K657" s="198"/>
      <c r="L657" s="110"/>
      <c r="M657" s="110"/>
      <c r="N657" s="198"/>
      <c r="O657" s="198"/>
      <c r="P657" s="110"/>
      <c r="Q657" s="110"/>
      <c r="R657" s="110"/>
      <c r="T657" s="99"/>
      <c r="U657" s="99"/>
      <c r="V657" s="110"/>
      <c r="Y657" s="110"/>
      <c r="Z657" s="198"/>
      <c r="AA657" s="110"/>
      <c r="AB657" s="110"/>
      <c r="AC657" s="198"/>
      <c r="AD657" s="198"/>
      <c r="AE657" s="110"/>
      <c r="AF657" s="110"/>
      <c r="AH657" s="207"/>
      <c r="AI657" s="110"/>
      <c r="AJ657" s="110"/>
      <c r="AL657" s="110"/>
      <c r="AM657" s="141"/>
      <c r="AN657" s="141"/>
    </row>
    <row r="658" spans="3:40" x14ac:dyDescent="0.3">
      <c r="F658" s="110"/>
      <c r="H658" s="192"/>
      <c r="I658" s="192"/>
      <c r="J658" s="217"/>
      <c r="K658" s="217"/>
      <c r="L658" s="192"/>
      <c r="M658" s="192"/>
      <c r="N658" s="192"/>
      <c r="O658" s="192"/>
      <c r="P658" s="192"/>
      <c r="Q658" s="192"/>
      <c r="R658" s="192"/>
      <c r="V658" s="192"/>
      <c r="Y658" s="192"/>
      <c r="Z658" s="217"/>
      <c r="AA658" s="192"/>
      <c r="AB658" s="192"/>
      <c r="AC658" s="192"/>
      <c r="AD658" s="192"/>
      <c r="AE658" s="192"/>
      <c r="AF658" s="192"/>
      <c r="AI658" s="192"/>
      <c r="AJ658" s="192"/>
      <c r="AK658" s="194"/>
      <c r="AL658" s="192"/>
      <c r="AM658" s="141"/>
      <c r="AN658" s="141"/>
    </row>
    <row r="659" spans="3:40" x14ac:dyDescent="0.3">
      <c r="C659" s="99"/>
      <c r="F659" s="192"/>
      <c r="H659" s="110"/>
      <c r="I659" s="110"/>
      <c r="J659" s="198"/>
      <c r="K659" s="198"/>
      <c r="L659" s="110"/>
      <c r="M659" s="110"/>
      <c r="N659" s="198"/>
      <c r="O659" s="198"/>
      <c r="P659" s="110"/>
      <c r="Q659" s="110"/>
      <c r="R659" s="110"/>
      <c r="T659" s="99"/>
      <c r="V659" s="110"/>
      <c r="Y659" s="110"/>
      <c r="Z659" s="198"/>
      <c r="AA659" s="110"/>
      <c r="AB659" s="110"/>
      <c r="AC659" s="198"/>
      <c r="AD659" s="198"/>
      <c r="AE659" s="110"/>
      <c r="AF659" s="110"/>
      <c r="AH659" s="207"/>
      <c r="AI659" s="110"/>
      <c r="AJ659" s="110"/>
      <c r="AL659" s="110"/>
      <c r="AM659" s="141"/>
      <c r="AN659" s="141"/>
    </row>
    <row r="660" spans="3:40" x14ac:dyDescent="0.3">
      <c r="F660" s="110"/>
      <c r="H660" s="110"/>
      <c r="I660" s="110"/>
      <c r="J660" s="198"/>
      <c r="K660" s="198"/>
      <c r="L660" s="110"/>
      <c r="M660" s="110"/>
      <c r="N660" s="198"/>
      <c r="O660" s="198"/>
      <c r="P660" s="110"/>
      <c r="Q660" s="110"/>
      <c r="R660" s="110"/>
      <c r="V660" s="110"/>
      <c r="Y660" s="110"/>
      <c r="Z660" s="198"/>
      <c r="AA660" s="110"/>
      <c r="AB660" s="110"/>
      <c r="AC660" s="198"/>
      <c r="AD660" s="198"/>
      <c r="AH660" s="207"/>
      <c r="AI660" s="110"/>
      <c r="AJ660" s="110"/>
      <c r="AL660" s="110"/>
      <c r="AM660" s="141"/>
      <c r="AN660" s="141"/>
    </row>
    <row r="661" spans="3:40" x14ac:dyDescent="0.3">
      <c r="C661" s="99"/>
      <c r="D661" s="99"/>
      <c r="E661" s="99"/>
      <c r="F661" s="110"/>
      <c r="H661" s="110"/>
      <c r="I661" s="110"/>
      <c r="J661" s="198"/>
      <c r="K661" s="198"/>
      <c r="L661" s="110"/>
      <c r="M661" s="110"/>
      <c r="N661" s="198"/>
      <c r="O661" s="198"/>
      <c r="P661" s="110"/>
      <c r="Q661" s="110"/>
      <c r="R661" s="110"/>
      <c r="T661" s="99"/>
      <c r="U661" s="99"/>
      <c r="V661" s="110"/>
      <c r="Y661" s="110"/>
      <c r="Z661" s="198"/>
      <c r="AA661" s="110"/>
      <c r="AB661" s="110"/>
      <c r="AC661" s="198"/>
      <c r="AD661" s="198"/>
      <c r="AE661" s="110"/>
      <c r="AF661" s="110"/>
      <c r="AH661" s="207"/>
      <c r="AI661" s="110"/>
      <c r="AJ661" s="110"/>
      <c r="AL661" s="110"/>
      <c r="AM661" s="141"/>
      <c r="AN661" s="141"/>
    </row>
    <row r="662" spans="3:40" x14ac:dyDescent="0.3">
      <c r="F662" s="110"/>
      <c r="H662" s="192"/>
      <c r="I662" s="192"/>
      <c r="J662" s="217"/>
      <c r="K662" s="217"/>
      <c r="L662" s="192"/>
      <c r="M662" s="192"/>
      <c r="N662" s="192"/>
      <c r="O662" s="192"/>
      <c r="P662" s="192"/>
      <c r="Q662" s="192"/>
      <c r="R662" s="192"/>
      <c r="V662" s="192"/>
      <c r="Y662" s="192"/>
      <c r="Z662" s="217"/>
      <c r="AA662" s="192"/>
      <c r="AB662" s="192"/>
      <c r="AC662" s="192"/>
      <c r="AD662" s="192"/>
      <c r="AE662" s="192"/>
      <c r="AF662" s="192"/>
      <c r="AI662" s="192"/>
      <c r="AJ662" s="192"/>
      <c r="AK662" s="194"/>
      <c r="AL662" s="192"/>
      <c r="AM662" s="141"/>
      <c r="AN662" s="141"/>
    </row>
    <row r="663" spans="3:40" x14ac:dyDescent="0.3">
      <c r="C663" s="99"/>
      <c r="F663" s="192"/>
      <c r="H663" s="110"/>
      <c r="I663" s="110"/>
      <c r="J663" s="198"/>
      <c r="K663" s="198"/>
      <c r="L663" s="110"/>
      <c r="M663" s="110"/>
      <c r="N663" s="198"/>
      <c r="O663" s="198"/>
      <c r="P663" s="110"/>
      <c r="Q663" s="110"/>
      <c r="R663" s="110"/>
      <c r="T663" s="99"/>
      <c r="V663" s="110"/>
      <c r="Y663" s="110"/>
      <c r="Z663" s="198"/>
      <c r="AA663" s="110"/>
      <c r="AB663" s="110"/>
      <c r="AC663" s="198"/>
      <c r="AD663" s="198"/>
      <c r="AE663" s="110"/>
      <c r="AF663" s="110"/>
      <c r="AH663" s="207"/>
      <c r="AI663" s="110"/>
      <c r="AJ663" s="110"/>
      <c r="AL663" s="110"/>
      <c r="AM663" s="141"/>
      <c r="AN663" s="141"/>
    </row>
    <row r="664" spans="3:40" x14ac:dyDescent="0.3">
      <c r="F664" s="110"/>
      <c r="H664" s="110"/>
      <c r="I664" s="110"/>
      <c r="J664" s="198"/>
      <c r="K664" s="198"/>
      <c r="L664" s="110"/>
      <c r="M664" s="110"/>
      <c r="N664" s="198"/>
      <c r="O664" s="198"/>
      <c r="P664" s="110"/>
      <c r="Q664" s="110"/>
      <c r="R664" s="110"/>
      <c r="V664" s="110"/>
      <c r="Y664" s="110"/>
      <c r="Z664" s="198"/>
      <c r="AA664" s="110"/>
      <c r="AB664" s="110"/>
      <c r="AC664" s="198"/>
      <c r="AD664" s="198"/>
      <c r="AH664" s="207"/>
      <c r="AI664" s="110"/>
      <c r="AJ664" s="110"/>
      <c r="AL664" s="110"/>
      <c r="AM664" s="141"/>
      <c r="AN664" s="141"/>
    </row>
    <row r="665" spans="3:40" x14ac:dyDescent="0.3">
      <c r="C665" s="99"/>
      <c r="D665" s="99"/>
      <c r="E665" s="99"/>
      <c r="F665" s="110"/>
      <c r="H665" s="110"/>
      <c r="I665" s="110"/>
      <c r="J665" s="198"/>
      <c r="K665" s="198"/>
      <c r="L665" s="110"/>
      <c r="M665" s="110"/>
      <c r="N665" s="198"/>
      <c r="O665" s="198"/>
      <c r="P665" s="110"/>
      <c r="Q665" s="110"/>
      <c r="R665" s="110"/>
      <c r="T665" s="99"/>
      <c r="U665" s="99"/>
      <c r="V665" s="110"/>
      <c r="Y665" s="110"/>
      <c r="Z665" s="198"/>
      <c r="AA665" s="110"/>
      <c r="AB665" s="110"/>
      <c r="AC665" s="198"/>
      <c r="AD665" s="198"/>
      <c r="AE665" s="110"/>
      <c r="AF665" s="110"/>
      <c r="AH665" s="207"/>
      <c r="AI665" s="110"/>
      <c r="AJ665" s="110"/>
      <c r="AL665" s="110"/>
      <c r="AM665" s="141"/>
      <c r="AN665" s="141"/>
    </row>
    <row r="666" spans="3:40" x14ac:dyDescent="0.3">
      <c r="C666" s="99"/>
      <c r="D666" s="99"/>
      <c r="E666" s="99"/>
      <c r="F666" s="110"/>
      <c r="G666" s="110"/>
      <c r="H666" s="110"/>
      <c r="I666" s="110"/>
      <c r="J666" s="198"/>
      <c r="K666" s="198"/>
      <c r="L666" s="110"/>
      <c r="M666" s="110"/>
      <c r="N666" s="198"/>
      <c r="O666" s="198"/>
      <c r="P666" s="110"/>
      <c r="Q666" s="110"/>
      <c r="R666" s="110"/>
      <c r="T666" s="99"/>
      <c r="U666" s="99"/>
      <c r="V666" s="110"/>
      <c r="W666" s="110"/>
      <c r="X666" s="110"/>
      <c r="Y666" s="110"/>
      <c r="Z666" s="198"/>
      <c r="AA666" s="110"/>
      <c r="AB666" s="110"/>
      <c r="AC666" s="198"/>
      <c r="AD666" s="198"/>
      <c r="AE666" s="110"/>
      <c r="AF666" s="110"/>
      <c r="AH666" s="207"/>
      <c r="AI666" s="110"/>
      <c r="AJ666" s="110"/>
      <c r="AL666" s="110"/>
      <c r="AM666" s="141"/>
      <c r="AN666" s="141"/>
    </row>
    <row r="667" spans="3:40" x14ac:dyDescent="0.3">
      <c r="C667" s="99"/>
      <c r="D667" s="99"/>
      <c r="E667" s="99"/>
      <c r="F667" s="110"/>
      <c r="G667" s="110"/>
      <c r="H667" s="110"/>
      <c r="I667" s="110"/>
      <c r="J667" s="198"/>
      <c r="K667" s="198"/>
      <c r="L667" s="110"/>
      <c r="M667" s="110"/>
      <c r="N667" s="198"/>
      <c r="O667" s="198"/>
      <c r="P667" s="110"/>
      <c r="Q667" s="110"/>
      <c r="R667" s="110"/>
      <c r="T667" s="99"/>
      <c r="U667" s="99"/>
      <c r="V667" s="110"/>
      <c r="W667" s="110"/>
      <c r="X667" s="110"/>
      <c r="Y667" s="110"/>
      <c r="Z667" s="198"/>
      <c r="AA667" s="110"/>
      <c r="AB667" s="110"/>
      <c r="AC667" s="198"/>
      <c r="AD667" s="198"/>
      <c r="AE667" s="110"/>
      <c r="AF667" s="110"/>
      <c r="AH667" s="207"/>
      <c r="AI667" s="110"/>
      <c r="AJ667" s="110"/>
      <c r="AL667" s="110"/>
      <c r="AM667" s="141"/>
      <c r="AN667" s="141"/>
    </row>
    <row r="668" spans="3:40" x14ac:dyDescent="0.3">
      <c r="C668" s="99"/>
      <c r="D668" s="99"/>
      <c r="E668" s="99"/>
      <c r="F668" s="110"/>
      <c r="H668" s="110"/>
      <c r="I668" s="110"/>
      <c r="J668" s="198"/>
      <c r="K668" s="198"/>
      <c r="L668" s="110"/>
      <c r="M668" s="110"/>
      <c r="N668" s="198"/>
      <c r="O668" s="198"/>
      <c r="P668" s="110"/>
      <c r="Q668" s="110"/>
      <c r="R668" s="110"/>
      <c r="T668" s="99"/>
      <c r="U668" s="99"/>
      <c r="V668" s="110"/>
      <c r="Y668" s="110"/>
      <c r="Z668" s="198"/>
      <c r="AA668" s="110"/>
      <c r="AB668" s="110"/>
      <c r="AC668" s="198"/>
      <c r="AD668" s="198"/>
      <c r="AE668" s="110"/>
      <c r="AF668" s="110"/>
      <c r="AH668" s="207"/>
      <c r="AI668" s="110"/>
      <c r="AJ668" s="110"/>
      <c r="AL668" s="110"/>
      <c r="AM668" s="141"/>
      <c r="AN668" s="141"/>
    </row>
    <row r="669" spans="3:40" x14ac:dyDescent="0.3">
      <c r="C669" s="99"/>
      <c r="D669" s="99"/>
      <c r="E669" s="99"/>
      <c r="F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T669" s="99"/>
      <c r="U669" s="99"/>
      <c r="V669" s="110"/>
      <c r="Y669" s="110"/>
      <c r="Z669" s="198"/>
      <c r="AA669" s="110"/>
      <c r="AB669" s="110"/>
      <c r="AC669" s="198"/>
      <c r="AD669" s="198"/>
      <c r="AE669" s="110"/>
      <c r="AF669" s="110"/>
      <c r="AH669" s="207"/>
      <c r="AI669" s="110"/>
      <c r="AJ669" s="110"/>
      <c r="AL669" s="110"/>
      <c r="AM669" s="141"/>
      <c r="AN669" s="141"/>
    </row>
    <row r="670" spans="3:40" x14ac:dyDescent="0.3">
      <c r="C670" s="99"/>
      <c r="D670" s="99"/>
      <c r="E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U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3:40" x14ac:dyDescent="0.3">
      <c r="C671" s="99"/>
      <c r="D671" s="99"/>
      <c r="E671" s="99"/>
      <c r="F671" s="110"/>
      <c r="H671" s="110"/>
      <c r="I671" s="110"/>
      <c r="J671" s="198"/>
      <c r="K671" s="198"/>
      <c r="L671" s="110"/>
      <c r="M671" s="110"/>
      <c r="N671" s="198"/>
      <c r="O671" s="198"/>
      <c r="P671" s="110"/>
      <c r="Q671" s="110"/>
      <c r="R671" s="110"/>
      <c r="T671" s="99"/>
      <c r="U671" s="99"/>
      <c r="V671" s="110"/>
      <c r="Y671" s="110"/>
      <c r="Z671" s="198"/>
      <c r="AA671" s="110"/>
      <c r="AB671" s="110"/>
      <c r="AC671" s="198"/>
      <c r="AD671" s="198"/>
      <c r="AE671" s="110"/>
      <c r="AF671" s="110"/>
      <c r="AH671" s="207"/>
      <c r="AI671" s="110"/>
      <c r="AJ671" s="110"/>
      <c r="AL671" s="110"/>
      <c r="AM671" s="141"/>
      <c r="AN671" s="141"/>
    </row>
    <row r="672" spans="3:40" x14ac:dyDescent="0.3">
      <c r="F672" s="110"/>
      <c r="H672" s="192"/>
      <c r="I672" s="192"/>
      <c r="J672" s="217"/>
      <c r="K672" s="217"/>
      <c r="L672" s="192"/>
      <c r="M672" s="192"/>
      <c r="N672" s="192"/>
      <c r="O672" s="192"/>
      <c r="P672" s="192"/>
      <c r="Q672" s="192"/>
      <c r="R672" s="192"/>
      <c r="V672" s="192"/>
      <c r="Y672" s="192"/>
      <c r="Z672" s="217"/>
      <c r="AA672" s="192"/>
      <c r="AB672" s="192"/>
      <c r="AC672" s="192"/>
      <c r="AD672" s="192"/>
      <c r="AE672" s="192"/>
      <c r="AF672" s="192"/>
      <c r="AI672" s="192"/>
      <c r="AJ672" s="192"/>
      <c r="AK672" s="194"/>
      <c r="AL672" s="192"/>
      <c r="AM672" s="141"/>
      <c r="AN672" s="141"/>
    </row>
    <row r="673" spans="3:40" x14ac:dyDescent="0.3">
      <c r="C673" s="99"/>
      <c r="F673" s="192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T673" s="99"/>
      <c r="V673" s="110"/>
      <c r="Y673" s="110"/>
      <c r="Z673" s="198"/>
      <c r="AA673" s="110"/>
      <c r="AB673" s="110"/>
      <c r="AC673" s="198"/>
      <c r="AD673" s="198"/>
      <c r="AE673" s="110"/>
      <c r="AF673" s="110"/>
      <c r="AH673" s="207"/>
      <c r="AI673" s="110"/>
      <c r="AJ673" s="110"/>
      <c r="AL673" s="110"/>
      <c r="AM673" s="141"/>
      <c r="AN673" s="141"/>
    </row>
    <row r="674" spans="3:40" x14ac:dyDescent="0.3">
      <c r="F674" s="110"/>
      <c r="V674" s="110"/>
      <c r="Y674" s="110"/>
      <c r="Z674" s="217"/>
      <c r="AA674" s="110"/>
      <c r="AB674" s="110"/>
      <c r="AC674" s="110"/>
      <c r="AD674" s="110"/>
      <c r="AE674" s="110"/>
      <c r="AF674" s="110"/>
      <c r="AI674" s="110"/>
      <c r="AJ674" s="110"/>
      <c r="AL674" s="110"/>
      <c r="AM674" s="141"/>
      <c r="AN674" s="141"/>
    </row>
    <row r="675" spans="3:40" x14ac:dyDescent="0.3">
      <c r="C675" s="99"/>
      <c r="D675" s="99"/>
      <c r="E675" s="99"/>
      <c r="L675" s="110"/>
      <c r="M675" s="110"/>
      <c r="N675" s="198"/>
      <c r="O675" s="198"/>
      <c r="R675" s="110"/>
      <c r="T675" s="99"/>
      <c r="U675" s="99"/>
      <c r="AA675" s="110"/>
      <c r="AB675" s="110"/>
      <c r="AC675" s="198"/>
      <c r="AD675" s="198"/>
      <c r="AE675" s="110"/>
      <c r="AF675" s="110"/>
      <c r="AH675" s="207"/>
      <c r="AL675" s="110"/>
      <c r="AM675" s="141"/>
      <c r="AN675" s="141"/>
    </row>
    <row r="676" spans="3:40" x14ac:dyDescent="0.3">
      <c r="D676" s="99"/>
      <c r="E676" s="99"/>
      <c r="H676" s="172"/>
      <c r="I676" s="172"/>
      <c r="J676" s="198"/>
      <c r="K676" s="198"/>
      <c r="L676" s="110"/>
      <c r="M676" s="110"/>
      <c r="N676" s="198"/>
      <c r="O676" s="198"/>
      <c r="P676" s="172"/>
      <c r="Q676" s="172"/>
      <c r="R676" s="110"/>
      <c r="U676" s="99"/>
      <c r="V676" s="110"/>
      <c r="Y676" s="110"/>
      <c r="Z676" s="198"/>
      <c r="AA676" s="110"/>
      <c r="AB676" s="110"/>
      <c r="AC676" s="198"/>
      <c r="AD676" s="198"/>
      <c r="AE676" s="110"/>
      <c r="AF676" s="110"/>
      <c r="AH676" s="207"/>
      <c r="AI676" s="110"/>
      <c r="AJ676" s="110"/>
      <c r="AL676" s="110"/>
      <c r="AM676" s="141"/>
      <c r="AN676" s="141"/>
    </row>
    <row r="677" spans="3:40" x14ac:dyDescent="0.3">
      <c r="F677" s="172"/>
      <c r="H677" s="192"/>
      <c r="I677" s="192"/>
      <c r="J677" s="217"/>
      <c r="K677" s="217"/>
      <c r="L677" s="192"/>
      <c r="M677" s="192"/>
      <c r="N677" s="192"/>
      <c r="O677" s="192"/>
      <c r="P677" s="192"/>
      <c r="Q677" s="192"/>
      <c r="R677" s="192"/>
      <c r="V677" s="192"/>
      <c r="Y677" s="192"/>
      <c r="Z677" s="217"/>
      <c r="AA677" s="192"/>
      <c r="AB677" s="192"/>
      <c r="AC677" s="192"/>
      <c r="AD677" s="192"/>
      <c r="AE677" s="192"/>
      <c r="AF677" s="192"/>
      <c r="AI677" s="192"/>
      <c r="AJ677" s="192"/>
      <c r="AK677" s="194"/>
      <c r="AL677" s="192"/>
      <c r="AM677" s="141"/>
      <c r="AN677" s="141"/>
    </row>
    <row r="678" spans="3:40" x14ac:dyDescent="0.3">
      <c r="C678" s="99"/>
      <c r="F678" s="192"/>
      <c r="H678" s="110"/>
      <c r="I678" s="110"/>
      <c r="J678" s="198"/>
      <c r="K678" s="198"/>
      <c r="L678" s="110"/>
      <c r="M678" s="110"/>
      <c r="N678" s="198"/>
      <c r="O678" s="198"/>
      <c r="P678" s="110"/>
      <c r="Q678" s="110"/>
      <c r="R678" s="110"/>
      <c r="T678" s="99"/>
      <c r="V678" s="110"/>
      <c r="Y678" s="110"/>
      <c r="Z678" s="198"/>
      <c r="AA678" s="110"/>
      <c r="AB678" s="110"/>
      <c r="AC678" s="198"/>
      <c r="AD678" s="198"/>
      <c r="AE678" s="110"/>
      <c r="AF678" s="110"/>
      <c r="AH678" s="207"/>
      <c r="AI678" s="110"/>
      <c r="AJ678" s="110"/>
      <c r="AL678" s="110"/>
      <c r="AM678" s="141"/>
      <c r="AN678" s="141"/>
    </row>
    <row r="679" spans="3:40" x14ac:dyDescent="0.3">
      <c r="F679" s="110"/>
      <c r="H679" s="110"/>
      <c r="I679" s="110"/>
      <c r="J679" s="198"/>
      <c r="K679" s="198"/>
      <c r="L679" s="110"/>
      <c r="M679" s="110"/>
      <c r="N679" s="198"/>
      <c r="O679" s="198"/>
      <c r="P679" s="110"/>
      <c r="Q679" s="110"/>
      <c r="R679" s="110"/>
      <c r="V679" s="110"/>
      <c r="Y679" s="110"/>
      <c r="Z679" s="198"/>
      <c r="AA679" s="110"/>
      <c r="AB679" s="110"/>
      <c r="AC679" s="198"/>
      <c r="AD679" s="198"/>
      <c r="AH679" s="207"/>
      <c r="AI679" s="110"/>
      <c r="AJ679" s="110"/>
      <c r="AL679" s="110"/>
      <c r="AM679" s="141"/>
      <c r="AN679" s="141"/>
    </row>
    <row r="680" spans="3:40" x14ac:dyDescent="0.3">
      <c r="D680" s="99"/>
      <c r="E680" s="99"/>
      <c r="F680" s="110"/>
      <c r="H680" s="110"/>
      <c r="I680" s="110"/>
      <c r="J680" s="198"/>
      <c r="K680" s="198"/>
      <c r="L680" s="172"/>
      <c r="M680" s="172"/>
      <c r="N680" s="198"/>
      <c r="O680" s="198"/>
      <c r="P680" s="110"/>
      <c r="Q680" s="110"/>
      <c r="R680" s="110"/>
      <c r="U680" s="99"/>
      <c r="V680" s="110"/>
      <c r="Y680" s="110"/>
      <c r="Z680" s="198"/>
      <c r="AA680" s="172"/>
      <c r="AB680" s="172"/>
      <c r="AC680" s="198"/>
      <c r="AD680" s="198"/>
      <c r="AE680" s="110"/>
      <c r="AF680" s="110"/>
      <c r="AH680" s="207"/>
      <c r="AI680" s="110"/>
      <c r="AJ680" s="110"/>
      <c r="AL680" s="110"/>
      <c r="AM680" s="141"/>
      <c r="AN680" s="141"/>
    </row>
    <row r="681" spans="3:40" x14ac:dyDescent="0.3">
      <c r="D681" s="99"/>
      <c r="E681" s="99"/>
      <c r="F681" s="110"/>
      <c r="H681" s="110"/>
      <c r="I681" s="110"/>
      <c r="J681" s="198"/>
      <c r="K681" s="198"/>
      <c r="L681" s="172"/>
      <c r="M681" s="172"/>
      <c r="N681" s="198"/>
      <c r="O681" s="198"/>
      <c r="P681" s="110"/>
      <c r="Q681" s="110"/>
      <c r="R681" s="110"/>
      <c r="U681" s="99"/>
      <c r="V681" s="110"/>
      <c r="Y681" s="110"/>
      <c r="Z681" s="198"/>
      <c r="AA681" s="172"/>
      <c r="AB681" s="172"/>
      <c r="AC681" s="198"/>
      <c r="AD681" s="198"/>
      <c r="AE681" s="110"/>
      <c r="AF681" s="110"/>
      <c r="AH681" s="207"/>
      <c r="AI681" s="110"/>
      <c r="AJ681" s="110"/>
      <c r="AL681" s="110"/>
      <c r="AM681" s="141"/>
      <c r="AN681" s="141"/>
    </row>
    <row r="682" spans="3:40" x14ac:dyDescent="0.3">
      <c r="D682" s="99"/>
      <c r="E682" s="99"/>
      <c r="F682" s="110"/>
      <c r="H682" s="110"/>
      <c r="I682" s="110"/>
      <c r="J682" s="198"/>
      <c r="K682" s="198"/>
      <c r="L682" s="172"/>
      <c r="M682" s="172"/>
      <c r="N682" s="198"/>
      <c r="O682" s="198"/>
      <c r="P682" s="110"/>
      <c r="Q682" s="110"/>
      <c r="R682" s="110"/>
      <c r="U682" s="99"/>
      <c r="V682" s="110"/>
      <c r="Y682" s="110"/>
      <c r="Z682" s="198"/>
      <c r="AA682" s="172"/>
      <c r="AB682" s="172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3:40" x14ac:dyDescent="0.3">
      <c r="F683" s="110"/>
      <c r="H683" s="192"/>
      <c r="I683" s="192"/>
      <c r="J683" s="217"/>
      <c r="K683" s="217"/>
      <c r="L683" s="192"/>
      <c r="M683" s="192"/>
      <c r="N683" s="192"/>
      <c r="O683" s="192"/>
      <c r="P683" s="192"/>
      <c r="Q683" s="192"/>
      <c r="R683" s="192"/>
      <c r="V683" s="192"/>
      <c r="Y683" s="192"/>
      <c r="Z683" s="217"/>
      <c r="AA683" s="192"/>
      <c r="AB683" s="192"/>
      <c r="AC683" s="192"/>
      <c r="AD683" s="192"/>
      <c r="AE683" s="192"/>
      <c r="AF683" s="192"/>
      <c r="AI683" s="192"/>
      <c r="AJ683" s="192"/>
      <c r="AK683" s="194"/>
      <c r="AL683" s="192"/>
      <c r="AM683" s="141"/>
      <c r="AN683" s="141"/>
    </row>
    <row r="684" spans="3:40" x14ac:dyDescent="0.3">
      <c r="C684" s="99"/>
      <c r="F684" s="192"/>
      <c r="H684" s="110"/>
      <c r="I684" s="110"/>
      <c r="J684" s="198"/>
      <c r="K684" s="198"/>
      <c r="L684" s="110"/>
      <c r="M684" s="110"/>
      <c r="N684" s="198"/>
      <c r="O684" s="198"/>
      <c r="P684" s="110"/>
      <c r="Q684" s="110"/>
      <c r="R684" s="110"/>
      <c r="T684" s="99"/>
      <c r="V684" s="110"/>
      <c r="Y684" s="110"/>
      <c r="Z684" s="198"/>
      <c r="AA684" s="110"/>
      <c r="AB684" s="110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3:40" x14ac:dyDescent="0.3"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V685" s="110"/>
      <c r="Y685" s="110"/>
      <c r="Z685" s="198"/>
      <c r="AA685" s="110"/>
      <c r="AB685" s="110"/>
      <c r="AC685" s="198"/>
      <c r="AD685" s="198"/>
      <c r="AH685" s="207"/>
      <c r="AI685" s="110"/>
      <c r="AJ685" s="110"/>
      <c r="AL685" s="110"/>
      <c r="AM685" s="141"/>
      <c r="AN685" s="141"/>
    </row>
    <row r="686" spans="3:40" x14ac:dyDescent="0.3">
      <c r="C686" s="99"/>
      <c r="F686" s="110"/>
      <c r="H686" s="110"/>
      <c r="I686" s="110"/>
      <c r="J686" s="198"/>
      <c r="K686" s="198"/>
      <c r="L686" s="110"/>
      <c r="M686" s="110"/>
      <c r="N686" s="198"/>
      <c r="O686" s="198"/>
      <c r="P686" s="110"/>
      <c r="Q686" s="110"/>
      <c r="R686" s="110"/>
      <c r="T686" s="99"/>
      <c r="V686" s="110"/>
      <c r="Y686" s="110"/>
      <c r="Z686" s="198"/>
      <c r="AA686" s="110"/>
      <c r="AB686" s="110"/>
      <c r="AC686" s="198"/>
      <c r="AD686" s="198"/>
      <c r="AE686" s="110"/>
      <c r="AF686" s="110"/>
      <c r="AH686" s="207"/>
      <c r="AI686" s="110"/>
      <c r="AJ686" s="110"/>
      <c r="AL686" s="110"/>
      <c r="AM686" s="141"/>
      <c r="AN686" s="141"/>
    </row>
    <row r="687" spans="3:40" x14ac:dyDescent="0.3">
      <c r="F687" s="110"/>
      <c r="H687" s="192"/>
      <c r="I687" s="192"/>
      <c r="J687" s="217"/>
      <c r="K687" s="217"/>
      <c r="L687" s="192"/>
      <c r="M687" s="192"/>
      <c r="N687" s="192"/>
      <c r="O687" s="192"/>
      <c r="P687" s="192"/>
      <c r="Q687" s="192"/>
      <c r="R687" s="192"/>
      <c r="V687" s="192"/>
      <c r="Y687" s="192"/>
      <c r="Z687" s="217"/>
      <c r="AA687" s="192"/>
      <c r="AB687" s="192"/>
      <c r="AC687" s="192"/>
      <c r="AD687" s="192"/>
      <c r="AE687" s="192"/>
      <c r="AF687" s="192"/>
      <c r="AI687" s="192"/>
      <c r="AJ687" s="192"/>
      <c r="AK687" s="194"/>
      <c r="AL687" s="192"/>
    </row>
    <row r="689" spans="1:20" x14ac:dyDescent="0.3">
      <c r="C689" s="99"/>
      <c r="F689" s="192"/>
      <c r="L689" s="110"/>
      <c r="M689" s="110"/>
      <c r="P689" s="110"/>
      <c r="Q689" s="110"/>
      <c r="R689" s="110"/>
      <c r="T689" s="99"/>
    </row>
    <row r="690" spans="1:20" x14ac:dyDescent="0.3">
      <c r="A690" s="99"/>
      <c r="L690" s="110"/>
      <c r="M690" s="110"/>
      <c r="P690" s="110"/>
      <c r="Q690" s="110"/>
      <c r="R690" s="110"/>
    </row>
    <row r="691" spans="1:20" x14ac:dyDescent="0.3">
      <c r="L691" s="110"/>
      <c r="M691" s="110"/>
      <c r="P691" s="110"/>
      <c r="Q691" s="110"/>
      <c r="R691" s="110"/>
    </row>
    <row r="692" spans="1:20" x14ac:dyDescent="0.3">
      <c r="L692" s="110"/>
      <c r="M692" s="110"/>
      <c r="P692" s="110"/>
      <c r="Q692" s="110"/>
      <c r="R692" s="110"/>
    </row>
    <row r="693" spans="1:20" x14ac:dyDescent="0.3">
      <c r="L693" s="110"/>
      <c r="M693" s="110"/>
      <c r="P693" s="110"/>
      <c r="Q693" s="110"/>
      <c r="R693" s="110"/>
    </row>
    <row r="694" spans="1:20" x14ac:dyDescent="0.3">
      <c r="L694" s="110"/>
      <c r="M694" s="110"/>
      <c r="P694" s="110"/>
      <c r="Q694" s="110"/>
      <c r="R694" s="110"/>
    </row>
    <row r="695" spans="1:20" x14ac:dyDescent="0.3">
      <c r="L695" s="110"/>
      <c r="M695" s="110"/>
      <c r="P695" s="110"/>
      <c r="Q695" s="110"/>
      <c r="R695" s="110"/>
    </row>
    <row r="728" spans="49:49" x14ac:dyDescent="0.3">
      <c r="AW728" s="110"/>
    </row>
    <row r="729" spans="49:49" x14ac:dyDescent="0.3">
      <c r="AW729" s="110"/>
    </row>
    <row r="730" spans="49:49" x14ac:dyDescent="0.3">
      <c r="AW730" s="110"/>
    </row>
    <row r="731" spans="49:49" x14ac:dyDescent="0.3">
      <c r="AW731" s="110"/>
    </row>
    <row r="732" spans="49:49" x14ac:dyDescent="0.3">
      <c r="AW732" s="110"/>
    </row>
    <row r="733" spans="49:49" x14ac:dyDescent="0.3">
      <c r="AW733" s="110"/>
    </row>
    <row r="736" spans="49:49" x14ac:dyDescent="0.3">
      <c r="AW736" s="110"/>
    </row>
    <row r="737" spans="49:49" x14ac:dyDescent="0.3">
      <c r="AW737" s="110"/>
    </row>
    <row r="738" spans="49:49" x14ac:dyDescent="0.3">
      <c r="AW738" s="110"/>
    </row>
    <row r="739" spans="49:49" x14ac:dyDescent="0.3">
      <c r="AW739" s="110"/>
    </row>
    <row r="740" spans="49:49" x14ac:dyDescent="0.3">
      <c r="AW740" s="110"/>
    </row>
    <row r="741" spans="49:49" x14ac:dyDescent="0.3">
      <c r="AW741" s="110"/>
    </row>
    <row r="742" spans="49:49" x14ac:dyDescent="0.3">
      <c r="AW742" s="110"/>
    </row>
    <row r="743" spans="49:49" x14ac:dyDescent="0.3">
      <c r="AW743" s="110"/>
    </row>
    <row r="746" spans="49:49" x14ac:dyDescent="0.3">
      <c r="AW746" s="110"/>
    </row>
    <row r="747" spans="49:49" x14ac:dyDescent="0.3">
      <c r="AW747" s="110"/>
    </row>
    <row r="750" spans="49:49" x14ac:dyDescent="0.3">
      <c r="AW750" s="110"/>
    </row>
    <row r="751" spans="49:49" x14ac:dyDescent="0.3">
      <c r="AW751" s="110"/>
    </row>
    <row r="752" spans="49:49" x14ac:dyDescent="0.3">
      <c r="AW752" s="110"/>
    </row>
    <row r="753" spans="45:57" x14ac:dyDescent="0.3">
      <c r="AW753" s="110"/>
    </row>
    <row r="761" spans="45:57" x14ac:dyDescent="0.3">
      <c r="AY761" s="99"/>
    </row>
    <row r="762" spans="45:57" x14ac:dyDescent="0.3">
      <c r="AY762" s="99"/>
    </row>
    <row r="763" spans="45:57" x14ac:dyDescent="0.3">
      <c r="BD763" s="99"/>
    </row>
    <row r="764" spans="45:57" x14ac:dyDescent="0.3">
      <c r="BD764" s="99"/>
    </row>
    <row r="765" spans="45:57" x14ac:dyDescent="0.3">
      <c r="AS765" s="99"/>
      <c r="BD765" s="99"/>
    </row>
    <row r="767" spans="45:57" x14ac:dyDescent="0.3">
      <c r="AS767" s="101"/>
      <c r="AT767" s="101"/>
      <c r="AU767" s="101"/>
      <c r="AV767" s="101"/>
      <c r="AW767" s="101"/>
      <c r="AX767" s="101"/>
      <c r="AY767" s="101"/>
      <c r="AZ767" s="101"/>
      <c r="BA767" s="101"/>
      <c r="BB767" s="101"/>
      <c r="BC767" s="101"/>
      <c r="BD767" s="101"/>
      <c r="BE767" s="101"/>
    </row>
    <row r="768" spans="45:57" x14ac:dyDescent="0.3">
      <c r="AX768" s="99"/>
    </row>
    <row r="769" spans="45:69" x14ac:dyDescent="0.3">
      <c r="AX769" s="101"/>
      <c r="AY769" s="101"/>
      <c r="AZ769" s="101"/>
      <c r="BA769" s="101"/>
      <c r="BC769" s="102"/>
      <c r="BD769" s="102"/>
    </row>
    <row r="770" spans="45:69" x14ac:dyDescent="0.3">
      <c r="AV770" s="102"/>
      <c r="AW770" s="102"/>
      <c r="AZ770" s="102"/>
      <c r="BA770" s="102"/>
      <c r="BC770" s="102"/>
      <c r="BD770" s="102"/>
      <c r="BE770" s="102"/>
      <c r="BG770" s="101"/>
      <c r="BH770" s="99"/>
      <c r="BK770" s="101"/>
      <c r="BM770" s="101"/>
      <c r="BN770" s="99"/>
      <c r="BQ770" s="101"/>
    </row>
    <row r="771" spans="45:69" x14ac:dyDescent="0.3"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H771" s="102"/>
      <c r="BI771" s="102"/>
      <c r="BJ771" s="102"/>
      <c r="BN771" s="102"/>
      <c r="BO771" s="102"/>
      <c r="BP771" s="102"/>
    </row>
    <row r="772" spans="45:69" x14ac:dyDescent="0.3">
      <c r="AS772" s="102"/>
      <c r="AU772" s="99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G772" s="102"/>
      <c r="BH772" s="102"/>
      <c r="BI772" s="102"/>
      <c r="BJ772" s="102"/>
      <c r="BK772" s="102"/>
      <c r="BM772" s="102"/>
      <c r="BN772" s="102"/>
      <c r="BO772" s="102"/>
      <c r="BP772" s="102"/>
      <c r="BQ772" s="102"/>
    </row>
    <row r="773" spans="45:69" x14ac:dyDescent="0.3">
      <c r="AS773" s="102"/>
      <c r="AU773" s="99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G773" s="102"/>
      <c r="BH773" s="102"/>
      <c r="BI773" s="102"/>
      <c r="BJ773" s="102"/>
      <c r="BK773" s="102"/>
      <c r="BM773" s="102"/>
      <c r="BN773" s="102"/>
      <c r="BO773" s="102"/>
      <c r="BP773" s="102"/>
      <c r="BQ773" s="102"/>
    </row>
    <row r="774" spans="45:69" x14ac:dyDescent="0.3">
      <c r="AS774" s="101"/>
      <c r="AT774" s="101"/>
      <c r="AU774" s="101"/>
      <c r="AV774" s="101"/>
      <c r="AW774" s="101"/>
      <c r="AX774" s="101"/>
      <c r="AY774" s="101"/>
      <c r="AZ774" s="101"/>
      <c r="BA774" s="101"/>
      <c r="BB774" s="101"/>
      <c r="BC774" s="101"/>
      <c r="BD774" s="101"/>
      <c r="BE774" s="101"/>
      <c r="BG774" s="101"/>
      <c r="BH774" s="101"/>
      <c r="BI774" s="101"/>
      <c r="BJ774" s="101"/>
      <c r="BK774" s="101"/>
      <c r="BM774" s="101"/>
      <c r="BN774" s="101"/>
      <c r="BO774" s="101"/>
      <c r="BP774" s="101"/>
      <c r="BQ774" s="101"/>
    </row>
    <row r="775" spans="45:69" x14ac:dyDescent="0.3"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</row>
    <row r="776" spans="45:69" x14ac:dyDescent="0.3">
      <c r="AU776" s="99"/>
      <c r="AV776" s="102"/>
      <c r="AY776" s="198"/>
    </row>
    <row r="777" spans="45:69" x14ac:dyDescent="0.3">
      <c r="AV777" s="102"/>
      <c r="AW777" s="110"/>
      <c r="AX777" s="163"/>
      <c r="AY777" s="163"/>
      <c r="AZ777" s="163"/>
      <c r="BA777" s="141"/>
      <c r="BB777" s="163"/>
      <c r="BC777" s="198"/>
      <c r="BD777" s="198"/>
      <c r="BE777" s="141"/>
      <c r="BG777" s="163"/>
      <c r="BH777" s="163"/>
      <c r="BI777" s="163"/>
      <c r="BJ777" s="163"/>
      <c r="BK777" s="163"/>
      <c r="BM777" s="163"/>
      <c r="BN777" s="163"/>
      <c r="BO777" s="163"/>
      <c r="BP777" s="163"/>
      <c r="BQ777" s="163"/>
    </row>
    <row r="778" spans="45:69" x14ac:dyDescent="0.3">
      <c r="AV778" s="102"/>
      <c r="AW778" s="110"/>
      <c r="AX778" s="163"/>
      <c r="AY778" s="163"/>
      <c r="AZ778" s="163"/>
      <c r="BA778" s="141"/>
      <c r="BB778" s="163"/>
      <c r="BC778" s="198"/>
      <c r="BD778" s="198"/>
      <c r="BE778" s="141"/>
      <c r="BG778" s="163"/>
      <c r="BH778" s="163"/>
      <c r="BI778" s="163"/>
      <c r="BJ778" s="163"/>
      <c r="BK778" s="163"/>
      <c r="BM778" s="163"/>
      <c r="BN778" s="163"/>
      <c r="BO778" s="163"/>
      <c r="BP778" s="163"/>
      <c r="BQ778" s="163"/>
    </row>
    <row r="779" spans="45:69" x14ac:dyDescent="0.3">
      <c r="AV779" s="102"/>
      <c r="AW779" s="110"/>
      <c r="AX779" s="163"/>
      <c r="AY779" s="163"/>
      <c r="AZ779" s="163"/>
      <c r="BA779" s="141"/>
      <c r="BB779" s="163"/>
      <c r="BC779" s="198"/>
      <c r="BD779" s="198"/>
      <c r="BE779" s="141"/>
      <c r="BG779" s="163"/>
      <c r="BH779" s="163"/>
      <c r="BI779" s="163"/>
      <c r="BJ779" s="163"/>
      <c r="BK779" s="163"/>
      <c r="BM779" s="163"/>
      <c r="BN779" s="163"/>
      <c r="BO779" s="163"/>
      <c r="BP779" s="163"/>
      <c r="BQ779" s="163"/>
    </row>
    <row r="780" spans="45:69" x14ac:dyDescent="0.3">
      <c r="AV780" s="102"/>
      <c r="AW780" s="110"/>
      <c r="AX780" s="163"/>
      <c r="AY780" s="163"/>
      <c r="AZ780" s="163"/>
      <c r="BA780" s="141"/>
      <c r="BB780" s="163"/>
      <c r="BC780" s="198"/>
      <c r="BD780" s="198"/>
      <c r="BE780" s="141"/>
      <c r="BG780" s="163"/>
      <c r="BH780" s="163"/>
      <c r="BI780" s="163"/>
      <c r="BJ780" s="163"/>
      <c r="BK780" s="163"/>
      <c r="BM780" s="163"/>
      <c r="BN780" s="163"/>
      <c r="BO780" s="163"/>
      <c r="BP780" s="163"/>
      <c r="BQ780" s="163"/>
    </row>
    <row r="781" spans="45:69" x14ac:dyDescent="0.3">
      <c r="AV781" s="102"/>
      <c r="AW781" s="110"/>
      <c r="AX781" s="163"/>
      <c r="AY781" s="163"/>
      <c r="AZ781" s="163"/>
      <c r="BA781" s="141"/>
      <c r="BB781" s="163"/>
      <c r="BC781" s="198"/>
      <c r="BD781" s="198"/>
      <c r="BE781" s="141"/>
      <c r="BG781" s="163"/>
      <c r="BH781" s="163"/>
      <c r="BI781" s="163"/>
      <c r="BJ781" s="163"/>
      <c r="BK781" s="163"/>
      <c r="BM781" s="163"/>
      <c r="BN781" s="163"/>
      <c r="BO781" s="163"/>
      <c r="BP781" s="163"/>
      <c r="BQ781" s="163"/>
    </row>
    <row r="782" spans="45:69" x14ac:dyDescent="0.3">
      <c r="AV782" s="102"/>
      <c r="AW782" s="110"/>
      <c r="AX782" s="163"/>
      <c r="AY782" s="163"/>
      <c r="AZ782" s="163"/>
      <c r="BA782" s="141"/>
      <c r="BB782" s="163"/>
      <c r="BC782" s="198"/>
      <c r="BD782" s="198"/>
      <c r="BE782" s="141"/>
      <c r="BG782" s="163"/>
      <c r="BH782" s="163"/>
      <c r="BI782" s="163"/>
      <c r="BJ782" s="163"/>
      <c r="BK782" s="163"/>
      <c r="BM782" s="163"/>
      <c r="BN782" s="163"/>
      <c r="BO782" s="163"/>
      <c r="BP782" s="163"/>
      <c r="BQ782" s="163"/>
    </row>
    <row r="783" spans="45:69" x14ac:dyDescent="0.3">
      <c r="AV783" s="102"/>
      <c r="AW783" s="110"/>
      <c r="AX783" s="163"/>
      <c r="AY783" s="163"/>
      <c r="AZ783" s="163"/>
      <c r="BA783" s="141"/>
      <c r="BB783" s="163"/>
      <c r="BC783" s="198"/>
      <c r="BD783" s="198"/>
      <c r="BE783" s="141"/>
      <c r="BG783" s="163"/>
      <c r="BH783" s="163"/>
      <c r="BI783" s="163"/>
      <c r="BJ783" s="163"/>
      <c r="BK783" s="163"/>
      <c r="BM783" s="163"/>
      <c r="BN783" s="163"/>
      <c r="BO783" s="163"/>
      <c r="BP783" s="163"/>
      <c r="BQ783" s="163"/>
    </row>
    <row r="784" spans="45:69" x14ac:dyDescent="0.3">
      <c r="AY784" s="198"/>
      <c r="AZ784" s="163"/>
      <c r="BA784" s="141"/>
      <c r="BB784" s="163"/>
      <c r="BC784" s="198"/>
      <c r="BD784" s="198"/>
      <c r="BE784" s="141"/>
      <c r="BK784" s="163"/>
      <c r="BQ784" s="163"/>
    </row>
    <row r="785" spans="45:69" x14ac:dyDescent="0.3">
      <c r="AV785" s="102"/>
      <c r="AY785" s="198"/>
      <c r="AZ785" s="163"/>
      <c r="BA785" s="141"/>
      <c r="BB785" s="163"/>
      <c r="BC785" s="198"/>
      <c r="BD785" s="198"/>
      <c r="BE785" s="141"/>
      <c r="BK785" s="163"/>
      <c r="BQ785" s="163"/>
    </row>
    <row r="786" spans="45:69" x14ac:dyDescent="0.3">
      <c r="AV786" s="102"/>
      <c r="AW786" s="110"/>
      <c r="AX786" s="163"/>
      <c r="AY786" s="163"/>
      <c r="AZ786" s="163"/>
      <c r="BA786" s="141"/>
      <c r="BB786" s="163"/>
      <c r="BC786" s="198"/>
      <c r="BD786" s="198"/>
      <c r="BE786" s="141"/>
      <c r="BG786" s="163"/>
      <c r="BH786" s="163"/>
      <c r="BI786" s="163"/>
      <c r="BJ786" s="163"/>
      <c r="BK786" s="163"/>
      <c r="BM786" s="163"/>
      <c r="BN786" s="163"/>
      <c r="BO786" s="163"/>
      <c r="BP786" s="163"/>
      <c r="BQ786" s="163"/>
    </row>
    <row r="787" spans="45:69" x14ac:dyDescent="0.3">
      <c r="AV787" s="102"/>
      <c r="AW787" s="110"/>
      <c r="AX787" s="163"/>
      <c r="AY787" s="163"/>
      <c r="AZ787" s="163"/>
      <c r="BA787" s="141"/>
      <c r="BB787" s="163"/>
      <c r="BC787" s="198"/>
      <c r="BD787" s="198"/>
      <c r="BE787" s="141"/>
      <c r="BG787" s="163"/>
      <c r="BH787" s="163"/>
      <c r="BI787" s="163"/>
      <c r="BJ787" s="163"/>
      <c r="BK787" s="163"/>
      <c r="BM787" s="163"/>
      <c r="BN787" s="163"/>
      <c r="BO787" s="163"/>
      <c r="BP787" s="163"/>
      <c r="BQ787" s="163"/>
    </row>
    <row r="788" spans="45:69" x14ac:dyDescent="0.3">
      <c r="AV788" s="102"/>
      <c r="AW788" s="110"/>
      <c r="AX788" s="163"/>
      <c r="AY788" s="163"/>
      <c r="AZ788" s="163"/>
      <c r="BA788" s="141"/>
      <c r="BB788" s="163"/>
      <c r="BC788" s="198"/>
      <c r="BD788" s="198"/>
      <c r="BE788" s="141"/>
      <c r="BG788" s="163"/>
      <c r="BH788" s="163"/>
      <c r="BI788" s="163"/>
      <c r="BJ788" s="163"/>
      <c r="BK788" s="163"/>
      <c r="BM788" s="163"/>
      <c r="BN788" s="163"/>
      <c r="BO788" s="163"/>
      <c r="BP788" s="163"/>
      <c r="BQ788" s="163"/>
    </row>
    <row r="789" spans="45:69" x14ac:dyDescent="0.3">
      <c r="AV789" s="102"/>
      <c r="AW789" s="110"/>
      <c r="AX789" s="163"/>
      <c r="AY789" s="163"/>
      <c r="AZ789" s="163"/>
      <c r="BA789" s="141"/>
      <c r="BB789" s="163"/>
      <c r="BC789" s="198"/>
      <c r="BD789" s="198"/>
      <c r="BE789" s="141"/>
      <c r="BG789" s="163"/>
      <c r="BH789" s="163"/>
      <c r="BI789" s="163"/>
      <c r="BJ789" s="163"/>
      <c r="BK789" s="163"/>
      <c r="BM789" s="163"/>
      <c r="BN789" s="163"/>
      <c r="BO789" s="163"/>
      <c r="BP789" s="163"/>
      <c r="BQ789" s="163"/>
    </row>
    <row r="790" spans="45:69" x14ac:dyDescent="0.3">
      <c r="AV790" s="102"/>
      <c r="AW790" s="110"/>
      <c r="AX790" s="163"/>
      <c r="AY790" s="163"/>
      <c r="AZ790" s="163"/>
      <c r="BA790" s="141"/>
      <c r="BB790" s="163"/>
      <c r="BC790" s="198"/>
      <c r="BD790" s="198"/>
      <c r="BE790" s="141"/>
      <c r="BG790" s="163"/>
      <c r="BH790" s="163"/>
      <c r="BI790" s="163"/>
      <c r="BJ790" s="163"/>
      <c r="BK790" s="163"/>
      <c r="BM790" s="163"/>
      <c r="BN790" s="163"/>
      <c r="BO790" s="163"/>
      <c r="BP790" s="163"/>
      <c r="BQ790" s="163"/>
    </row>
    <row r="791" spans="45:69" x14ac:dyDescent="0.3">
      <c r="AV791" s="102"/>
      <c r="AW791" s="110"/>
      <c r="AX791" s="163"/>
      <c r="AY791" s="163"/>
      <c r="AZ791" s="163"/>
      <c r="BA791" s="141"/>
      <c r="BB791" s="163"/>
      <c r="BC791" s="198"/>
      <c r="BD791" s="198"/>
      <c r="BE791" s="141"/>
      <c r="BG791" s="163"/>
      <c r="BH791" s="163"/>
      <c r="BI791" s="163"/>
      <c r="BJ791" s="163"/>
      <c r="BK791" s="163"/>
      <c r="BM791" s="163"/>
      <c r="BN791" s="163"/>
      <c r="BO791" s="163"/>
      <c r="BP791" s="163"/>
      <c r="BQ791" s="163"/>
    </row>
    <row r="792" spans="45:69" x14ac:dyDescent="0.3">
      <c r="AV792" s="102"/>
      <c r="AW792" s="110"/>
      <c r="AX792" s="163"/>
      <c r="AY792" s="163"/>
      <c r="AZ792" s="163"/>
      <c r="BA792" s="141"/>
      <c r="BB792" s="163"/>
      <c r="BC792" s="198"/>
      <c r="BD792" s="198"/>
      <c r="BE792" s="141"/>
      <c r="BG792" s="163"/>
      <c r="BH792" s="163"/>
      <c r="BI792" s="163"/>
      <c r="BJ792" s="163"/>
      <c r="BK792" s="163"/>
      <c r="BM792" s="163"/>
      <c r="BN792" s="163"/>
      <c r="BO792" s="163"/>
      <c r="BP792" s="163"/>
      <c r="BQ792" s="163"/>
    </row>
    <row r="793" spans="45:69" x14ac:dyDescent="0.3">
      <c r="AV793" s="102"/>
      <c r="AW793" s="110"/>
      <c r="AX793" s="163"/>
      <c r="AY793" s="163"/>
      <c r="AZ793" s="163"/>
      <c r="BA793" s="141"/>
      <c r="BB793" s="163"/>
      <c r="BC793" s="198"/>
      <c r="BD793" s="198"/>
      <c r="BE793" s="141"/>
      <c r="BG793" s="163"/>
      <c r="BH793" s="163"/>
      <c r="BI793" s="163"/>
      <c r="BJ793" s="163"/>
      <c r="BK793" s="163"/>
      <c r="BM793" s="163"/>
      <c r="BN793" s="163"/>
      <c r="BO793" s="163"/>
      <c r="BP793" s="163"/>
      <c r="BQ793" s="163"/>
    </row>
    <row r="794" spans="45:69" x14ac:dyDescent="0.3">
      <c r="AY794" s="198"/>
      <c r="AZ794" s="163"/>
      <c r="BA794" s="141"/>
      <c r="BB794" s="163"/>
      <c r="BC794" s="198"/>
      <c r="BD794" s="198"/>
      <c r="BE794" s="141"/>
      <c r="BK794" s="163"/>
      <c r="BQ794" s="163"/>
    </row>
    <row r="795" spans="45:69" x14ac:dyDescent="0.3">
      <c r="AU795" s="99"/>
      <c r="AZ795" s="163"/>
      <c r="BB795" s="163"/>
      <c r="BG795" s="163"/>
      <c r="BH795" s="163"/>
      <c r="BJ795" s="163"/>
      <c r="BK795" s="163"/>
    </row>
    <row r="796" spans="45:69" x14ac:dyDescent="0.3">
      <c r="AZ796" s="163"/>
      <c r="BB796" s="163"/>
    </row>
    <row r="797" spans="45:69" x14ac:dyDescent="0.3">
      <c r="AS797" s="99"/>
      <c r="AZ797" s="163"/>
      <c r="BB797" s="163"/>
      <c r="BI797" s="163"/>
    </row>
    <row r="798" spans="45:69" x14ac:dyDescent="0.3">
      <c r="AZ798" s="163"/>
      <c r="BB798" s="163"/>
    </row>
    <row r="799" spans="45:69" x14ac:dyDescent="0.3">
      <c r="AY799" s="163"/>
      <c r="BB799" s="163"/>
    </row>
    <row r="800" spans="45:69" x14ac:dyDescent="0.3">
      <c r="AY800" s="99"/>
      <c r="AZ800" s="163"/>
      <c r="BB800" s="163"/>
    </row>
    <row r="801" spans="45:75" x14ac:dyDescent="0.3">
      <c r="AY801" s="99"/>
      <c r="AZ801" s="163"/>
      <c r="BB801" s="163"/>
    </row>
    <row r="802" spans="45:75" x14ac:dyDescent="0.3">
      <c r="AZ802" s="163"/>
      <c r="BB802" s="163"/>
      <c r="BD802" s="99"/>
    </row>
    <row r="803" spans="45:75" x14ac:dyDescent="0.3">
      <c r="AZ803" s="163"/>
      <c r="BB803" s="163"/>
      <c r="BD803" s="99"/>
    </row>
    <row r="804" spans="45:75" x14ac:dyDescent="0.3">
      <c r="AS804" s="99"/>
      <c r="AZ804" s="163"/>
      <c r="BB804" s="163"/>
      <c r="BD804" s="99"/>
    </row>
    <row r="805" spans="45:75" x14ac:dyDescent="0.3">
      <c r="AZ805" s="163"/>
      <c r="BB805" s="163"/>
    </row>
    <row r="806" spans="45:75" x14ac:dyDescent="0.3">
      <c r="AS806" s="101"/>
      <c r="AT806" s="101"/>
      <c r="AU806" s="101"/>
      <c r="AV806" s="101"/>
      <c r="AW806" s="101"/>
      <c r="AX806" s="101"/>
      <c r="AY806" s="101"/>
      <c r="AZ806" s="212"/>
      <c r="BA806" s="101"/>
      <c r="BB806" s="212"/>
      <c r="BC806" s="101"/>
      <c r="BD806" s="101"/>
      <c r="BE806" s="101"/>
    </row>
    <row r="807" spans="45:75" x14ac:dyDescent="0.3">
      <c r="AX807" s="99"/>
      <c r="AZ807" s="163"/>
      <c r="BB807" s="163"/>
    </row>
    <row r="808" spans="45:75" x14ac:dyDescent="0.3">
      <c r="AX808" s="101"/>
      <c r="AY808" s="101"/>
      <c r="AZ808" s="212"/>
      <c r="BA808" s="101"/>
      <c r="BB808" s="163"/>
      <c r="BC808" s="102"/>
      <c r="BD808" s="102"/>
    </row>
    <row r="809" spans="45:75" x14ac:dyDescent="0.3">
      <c r="AV809" s="102"/>
      <c r="AW809" s="102"/>
      <c r="AZ809" s="213"/>
      <c r="BA809" s="102"/>
      <c r="BB809" s="163"/>
      <c r="BC809" s="102"/>
      <c r="BD809" s="102"/>
      <c r="BE809" s="102"/>
      <c r="BG809" s="101"/>
      <c r="BH809" s="101"/>
      <c r="BI809" s="99"/>
      <c r="BM809" s="101"/>
      <c r="BN809" s="101"/>
      <c r="BP809" s="101"/>
      <c r="BQ809" s="101"/>
      <c r="BR809" s="99"/>
      <c r="BV809" s="101"/>
      <c r="BW809" s="101"/>
    </row>
    <row r="810" spans="45:75" x14ac:dyDescent="0.3">
      <c r="AV810" s="102"/>
      <c r="AW810" s="102"/>
      <c r="AX810" s="102"/>
      <c r="AY810" s="102"/>
      <c r="AZ810" s="213"/>
      <c r="BA810" s="102"/>
      <c r="BB810" s="213"/>
      <c r="BC810" s="102"/>
      <c r="BD810" s="102"/>
      <c r="BE810" s="102"/>
      <c r="BH810" s="102"/>
      <c r="BI810" s="102"/>
      <c r="BJ810" s="102"/>
      <c r="BK810" s="102"/>
      <c r="BL810" s="102"/>
      <c r="BM810" s="102"/>
      <c r="BQ810" s="102"/>
      <c r="BR810" s="102"/>
      <c r="BS810" s="102"/>
      <c r="BT810" s="102"/>
      <c r="BU810" s="102"/>
      <c r="BV810" s="102"/>
    </row>
    <row r="811" spans="45:75" x14ac:dyDescent="0.3">
      <c r="AS811" s="102"/>
      <c r="AU811" s="99"/>
      <c r="AV811" s="102"/>
      <c r="AW811" s="102"/>
      <c r="AX811" s="102"/>
      <c r="AY811" s="102"/>
      <c r="AZ811" s="213"/>
      <c r="BA811" s="102"/>
      <c r="BB811" s="213"/>
      <c r="BC811" s="102"/>
      <c r="BD811" s="102"/>
      <c r="BE811" s="102"/>
      <c r="BG811" s="102"/>
      <c r="BH811" s="102"/>
      <c r="BI811" s="102"/>
      <c r="BJ811" s="102"/>
      <c r="BK811" s="102"/>
      <c r="BL811" s="102"/>
      <c r="BM811" s="102"/>
      <c r="BN811" s="102"/>
      <c r="BP811" s="102"/>
      <c r="BQ811" s="102"/>
      <c r="BR811" s="102"/>
      <c r="BS811" s="102"/>
      <c r="BT811" s="102"/>
      <c r="BU811" s="102"/>
      <c r="BV811" s="102"/>
      <c r="BW811" s="102"/>
    </row>
    <row r="812" spans="45:75" x14ac:dyDescent="0.3">
      <c r="AS812" s="102"/>
      <c r="AU812" s="99"/>
      <c r="AV812" s="102"/>
      <c r="AW812" s="102"/>
      <c r="AX812" s="102"/>
      <c r="AY812" s="102"/>
      <c r="AZ812" s="213"/>
      <c r="BA812" s="102"/>
      <c r="BB812" s="213"/>
      <c r="BC812" s="102"/>
      <c r="BD812" s="102"/>
      <c r="BE812" s="102"/>
      <c r="BG812" s="102"/>
      <c r="BH812" s="102"/>
      <c r="BI812" s="102"/>
      <c r="BJ812" s="102"/>
      <c r="BK812" s="102"/>
      <c r="BL812" s="102"/>
      <c r="BM812" s="102"/>
      <c r="BN812" s="102"/>
      <c r="BP812" s="102"/>
      <c r="BQ812" s="102"/>
      <c r="BR812" s="102"/>
      <c r="BS812" s="102"/>
      <c r="BT812" s="102"/>
      <c r="BU812" s="102"/>
      <c r="BV812" s="102"/>
      <c r="BW812" s="102"/>
    </row>
    <row r="813" spans="45:75" x14ac:dyDescent="0.3">
      <c r="AS813" s="101"/>
      <c r="AT813" s="101"/>
      <c r="AU813" s="101"/>
      <c r="AV813" s="101"/>
      <c r="AW813" s="101"/>
      <c r="AX813" s="101"/>
      <c r="AY813" s="101"/>
      <c r="AZ813" s="212"/>
      <c r="BA813" s="101"/>
      <c r="BB813" s="212"/>
      <c r="BC813" s="101"/>
      <c r="BD813" s="101"/>
      <c r="BE813" s="101"/>
      <c r="BG813" s="101"/>
      <c r="BH813" s="101"/>
      <c r="BI813" s="101"/>
      <c r="BJ813" s="101"/>
      <c r="BK813" s="101"/>
      <c r="BL813" s="101"/>
      <c r="BM813" s="101"/>
      <c r="BN813" s="101"/>
      <c r="BP813" s="101"/>
      <c r="BQ813" s="101"/>
      <c r="BR813" s="101"/>
      <c r="BS813" s="101"/>
      <c r="BT813" s="101"/>
      <c r="BU813" s="101"/>
      <c r="BV813" s="101"/>
      <c r="BW813" s="101"/>
    </row>
    <row r="814" spans="45:75" x14ac:dyDescent="0.3">
      <c r="AV814" s="102"/>
      <c r="AW814" s="102"/>
      <c r="AX814" s="102"/>
      <c r="AY814" s="102"/>
      <c r="AZ814" s="213"/>
      <c r="BA814" s="102"/>
      <c r="BB814" s="213"/>
      <c r="BC814" s="102"/>
      <c r="BD814" s="102"/>
      <c r="BE814" s="102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</row>
    <row r="815" spans="45:75" x14ac:dyDescent="0.3">
      <c r="AU815" s="99"/>
      <c r="AW815" s="110"/>
      <c r="AX815" s="163"/>
      <c r="AY815" s="163"/>
      <c r="AZ815" s="163"/>
      <c r="BA815" s="207"/>
      <c r="BB815" s="163"/>
      <c r="BC815" s="163"/>
      <c r="BD815" s="163"/>
      <c r="BE815" s="207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</row>
    <row r="816" spans="45:75" x14ac:dyDescent="0.3">
      <c r="AW816" s="110"/>
      <c r="AX816" s="163"/>
      <c r="AY816" s="163"/>
      <c r="AZ816" s="163"/>
      <c r="BA816" s="207"/>
      <c r="BB816" s="163"/>
      <c r="BC816" s="163"/>
      <c r="BD816" s="163"/>
      <c r="BE816" s="207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</row>
    <row r="817" spans="49:75" x14ac:dyDescent="0.3">
      <c r="AW817" s="110"/>
      <c r="AX817" s="163"/>
      <c r="AY817" s="163"/>
      <c r="AZ817" s="163"/>
      <c r="BA817" s="207"/>
      <c r="BB817" s="163"/>
      <c r="BC817" s="163"/>
      <c r="BD817" s="163"/>
      <c r="BE817" s="207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</row>
    <row r="818" spans="49:75" x14ac:dyDescent="0.3">
      <c r="AW818" s="110"/>
      <c r="AX818" s="163"/>
      <c r="AY818" s="163"/>
      <c r="AZ818" s="163"/>
      <c r="BA818" s="207"/>
      <c r="BB818" s="163"/>
      <c r="BC818" s="163"/>
      <c r="BD818" s="163"/>
      <c r="BE818" s="207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</row>
    <row r="819" spans="49:75" x14ac:dyDescent="0.3"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</row>
    <row r="820" spans="49:75" x14ac:dyDescent="0.3"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</row>
    <row r="821" spans="49:75" x14ac:dyDescent="0.3"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</row>
    <row r="822" spans="49:75" x14ac:dyDescent="0.3"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</row>
    <row r="823" spans="49:75" x14ac:dyDescent="0.3"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</row>
    <row r="824" spans="49:75" x14ac:dyDescent="0.3"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</row>
    <row r="825" spans="49:75" x14ac:dyDescent="0.3"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</row>
    <row r="826" spans="49:75" x14ac:dyDescent="0.3"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</row>
    <row r="827" spans="49:75" x14ac:dyDescent="0.3"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</row>
    <row r="828" spans="49:75" x14ac:dyDescent="0.3"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</row>
    <row r="829" spans="49:75" x14ac:dyDescent="0.3"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</row>
    <row r="830" spans="49:75" x14ac:dyDescent="0.3"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</row>
    <row r="831" spans="49:75" x14ac:dyDescent="0.3"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</row>
    <row r="832" spans="49:75" x14ac:dyDescent="0.3"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</row>
    <row r="833" spans="45:75" x14ac:dyDescent="0.3"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</row>
    <row r="834" spans="45:75" x14ac:dyDescent="0.3"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</row>
    <row r="835" spans="45:75" x14ac:dyDescent="0.3"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</row>
    <row r="836" spans="45:75" x14ac:dyDescent="0.3"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01"/>
      <c r="BH836" s="101"/>
      <c r="BI836" s="99"/>
      <c r="BM836" s="101"/>
      <c r="BN836" s="101"/>
      <c r="BO836" s="163"/>
      <c r="BP836" s="101"/>
      <c r="BQ836" s="101"/>
      <c r="BR836" s="99"/>
      <c r="BV836" s="101"/>
      <c r="BW836" s="101"/>
    </row>
    <row r="837" spans="45:75" x14ac:dyDescent="0.3">
      <c r="AU837" s="99"/>
      <c r="AV837" s="102"/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213"/>
      <c r="BH837" s="163"/>
      <c r="BI837" s="163"/>
      <c r="BJ837" s="163"/>
      <c r="BK837" s="213"/>
      <c r="BL837" s="214"/>
      <c r="BM837" s="163"/>
      <c r="BN837" s="213"/>
      <c r="BO837" s="163"/>
      <c r="BP837" s="213"/>
      <c r="BQ837" s="163"/>
      <c r="BR837" s="163"/>
      <c r="BS837" s="163"/>
      <c r="BT837" s="213"/>
      <c r="BU837" s="214"/>
      <c r="BV837" s="163"/>
      <c r="BW837" s="213"/>
    </row>
    <row r="838" spans="45:75" x14ac:dyDescent="0.3">
      <c r="AV838" s="102"/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214"/>
      <c r="BM838" s="163"/>
      <c r="BN838" s="163"/>
      <c r="BO838" s="163"/>
      <c r="BP838" s="163"/>
      <c r="BQ838" s="163"/>
      <c r="BR838" s="163"/>
      <c r="BS838" s="163"/>
      <c r="BT838" s="163"/>
      <c r="BU838" s="214"/>
      <c r="BV838" s="163"/>
      <c r="BW838" s="163"/>
    </row>
    <row r="839" spans="45:75" x14ac:dyDescent="0.3">
      <c r="AV839" s="102"/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214"/>
      <c r="BM839" s="163"/>
      <c r="BN839" s="163"/>
      <c r="BO839" s="163"/>
      <c r="BP839" s="163"/>
      <c r="BQ839" s="163"/>
      <c r="BR839" s="163"/>
      <c r="BS839" s="163"/>
      <c r="BT839" s="163"/>
      <c r="BU839" s="214"/>
      <c r="BV839" s="163"/>
      <c r="BW839" s="163"/>
    </row>
    <row r="840" spans="45:75" x14ac:dyDescent="0.3">
      <c r="AV840" s="102"/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214"/>
      <c r="BM840" s="163"/>
      <c r="BN840" s="163"/>
      <c r="BO840" s="163"/>
      <c r="BP840" s="163"/>
      <c r="BQ840" s="163"/>
      <c r="BR840" s="163"/>
      <c r="BS840" s="163"/>
      <c r="BT840" s="163"/>
      <c r="BU840" s="214"/>
      <c r="BV840" s="163"/>
      <c r="BW840" s="163"/>
    </row>
    <row r="841" spans="45:75" x14ac:dyDescent="0.3"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</row>
    <row r="842" spans="45:75" x14ac:dyDescent="0.3">
      <c r="AU842" s="99"/>
    </row>
    <row r="843" spans="45:75" x14ac:dyDescent="0.3">
      <c r="AU843" s="99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</row>
    <row r="844" spans="45:75" x14ac:dyDescent="0.3">
      <c r="AS844" s="99"/>
      <c r="AZ844" s="163"/>
      <c r="BB844" s="163"/>
    </row>
    <row r="845" spans="45:75" x14ac:dyDescent="0.3">
      <c r="AZ845" s="163"/>
      <c r="BB845" s="163"/>
      <c r="BO845" s="163"/>
      <c r="BP845" s="163"/>
      <c r="BQ845" s="163"/>
      <c r="BR845" s="163"/>
      <c r="BS845" s="163"/>
      <c r="BT845" s="163"/>
      <c r="BU845" s="163"/>
      <c r="BV845" s="163"/>
    </row>
    <row r="846" spans="45:75" x14ac:dyDescent="0.3">
      <c r="AY846" s="163"/>
      <c r="AZ846" s="163"/>
      <c r="BB846" s="163"/>
      <c r="BO846" s="163"/>
      <c r="BP846" s="163"/>
      <c r="BQ846" s="163"/>
      <c r="BR846" s="163"/>
      <c r="BS846" s="163"/>
      <c r="BT846" s="163"/>
      <c r="BU846" s="163"/>
      <c r="BV846" s="163"/>
    </row>
    <row r="847" spans="45:75" x14ac:dyDescent="0.3">
      <c r="AY847" s="99"/>
      <c r="AZ847" s="163"/>
      <c r="BB847" s="163"/>
      <c r="BO847" s="163"/>
      <c r="BP847" s="163"/>
      <c r="BQ847" s="163"/>
      <c r="BR847" s="163"/>
      <c r="BS847" s="163"/>
      <c r="BT847" s="163"/>
      <c r="BU847" s="163"/>
      <c r="BV847" s="163"/>
    </row>
    <row r="848" spans="45:75" x14ac:dyDescent="0.3">
      <c r="AY848" s="99"/>
      <c r="AZ848" s="163"/>
      <c r="BB848" s="163"/>
      <c r="BO848" s="163"/>
      <c r="BP848" s="163"/>
      <c r="BQ848" s="163"/>
      <c r="BR848" s="163"/>
      <c r="BS848" s="163"/>
      <c r="BT848" s="163"/>
      <c r="BU848" s="163"/>
      <c r="BV848" s="163"/>
    </row>
    <row r="849" spans="45:74" x14ac:dyDescent="0.3">
      <c r="AZ849" s="163"/>
      <c r="BB849" s="163"/>
      <c r="BD849" s="99"/>
      <c r="BO849" s="163"/>
      <c r="BP849" s="163"/>
      <c r="BQ849" s="163"/>
      <c r="BR849" s="163"/>
      <c r="BS849" s="163"/>
      <c r="BT849" s="163"/>
      <c r="BU849" s="163"/>
      <c r="BV849" s="163"/>
    </row>
    <row r="850" spans="45:74" x14ac:dyDescent="0.3">
      <c r="AZ850" s="163"/>
      <c r="BB850" s="163"/>
      <c r="BD850" s="99"/>
      <c r="BO850" s="163"/>
      <c r="BP850" s="163"/>
      <c r="BQ850" s="163"/>
      <c r="BR850" s="163"/>
      <c r="BS850" s="163"/>
      <c r="BT850" s="163"/>
      <c r="BU850" s="163"/>
      <c r="BV850" s="163"/>
    </row>
    <row r="851" spans="45:74" x14ac:dyDescent="0.3">
      <c r="AS851" s="99"/>
      <c r="AZ851" s="163"/>
      <c r="BB851" s="163"/>
      <c r="BD851" s="99"/>
      <c r="BO851" s="163"/>
      <c r="BP851" s="163"/>
      <c r="BQ851" s="163"/>
      <c r="BR851" s="163"/>
      <c r="BS851" s="163"/>
      <c r="BT851" s="163"/>
      <c r="BU851" s="163"/>
      <c r="BV851" s="163"/>
    </row>
    <row r="852" spans="45:74" x14ac:dyDescent="0.3">
      <c r="AZ852" s="163"/>
      <c r="BB852" s="163"/>
      <c r="BO852" s="163"/>
      <c r="BP852" s="163"/>
      <c r="BQ852" s="163"/>
      <c r="BR852" s="163"/>
      <c r="BS852" s="163"/>
      <c r="BT852" s="163"/>
      <c r="BU852" s="163"/>
      <c r="BV852" s="163"/>
    </row>
    <row r="853" spans="45:74" x14ac:dyDescent="0.3">
      <c r="AS853" s="101"/>
      <c r="AT853" s="101"/>
      <c r="AU853" s="101"/>
      <c r="AV853" s="101"/>
      <c r="AW853" s="101"/>
      <c r="AX853" s="101"/>
      <c r="AY853" s="101"/>
      <c r="AZ853" s="212"/>
      <c r="BA853" s="101"/>
      <c r="BB853" s="212"/>
      <c r="BC853" s="101"/>
      <c r="BD853" s="101"/>
      <c r="BE853" s="101"/>
      <c r="BO853" s="163"/>
      <c r="BP853" s="163"/>
      <c r="BQ853" s="163"/>
      <c r="BR853" s="163"/>
      <c r="BS853" s="163"/>
      <c r="BT853" s="163"/>
      <c r="BU853" s="163"/>
      <c r="BV853" s="163"/>
    </row>
    <row r="854" spans="45:74" x14ac:dyDescent="0.3">
      <c r="AX854" s="99"/>
      <c r="AZ854" s="163"/>
      <c r="BB854" s="163"/>
      <c r="BO854" s="163"/>
      <c r="BP854" s="163"/>
      <c r="BQ854" s="163"/>
      <c r="BR854" s="163"/>
      <c r="BS854" s="163"/>
      <c r="BT854" s="163"/>
      <c r="BU854" s="163"/>
      <c r="BV854" s="163"/>
    </row>
    <row r="855" spans="45:74" x14ac:dyDescent="0.3">
      <c r="AX855" s="101"/>
      <c r="AY855" s="101"/>
      <c r="AZ855" s="212"/>
      <c r="BA855" s="101"/>
      <c r="BB855" s="163"/>
      <c r="BC855" s="102"/>
      <c r="BD855" s="102"/>
      <c r="BO855" s="163"/>
      <c r="BP855" s="163"/>
      <c r="BQ855" s="163"/>
      <c r="BR855" s="163"/>
      <c r="BS855" s="163"/>
      <c r="BT855" s="163"/>
      <c r="BU855" s="163"/>
      <c r="BV855" s="163"/>
    </row>
    <row r="856" spans="45:74" x14ac:dyDescent="0.3">
      <c r="AV856" s="102"/>
      <c r="AW856" s="102"/>
      <c r="AZ856" s="213"/>
      <c r="BA856" s="102"/>
      <c r="BB856" s="163"/>
      <c r="BC856" s="102"/>
      <c r="BD856" s="102"/>
      <c r="BE856" s="102"/>
      <c r="BG856" s="101"/>
      <c r="BH856" s="99"/>
      <c r="BK856" s="101"/>
      <c r="BM856" s="101"/>
      <c r="BN856" s="99"/>
      <c r="BQ856" s="101"/>
    </row>
    <row r="857" spans="45:74" x14ac:dyDescent="0.3">
      <c r="AV857" s="102"/>
      <c r="AW857" s="102"/>
      <c r="AX857" s="102"/>
      <c r="AY857" s="102"/>
      <c r="AZ857" s="213"/>
      <c r="BA857" s="102"/>
      <c r="BB857" s="213"/>
      <c r="BC857" s="102"/>
      <c r="BD857" s="102"/>
      <c r="BE857" s="102"/>
      <c r="BH857" s="102"/>
      <c r="BI857" s="102"/>
      <c r="BN857" s="102"/>
      <c r="BO857" s="102"/>
    </row>
    <row r="858" spans="45:74" x14ac:dyDescent="0.3">
      <c r="AS858" s="102"/>
      <c r="AU858" s="99"/>
      <c r="AV858" s="102"/>
      <c r="AW858" s="102"/>
      <c r="AX858" s="102"/>
      <c r="AY858" s="102"/>
      <c r="AZ858" s="213"/>
      <c r="BA858" s="102"/>
      <c r="BB858" s="213"/>
      <c r="BC858" s="102"/>
      <c r="BD858" s="102"/>
      <c r="BE858" s="102"/>
      <c r="BG858" s="102"/>
      <c r="BH858" s="102"/>
      <c r="BI858" s="102"/>
      <c r="BJ858" s="102"/>
      <c r="BK858" s="102"/>
      <c r="BM858" s="102"/>
      <c r="BN858" s="102"/>
      <c r="BO858" s="102"/>
      <c r="BP858" s="102"/>
      <c r="BQ858" s="102"/>
    </row>
    <row r="859" spans="45:74" x14ac:dyDescent="0.3">
      <c r="AS859" s="102"/>
      <c r="AU859" s="99"/>
      <c r="AV859" s="102"/>
      <c r="AW859" s="102"/>
      <c r="AX859" s="102"/>
      <c r="AY859" s="102"/>
      <c r="AZ859" s="213"/>
      <c r="BA859" s="102"/>
      <c r="BB859" s="213"/>
      <c r="BC859" s="102"/>
      <c r="BD859" s="102"/>
      <c r="BE859" s="102"/>
      <c r="BG859" s="102"/>
      <c r="BH859" s="102"/>
      <c r="BI859" s="102"/>
      <c r="BJ859" s="102"/>
      <c r="BK859" s="102"/>
      <c r="BM859" s="102"/>
      <c r="BN859" s="102"/>
      <c r="BO859" s="102"/>
      <c r="BP859" s="102"/>
      <c r="BQ859" s="102"/>
    </row>
    <row r="860" spans="45:74" x14ac:dyDescent="0.3">
      <c r="AS860" s="101"/>
      <c r="AT860" s="101"/>
      <c r="AU860" s="101"/>
      <c r="AV860" s="101"/>
      <c r="AW860" s="101"/>
      <c r="AX860" s="101"/>
      <c r="AY860" s="101"/>
      <c r="AZ860" s="212"/>
      <c r="BA860" s="101"/>
      <c r="BB860" s="212"/>
      <c r="BC860" s="101"/>
      <c r="BD860" s="101"/>
      <c r="BE860" s="101"/>
      <c r="BG860" s="101"/>
      <c r="BH860" s="101"/>
      <c r="BI860" s="101"/>
      <c r="BJ860" s="101"/>
      <c r="BK860" s="101"/>
      <c r="BM860" s="101"/>
      <c r="BN860" s="101"/>
      <c r="BO860" s="101"/>
      <c r="BP860" s="101"/>
      <c r="BQ860" s="101"/>
    </row>
    <row r="861" spans="45:74" x14ac:dyDescent="0.3">
      <c r="AV861" s="102"/>
      <c r="AW861" s="102"/>
      <c r="AX861" s="102"/>
      <c r="AY861" s="102"/>
      <c r="AZ861" s="213"/>
      <c r="BA861" s="102"/>
      <c r="BB861" s="213"/>
      <c r="BC861" s="102"/>
      <c r="BD861" s="102"/>
      <c r="BE861" s="102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</row>
    <row r="862" spans="45:74" x14ac:dyDescent="0.3">
      <c r="AT862" s="99"/>
      <c r="AV862" s="110"/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</row>
    <row r="863" spans="45:74" x14ac:dyDescent="0.3">
      <c r="AV863" s="110"/>
      <c r="AW863" s="110"/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</row>
    <row r="864" spans="45:74" x14ac:dyDescent="0.3">
      <c r="AV864" s="110"/>
      <c r="AW864" s="110"/>
      <c r="AX864" s="163"/>
      <c r="AY864" s="163"/>
      <c r="AZ864" s="163"/>
      <c r="BA864" s="207"/>
      <c r="BB864" s="163"/>
      <c r="BC864" s="163"/>
      <c r="BD864" s="163"/>
      <c r="BE864" s="207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</row>
    <row r="865" spans="48:71" x14ac:dyDescent="0.3">
      <c r="AV865" s="110"/>
      <c r="AW865" s="110"/>
      <c r="AX865" s="163"/>
      <c r="AY865" s="163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</row>
    <row r="866" spans="48:71" x14ac:dyDescent="0.3">
      <c r="AV866" s="110"/>
      <c r="AW866" s="110"/>
      <c r="AX866" s="163"/>
      <c r="AY866" s="163"/>
      <c r="AZ866" s="163"/>
      <c r="BA866" s="207"/>
      <c r="BB866" s="163"/>
      <c r="BC866" s="163"/>
      <c r="BD866" s="163"/>
      <c r="BE866" s="207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</row>
    <row r="867" spans="48:71" x14ac:dyDescent="0.3">
      <c r="AV867" s="110"/>
      <c r="AW867" s="110"/>
      <c r="AX867" s="163"/>
      <c r="AY867" s="163"/>
      <c r="AZ867" s="163"/>
      <c r="BA867" s="207"/>
      <c r="BB867" s="163"/>
      <c r="BC867" s="163"/>
      <c r="BD867" s="163"/>
      <c r="BE867" s="207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</row>
    <row r="868" spans="48:71" x14ac:dyDescent="0.3">
      <c r="AV868" s="110"/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</row>
    <row r="869" spans="48:71" x14ac:dyDescent="0.3">
      <c r="AV869" s="110"/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</row>
    <row r="870" spans="48:71" x14ac:dyDescent="0.3">
      <c r="AV870" s="110"/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</row>
    <row r="871" spans="48:71" x14ac:dyDescent="0.3"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</row>
    <row r="872" spans="48:71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</row>
    <row r="873" spans="48:71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</row>
    <row r="874" spans="48:71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</row>
    <row r="875" spans="48:71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</row>
    <row r="876" spans="48:71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</row>
    <row r="877" spans="48:71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</row>
    <row r="878" spans="48:71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</row>
    <row r="879" spans="48:71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</row>
    <row r="880" spans="48:71" x14ac:dyDescent="0.3">
      <c r="AZ880" s="163"/>
      <c r="BB880" s="163"/>
      <c r="BC880" s="163"/>
      <c r="BD880" s="163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</row>
    <row r="881" spans="46:57" x14ac:dyDescent="0.3">
      <c r="AT881" s="99"/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</row>
    <row r="882" spans="46:57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</row>
    <row r="883" spans="46:57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</row>
    <row r="884" spans="46:57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</row>
    <row r="885" spans="46:57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6:57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6:57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6:57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</row>
    <row r="889" spans="46:57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6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6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6:57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6:57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6:57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6:57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6:57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5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5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5:57" x14ac:dyDescent="0.3">
      <c r="BB899" s="163"/>
    </row>
    <row r="900" spans="45:57" x14ac:dyDescent="0.3">
      <c r="AU900" s="99"/>
      <c r="BB900" s="163"/>
    </row>
    <row r="901" spans="45:57" x14ac:dyDescent="0.3">
      <c r="AU901" s="99"/>
    </row>
    <row r="902" spans="45:57" x14ac:dyDescent="0.3">
      <c r="AU902" s="99"/>
      <c r="BB902" s="163"/>
    </row>
    <row r="903" spans="45:57" x14ac:dyDescent="0.3">
      <c r="AS903" s="99"/>
      <c r="AZ903" s="163"/>
      <c r="BB903" s="163"/>
    </row>
    <row r="904" spans="45:57" x14ac:dyDescent="0.3">
      <c r="AZ904" s="163"/>
      <c r="BB904" s="163"/>
    </row>
    <row r="905" spans="45:57" x14ac:dyDescent="0.3">
      <c r="AY905" s="163"/>
      <c r="AZ905" s="163"/>
      <c r="BB905" s="163"/>
    </row>
    <row r="906" spans="45:57" x14ac:dyDescent="0.3">
      <c r="AY906" s="99"/>
      <c r="AZ906" s="163"/>
      <c r="BB906" s="163"/>
    </row>
    <row r="907" spans="45:57" x14ac:dyDescent="0.3">
      <c r="AY907" s="99"/>
      <c r="AZ907" s="163"/>
      <c r="BB907" s="163"/>
    </row>
    <row r="908" spans="45:57" x14ac:dyDescent="0.3">
      <c r="AZ908" s="163"/>
      <c r="BB908" s="163"/>
      <c r="BD908" s="99"/>
    </row>
    <row r="909" spans="45:57" x14ac:dyDescent="0.3">
      <c r="AZ909" s="163"/>
      <c r="BB909" s="163"/>
      <c r="BD909" s="99"/>
    </row>
    <row r="910" spans="45:57" x14ac:dyDescent="0.3">
      <c r="AS910" s="99"/>
      <c r="AZ910" s="163"/>
      <c r="BB910" s="163"/>
      <c r="BD910" s="99"/>
    </row>
    <row r="911" spans="45:57" x14ac:dyDescent="0.3">
      <c r="AZ911" s="163"/>
      <c r="BB911" s="163"/>
    </row>
    <row r="912" spans="45:57" x14ac:dyDescent="0.3">
      <c r="AS912" s="101"/>
      <c r="AT912" s="101"/>
      <c r="AU912" s="101"/>
      <c r="AV912" s="101"/>
      <c r="AW912" s="101"/>
      <c r="AX912" s="101"/>
      <c r="AY912" s="101"/>
      <c r="AZ912" s="212"/>
      <c r="BA912" s="101"/>
      <c r="BB912" s="212"/>
      <c r="BC912" s="101"/>
      <c r="BD912" s="101"/>
      <c r="BE912" s="101"/>
    </row>
    <row r="913" spans="45:57" x14ac:dyDescent="0.3">
      <c r="AX913" s="99"/>
      <c r="AZ913" s="163"/>
      <c r="BB913" s="163"/>
    </row>
    <row r="914" spans="45:57" x14ac:dyDescent="0.3">
      <c r="AX914" s="101"/>
      <c r="AY914" s="101"/>
      <c r="AZ914" s="212"/>
      <c r="BA914" s="101"/>
      <c r="BB914" s="163"/>
      <c r="BC914" s="102"/>
      <c r="BD914" s="102"/>
    </row>
    <row r="915" spans="45:57" x14ac:dyDescent="0.3">
      <c r="AV915" s="102"/>
      <c r="AW915" s="102"/>
      <c r="AZ915" s="213"/>
      <c r="BA915" s="102"/>
      <c r="BB915" s="163"/>
      <c r="BC915" s="102"/>
      <c r="BD915" s="102"/>
      <c r="BE915" s="102"/>
    </row>
    <row r="916" spans="45:57" x14ac:dyDescent="0.3">
      <c r="AV916" s="102"/>
      <c r="AW916" s="102"/>
      <c r="AX916" s="102"/>
      <c r="AY916" s="102"/>
      <c r="AZ916" s="213"/>
      <c r="BA916" s="102"/>
      <c r="BB916" s="213"/>
      <c r="BC916" s="102"/>
      <c r="BD916" s="102"/>
      <c r="BE916" s="102"/>
    </row>
    <row r="917" spans="45:57" x14ac:dyDescent="0.3">
      <c r="AS917" s="102"/>
      <c r="AU917" s="99"/>
      <c r="AV917" s="102"/>
      <c r="AW917" s="102"/>
      <c r="AX917" s="102"/>
      <c r="AY917" s="102"/>
      <c r="AZ917" s="213"/>
      <c r="BA917" s="102"/>
      <c r="BB917" s="213"/>
      <c r="BC917" s="102"/>
      <c r="BD917" s="102"/>
      <c r="BE917" s="102"/>
    </row>
    <row r="918" spans="45:57" x14ac:dyDescent="0.3">
      <c r="AS918" s="102"/>
      <c r="AU918" s="99"/>
      <c r="AV918" s="102"/>
      <c r="AW918" s="102"/>
      <c r="AX918" s="102"/>
      <c r="AY918" s="102"/>
      <c r="AZ918" s="213"/>
      <c r="BA918" s="102"/>
      <c r="BB918" s="213"/>
      <c r="BC918" s="102"/>
      <c r="BD918" s="102"/>
      <c r="BE918" s="102"/>
    </row>
    <row r="919" spans="45:57" x14ac:dyDescent="0.3">
      <c r="AS919" s="101"/>
      <c r="AT919" s="101"/>
      <c r="AU919" s="101"/>
      <c r="AV919" s="101"/>
      <c r="AW919" s="101"/>
      <c r="AX919" s="101"/>
      <c r="AY919" s="101"/>
      <c r="AZ919" s="212"/>
      <c r="BA919" s="101"/>
      <c r="BB919" s="212"/>
      <c r="BC919" s="101"/>
      <c r="BD919" s="101"/>
      <c r="BE919" s="101"/>
    </row>
    <row r="920" spans="45:57" x14ac:dyDescent="0.3">
      <c r="AV920" s="102"/>
      <c r="AW920" s="102"/>
      <c r="AX920" s="102"/>
      <c r="AY920" s="102"/>
      <c r="AZ920" s="213"/>
      <c r="BA920" s="102"/>
      <c r="BB920" s="213"/>
      <c r="BC920" s="102"/>
      <c r="BD920" s="102"/>
      <c r="BE920" s="102"/>
    </row>
    <row r="921" spans="45:57" x14ac:dyDescent="0.3">
      <c r="AT921" s="99"/>
      <c r="AV921" s="110"/>
      <c r="AW921" s="110"/>
      <c r="AX921" s="163"/>
      <c r="AY921" s="163"/>
      <c r="AZ921" s="163"/>
      <c r="BA921" s="207"/>
      <c r="BB921" s="163"/>
      <c r="BC921" s="163"/>
      <c r="BD921" s="163"/>
      <c r="BE921" s="207"/>
    </row>
    <row r="922" spans="45:57" x14ac:dyDescent="0.3">
      <c r="AV922" s="110"/>
      <c r="AW922" s="110"/>
      <c r="AX922" s="163"/>
      <c r="AY922" s="163"/>
      <c r="AZ922" s="163"/>
      <c r="BA922" s="207"/>
      <c r="BB922" s="163"/>
      <c r="BC922" s="163"/>
      <c r="BD922" s="163"/>
      <c r="BE922" s="207"/>
    </row>
    <row r="923" spans="45:57" x14ac:dyDescent="0.3"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</row>
    <row r="924" spans="45:57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</row>
    <row r="925" spans="45:57" x14ac:dyDescent="0.3">
      <c r="AV925" s="110"/>
      <c r="AW925" s="110"/>
      <c r="AX925" s="163"/>
      <c r="AY925" s="163"/>
      <c r="AZ925" s="163"/>
      <c r="BA925" s="207"/>
      <c r="BB925" s="163"/>
      <c r="BC925" s="163"/>
      <c r="BD925" s="163"/>
      <c r="BE925" s="207"/>
    </row>
    <row r="926" spans="45:57" x14ac:dyDescent="0.3">
      <c r="AV926" s="110"/>
      <c r="AW926" s="110"/>
      <c r="AX926" s="163"/>
      <c r="AY926" s="163"/>
      <c r="AZ926" s="163"/>
      <c r="BA926" s="207"/>
      <c r="BB926" s="163"/>
      <c r="BC926" s="163"/>
      <c r="BD926" s="163"/>
      <c r="BE926" s="207"/>
    </row>
    <row r="927" spans="45:57" x14ac:dyDescent="0.3"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5:57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6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6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6:57" x14ac:dyDescent="0.3">
      <c r="AV931" s="110"/>
      <c r="AW931" s="110"/>
      <c r="BB931" s="163"/>
    </row>
    <row r="932" spans="46:57" x14ac:dyDescent="0.3">
      <c r="AT932" s="99"/>
      <c r="AV932" s="110"/>
      <c r="AW932" s="110"/>
      <c r="AX932" s="163"/>
      <c r="AY932" s="163"/>
      <c r="AZ932" s="163"/>
      <c r="BA932" s="207"/>
      <c r="BB932" s="163"/>
      <c r="BC932" s="163"/>
      <c r="BD932" s="163"/>
      <c r="BE932" s="207"/>
    </row>
    <row r="933" spans="46:57" x14ac:dyDescent="0.3">
      <c r="AV933" s="110"/>
      <c r="AW933" s="110"/>
      <c r="AX933" s="163"/>
      <c r="AY933" s="163"/>
      <c r="AZ933" s="163"/>
      <c r="BA933" s="207"/>
      <c r="BB933" s="163"/>
      <c r="BC933" s="163"/>
      <c r="BD933" s="163"/>
      <c r="BE933" s="207"/>
    </row>
    <row r="934" spans="46:57" x14ac:dyDescent="0.3">
      <c r="AV934" s="110"/>
      <c r="AW934" s="110"/>
      <c r="AX934" s="163"/>
      <c r="AY934" s="163"/>
      <c r="AZ934" s="163"/>
      <c r="BA934" s="207"/>
      <c r="BB934" s="163"/>
      <c r="BC934" s="163"/>
      <c r="BD934" s="163"/>
      <c r="BE934" s="207"/>
    </row>
    <row r="935" spans="46:57" x14ac:dyDescent="0.3"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6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6:57" x14ac:dyDescent="0.3"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6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6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6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6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3" spans="46:57" x14ac:dyDescent="0.3">
      <c r="AU943" s="99"/>
    </row>
    <row r="944" spans="46:57" x14ac:dyDescent="0.3">
      <c r="AU944" s="99"/>
    </row>
    <row r="945" spans="45:47" x14ac:dyDescent="0.3">
      <c r="AU945" s="99"/>
    </row>
    <row r="946" spans="45:47" x14ac:dyDescent="0.3">
      <c r="AS946" s="99"/>
    </row>
    <row r="967" spans="52:71" x14ac:dyDescent="0.3">
      <c r="AZ967" s="163"/>
      <c r="BB967" s="163"/>
      <c r="BC967" s="163"/>
      <c r="BD967" s="163"/>
      <c r="BG967" s="163"/>
      <c r="BH967" s="163"/>
      <c r="BI967" s="163"/>
      <c r="BJ967" s="163"/>
      <c r="BK967" s="163"/>
      <c r="BL967" s="163"/>
      <c r="BM967" s="163"/>
      <c r="BN967" s="163"/>
      <c r="BO967" s="163"/>
      <c r="BP967" s="163"/>
      <c r="BQ967" s="163"/>
      <c r="BR967" s="163"/>
      <c r="BS967" s="163"/>
    </row>
    <row r="968" spans="52:71" x14ac:dyDescent="0.3">
      <c r="AZ968" s="163"/>
      <c r="BB968" s="163"/>
      <c r="BC968" s="163"/>
      <c r="BD968" s="163"/>
      <c r="BG968" s="163"/>
      <c r="BH968" s="163"/>
      <c r="BI968" s="163"/>
      <c r="BJ968" s="163"/>
      <c r="BK968" s="163"/>
      <c r="BL968" s="163"/>
      <c r="BM968" s="163"/>
      <c r="BN968" s="163"/>
      <c r="BO968" s="163"/>
      <c r="BP968" s="163"/>
      <c r="BQ968" s="163"/>
      <c r="BR968" s="163"/>
      <c r="BS968" s="163"/>
    </row>
    <row r="969" spans="52:71" x14ac:dyDescent="0.3">
      <c r="AZ969" s="163"/>
      <c r="BB969" s="163"/>
      <c r="BC969" s="163"/>
      <c r="BD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</row>
    <row r="970" spans="52:71" x14ac:dyDescent="0.3">
      <c r="AZ970" s="163"/>
      <c r="BB970" s="163"/>
      <c r="BC970" s="163"/>
      <c r="BD970" s="163"/>
      <c r="BG970" s="163"/>
      <c r="BH970" s="163"/>
      <c r="BI970" s="163"/>
      <c r="BJ970" s="163"/>
      <c r="BK970" s="163"/>
      <c r="BL970" s="163"/>
      <c r="BM970" s="163"/>
      <c r="BN970" s="163"/>
      <c r="BO970" s="163"/>
      <c r="BP970" s="163"/>
      <c r="BQ970" s="163"/>
      <c r="BR970" s="163"/>
      <c r="BS970" s="163"/>
    </row>
    <row r="971" spans="52:71" x14ac:dyDescent="0.3">
      <c r="AZ971" s="163"/>
      <c r="BB971" s="163"/>
      <c r="BC971" s="163"/>
      <c r="BD971" s="163"/>
      <c r="BG971" s="163"/>
      <c r="BH971" s="163"/>
      <c r="BI971" s="163"/>
      <c r="BJ971" s="163"/>
      <c r="BK971" s="163"/>
      <c r="BL971" s="163"/>
      <c r="BM971" s="163"/>
      <c r="BN971" s="163"/>
      <c r="BO971" s="163"/>
      <c r="BP971" s="163"/>
      <c r="BQ971" s="163"/>
      <c r="BR971" s="163"/>
      <c r="BS971" s="163"/>
    </row>
    <row r="972" spans="52:71" x14ac:dyDescent="0.3">
      <c r="AZ972" s="163"/>
      <c r="BB972" s="163"/>
      <c r="BC972" s="163"/>
      <c r="BD972" s="163"/>
      <c r="BG972" s="163"/>
      <c r="BH972" s="163"/>
      <c r="BI972" s="163"/>
      <c r="BJ972" s="163"/>
      <c r="BK972" s="163"/>
      <c r="BL972" s="163"/>
      <c r="BM972" s="163"/>
      <c r="BN972" s="163"/>
      <c r="BO972" s="163"/>
      <c r="BP972" s="163"/>
      <c r="BQ972" s="163"/>
      <c r="BR972" s="163"/>
      <c r="BS972" s="163"/>
    </row>
    <row r="973" spans="52:71" x14ac:dyDescent="0.3">
      <c r="AZ973" s="163"/>
      <c r="BB973" s="163"/>
      <c r="BC973" s="163"/>
      <c r="BD973" s="163"/>
      <c r="BG973" s="163"/>
      <c r="BH973" s="163"/>
      <c r="BI973" s="163"/>
      <c r="BJ973" s="163"/>
      <c r="BK973" s="163"/>
      <c r="BL973" s="163"/>
      <c r="BM973" s="163"/>
      <c r="BN973" s="163"/>
      <c r="BO973" s="163"/>
      <c r="BP973" s="163"/>
      <c r="BQ973" s="163"/>
      <c r="BR973" s="163"/>
      <c r="BS973" s="163"/>
    </row>
    <row r="974" spans="52:71" x14ac:dyDescent="0.3">
      <c r="AZ974" s="163"/>
      <c r="BB974" s="163"/>
      <c r="BC974" s="163"/>
      <c r="BD974" s="163"/>
      <c r="BG974" s="163"/>
      <c r="BH974" s="163"/>
      <c r="BI974" s="163"/>
      <c r="BJ974" s="163"/>
      <c r="BK974" s="163"/>
      <c r="BL974" s="163"/>
      <c r="BM974" s="163"/>
      <c r="BN974" s="163"/>
      <c r="BO974" s="163"/>
      <c r="BP974" s="163"/>
      <c r="BQ974" s="163"/>
      <c r="BR974" s="163"/>
      <c r="BS974" s="163"/>
    </row>
    <row r="975" spans="52:71" x14ac:dyDescent="0.3">
      <c r="AZ975" s="163"/>
      <c r="BB975" s="163"/>
      <c r="BC975" s="163"/>
      <c r="BD975" s="163"/>
      <c r="BG975" s="163"/>
      <c r="BH975" s="163"/>
      <c r="BI975" s="163"/>
      <c r="BJ975" s="163"/>
      <c r="BK975" s="163"/>
      <c r="BL975" s="163"/>
      <c r="BM975" s="163"/>
      <c r="BN975" s="163"/>
      <c r="BO975" s="163"/>
      <c r="BP975" s="163"/>
      <c r="BQ975" s="163"/>
      <c r="BR975" s="163"/>
      <c r="BS975" s="163"/>
    </row>
    <row r="976" spans="52:71" x14ac:dyDescent="0.3">
      <c r="AZ976" s="163"/>
      <c r="BB976" s="163"/>
      <c r="BC976" s="163"/>
      <c r="BD976" s="163"/>
      <c r="BG976" s="163"/>
      <c r="BH976" s="163"/>
      <c r="BI976" s="163"/>
      <c r="BJ976" s="163"/>
      <c r="BK976" s="163"/>
      <c r="BL976" s="163"/>
      <c r="BM976" s="163"/>
      <c r="BN976" s="163"/>
      <c r="BO976" s="163"/>
      <c r="BP976" s="163"/>
      <c r="BQ976" s="163"/>
      <c r="BR976" s="163"/>
      <c r="BS976" s="163"/>
    </row>
    <row r="977" spans="52:71" x14ac:dyDescent="0.3">
      <c r="AZ977" s="163"/>
      <c r="BB977" s="163"/>
      <c r="BC977" s="163"/>
      <c r="BD977" s="163"/>
      <c r="BG977" s="163"/>
      <c r="BH977" s="163"/>
      <c r="BI977" s="163"/>
      <c r="BJ977" s="163"/>
      <c r="BK977" s="163"/>
      <c r="BL977" s="163"/>
      <c r="BM977" s="163"/>
      <c r="BN977" s="163"/>
      <c r="BO977" s="163"/>
      <c r="BP977" s="163"/>
      <c r="BQ977" s="163"/>
      <c r="BR977" s="163"/>
      <c r="BS977" s="163"/>
    </row>
    <row r="978" spans="52:71" x14ac:dyDescent="0.3">
      <c r="AZ978" s="163"/>
      <c r="BB978" s="163"/>
      <c r="BC978" s="163"/>
      <c r="BD978" s="163"/>
      <c r="BG978" s="163"/>
      <c r="BH978" s="163"/>
      <c r="BI978" s="163"/>
      <c r="BJ978" s="163"/>
      <c r="BK978" s="163"/>
      <c r="BL978" s="163"/>
      <c r="BM978" s="163"/>
      <c r="BN978" s="163"/>
      <c r="BO978" s="163"/>
      <c r="BP978" s="163"/>
      <c r="BQ978" s="163"/>
      <c r="BR978" s="163"/>
      <c r="BS978" s="163"/>
    </row>
    <row r="979" spans="52:71" x14ac:dyDescent="0.3">
      <c r="AZ979" s="163"/>
      <c r="BG979" s="163"/>
      <c r="BH979" s="163"/>
      <c r="BI979" s="163"/>
      <c r="BJ979" s="163"/>
      <c r="BK979" s="163"/>
      <c r="BL979" s="163"/>
      <c r="BM979" s="163"/>
      <c r="BN979" s="163"/>
      <c r="BO979" s="163"/>
      <c r="BP979" s="163"/>
      <c r="BQ979" s="163"/>
      <c r="BR979" s="163"/>
      <c r="BS979" s="163"/>
    </row>
    <row r="980" spans="52:71" x14ac:dyDescent="0.3">
      <c r="AZ980" s="163"/>
      <c r="BG980" s="163"/>
      <c r="BH980" s="163"/>
      <c r="BI980" s="163"/>
      <c r="BJ980" s="163"/>
      <c r="BK980" s="163"/>
      <c r="BL980" s="163"/>
      <c r="BM980" s="163"/>
      <c r="BN980" s="163"/>
      <c r="BO980" s="163"/>
      <c r="BP980" s="163"/>
      <c r="BQ980" s="163"/>
      <c r="BR980" s="163"/>
      <c r="BS980" s="163"/>
    </row>
    <row r="981" spans="52:71" x14ac:dyDescent="0.3">
      <c r="AZ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</row>
    <row r="982" spans="52:71" x14ac:dyDescent="0.3">
      <c r="AZ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</row>
    <row r="983" spans="52:71" x14ac:dyDescent="0.3">
      <c r="AZ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</row>
    <row r="984" spans="52:71" x14ac:dyDescent="0.3">
      <c r="AZ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</row>
    <row r="985" spans="52:71" x14ac:dyDescent="0.3">
      <c r="AZ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</row>
    <row r="986" spans="52:71" x14ac:dyDescent="0.3">
      <c r="AZ986" s="163"/>
    </row>
    <row r="987" spans="52:71" x14ac:dyDescent="0.3">
      <c r="AZ987" s="163"/>
    </row>
    <row r="1001" spans="1:28" x14ac:dyDescent="0.3">
      <c r="A1001" s="99"/>
    </row>
    <row r="1004" spans="1:28" x14ac:dyDescent="0.3">
      <c r="Y1004" s="99"/>
    </row>
    <row r="1005" spans="1:28" x14ac:dyDescent="0.3">
      <c r="A1005" s="99"/>
      <c r="H1005" s="99"/>
      <c r="I1005" s="99"/>
    </row>
    <row r="1006" spans="1:28" x14ac:dyDescent="0.3">
      <c r="A1006" s="99"/>
      <c r="V1006" s="102"/>
      <c r="AA1006" s="102"/>
      <c r="AB1006" s="102"/>
    </row>
    <row r="1007" spans="1:28" x14ac:dyDescent="0.3">
      <c r="A1007" s="99"/>
      <c r="V1007" s="101"/>
      <c r="AA1007" s="101"/>
      <c r="AB1007" s="101"/>
    </row>
    <row r="1008" spans="1:28" x14ac:dyDescent="0.3">
      <c r="A1008" s="99"/>
      <c r="U1008" s="99"/>
      <c r="AA1008" s="102"/>
      <c r="AB1008" s="102"/>
    </row>
    <row r="1009" spans="1:28" x14ac:dyDescent="0.3">
      <c r="A1009" s="99"/>
    </row>
    <row r="1010" spans="1:28" x14ac:dyDescent="0.3">
      <c r="A1010" s="99"/>
      <c r="U1010" s="99"/>
      <c r="AA1010" s="102"/>
      <c r="AB1010" s="102"/>
    </row>
    <row r="1011" spans="1:28" x14ac:dyDescent="0.3">
      <c r="A1011" s="99"/>
    </row>
    <row r="1012" spans="1:28" x14ac:dyDescent="0.3">
      <c r="A1012" s="99"/>
      <c r="U1012" s="99"/>
      <c r="V1012" s="231"/>
      <c r="AA1012" s="102"/>
      <c r="AB1012" s="102"/>
    </row>
    <row r="1013" spans="1:28" x14ac:dyDescent="0.3">
      <c r="A1013" s="99"/>
    </row>
    <row r="1014" spans="1:28" x14ac:dyDescent="0.3">
      <c r="A1014" s="99"/>
      <c r="U1014" s="99"/>
      <c r="AA1014" s="102"/>
      <c r="AB1014" s="102"/>
    </row>
    <row r="1015" spans="1:28" x14ac:dyDescent="0.3">
      <c r="A1015" s="99"/>
    </row>
    <row r="1016" spans="1:28" x14ac:dyDescent="0.3">
      <c r="A1016" s="99"/>
      <c r="U1016" s="99"/>
      <c r="AA1016" s="102"/>
      <c r="AB1016" s="102"/>
    </row>
    <row r="1017" spans="1:28" x14ac:dyDescent="0.3">
      <c r="A1017" s="99"/>
    </row>
    <row r="1018" spans="1:28" x14ac:dyDescent="0.3">
      <c r="A1018" s="99"/>
    </row>
    <row r="1019" spans="1:28" x14ac:dyDescent="0.3">
      <c r="A1019" s="99"/>
    </row>
    <row r="1020" spans="1:28" x14ac:dyDescent="0.3">
      <c r="A1020" s="99"/>
    </row>
    <row r="1021" spans="1:28" x14ac:dyDescent="0.3">
      <c r="A1021" s="99"/>
    </row>
    <row r="1022" spans="1:28" x14ac:dyDescent="0.3">
      <c r="A1022" s="99"/>
    </row>
    <row r="1023" spans="1:28" x14ac:dyDescent="0.3">
      <c r="A1023" s="99"/>
    </row>
    <row r="1024" spans="1:28" x14ac:dyDescent="0.3">
      <c r="A1024" s="99"/>
    </row>
    <row r="1025" spans="1:9" x14ac:dyDescent="0.3">
      <c r="A1025" s="99"/>
    </row>
    <row r="1026" spans="1:9" x14ac:dyDescent="0.3">
      <c r="A1026" s="99"/>
    </row>
    <row r="1027" spans="1:9" x14ac:dyDescent="0.3">
      <c r="A1027" s="99"/>
      <c r="H1027" s="99"/>
      <c r="I1027" s="99"/>
    </row>
    <row r="1030" spans="1:9" x14ac:dyDescent="0.3">
      <c r="A1030" s="99"/>
    </row>
    <row r="1033" spans="1:9" x14ac:dyDescent="0.3">
      <c r="A1033" s="99"/>
    </row>
    <row r="1036" spans="1:9" x14ac:dyDescent="0.3">
      <c r="A1036" s="99"/>
    </row>
    <row r="1037" spans="1:9" x14ac:dyDescent="0.3">
      <c r="A1037" s="99"/>
    </row>
    <row r="1038" spans="1:9" x14ac:dyDescent="0.3">
      <c r="A1038" s="99"/>
    </row>
    <row r="1039" spans="1:9" x14ac:dyDescent="0.3">
      <c r="A1039" s="99"/>
    </row>
    <row r="1040" spans="1:9" x14ac:dyDescent="0.3">
      <c r="A1040" s="99"/>
    </row>
    <row r="1041" spans="1:1" x14ac:dyDescent="0.3">
      <c r="A1041" s="99"/>
    </row>
    <row r="1042" spans="1:1" x14ac:dyDescent="0.3">
      <c r="A1042" s="99"/>
    </row>
    <row r="1043" spans="1:1" x14ac:dyDescent="0.3">
      <c r="A1043" s="99"/>
    </row>
    <row r="1044" spans="1:1" x14ac:dyDescent="0.3">
      <c r="A1044" s="99"/>
    </row>
    <row r="1045" spans="1:1" x14ac:dyDescent="0.3">
      <c r="A1045" s="99"/>
    </row>
    <row r="1046" spans="1:1" x14ac:dyDescent="0.3">
      <c r="A1046" s="99"/>
    </row>
    <row r="1047" spans="1:1" x14ac:dyDescent="0.3">
      <c r="A1047" s="99"/>
    </row>
    <row r="1048" spans="1:1" x14ac:dyDescent="0.3">
      <c r="A1048" s="99"/>
    </row>
    <row r="1049" spans="1:1" x14ac:dyDescent="0.3">
      <c r="A1049" s="99"/>
    </row>
    <row r="1050" spans="1:1" x14ac:dyDescent="0.3">
      <c r="A1050" s="99"/>
    </row>
    <row r="1051" spans="1:1" x14ac:dyDescent="0.3">
      <c r="A1051" s="99"/>
    </row>
    <row r="1052" spans="1:1" x14ac:dyDescent="0.3">
      <c r="A1052" s="99"/>
    </row>
    <row r="1053" spans="1:1" x14ac:dyDescent="0.3">
      <c r="A1053" s="99"/>
    </row>
    <row r="1054" spans="1:1" x14ac:dyDescent="0.3">
      <c r="A1054" s="99"/>
    </row>
    <row r="1055" spans="1:1" x14ac:dyDescent="0.3">
      <c r="A1055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5" spans="1:1" x14ac:dyDescent="0.3">
      <c r="A1075" s="99"/>
    </row>
    <row r="1076" spans="1:1" x14ac:dyDescent="0.3">
      <c r="A1076" s="99"/>
    </row>
    <row r="1079" spans="1:1" x14ac:dyDescent="0.3">
      <c r="A1079" s="99"/>
    </row>
    <row r="1081" spans="1:1" x14ac:dyDescent="0.3">
      <c r="A1081" s="99"/>
    </row>
    <row r="1083" spans="1:1" x14ac:dyDescent="0.3">
      <c r="A1083" s="99"/>
    </row>
    <row r="1085" spans="1:1" x14ac:dyDescent="0.3">
      <c r="A1085" s="99"/>
    </row>
    <row r="1088" spans="1:1" x14ac:dyDescent="0.3">
      <c r="A1088" s="99"/>
    </row>
    <row r="1089" spans="1:1" x14ac:dyDescent="0.3">
      <c r="A1089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3" spans="1:1" x14ac:dyDescent="0.3">
      <c r="A1093" s="99"/>
    </row>
    <row r="1094" spans="1:1" x14ac:dyDescent="0.3">
      <c r="A1094" s="99"/>
    </row>
    <row r="1095" spans="1:1" x14ac:dyDescent="0.3">
      <c r="A1095" s="99"/>
    </row>
  </sheetData>
  <customSheetViews>
    <customSheetView guid="{F562D92E-120C-4AE9-9663-89E64D41DC53}" scale="75" fitToPage="1" topLeftCell="A4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1"/>
      <headerFooter alignWithMargins="0"/>
    </customSheetView>
    <customSheetView guid="{35F19056-2E6F-4935-B863-78836FE990BF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3" orientation="landscape" r:id="rId2"/>
      <headerFooter alignWithMargins="0"/>
    </customSheetView>
    <customSheetView guid="{18BDED73-BFA0-442E-87EC-CED86EE4CF94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 topLeftCell="A13">
      <selection activeCell="D4" sqref="D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9"/>
      <headerFooter alignWithMargins="0"/>
    </customSheetView>
    <customSheetView guid="{4BC93440-BA85-4935-A8C9-66DC6AE5DE5E}" scale="75" fitToPage="1" showRuler="0" topLeftCell="A9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0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0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syncVertical="1" syncRef="A1" transitionEvaluation="1" transitionEntry="1" codeName="Sheet82">
    <pageSetUpPr fitToPage="1"/>
  </sheetPr>
  <dimension ref="A1:BW1045"/>
  <sheetViews>
    <sheetView zoomScale="75" workbookViewId="0"/>
  </sheetViews>
  <sheetFormatPr defaultColWidth="9.75" defaultRowHeight="15.6" x14ac:dyDescent="0.3"/>
  <cols>
    <col min="1" max="1" width="5" style="98" customWidth="1"/>
    <col min="2" max="2" width="0.6640625" style="98" customWidth="1"/>
    <col min="3" max="3" width="8.6640625" style="98" customWidth="1"/>
    <col min="4" max="4" width="40.08203125" style="98" customWidth="1"/>
    <col min="5" max="5" width="0.7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3.66406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2.75" style="98" customWidth="1"/>
    <col min="17" max="17" width="0.58203125" style="98" customWidth="1"/>
    <col min="18" max="18" width="17.25" style="98" customWidth="1"/>
    <col min="19" max="19" width="6.6640625" style="98" customWidth="1"/>
    <col min="20" max="20" width="5.08203125" style="98" customWidth="1"/>
    <col min="21" max="21" width="0.58203125" style="98" customWidth="1"/>
    <col min="22" max="22" width="7.4140625" style="98" customWidth="1"/>
    <col min="23" max="23" width="40.6640625" style="98" customWidth="1"/>
    <col min="24" max="24" width="0.7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4140625" style="98" customWidth="1"/>
    <col min="29" max="29" width="12.25" style="98" customWidth="1"/>
    <col min="30" max="30" width="0.332031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66406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">
        <v>521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49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306</v>
      </c>
      <c r="D20" s="134" t="s">
        <v>363</v>
      </c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99"/>
      <c r="U20" s="99"/>
    </row>
    <row r="21" spans="1:40" x14ac:dyDescent="0.3">
      <c r="A21" s="98">
        <v>2</v>
      </c>
      <c r="C21" s="124"/>
      <c r="D21" s="134" t="s">
        <v>132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ht="21.75" customHeight="1" x14ac:dyDescent="0.3">
      <c r="C22" s="9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99"/>
    </row>
    <row r="23" spans="1:40" x14ac:dyDescent="0.3">
      <c r="A23" s="98">
        <v>3</v>
      </c>
      <c r="C23" s="124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99" t="s">
        <v>311</v>
      </c>
      <c r="F24" s="172">
        <v>0</v>
      </c>
      <c r="G24" s="1"/>
      <c r="H24" s="147"/>
      <c r="I24" s="1"/>
      <c r="J24" s="181">
        <f>INPUT!D154</f>
        <v>183</v>
      </c>
      <c r="K24" s="1"/>
      <c r="L24" s="106">
        <f>ROUND(+F24*J24,0)</f>
        <v>0</v>
      </c>
      <c r="M24" s="1"/>
      <c r="N24" s="236">
        <v>0</v>
      </c>
      <c r="O24" s="1"/>
      <c r="P24" s="106"/>
      <c r="Q24" s="1"/>
      <c r="R24" s="106">
        <f>L24+P24</f>
        <v>0</v>
      </c>
      <c r="S24" s="110"/>
      <c r="T24" s="99"/>
      <c r="V24" s="110"/>
      <c r="Y24" s="110"/>
      <c r="Z24" s="216"/>
      <c r="AA24" s="110"/>
      <c r="AB24" s="110"/>
      <c r="AC24" s="141"/>
      <c r="AD24" s="141"/>
      <c r="AE24" s="110"/>
      <c r="AF24" s="110"/>
      <c r="AH24" s="141"/>
      <c r="AI24" s="110"/>
      <c r="AJ24" s="110"/>
      <c r="AL24" s="110"/>
      <c r="AM24" s="141"/>
      <c r="AN24" s="141"/>
    </row>
    <row r="25" spans="1:40" ht="20.100000000000001" customHeight="1" x14ac:dyDescent="0.3">
      <c r="A25" s="98">
        <v>5</v>
      </c>
      <c r="C25" s="124" t="s">
        <v>136</v>
      </c>
      <c r="F25" s="106"/>
      <c r="G25" s="1"/>
      <c r="H25" s="106"/>
      <c r="I25" s="1"/>
      <c r="J25" s="217"/>
      <c r="K25" s="1"/>
      <c r="L25" s="112">
        <f>SUM(L24:L24)</f>
        <v>0</v>
      </c>
      <c r="M25" s="1"/>
      <c r="N25" s="193">
        <v>0</v>
      </c>
      <c r="O25" s="1"/>
      <c r="P25" s="112"/>
      <c r="Q25" s="106"/>
      <c r="R25" s="112">
        <f>SUM(R24:R24)</f>
        <v>0</v>
      </c>
      <c r="S25" s="110"/>
      <c r="V25" s="192"/>
      <c r="Y25" s="192"/>
      <c r="Z25" s="217"/>
      <c r="AA25" s="192"/>
      <c r="AB25" s="192"/>
      <c r="AC25" s="192"/>
      <c r="AD25" s="192"/>
      <c r="AE25" s="192"/>
      <c r="AF25" s="192"/>
      <c r="AI25" s="192"/>
      <c r="AJ25" s="192"/>
      <c r="AK25" s="194"/>
      <c r="AL25" s="192"/>
      <c r="AM25" s="141"/>
      <c r="AN25" s="141"/>
    </row>
    <row r="26" spans="1:40" ht="19.5" customHeight="1" x14ac:dyDescent="0.3">
      <c r="C26" s="99"/>
      <c r="F26" s="106"/>
      <c r="G26" s="1"/>
      <c r="H26" s="106"/>
      <c r="I26" s="1"/>
      <c r="J26" s="217"/>
      <c r="K26" s="1"/>
      <c r="L26" s="106"/>
      <c r="M26" s="1"/>
      <c r="N26" s="175"/>
      <c r="O26" s="1"/>
      <c r="P26" s="106"/>
      <c r="Q26" s="106"/>
      <c r="R26" s="106"/>
      <c r="S26" s="110"/>
      <c r="V26" s="192"/>
      <c r="Y26" s="192"/>
      <c r="Z26" s="217"/>
      <c r="AA26" s="192"/>
      <c r="AB26" s="192"/>
      <c r="AC26" s="192"/>
      <c r="AD26" s="192"/>
      <c r="AE26" s="192"/>
      <c r="AF26" s="192"/>
      <c r="AI26" s="192"/>
      <c r="AJ26" s="192"/>
      <c r="AK26" s="194"/>
      <c r="AL26" s="192"/>
      <c r="AM26" s="141"/>
      <c r="AN26" s="141"/>
    </row>
    <row r="27" spans="1:40" x14ac:dyDescent="0.3">
      <c r="A27" s="98">
        <v>6</v>
      </c>
      <c r="C27" s="124" t="s">
        <v>371</v>
      </c>
      <c r="F27" s="106"/>
      <c r="G27" s="1"/>
      <c r="H27" s="106"/>
      <c r="I27" s="1"/>
      <c r="J27" s="198"/>
      <c r="K27" s="1"/>
      <c r="L27" s="106"/>
      <c r="M27" s="1"/>
      <c r="N27" s="175"/>
      <c r="O27" s="1"/>
      <c r="P27" s="106"/>
      <c r="Q27" s="106"/>
      <c r="R27" s="106"/>
      <c r="Y27" s="99"/>
    </row>
    <row r="28" spans="1:40" x14ac:dyDescent="0.3">
      <c r="A28" s="98">
        <v>7</v>
      </c>
      <c r="C28" s="99" t="s">
        <v>381</v>
      </c>
      <c r="F28" s="147"/>
      <c r="G28" s="1"/>
      <c r="H28" s="172">
        <v>0</v>
      </c>
      <c r="I28" s="147"/>
      <c r="J28" s="189">
        <f>INPUT!D157</f>
        <v>2.8504000000000002E-2</v>
      </c>
      <c r="K28" s="185"/>
      <c r="L28" s="106">
        <f>ROUND((H28*J28),0)</f>
        <v>0</v>
      </c>
      <c r="M28" s="106"/>
      <c r="N28" s="175">
        <v>0</v>
      </c>
      <c r="O28" s="175"/>
      <c r="P28" s="147"/>
      <c r="Q28" s="147"/>
      <c r="R28" s="106">
        <f>L28+P28</f>
        <v>0</v>
      </c>
      <c r="S28" s="110"/>
      <c r="T28" s="99"/>
      <c r="V28" s="172"/>
      <c r="Y28" s="110"/>
      <c r="Z28" s="216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ht="20.100000000000001" customHeight="1" x14ac:dyDescent="0.3">
      <c r="A29" s="98">
        <v>8</v>
      </c>
      <c r="C29" s="99" t="s">
        <v>370</v>
      </c>
      <c r="F29" s="147"/>
      <c r="G29" s="1"/>
      <c r="H29" s="147">
        <f>H28</f>
        <v>0</v>
      </c>
      <c r="I29" s="147"/>
      <c r="J29" s="189">
        <f>INPUT!D161</f>
        <v>3.9684999999999998E-2</v>
      </c>
      <c r="K29" s="185"/>
      <c r="L29" s="106">
        <f>ROUND((H29*J29),0)</f>
        <v>0</v>
      </c>
      <c r="M29" s="106"/>
      <c r="N29" s="175">
        <v>0</v>
      </c>
      <c r="O29" s="175"/>
      <c r="P29" s="110">
        <f>ROUND(-H29*(CUR_FAC+CUR_BASE_FUEL),0)</f>
        <v>0</v>
      </c>
      <c r="Q29" s="147"/>
      <c r="R29" s="106">
        <f>L29+P29</f>
        <v>0</v>
      </c>
      <c r="S29" s="110"/>
      <c r="V29" s="192"/>
      <c r="Y29" s="192"/>
      <c r="Z29" s="217"/>
      <c r="AA29" s="192"/>
      <c r="AB29" s="192"/>
      <c r="AC29" s="192"/>
      <c r="AD29" s="192"/>
      <c r="AE29" s="192"/>
      <c r="AF29" s="192"/>
      <c r="AI29" s="192"/>
      <c r="AJ29" s="192"/>
      <c r="AK29" s="194"/>
      <c r="AL29" s="192"/>
      <c r="AM29" s="141"/>
      <c r="AN29" s="141"/>
    </row>
    <row r="30" spans="1:40" ht="20.100000000000001" customHeight="1" x14ac:dyDescent="0.3">
      <c r="A30" s="98">
        <v>9</v>
      </c>
      <c r="C30" s="124" t="s">
        <v>142</v>
      </c>
      <c r="F30" s="117"/>
      <c r="G30" s="1"/>
      <c r="H30" s="112">
        <f>H28</f>
        <v>0</v>
      </c>
      <c r="I30" s="106"/>
      <c r="J30" s="196"/>
      <c r="K30" s="136"/>
      <c r="L30" s="112">
        <f>SUM(L28:L29)</f>
        <v>0</v>
      </c>
      <c r="M30" s="106"/>
      <c r="N30" s="193">
        <v>0</v>
      </c>
      <c r="O30" s="175"/>
      <c r="P30" s="246">
        <f>P29</f>
        <v>0</v>
      </c>
      <c r="Q30" s="106"/>
      <c r="R30" s="112">
        <f>SUM(R28:R29)</f>
        <v>0</v>
      </c>
      <c r="S30" s="110"/>
      <c r="V30" s="192"/>
      <c r="Y30" s="192"/>
      <c r="Z30" s="217"/>
      <c r="AA30" s="192"/>
      <c r="AB30" s="192"/>
      <c r="AC30" s="192"/>
      <c r="AD30" s="192"/>
      <c r="AE30" s="192"/>
      <c r="AF30" s="192"/>
      <c r="AI30" s="192"/>
      <c r="AJ30" s="192"/>
      <c r="AK30" s="194"/>
      <c r="AL30" s="192"/>
    </row>
    <row r="31" spans="1:40" ht="20.100000000000001" customHeight="1" x14ac:dyDescent="0.3">
      <c r="A31" s="98">
        <v>10</v>
      </c>
      <c r="C31" s="169" t="s">
        <v>452</v>
      </c>
      <c r="F31" s="112">
        <f>F24</f>
        <v>0</v>
      </c>
      <c r="G31" s="1"/>
      <c r="H31" s="112">
        <f>H30</f>
        <v>0</v>
      </c>
      <c r="I31" s="106"/>
      <c r="J31" s="196"/>
      <c r="K31" s="136"/>
      <c r="L31" s="112">
        <f>L30+L25</f>
        <v>0</v>
      </c>
      <c r="M31" s="106"/>
      <c r="N31" s="236">
        <v>0</v>
      </c>
      <c r="O31" s="175"/>
      <c r="P31" s="246">
        <f>P30</f>
        <v>0</v>
      </c>
      <c r="Q31" s="106"/>
      <c r="R31" s="112">
        <f>R25+R30</f>
        <v>0</v>
      </c>
      <c r="S31" s="110"/>
      <c r="V31" s="192"/>
      <c r="Y31" s="192"/>
      <c r="Z31" s="217"/>
      <c r="AA31" s="192"/>
      <c r="AB31" s="192"/>
      <c r="AC31" s="192"/>
      <c r="AD31" s="192"/>
      <c r="AE31" s="192"/>
      <c r="AF31" s="192"/>
      <c r="AI31" s="192"/>
      <c r="AJ31" s="192"/>
      <c r="AK31" s="194"/>
      <c r="AL31" s="192"/>
    </row>
    <row r="32" spans="1:40" ht="15.75" customHeight="1" x14ac:dyDescent="0.3">
      <c r="C32" s="99"/>
      <c r="F32" s="106"/>
      <c r="G32" s="1"/>
      <c r="H32" s="106"/>
      <c r="I32" s="106"/>
      <c r="J32" s="196"/>
      <c r="K32" s="136"/>
      <c r="L32" s="106"/>
      <c r="M32" s="106"/>
      <c r="N32" s="175"/>
      <c r="O32" s="175"/>
      <c r="P32" s="147"/>
      <c r="Q32" s="106"/>
      <c r="R32" s="106"/>
      <c r="S32" s="110"/>
      <c r="V32" s="192"/>
      <c r="Y32" s="192"/>
      <c r="Z32" s="217"/>
      <c r="AA32" s="192"/>
      <c r="AB32" s="192"/>
      <c r="AC32" s="192"/>
      <c r="AD32" s="192"/>
      <c r="AE32" s="192"/>
      <c r="AF32" s="192"/>
      <c r="AI32" s="192"/>
      <c r="AJ32" s="192"/>
      <c r="AK32" s="194"/>
      <c r="AL32" s="192"/>
    </row>
    <row r="33" spans="1:43" ht="15.75" customHeight="1" x14ac:dyDescent="0.3">
      <c r="A33" s="98">
        <v>11</v>
      </c>
      <c r="C33" s="124" t="s">
        <v>428</v>
      </c>
      <c r="F33" s="106"/>
      <c r="G33" s="1"/>
      <c r="H33" s="106"/>
      <c r="I33" s="106"/>
      <c r="J33" s="196"/>
      <c r="K33" s="136"/>
      <c r="L33" s="106"/>
      <c r="M33" s="106"/>
      <c r="N33" s="175"/>
      <c r="O33" s="175"/>
      <c r="P33" s="147"/>
      <c r="Q33" s="106"/>
      <c r="R33" s="106"/>
      <c r="S33" s="110"/>
      <c r="V33" s="192"/>
      <c r="Y33" s="192"/>
      <c r="Z33" s="217"/>
      <c r="AA33" s="192"/>
      <c r="AB33" s="192"/>
      <c r="AC33" s="192"/>
      <c r="AD33" s="192"/>
      <c r="AE33" s="192"/>
      <c r="AF33" s="192"/>
      <c r="AI33" s="192"/>
      <c r="AJ33" s="192"/>
      <c r="AK33" s="194"/>
      <c r="AL33" s="192"/>
    </row>
    <row r="34" spans="1:43" ht="15.75" customHeight="1" x14ac:dyDescent="0.3">
      <c r="A34" s="98">
        <v>12</v>
      </c>
      <c r="C34" s="176" t="s">
        <v>432</v>
      </c>
      <c r="F34" s="106"/>
      <c r="G34" s="1"/>
      <c r="H34" s="106"/>
      <c r="I34" s="106"/>
      <c r="J34" s="189">
        <f>PRO_DSM_DIST</f>
        <v>3.503E-3</v>
      </c>
      <c r="K34" s="136"/>
      <c r="L34" s="106">
        <f>ROUND(H31*PRO_DSM_DIST,0)</f>
        <v>0</v>
      </c>
      <c r="M34" s="106"/>
      <c r="N34" s="154">
        <v>0</v>
      </c>
      <c r="O34" s="175"/>
      <c r="P34" s="147"/>
      <c r="Q34" s="106"/>
      <c r="R34" s="106">
        <f>L34+P34</f>
        <v>0</v>
      </c>
      <c r="S34" s="110"/>
      <c r="V34" s="192"/>
      <c r="Y34" s="192"/>
      <c r="Z34" s="217"/>
      <c r="AA34" s="192"/>
      <c r="AB34" s="192"/>
      <c r="AC34" s="192"/>
      <c r="AD34" s="192"/>
      <c r="AE34" s="192"/>
      <c r="AF34" s="192"/>
      <c r="AI34" s="192"/>
      <c r="AJ34" s="192"/>
      <c r="AK34" s="194"/>
      <c r="AL34" s="192"/>
    </row>
    <row r="35" spans="1:43" ht="15.75" customHeight="1" x14ac:dyDescent="0.3">
      <c r="A35" s="98">
        <v>13</v>
      </c>
      <c r="C35" s="176" t="s">
        <v>430</v>
      </c>
      <c r="F35" s="106"/>
      <c r="G35" s="1"/>
      <c r="H35" s="106"/>
      <c r="I35" s="106"/>
      <c r="J35" s="189">
        <f>PRO_PSM</f>
        <v>2.4750000000000002E-3</v>
      </c>
      <c r="K35" s="136"/>
      <c r="L35" s="117">
        <f>ROUND(H31*PRO_PSM,0)</f>
        <v>0</v>
      </c>
      <c r="M35" s="106"/>
      <c r="N35" s="156">
        <v>0</v>
      </c>
      <c r="O35" s="175"/>
      <c r="P35" s="177"/>
      <c r="Q35" s="106"/>
      <c r="R35" s="106">
        <f>L35+P35</f>
        <v>0</v>
      </c>
      <c r="S35" s="110"/>
      <c r="V35" s="192"/>
      <c r="Y35" s="192"/>
      <c r="Z35" s="217"/>
      <c r="AA35" s="192"/>
      <c r="AB35" s="192"/>
      <c r="AC35" s="192"/>
      <c r="AD35" s="192"/>
      <c r="AE35" s="192"/>
      <c r="AF35" s="192"/>
      <c r="AI35" s="192"/>
      <c r="AJ35" s="192"/>
      <c r="AK35" s="194"/>
      <c r="AL35" s="192"/>
    </row>
    <row r="36" spans="1:43" ht="20.100000000000001" customHeight="1" x14ac:dyDescent="0.3">
      <c r="A36" s="98">
        <v>14</v>
      </c>
      <c r="C36" s="124" t="s">
        <v>433</v>
      </c>
      <c r="F36" s="117"/>
      <c r="G36" s="1"/>
      <c r="H36" s="117"/>
      <c r="I36" s="106"/>
      <c r="J36" s="136"/>
      <c r="K36" s="136"/>
      <c r="L36" s="112">
        <f>SUM(L34:L35)</f>
        <v>0</v>
      </c>
      <c r="M36" s="106"/>
      <c r="N36" s="158">
        <v>0</v>
      </c>
      <c r="O36" s="175"/>
      <c r="P36" s="112">
        <f>SUM(P34:P35)</f>
        <v>0</v>
      </c>
      <c r="Q36" s="106"/>
      <c r="R36" s="112">
        <f>SUM(R34:R35)</f>
        <v>0</v>
      </c>
      <c r="S36" s="110"/>
      <c r="V36" s="192"/>
      <c r="Y36" s="192"/>
      <c r="Z36" s="217"/>
      <c r="AA36" s="192"/>
      <c r="AB36" s="192"/>
      <c r="AC36" s="192"/>
      <c r="AD36" s="192"/>
      <c r="AE36" s="192"/>
      <c r="AF36" s="192"/>
      <c r="AI36" s="192"/>
      <c r="AJ36" s="192"/>
      <c r="AK36" s="194"/>
      <c r="AL36" s="192"/>
    </row>
    <row r="37" spans="1:43" ht="15.75" customHeight="1" x14ac:dyDescent="0.3">
      <c r="C37" s="124"/>
      <c r="F37" s="106"/>
      <c r="G37" s="1"/>
      <c r="H37" s="106"/>
      <c r="I37" s="106"/>
      <c r="J37" s="136"/>
      <c r="K37" s="136"/>
      <c r="L37" s="106"/>
      <c r="M37" s="106"/>
      <c r="N37" s="175"/>
      <c r="O37" s="175"/>
      <c r="P37" s="147"/>
      <c r="Q37" s="106"/>
      <c r="R37" s="106"/>
      <c r="S37" s="110"/>
      <c r="V37" s="192"/>
      <c r="Y37" s="192"/>
      <c r="Z37" s="217"/>
      <c r="AA37" s="192"/>
      <c r="AB37" s="192"/>
      <c r="AC37" s="192"/>
      <c r="AD37" s="192"/>
      <c r="AE37" s="192"/>
      <c r="AF37" s="192"/>
      <c r="AI37" s="192"/>
      <c r="AJ37" s="192"/>
      <c r="AK37" s="194"/>
      <c r="AL37" s="192"/>
    </row>
    <row r="38" spans="1:43" ht="20.100000000000001" customHeight="1" thickBot="1" x14ac:dyDescent="0.35">
      <c r="A38" s="98">
        <v>15</v>
      </c>
      <c r="C38" s="169" t="s">
        <v>453</v>
      </c>
      <c r="F38" s="120">
        <f>F31</f>
        <v>0</v>
      </c>
      <c r="G38" s="1"/>
      <c r="H38" s="120">
        <f>H31</f>
        <v>0</v>
      </c>
      <c r="I38" s="1"/>
      <c r="J38" s="1"/>
      <c r="K38" s="1"/>
      <c r="L38" s="120">
        <f>L36+L31</f>
        <v>0</v>
      </c>
      <c r="M38" s="1"/>
      <c r="N38" s="197">
        <v>100</v>
      </c>
      <c r="O38" s="1"/>
      <c r="P38" s="120">
        <f>P36+P31</f>
        <v>0</v>
      </c>
      <c r="Q38" s="147"/>
      <c r="R38" s="120">
        <f>R36+R31</f>
        <v>0</v>
      </c>
    </row>
    <row r="39" spans="1:43" ht="16.2" thickTop="1" x14ac:dyDescent="0.3"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238"/>
      <c r="R39" s="1"/>
    </row>
    <row r="40" spans="1:43" x14ac:dyDescent="0.3">
      <c r="C40" s="178" t="s">
        <v>59</v>
      </c>
      <c r="L40" s="110"/>
      <c r="N40" s="110"/>
      <c r="P40" s="110"/>
      <c r="Q40" s="110"/>
      <c r="R40" s="110"/>
    </row>
    <row r="41" spans="1:43" x14ac:dyDescent="0.3">
      <c r="C41" s="99"/>
      <c r="F41" s="192">
        <v>0</v>
      </c>
      <c r="H41" s="192">
        <v>0</v>
      </c>
      <c r="J41" s="192"/>
      <c r="L41" s="217"/>
      <c r="N41" s="217"/>
      <c r="P41" s="192"/>
      <c r="Q41" s="192"/>
      <c r="R41" s="192"/>
    </row>
    <row r="42" spans="1:43" x14ac:dyDescent="0.3">
      <c r="C42" s="99"/>
      <c r="F42" s="110"/>
      <c r="H42" s="110"/>
      <c r="J42" s="110"/>
      <c r="L42" s="198"/>
      <c r="N42" s="198"/>
      <c r="P42" s="110"/>
      <c r="Q42" s="110"/>
      <c r="R42" s="110"/>
    </row>
    <row r="43" spans="1:43" x14ac:dyDescent="0.3">
      <c r="C43" s="99"/>
      <c r="F43" s="110"/>
      <c r="H43" s="110"/>
      <c r="J43" s="110"/>
      <c r="L43" s="198"/>
      <c r="N43" s="198"/>
      <c r="P43" s="110"/>
      <c r="Q43" s="110"/>
      <c r="R43" s="110"/>
    </row>
    <row r="44" spans="1:43" x14ac:dyDescent="0.3">
      <c r="F44" s="110"/>
      <c r="H44" s="110"/>
      <c r="J44" s="110"/>
      <c r="L44" s="198"/>
      <c r="N44" s="198"/>
      <c r="P44" s="110"/>
      <c r="Q44" s="110"/>
      <c r="R44" s="110"/>
    </row>
    <row r="45" spans="1:43" x14ac:dyDescent="0.3">
      <c r="A45" s="99"/>
      <c r="F45" s="110"/>
      <c r="H45" s="110"/>
      <c r="J45" s="110"/>
      <c r="L45" s="198"/>
      <c r="N45" s="198"/>
      <c r="P45" s="110"/>
      <c r="Q45" s="110"/>
      <c r="R45" s="110"/>
      <c r="T45" s="97" t="str">
        <f>NAME</f>
        <v>DUKE ENERGY KENTUCKY, INC.</v>
      </c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149"/>
      <c r="AH45" s="97"/>
      <c r="AI45" s="97"/>
      <c r="AJ45" s="97"/>
      <c r="AK45" s="149"/>
      <c r="AL45" s="97"/>
      <c r="AM45" s="97"/>
      <c r="AN45" s="97"/>
      <c r="AO45" s="97"/>
      <c r="AP45" s="97"/>
      <c r="AQ45" s="149"/>
    </row>
    <row r="46" spans="1:43" x14ac:dyDescent="0.3">
      <c r="A46" s="99"/>
      <c r="F46" s="110"/>
      <c r="H46" s="110"/>
      <c r="J46" s="110"/>
      <c r="L46" s="198"/>
      <c r="N46" s="198"/>
      <c r="P46" s="110"/>
      <c r="Q46" s="110"/>
      <c r="R46" s="110"/>
      <c r="T46" s="97" t="str">
        <f>CASE_NO</f>
        <v>CASE NO.   2024-00354</v>
      </c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149"/>
      <c r="AH46" s="97"/>
      <c r="AI46" s="97"/>
      <c r="AJ46" s="97"/>
      <c r="AK46" s="149"/>
      <c r="AL46" s="97"/>
      <c r="AM46" s="97"/>
      <c r="AN46" s="97"/>
      <c r="AO46" s="97"/>
      <c r="AP46" s="97"/>
      <c r="AQ46" s="149"/>
    </row>
    <row r="47" spans="1:43" x14ac:dyDescent="0.3">
      <c r="T47" s="97" t="str">
        <f>TITLE</f>
        <v>ANNUALIZED BASE YEAR REVENUES AT PROPOSED VS. MOST CURRENT RATES</v>
      </c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149"/>
      <c r="AH47" s="97"/>
      <c r="AI47" s="97"/>
      <c r="AJ47" s="97"/>
      <c r="AK47" s="149"/>
      <c r="AL47" s="97"/>
      <c r="AM47" s="97"/>
      <c r="AN47" s="97"/>
      <c r="AO47" s="97"/>
      <c r="AP47" s="97"/>
      <c r="AQ47" s="149"/>
    </row>
    <row r="48" spans="1:43" x14ac:dyDescent="0.3">
      <c r="T48" s="97" t="str">
        <f>DATE</f>
        <v>FOR THE TWELVE MONTHS ENDED February 28, 2025</v>
      </c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149"/>
      <c r="AH48" s="97"/>
      <c r="AI48" s="97"/>
      <c r="AJ48" s="97"/>
      <c r="AK48" s="149"/>
      <c r="AL48" s="97"/>
      <c r="AM48" s="97"/>
      <c r="AN48" s="97"/>
      <c r="AO48" s="97"/>
      <c r="AP48" s="97"/>
      <c r="AQ48" s="149"/>
    </row>
    <row r="49" spans="1:43" x14ac:dyDescent="0.3">
      <c r="P49" s="110"/>
      <c r="Q49" s="110"/>
      <c r="R49" s="110"/>
      <c r="T49" s="97" t="str">
        <f>SERVICE</f>
        <v>(ELECTRIC SERVICE)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L49" s="97"/>
      <c r="AM49" s="97"/>
      <c r="AN49" s="97"/>
      <c r="AO49" s="97"/>
      <c r="AP49" s="97"/>
      <c r="AQ49" s="149"/>
    </row>
    <row r="50" spans="1:43" x14ac:dyDescent="0.3">
      <c r="T50" s="98" t="str">
        <f>DATA_PERIOD</f>
        <v>DATA: __X__ BASE PERIOD   ____FORECASTED PERIOD</v>
      </c>
      <c r="AO50" s="99" t="s">
        <v>157</v>
      </c>
      <c r="AP50" s="99"/>
    </row>
    <row r="51" spans="1:43" x14ac:dyDescent="0.3">
      <c r="T51" s="98" t="str">
        <f>TYPE</f>
        <v>TYPE OF FILING: _X_ ORIGINAL   ___UPDATED  ___ REVISED</v>
      </c>
      <c r="AO51" s="116" t="str">
        <f>R7</f>
        <v>PAGE  xx  OF  20</v>
      </c>
      <c r="AP51" s="99"/>
    </row>
    <row r="52" spans="1:43" x14ac:dyDescent="0.3">
      <c r="H52" s="99"/>
      <c r="J52" s="99"/>
      <c r="T52" s="99" t="s">
        <v>170</v>
      </c>
      <c r="AO52" s="99" t="s">
        <v>3</v>
      </c>
      <c r="AP52" s="99"/>
    </row>
    <row r="53" spans="1:43" x14ac:dyDescent="0.3">
      <c r="T53" s="124" t="str">
        <f>TIME</f>
        <v>6 Months Actual and 6 Months Projected with Riders</v>
      </c>
      <c r="AO53" s="98" t="str">
        <f>WIT</f>
        <v>B. L. Sailers</v>
      </c>
    </row>
    <row r="54" spans="1:43" x14ac:dyDescent="0.3">
      <c r="T54" s="124" t="str">
        <f>INPUT!B5</f>
        <v>6 Months Actual Ending August 31, 2024</v>
      </c>
    </row>
    <row r="55" spans="1:43" x14ac:dyDescent="0.3">
      <c r="P55" s="99"/>
      <c r="T55" s="97" t="s">
        <v>130</v>
      </c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149"/>
      <c r="AH55" s="97"/>
      <c r="AI55" s="97"/>
      <c r="AJ55" s="97"/>
      <c r="AK55" s="149"/>
      <c r="AL55" s="97"/>
      <c r="AM55" s="97"/>
      <c r="AN55" s="97"/>
      <c r="AO55" s="97"/>
      <c r="AP55" s="97"/>
      <c r="AQ55" s="149"/>
    </row>
    <row r="56" spans="1:43" x14ac:dyDescent="0.3">
      <c r="R56" s="99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50"/>
      <c r="AH56" s="100"/>
      <c r="AI56" s="100"/>
      <c r="AJ56" s="100"/>
      <c r="AK56" s="150"/>
      <c r="AL56" s="100"/>
      <c r="AM56" s="100"/>
      <c r="AN56" s="100"/>
      <c r="AO56" s="100"/>
      <c r="AP56" s="100"/>
      <c r="AQ56" s="150"/>
    </row>
    <row r="57" spans="1:43" ht="18" customHeight="1" x14ac:dyDescent="0.3">
      <c r="R57" s="99"/>
      <c r="AE57" s="102" t="s">
        <v>8</v>
      </c>
      <c r="AF57" s="102"/>
      <c r="AG57" s="151" t="s">
        <v>7</v>
      </c>
      <c r="AH57" s="102"/>
      <c r="AI57" s="102" t="s">
        <v>9</v>
      </c>
      <c r="AJ57" s="102"/>
      <c r="AK57" s="151" t="s">
        <v>10</v>
      </c>
      <c r="AL57" s="102"/>
      <c r="AO57" s="102" t="s">
        <v>8</v>
      </c>
      <c r="AP57" s="102"/>
      <c r="AQ57" s="151" t="s">
        <v>11</v>
      </c>
    </row>
    <row r="58" spans="1:43" x14ac:dyDescent="0.3">
      <c r="A58" s="99"/>
      <c r="R58" s="99"/>
      <c r="AC58" s="102" t="s">
        <v>14</v>
      </c>
      <c r="AD58" s="102"/>
      <c r="AE58" s="102" t="s">
        <v>12</v>
      </c>
      <c r="AF58" s="102"/>
      <c r="AG58" s="151" t="s">
        <v>13</v>
      </c>
      <c r="AH58" s="102"/>
      <c r="AI58" s="102" t="s">
        <v>15</v>
      </c>
      <c r="AJ58" s="102"/>
      <c r="AK58" s="151" t="s">
        <v>16</v>
      </c>
      <c r="AL58" s="102"/>
      <c r="AO58" s="102" t="s">
        <v>11</v>
      </c>
      <c r="AP58" s="102"/>
      <c r="AQ58" s="151" t="s">
        <v>9</v>
      </c>
    </row>
    <row r="59" spans="1:43" x14ac:dyDescent="0.3">
      <c r="O59" s="99"/>
      <c r="T59" s="102" t="s">
        <v>17</v>
      </c>
      <c r="V59" s="102" t="s">
        <v>18</v>
      </c>
      <c r="W59" s="102" t="s">
        <v>19</v>
      </c>
      <c r="X59" s="102"/>
      <c r="Y59" s="102" t="s">
        <v>20</v>
      </c>
      <c r="AC59" s="102" t="s">
        <v>8</v>
      </c>
      <c r="AD59" s="102"/>
      <c r="AE59" s="102" t="s">
        <v>593</v>
      </c>
      <c r="AF59" s="102"/>
      <c r="AG59" s="151" t="s">
        <v>593</v>
      </c>
      <c r="AH59" s="102"/>
      <c r="AI59" s="103" t="s">
        <v>708</v>
      </c>
      <c r="AJ59" s="102"/>
      <c r="AK59" s="152" t="s">
        <v>708</v>
      </c>
      <c r="AL59" s="102"/>
      <c r="AM59" s="102" t="s">
        <v>593</v>
      </c>
      <c r="AN59" s="102"/>
      <c r="AO59" s="102" t="s">
        <v>9</v>
      </c>
      <c r="AP59" s="102"/>
      <c r="AQ59" s="151" t="s">
        <v>21</v>
      </c>
    </row>
    <row r="60" spans="1:43" x14ac:dyDescent="0.3">
      <c r="A60" s="101"/>
      <c r="B60" s="101"/>
      <c r="C60" s="101"/>
      <c r="D60" s="101"/>
      <c r="E60" s="101"/>
      <c r="F60" s="101"/>
      <c r="G60" s="101"/>
      <c r="H60" s="101"/>
      <c r="J60" s="101"/>
      <c r="L60" s="101"/>
      <c r="N60" s="101"/>
      <c r="O60" s="101"/>
      <c r="P60" s="101"/>
      <c r="Q60" s="101"/>
      <c r="R60" s="101"/>
      <c r="T60" s="102" t="s">
        <v>22</v>
      </c>
      <c r="V60" s="102" t="s">
        <v>23</v>
      </c>
      <c r="W60" s="102" t="s">
        <v>24</v>
      </c>
      <c r="X60" s="102"/>
      <c r="Y60" s="102" t="s">
        <v>25</v>
      </c>
      <c r="AA60" s="102" t="s">
        <v>26</v>
      </c>
      <c r="AB60" s="102"/>
      <c r="AC60" s="102" t="s">
        <v>27</v>
      </c>
      <c r="AD60" s="102"/>
      <c r="AE60" s="102" t="s">
        <v>9</v>
      </c>
      <c r="AF60" s="102"/>
      <c r="AG60" s="151" t="s">
        <v>9</v>
      </c>
      <c r="AH60" s="102"/>
      <c r="AI60" s="131" t="s">
        <v>29</v>
      </c>
      <c r="AJ60" s="131"/>
      <c r="AK60" s="165" t="s">
        <v>30</v>
      </c>
      <c r="AL60" s="102"/>
      <c r="AM60" s="102" t="s">
        <v>365</v>
      </c>
      <c r="AN60" s="102"/>
      <c r="AO60" s="131" t="s">
        <v>31</v>
      </c>
      <c r="AP60" s="131"/>
      <c r="AQ60" s="165" t="s">
        <v>32</v>
      </c>
    </row>
    <row r="61" spans="1:43" x14ac:dyDescent="0.3">
      <c r="O61" s="102"/>
      <c r="P61" s="102"/>
      <c r="R61" s="102"/>
      <c r="V61" s="131" t="s">
        <v>33</v>
      </c>
      <c r="W61" s="131" t="s">
        <v>34</v>
      </c>
      <c r="X61" s="131"/>
      <c r="Y61" s="131" t="s">
        <v>35</v>
      </c>
      <c r="Z61" s="134"/>
      <c r="AA61" s="131" t="s">
        <v>36</v>
      </c>
      <c r="AB61" s="131"/>
      <c r="AC61" s="131" t="s">
        <v>42</v>
      </c>
      <c r="AD61" s="131"/>
      <c r="AE61" s="131" t="s">
        <v>43</v>
      </c>
      <c r="AF61" s="131"/>
      <c r="AG61" s="165" t="s">
        <v>44</v>
      </c>
      <c r="AH61" s="131"/>
      <c r="AI61" s="131" t="s">
        <v>45</v>
      </c>
      <c r="AJ61" s="131"/>
      <c r="AK61" s="165" t="s">
        <v>46</v>
      </c>
      <c r="AL61" s="131"/>
      <c r="AM61" s="131" t="s">
        <v>40</v>
      </c>
      <c r="AN61" s="131"/>
      <c r="AO61" s="131" t="s">
        <v>47</v>
      </c>
      <c r="AP61" s="131"/>
      <c r="AQ61" s="165" t="s">
        <v>48</v>
      </c>
    </row>
    <row r="62" spans="1:43" x14ac:dyDescent="0.3">
      <c r="O62" s="102"/>
      <c r="P62" s="102"/>
      <c r="R62" s="102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50"/>
      <c r="AH62" s="100"/>
      <c r="AI62" s="100"/>
      <c r="AJ62" s="100"/>
      <c r="AK62" s="150"/>
      <c r="AL62" s="100"/>
      <c r="AM62" s="100"/>
      <c r="AN62" s="100"/>
      <c r="AO62" s="100"/>
      <c r="AP62" s="100"/>
      <c r="AQ62" s="150"/>
    </row>
    <row r="63" spans="1:43" ht="17.100000000000001" customHeight="1" x14ac:dyDescent="0.3">
      <c r="A63" s="102"/>
      <c r="C63" s="102"/>
      <c r="D63" s="102"/>
      <c r="E63" s="102"/>
      <c r="F63" s="102"/>
      <c r="L63" s="102"/>
      <c r="N63" s="102"/>
      <c r="O63" s="102"/>
      <c r="P63" s="102"/>
      <c r="Q63" s="102"/>
      <c r="R63" s="102"/>
      <c r="AA63" s="167" t="s">
        <v>49</v>
      </c>
      <c r="AB63" s="166"/>
      <c r="AC63" s="167" t="s">
        <v>312</v>
      </c>
      <c r="AD63" s="166"/>
      <c r="AE63" s="166" t="s">
        <v>50</v>
      </c>
      <c r="AF63" s="166"/>
      <c r="AG63" s="168" t="s">
        <v>51</v>
      </c>
      <c r="AH63" s="166"/>
      <c r="AI63" s="166" t="s">
        <v>50</v>
      </c>
      <c r="AJ63" s="166"/>
      <c r="AK63" s="168" t="s">
        <v>51</v>
      </c>
      <c r="AL63" s="166"/>
      <c r="AM63" s="166" t="s">
        <v>50</v>
      </c>
      <c r="AN63" s="166"/>
      <c r="AO63" s="166" t="s">
        <v>50</v>
      </c>
      <c r="AP63" s="166"/>
      <c r="AQ63" s="168" t="s">
        <v>51</v>
      </c>
    </row>
    <row r="64" spans="1:43" x14ac:dyDescent="0.3">
      <c r="A64" s="102"/>
      <c r="C64" s="102"/>
      <c r="D64" s="102"/>
      <c r="E64" s="102"/>
      <c r="F64" s="102"/>
      <c r="H64" s="102"/>
      <c r="J64" s="102"/>
      <c r="L64" s="102"/>
      <c r="N64" s="102"/>
      <c r="O64" s="102"/>
      <c r="P64" s="102"/>
      <c r="Q64" s="102"/>
      <c r="R64" s="102"/>
      <c r="T64" s="98">
        <f t="shared" ref="T64:T80" si="0">A20</f>
        <v>1</v>
      </c>
      <c r="V64" s="124" t="s">
        <v>306</v>
      </c>
      <c r="W64" s="134" t="s">
        <v>363</v>
      </c>
      <c r="X64" s="99"/>
      <c r="Y64" s="1"/>
      <c r="Z64" s="1"/>
      <c r="AA64" s="1"/>
      <c r="AB64" s="1"/>
      <c r="AC64" s="1"/>
      <c r="AD64" s="1"/>
      <c r="AE64" s="1"/>
      <c r="AF64" s="1"/>
      <c r="AG64" s="154"/>
      <c r="AH64" s="1"/>
      <c r="AI64" s="1"/>
      <c r="AJ64" s="1"/>
      <c r="AK64" s="154"/>
      <c r="AL64" s="1"/>
      <c r="AM64" s="1"/>
      <c r="AN64" s="1"/>
      <c r="AO64" s="1"/>
      <c r="AP64" s="1"/>
      <c r="AQ64" s="154"/>
    </row>
    <row r="65" spans="3:43" x14ac:dyDescent="0.3">
      <c r="C65" s="102"/>
      <c r="D65" s="102"/>
      <c r="E65" s="102"/>
      <c r="F65" s="102"/>
      <c r="H65" s="102"/>
      <c r="J65" s="102"/>
      <c r="L65" s="102"/>
      <c r="N65" s="102"/>
      <c r="O65" s="102"/>
      <c r="P65" s="102"/>
      <c r="Q65" s="102"/>
      <c r="R65" s="102"/>
      <c r="T65" s="98">
        <f t="shared" si="0"/>
        <v>2</v>
      </c>
      <c r="V65" s="124"/>
      <c r="W65" s="134" t="s">
        <v>132</v>
      </c>
      <c r="Y65" s="1"/>
      <c r="Z65" s="1"/>
      <c r="AA65" s="1"/>
      <c r="AB65" s="1"/>
      <c r="AC65" s="1"/>
      <c r="AD65" s="1"/>
      <c r="AE65" s="1"/>
      <c r="AF65" s="1"/>
      <c r="AG65" s="154"/>
      <c r="AH65" s="1"/>
      <c r="AI65" s="1"/>
      <c r="AJ65" s="1"/>
      <c r="AK65" s="154"/>
      <c r="AL65" s="1"/>
      <c r="AM65" s="1"/>
      <c r="AN65" s="1"/>
      <c r="AO65" s="1"/>
      <c r="AP65" s="1"/>
      <c r="AQ65" s="154"/>
    </row>
    <row r="66" spans="3:43" ht="18.75" customHeight="1" x14ac:dyDescent="0.3">
      <c r="C66" s="102"/>
      <c r="D66" s="102"/>
      <c r="E66" s="102"/>
      <c r="F66" s="102"/>
      <c r="H66" s="102"/>
      <c r="J66" s="102"/>
      <c r="L66" s="102"/>
      <c r="N66" s="102"/>
      <c r="O66" s="102"/>
      <c r="P66" s="102"/>
      <c r="Q66" s="102"/>
      <c r="R66" s="102"/>
      <c r="V66" s="99"/>
      <c r="Y66" s="1"/>
      <c r="Z66" s="1"/>
      <c r="AA66" s="1"/>
      <c r="AB66" s="1"/>
      <c r="AC66" s="1"/>
      <c r="AD66" s="1"/>
      <c r="AE66" s="1"/>
      <c r="AF66" s="1"/>
      <c r="AG66" s="154"/>
      <c r="AH66" s="1"/>
      <c r="AI66" s="1"/>
      <c r="AJ66" s="1"/>
      <c r="AK66" s="154"/>
      <c r="AL66" s="1"/>
      <c r="AM66" s="1"/>
      <c r="AN66" s="1"/>
      <c r="AO66" s="1"/>
      <c r="AP66" s="1"/>
      <c r="AQ66" s="154"/>
    </row>
    <row r="67" spans="3:43" x14ac:dyDescent="0.3">
      <c r="H67" s="102"/>
      <c r="J67" s="102"/>
      <c r="L67" s="102"/>
      <c r="N67" s="102"/>
      <c r="O67" s="102"/>
      <c r="P67" s="102"/>
      <c r="Q67" s="102"/>
      <c r="R67" s="102"/>
      <c r="T67" s="98">
        <f t="shared" si="0"/>
        <v>3</v>
      </c>
      <c r="V67" s="124" t="s">
        <v>133</v>
      </c>
      <c r="Y67" s="1"/>
      <c r="Z67" s="1"/>
      <c r="AA67" s="1"/>
      <c r="AB67" s="1"/>
      <c r="AC67" s="1"/>
      <c r="AD67" s="1"/>
      <c r="AE67" s="1"/>
      <c r="AF67" s="1"/>
      <c r="AG67" s="154"/>
      <c r="AH67" s="1"/>
      <c r="AI67" s="1"/>
      <c r="AJ67" s="1"/>
      <c r="AK67" s="154"/>
      <c r="AL67" s="1"/>
      <c r="AM67" s="1"/>
      <c r="AN67" s="1"/>
      <c r="AO67" s="1"/>
      <c r="AP67" s="1"/>
      <c r="AQ67" s="154"/>
    </row>
    <row r="68" spans="3:43" x14ac:dyDescent="0.3">
      <c r="T68" s="98">
        <f t="shared" si="0"/>
        <v>4</v>
      </c>
      <c r="V68" s="99" t="s">
        <v>311</v>
      </c>
      <c r="Y68" s="106">
        <f>F24</f>
        <v>0</v>
      </c>
      <c r="Z68" s="1"/>
      <c r="AA68" s="147"/>
      <c r="AB68" s="147"/>
      <c r="AC68" s="181">
        <f>INPUT!C154</f>
        <v>183</v>
      </c>
      <c r="AD68" s="180"/>
      <c r="AE68" s="106">
        <f>ROUND(+Y68*AC68,0)</f>
        <v>0</v>
      </c>
      <c r="AF68" s="1"/>
      <c r="AG68" s="156">
        <v>0</v>
      </c>
      <c r="AH68" s="1"/>
      <c r="AI68" s="106">
        <f>L24-AE68</f>
        <v>0</v>
      </c>
      <c r="AJ68" s="106"/>
      <c r="AK68" s="156">
        <f>IF(AE68=0,0,ROUND((AI68/AE68)*100,1))</f>
        <v>0</v>
      </c>
      <c r="AL68" s="138"/>
      <c r="AM68" s="106"/>
      <c r="AN68" s="1"/>
      <c r="AO68" s="106">
        <f>AE68+AM68</f>
        <v>0</v>
      </c>
      <c r="AP68" s="1"/>
      <c r="AQ68" s="154">
        <v>0</v>
      </c>
    </row>
    <row r="69" spans="3:43" ht="20.100000000000001" customHeight="1" x14ac:dyDescent="0.3">
      <c r="C69" s="99"/>
      <c r="F69" s="172"/>
      <c r="H69" s="172"/>
      <c r="J69" s="172"/>
      <c r="L69" s="181"/>
      <c r="N69" s="181"/>
      <c r="O69" s="110"/>
      <c r="P69" s="141"/>
      <c r="R69" s="110"/>
      <c r="T69" s="98">
        <f t="shared" si="0"/>
        <v>5</v>
      </c>
      <c r="V69" s="124" t="s">
        <v>136</v>
      </c>
      <c r="Y69" s="106"/>
      <c r="Z69" s="1"/>
      <c r="AA69" s="106"/>
      <c r="AB69" s="106"/>
      <c r="AC69" s="198"/>
      <c r="AD69" s="136"/>
      <c r="AE69" s="112">
        <f>SUM(AE68:AE68)</f>
        <v>0</v>
      </c>
      <c r="AF69" s="1"/>
      <c r="AG69" s="156">
        <v>0</v>
      </c>
      <c r="AH69" s="1"/>
      <c r="AI69" s="112">
        <f>SUM(AI68:AI68)</f>
        <v>0</v>
      </c>
      <c r="AJ69" s="106"/>
      <c r="AK69" s="158">
        <f>IF(AE69=0,0,ROUND((AI69/AE69)*100,1))</f>
        <v>0</v>
      </c>
      <c r="AL69" s="138"/>
      <c r="AM69" s="112"/>
      <c r="AN69" s="1"/>
      <c r="AO69" s="112">
        <f>SUM(AO68:AO68)</f>
        <v>0</v>
      </c>
      <c r="AP69" s="1"/>
      <c r="AQ69" s="154">
        <v>0</v>
      </c>
    </row>
    <row r="70" spans="3:43" ht="24.75" customHeight="1" x14ac:dyDescent="0.3">
      <c r="C70" s="99"/>
      <c r="F70" s="172"/>
      <c r="H70" s="172"/>
      <c r="J70" s="172"/>
      <c r="L70" s="181"/>
      <c r="N70" s="181"/>
      <c r="O70" s="110"/>
      <c r="P70" s="141"/>
      <c r="R70" s="110"/>
      <c r="V70" s="99"/>
      <c r="Y70" s="106"/>
      <c r="Z70" s="1"/>
      <c r="AA70" s="106"/>
      <c r="AB70" s="106"/>
      <c r="AC70" s="198"/>
      <c r="AD70" s="136"/>
      <c r="AE70" s="106"/>
      <c r="AF70" s="1"/>
      <c r="AG70" s="154"/>
      <c r="AH70" s="1"/>
      <c r="AI70" s="106"/>
      <c r="AJ70" s="106"/>
      <c r="AK70" s="154"/>
      <c r="AL70" s="138"/>
      <c r="AM70" s="106"/>
      <c r="AN70" s="1"/>
      <c r="AO70" s="106"/>
      <c r="AP70" s="1"/>
      <c r="AQ70" s="154"/>
    </row>
    <row r="71" spans="3:43" x14ac:dyDescent="0.3">
      <c r="C71" s="99"/>
      <c r="H71" s="172"/>
      <c r="J71" s="172"/>
      <c r="L71" s="228"/>
      <c r="N71" s="228"/>
      <c r="O71" s="110"/>
      <c r="P71" s="141"/>
      <c r="Q71" s="110"/>
      <c r="R71" s="110"/>
      <c r="T71" s="98">
        <f t="shared" si="0"/>
        <v>6</v>
      </c>
      <c r="V71" s="124" t="s">
        <v>67</v>
      </c>
      <c r="Y71" s="106"/>
      <c r="Z71" s="1"/>
      <c r="AA71" s="106"/>
      <c r="AB71" s="106"/>
      <c r="AC71" s="198"/>
      <c r="AD71" s="136"/>
      <c r="AE71" s="106"/>
      <c r="AF71" s="1"/>
      <c r="AG71" s="154"/>
      <c r="AH71" s="1"/>
      <c r="AI71" s="106"/>
      <c r="AJ71" s="106"/>
      <c r="AK71" s="154"/>
      <c r="AL71" s="138"/>
      <c r="AM71" s="106"/>
      <c r="AN71" s="1"/>
      <c r="AO71" s="106"/>
      <c r="AP71" s="1"/>
      <c r="AQ71" s="154"/>
    </row>
    <row r="72" spans="3:43" x14ac:dyDescent="0.3">
      <c r="C72" s="99"/>
      <c r="H72" s="172"/>
      <c r="J72" s="172"/>
      <c r="L72" s="228"/>
      <c r="N72" s="228"/>
      <c r="O72" s="110"/>
      <c r="P72" s="141"/>
      <c r="Q72" s="110"/>
      <c r="R72" s="110"/>
      <c r="T72" s="98">
        <f t="shared" si="0"/>
        <v>7</v>
      </c>
      <c r="V72" s="99" t="s">
        <v>381</v>
      </c>
      <c r="Y72" s="106"/>
      <c r="Z72" s="1"/>
      <c r="AA72" s="106">
        <f>H28</f>
        <v>0</v>
      </c>
      <c r="AB72" s="106"/>
      <c r="AC72" s="189">
        <f>INPUT!C157</f>
        <v>1.6479000000000001E-2</v>
      </c>
      <c r="AD72" s="136"/>
      <c r="AE72" s="106">
        <f>ROUND((+AA72*AC72),0)</f>
        <v>0</v>
      </c>
      <c r="AF72" s="1"/>
      <c r="AG72" s="154">
        <v>0</v>
      </c>
      <c r="AH72" s="1"/>
      <c r="AI72" s="106">
        <f>L28-AE72</f>
        <v>0</v>
      </c>
      <c r="AJ72" s="106"/>
      <c r="AK72" s="154">
        <f>IF(AE72=0,0,ROUND((AI72/AE72)*100,1))</f>
        <v>0</v>
      </c>
      <c r="AL72" s="138"/>
      <c r="AM72" s="106"/>
      <c r="AN72" s="1"/>
      <c r="AO72" s="106">
        <f>AE72+AM72</f>
        <v>0</v>
      </c>
      <c r="AP72" s="1"/>
      <c r="AQ72" s="154">
        <v>0</v>
      </c>
    </row>
    <row r="73" spans="3:43" x14ac:dyDescent="0.3">
      <c r="F73" s="110"/>
      <c r="H73" s="110"/>
      <c r="J73" s="110"/>
      <c r="L73" s="217"/>
      <c r="N73" s="217"/>
      <c r="O73" s="192"/>
      <c r="P73" s="192"/>
      <c r="Q73" s="192"/>
      <c r="R73" s="192"/>
      <c r="T73" s="98">
        <f t="shared" si="0"/>
        <v>8</v>
      </c>
      <c r="V73" s="99" t="s">
        <v>370</v>
      </c>
      <c r="Y73" s="147"/>
      <c r="Z73" s="1"/>
      <c r="AA73" s="106">
        <f>H29</f>
        <v>0</v>
      </c>
      <c r="AB73" s="106"/>
      <c r="AC73" s="189">
        <f>INPUT!C161</f>
        <v>3.9684999999999998E-2</v>
      </c>
      <c r="AD73" s="185"/>
      <c r="AE73" s="106">
        <f>ROUND((+AA73*AC73),0)</f>
        <v>0</v>
      </c>
      <c r="AF73" s="1"/>
      <c r="AG73" s="156">
        <v>0</v>
      </c>
      <c r="AH73" s="1"/>
      <c r="AI73" s="106">
        <f>L29-AE73</f>
        <v>0</v>
      </c>
      <c r="AJ73" s="106"/>
      <c r="AK73" s="156">
        <f>IF(AE73=0,0,ROUND((AI73/AE73)*100,1))</f>
        <v>0</v>
      </c>
      <c r="AL73" s="138"/>
      <c r="AM73" s="110">
        <f>ROUND(-AA73*(CUR_FAC+CUR_BASE_FUEL),0)</f>
        <v>0</v>
      </c>
      <c r="AN73" s="1"/>
      <c r="AO73" s="106">
        <f>AE73+AM73</f>
        <v>0</v>
      </c>
      <c r="AP73" s="1"/>
      <c r="AQ73" s="154">
        <v>0</v>
      </c>
    </row>
    <row r="74" spans="3:43" ht="20.100000000000001" customHeight="1" x14ac:dyDescent="0.3">
      <c r="F74" s="110"/>
      <c r="H74" s="110"/>
      <c r="J74" s="110"/>
      <c r="L74" s="217"/>
      <c r="N74" s="217"/>
      <c r="O74" s="192"/>
      <c r="P74" s="192"/>
      <c r="Q74" s="192"/>
      <c r="R74" s="192"/>
      <c r="T74" s="98">
        <f t="shared" si="0"/>
        <v>9</v>
      </c>
      <c r="V74" s="124" t="s">
        <v>142</v>
      </c>
      <c r="Y74" s="117"/>
      <c r="Z74" s="1"/>
      <c r="AA74" s="112">
        <f>H30</f>
        <v>0</v>
      </c>
      <c r="AB74" s="106"/>
      <c r="AC74" s="239"/>
      <c r="AD74" s="171"/>
      <c r="AE74" s="112">
        <f>SUM(AE72:AE73)</f>
        <v>0</v>
      </c>
      <c r="AF74" s="1"/>
      <c r="AG74" s="156">
        <v>0</v>
      </c>
      <c r="AH74" s="1"/>
      <c r="AI74" s="112">
        <f>SUM(AI72:AI73)</f>
        <v>0</v>
      </c>
      <c r="AJ74" s="106"/>
      <c r="AK74" s="158">
        <f>IF(AE74=0,0,ROUND((AI74/AE74)*100,1))</f>
        <v>0</v>
      </c>
      <c r="AL74" s="138"/>
      <c r="AM74" s="112">
        <f>AM73</f>
        <v>0</v>
      </c>
      <c r="AN74" s="1"/>
      <c r="AO74" s="112">
        <f>SUM(AO72:AO73)</f>
        <v>0</v>
      </c>
      <c r="AP74" s="1"/>
      <c r="AQ74" s="154">
        <v>0</v>
      </c>
    </row>
    <row r="75" spans="3:43" ht="20.100000000000001" customHeight="1" x14ac:dyDescent="0.3">
      <c r="F75" s="110"/>
      <c r="H75" s="110"/>
      <c r="J75" s="110"/>
      <c r="L75" s="217"/>
      <c r="N75" s="217"/>
      <c r="O75" s="192"/>
      <c r="P75" s="192"/>
      <c r="Q75" s="192"/>
      <c r="R75" s="192"/>
      <c r="T75" s="98">
        <f t="shared" si="0"/>
        <v>10</v>
      </c>
      <c r="V75" s="169" t="s">
        <v>452</v>
      </c>
      <c r="Y75" s="112">
        <f>Y68</f>
        <v>0</v>
      </c>
      <c r="Z75" s="1"/>
      <c r="AA75" s="112">
        <f>AA74</f>
        <v>0</v>
      </c>
      <c r="AB75" s="106"/>
      <c r="AC75" s="239"/>
      <c r="AD75" s="171"/>
      <c r="AE75" s="112">
        <f>AE69+AE74</f>
        <v>0</v>
      </c>
      <c r="AF75" s="1"/>
      <c r="AG75" s="158">
        <v>0</v>
      </c>
      <c r="AH75" s="1"/>
      <c r="AI75" s="112">
        <f>AI69+AI74</f>
        <v>0</v>
      </c>
      <c r="AJ75" s="106"/>
      <c r="AK75" s="158">
        <f>IF(AE75=0,0,ROUND((AI75/AE75)*100,1))</f>
        <v>0</v>
      </c>
      <c r="AL75" s="138"/>
      <c r="AM75" s="112">
        <f>AM74+AM69</f>
        <v>0</v>
      </c>
      <c r="AN75" s="1"/>
      <c r="AO75" s="112">
        <f>AO74+AO69</f>
        <v>0</v>
      </c>
      <c r="AP75" s="1"/>
      <c r="AQ75" s="154">
        <v>0</v>
      </c>
    </row>
    <row r="76" spans="3:43" ht="15.75" customHeight="1" x14ac:dyDescent="0.3">
      <c r="F76" s="110"/>
      <c r="H76" s="110"/>
      <c r="J76" s="110"/>
      <c r="L76" s="217"/>
      <c r="N76" s="217"/>
      <c r="O76" s="192"/>
      <c r="P76" s="192"/>
      <c r="Q76" s="192"/>
      <c r="R76" s="192"/>
      <c r="V76" s="99"/>
      <c r="Y76" s="106"/>
      <c r="Z76" s="1"/>
      <c r="AA76" s="106"/>
      <c r="AB76" s="106"/>
      <c r="AC76" s="239"/>
      <c r="AD76" s="171"/>
      <c r="AE76" s="106"/>
      <c r="AF76" s="1"/>
      <c r="AG76" s="154"/>
      <c r="AH76" s="1"/>
      <c r="AI76" s="106"/>
      <c r="AJ76" s="106"/>
      <c r="AK76" s="154"/>
      <c r="AL76" s="138"/>
      <c r="AM76" s="106"/>
      <c r="AN76" s="1"/>
      <c r="AO76" s="106"/>
      <c r="AP76" s="1"/>
      <c r="AQ76" s="154"/>
    </row>
    <row r="77" spans="3:43" ht="15.75" customHeight="1" x14ac:dyDescent="0.3">
      <c r="F77" s="110"/>
      <c r="H77" s="110"/>
      <c r="J77" s="110"/>
      <c r="L77" s="217"/>
      <c r="N77" s="217"/>
      <c r="O77" s="192"/>
      <c r="P77" s="192"/>
      <c r="Q77" s="192"/>
      <c r="R77" s="192"/>
      <c r="T77" s="98">
        <f t="shared" si="0"/>
        <v>11</v>
      </c>
      <c r="V77" s="124" t="s">
        <v>428</v>
      </c>
      <c r="Y77" s="106"/>
      <c r="Z77" s="1"/>
      <c r="AA77" s="106"/>
      <c r="AB77" s="106"/>
      <c r="AC77" s="239"/>
      <c r="AD77" s="171"/>
      <c r="AE77" s="106"/>
      <c r="AF77" s="1"/>
      <c r="AG77" s="154"/>
      <c r="AH77" s="1"/>
      <c r="AI77" s="106"/>
      <c r="AJ77" s="106"/>
      <c r="AK77" s="154"/>
      <c r="AL77" s="138"/>
      <c r="AM77" s="106"/>
      <c r="AN77" s="1"/>
      <c r="AO77" s="106"/>
      <c r="AP77" s="1"/>
      <c r="AQ77" s="154"/>
    </row>
    <row r="78" spans="3:43" ht="15.75" customHeight="1" x14ac:dyDescent="0.3">
      <c r="F78" s="110"/>
      <c r="H78" s="110"/>
      <c r="J78" s="110"/>
      <c r="L78" s="217"/>
      <c r="N78" s="217"/>
      <c r="O78" s="192"/>
      <c r="P78" s="192"/>
      <c r="Q78" s="192"/>
      <c r="R78" s="192"/>
      <c r="T78" s="98">
        <f t="shared" si="0"/>
        <v>12</v>
      </c>
      <c r="V78" s="176" t="s">
        <v>432</v>
      </c>
      <c r="Y78" s="106"/>
      <c r="Z78" s="1"/>
      <c r="AA78" s="106"/>
      <c r="AB78" s="106"/>
      <c r="AC78" s="189">
        <f>DSM_DIST</f>
        <v>3.503E-3</v>
      </c>
      <c r="AD78" s="171"/>
      <c r="AE78" s="106">
        <f>ROUND(AA75*DSM_DIST,0)</f>
        <v>0</v>
      </c>
      <c r="AF78" s="1"/>
      <c r="AG78" s="154">
        <v>0</v>
      </c>
      <c r="AH78" s="1"/>
      <c r="AI78" s="106">
        <f>L34-AE78</f>
        <v>0</v>
      </c>
      <c r="AJ78" s="106"/>
      <c r="AK78" s="154">
        <f>IF(AE78=0,0,ROUND((AI78/AE78)*100,1))</f>
        <v>0</v>
      </c>
      <c r="AL78" s="138"/>
      <c r="AM78" s="106"/>
      <c r="AN78" s="1"/>
      <c r="AO78" s="106">
        <f>AE78+AM78</f>
        <v>0</v>
      </c>
      <c r="AP78" s="1"/>
      <c r="AQ78" s="154">
        <v>0</v>
      </c>
    </row>
    <row r="79" spans="3:43" ht="15.75" customHeight="1" x14ac:dyDescent="0.3">
      <c r="F79" s="110"/>
      <c r="H79" s="110"/>
      <c r="J79" s="110"/>
      <c r="L79" s="217"/>
      <c r="N79" s="217"/>
      <c r="O79" s="192"/>
      <c r="P79" s="192"/>
      <c r="Q79" s="192"/>
      <c r="R79" s="192"/>
      <c r="T79" s="98">
        <f t="shared" si="0"/>
        <v>13</v>
      </c>
      <c r="V79" s="176" t="s">
        <v>430</v>
      </c>
      <c r="Y79" s="106"/>
      <c r="Z79" s="1"/>
      <c r="AA79" s="106"/>
      <c r="AB79" s="106"/>
      <c r="AC79" s="189">
        <f>RS_PSM</f>
        <v>2.4750000000000002E-3</v>
      </c>
      <c r="AD79" s="171"/>
      <c r="AE79" s="117">
        <f>ROUND(AA75*RS_PSM,0)</f>
        <v>0</v>
      </c>
      <c r="AF79" s="1"/>
      <c r="AG79" s="156">
        <v>0</v>
      </c>
      <c r="AH79" s="1"/>
      <c r="AI79" s="117">
        <f>L35-AE79</f>
        <v>0</v>
      </c>
      <c r="AJ79" s="106"/>
      <c r="AK79" s="156">
        <f>IF(AE79=0,0,ROUND((AI79/AE79)*100,1))</f>
        <v>0</v>
      </c>
      <c r="AL79" s="138"/>
      <c r="AM79" s="117"/>
      <c r="AN79" s="1"/>
      <c r="AO79" s="117">
        <f>AE79+AM79</f>
        <v>0</v>
      </c>
      <c r="AP79" s="1"/>
      <c r="AQ79" s="154">
        <v>0</v>
      </c>
    </row>
    <row r="80" spans="3:43" ht="20.100000000000001" customHeight="1" x14ac:dyDescent="0.3">
      <c r="F80" s="110"/>
      <c r="H80" s="110"/>
      <c r="J80" s="110"/>
      <c r="L80" s="217"/>
      <c r="N80" s="217"/>
      <c r="O80" s="192"/>
      <c r="P80" s="192"/>
      <c r="Q80" s="192"/>
      <c r="R80" s="192"/>
      <c r="T80" s="98">
        <f t="shared" si="0"/>
        <v>14</v>
      </c>
      <c r="V80" s="124" t="s">
        <v>433</v>
      </c>
      <c r="Y80" s="117"/>
      <c r="Z80" s="1"/>
      <c r="AA80" s="117"/>
      <c r="AB80" s="106"/>
      <c r="AC80" s="171"/>
      <c r="AD80" s="171"/>
      <c r="AE80" s="112">
        <f>SUM(AE78:AE79)</f>
        <v>0</v>
      </c>
      <c r="AF80" s="1"/>
      <c r="AG80" s="158">
        <v>0</v>
      </c>
      <c r="AH80" s="1"/>
      <c r="AI80" s="112">
        <f>SUM(AI78:AI79)</f>
        <v>0</v>
      </c>
      <c r="AJ80" s="106"/>
      <c r="AK80" s="158">
        <f>IF(AE80=0,0,ROUND((AI80/AE80)*100,1))</f>
        <v>0</v>
      </c>
      <c r="AL80" s="138"/>
      <c r="AM80" s="112"/>
      <c r="AN80" s="1"/>
      <c r="AO80" s="112">
        <f>SUM(AO78:AO79)</f>
        <v>0</v>
      </c>
      <c r="AP80" s="1"/>
      <c r="AQ80" s="154">
        <v>0</v>
      </c>
    </row>
    <row r="81" spans="1:43" ht="15.75" customHeight="1" x14ac:dyDescent="0.3">
      <c r="F81" s="110"/>
      <c r="H81" s="110"/>
      <c r="J81" s="110"/>
      <c r="L81" s="217"/>
      <c r="N81" s="217"/>
      <c r="O81" s="192"/>
      <c r="P81" s="192"/>
      <c r="Q81" s="192"/>
      <c r="R81" s="192"/>
      <c r="V81" s="124"/>
      <c r="Y81" s="106"/>
      <c r="Z81" s="1"/>
      <c r="AA81" s="106"/>
      <c r="AB81" s="106"/>
      <c r="AC81" s="171"/>
      <c r="AD81" s="171"/>
      <c r="AE81" s="106"/>
      <c r="AF81" s="1"/>
      <c r="AG81" s="154"/>
      <c r="AH81" s="1"/>
      <c r="AI81" s="106"/>
      <c r="AJ81" s="106"/>
      <c r="AK81" s="154"/>
      <c r="AL81" s="138"/>
      <c r="AM81" s="106"/>
      <c r="AN81" s="1"/>
      <c r="AO81" s="106"/>
      <c r="AP81" s="1"/>
      <c r="AQ81" s="154"/>
    </row>
    <row r="82" spans="1:43" ht="20.100000000000001" customHeight="1" thickBot="1" x14ac:dyDescent="0.35">
      <c r="F82" s="192"/>
      <c r="H82" s="192"/>
      <c r="J82" s="192"/>
      <c r="L82" s="217"/>
      <c r="N82" s="217"/>
      <c r="O82" s="192"/>
      <c r="P82" s="192"/>
      <c r="Q82" s="192"/>
      <c r="R82" s="192"/>
      <c r="T82" s="98">
        <f>A38</f>
        <v>15</v>
      </c>
      <c r="V82" s="169" t="s">
        <v>453</v>
      </c>
      <c r="Y82" s="120">
        <f>F38</f>
        <v>0</v>
      </c>
      <c r="Z82" s="1"/>
      <c r="AA82" s="120">
        <f>H38</f>
        <v>0</v>
      </c>
      <c r="AB82" s="106"/>
      <c r="AC82" s="1"/>
      <c r="AD82" s="1"/>
      <c r="AE82" s="120">
        <f>AE80+AE75</f>
        <v>0</v>
      </c>
      <c r="AF82" s="1"/>
      <c r="AG82" s="162">
        <v>100</v>
      </c>
      <c r="AH82" s="1"/>
      <c r="AI82" s="120">
        <f>AI80+AI75</f>
        <v>0</v>
      </c>
      <c r="AJ82" s="106"/>
      <c r="AK82" s="162">
        <f>IF(AE82=0,0,ROUND((AI82/AE82)*100,1))</f>
        <v>0</v>
      </c>
      <c r="AL82" s="138"/>
      <c r="AM82" s="249">
        <f>AM80+AM75</f>
        <v>0</v>
      </c>
      <c r="AN82" s="1"/>
      <c r="AO82" s="120">
        <f>AO69+AO74</f>
        <v>0</v>
      </c>
      <c r="AP82" s="1"/>
      <c r="AQ82" s="154">
        <v>0</v>
      </c>
    </row>
    <row r="83" spans="1:43" ht="16.2" thickTop="1" x14ac:dyDescent="0.3">
      <c r="F83" s="192"/>
      <c r="H83" s="192"/>
      <c r="J83" s="192"/>
      <c r="K83" s="217"/>
      <c r="L83" s="217"/>
      <c r="N83" s="192"/>
      <c r="O83" s="192"/>
      <c r="P83" s="192"/>
      <c r="Q83" s="192"/>
      <c r="R83" s="192"/>
      <c r="S83" s="110"/>
      <c r="Y83" s="1"/>
      <c r="Z83" s="1"/>
      <c r="AA83" s="1"/>
      <c r="AB83" s="1"/>
      <c r="AC83" s="1"/>
      <c r="AD83" s="1"/>
      <c r="AE83" s="1"/>
      <c r="AF83" s="1"/>
      <c r="AG83" s="154"/>
      <c r="AH83" s="1"/>
      <c r="AI83" s="1"/>
      <c r="AJ83" s="1"/>
      <c r="AK83" s="154"/>
      <c r="AL83" s="1"/>
      <c r="AM83" s="1"/>
      <c r="AN83" s="1"/>
      <c r="AO83" s="1"/>
      <c r="AP83" s="1"/>
      <c r="AQ83" s="154"/>
    </row>
    <row r="84" spans="1:43" x14ac:dyDescent="0.3">
      <c r="C84" s="99"/>
      <c r="V84" s="178" t="s">
        <v>59</v>
      </c>
      <c r="AE84" s="110"/>
      <c r="AF84" s="110"/>
      <c r="AM84" s="110"/>
      <c r="AO84" s="110"/>
    </row>
    <row r="85" spans="1:43" x14ac:dyDescent="0.3">
      <c r="C85" s="99"/>
      <c r="F85" s="110"/>
      <c r="H85" s="110"/>
      <c r="J85" s="110"/>
      <c r="N85" s="110"/>
      <c r="O85" s="110"/>
      <c r="P85" s="141"/>
      <c r="Q85" s="172"/>
      <c r="R85" s="110"/>
      <c r="T85" s="99"/>
      <c r="V85" s="99"/>
      <c r="Y85" s="110"/>
      <c r="Z85" s="228"/>
      <c r="AA85" s="110"/>
      <c r="AB85" s="110"/>
      <c r="AC85" s="141"/>
      <c r="AD85" s="141"/>
      <c r="AE85" s="110"/>
      <c r="AF85" s="110"/>
      <c r="AI85" s="207"/>
      <c r="AJ85" s="207"/>
      <c r="AL85" s="110"/>
      <c r="AO85" s="141"/>
    </row>
    <row r="86" spans="1:43" x14ac:dyDescent="0.3">
      <c r="F86" s="192"/>
      <c r="H86" s="192"/>
      <c r="J86" s="192"/>
      <c r="K86" s="217"/>
      <c r="L86" s="217"/>
      <c r="N86" s="192"/>
      <c r="O86" s="192"/>
      <c r="P86" s="192"/>
      <c r="Q86" s="192"/>
      <c r="R86" s="192"/>
      <c r="V86" s="110"/>
      <c r="Y86" s="110"/>
      <c r="Z86" s="217"/>
      <c r="AA86" s="192"/>
      <c r="AB86" s="192"/>
      <c r="AC86" s="192"/>
      <c r="AD86" s="192"/>
      <c r="AE86" s="192"/>
      <c r="AF86" s="192"/>
      <c r="AK86" s="194"/>
      <c r="AL86" s="192"/>
      <c r="AO86" s="141"/>
      <c r="AQ86" s="194"/>
    </row>
    <row r="87" spans="1:43" x14ac:dyDescent="0.3">
      <c r="T87" s="99"/>
      <c r="V87" s="110"/>
      <c r="Y87" s="110"/>
      <c r="Z87" s="198"/>
      <c r="AA87" s="110"/>
      <c r="AB87" s="110"/>
      <c r="AC87" s="141"/>
      <c r="AD87" s="141"/>
      <c r="AE87" s="110"/>
      <c r="AF87" s="110"/>
      <c r="AI87" s="207"/>
      <c r="AJ87" s="207"/>
      <c r="AL87" s="110"/>
      <c r="AO87" s="141"/>
    </row>
    <row r="88" spans="1:43" x14ac:dyDescent="0.3">
      <c r="C88" s="99"/>
      <c r="N88" s="110"/>
      <c r="O88" s="110"/>
      <c r="P88" s="110"/>
      <c r="Q88" s="110"/>
      <c r="R88" s="110"/>
      <c r="S88" s="110"/>
      <c r="V88" s="110"/>
      <c r="Y88" s="110"/>
      <c r="Z88" s="217"/>
      <c r="AA88" s="192"/>
      <c r="AB88" s="192"/>
      <c r="AC88" s="192"/>
      <c r="AD88" s="192"/>
      <c r="AE88" s="192"/>
      <c r="AF88" s="192"/>
      <c r="AK88" s="194"/>
      <c r="AL88" s="192"/>
      <c r="AO88" s="141"/>
      <c r="AQ88" s="194"/>
    </row>
    <row r="89" spans="1:43" x14ac:dyDescent="0.3">
      <c r="A89" s="99"/>
      <c r="T89" s="99"/>
      <c r="V89" s="110"/>
      <c r="Y89" s="110"/>
      <c r="Z89" s="198"/>
      <c r="AA89" s="110"/>
      <c r="AB89" s="110"/>
      <c r="AC89" s="141"/>
      <c r="AD89" s="141"/>
      <c r="AE89" s="110"/>
      <c r="AF89" s="110"/>
      <c r="AI89" s="207"/>
      <c r="AJ89" s="207"/>
      <c r="AL89" s="110"/>
      <c r="AO89" s="141"/>
    </row>
    <row r="90" spans="1:43" x14ac:dyDescent="0.3">
      <c r="T90" s="99"/>
      <c r="V90" s="172"/>
      <c r="Y90" s="110"/>
      <c r="Z90" s="222"/>
      <c r="AA90" s="110"/>
      <c r="AB90" s="110"/>
      <c r="AC90" s="141"/>
      <c r="AD90" s="141"/>
      <c r="AE90" s="110"/>
      <c r="AF90" s="110"/>
      <c r="AI90" s="207"/>
      <c r="AJ90" s="207"/>
      <c r="AL90" s="110"/>
      <c r="AO90" s="141"/>
    </row>
    <row r="91" spans="1:43" x14ac:dyDescent="0.3">
      <c r="H91" s="99"/>
      <c r="J91" s="99"/>
      <c r="V91" s="192"/>
      <c r="Y91" s="192"/>
      <c r="Z91" s="217"/>
      <c r="AA91" s="192"/>
      <c r="AB91" s="192"/>
      <c r="AC91" s="192"/>
      <c r="AD91" s="192"/>
      <c r="AE91" s="192"/>
      <c r="AF91" s="192"/>
      <c r="AK91" s="194"/>
      <c r="AL91" s="192"/>
      <c r="AO91" s="141"/>
      <c r="AQ91" s="194"/>
    </row>
    <row r="92" spans="1:43" x14ac:dyDescent="0.3">
      <c r="T92" s="99"/>
      <c r="V92" s="110"/>
      <c r="Y92" s="110"/>
      <c r="Z92" s="217"/>
      <c r="AA92" s="110"/>
      <c r="AB92" s="110"/>
      <c r="AC92" s="141"/>
      <c r="AD92" s="141"/>
      <c r="AE92" s="110"/>
      <c r="AF92" s="110"/>
      <c r="AI92" s="141"/>
      <c r="AJ92" s="141"/>
      <c r="AL92" s="110"/>
      <c r="AO92" s="141"/>
    </row>
    <row r="93" spans="1:43" x14ac:dyDescent="0.3">
      <c r="M93" s="99"/>
      <c r="N93" s="99"/>
      <c r="V93" s="192"/>
      <c r="Y93" s="192"/>
      <c r="Z93" s="217"/>
      <c r="AA93" s="192"/>
      <c r="AB93" s="192"/>
      <c r="AC93" s="192"/>
      <c r="AD93" s="192"/>
      <c r="AE93" s="192"/>
      <c r="AF93" s="192"/>
      <c r="AK93" s="194"/>
      <c r="AL93" s="192"/>
      <c r="AO93" s="141"/>
      <c r="AQ93" s="194"/>
    </row>
    <row r="94" spans="1:43" x14ac:dyDescent="0.3">
      <c r="R94" s="99"/>
      <c r="T94" s="99"/>
      <c r="V94" s="172"/>
      <c r="Y94" s="172"/>
      <c r="Z94" s="217"/>
      <c r="AA94" s="110"/>
      <c r="AB94" s="110"/>
      <c r="AC94" s="141"/>
      <c r="AD94" s="141"/>
      <c r="AE94" s="110"/>
      <c r="AF94" s="110"/>
      <c r="AL94" s="110"/>
      <c r="AO94" s="141"/>
    </row>
    <row r="95" spans="1:43" x14ac:dyDescent="0.3">
      <c r="R95" s="99"/>
    </row>
    <row r="96" spans="1:43" x14ac:dyDescent="0.3">
      <c r="A96" s="99"/>
      <c r="R96" s="99"/>
      <c r="T96" s="99"/>
    </row>
    <row r="97" spans="1:43" x14ac:dyDescent="0.3">
      <c r="M97" s="99"/>
      <c r="N97" s="99"/>
      <c r="T97" s="99"/>
      <c r="V97" s="110"/>
      <c r="Y97" s="172"/>
      <c r="Z97" s="181"/>
      <c r="AA97" s="110"/>
      <c r="AB97" s="110"/>
      <c r="AC97" s="141"/>
      <c r="AD97" s="141"/>
      <c r="AE97" s="110"/>
      <c r="AF97" s="110"/>
      <c r="AG97" s="224"/>
      <c r="AI97" s="225"/>
      <c r="AJ97" s="225"/>
      <c r="AO97" s="226"/>
    </row>
    <row r="98" spans="1:43" x14ac:dyDescent="0.3">
      <c r="A98" s="101"/>
      <c r="B98" s="101"/>
      <c r="C98" s="101"/>
      <c r="D98" s="101"/>
      <c r="E98" s="101"/>
      <c r="F98" s="101"/>
      <c r="G98" s="101"/>
      <c r="H98" s="101"/>
      <c r="J98" s="101"/>
      <c r="K98" s="101"/>
      <c r="L98" s="101"/>
      <c r="M98" s="101"/>
      <c r="N98" s="101"/>
      <c r="O98" s="101"/>
      <c r="P98" s="101"/>
      <c r="Q98" s="101"/>
      <c r="R98" s="101"/>
      <c r="T98" s="99"/>
      <c r="V98" s="110"/>
      <c r="Y98" s="172"/>
      <c r="Z98" s="181"/>
      <c r="AA98" s="110"/>
      <c r="AB98" s="110"/>
      <c r="AC98" s="141"/>
      <c r="AD98" s="141"/>
      <c r="AE98" s="110"/>
      <c r="AF98" s="110"/>
      <c r="AI98" s="207"/>
      <c r="AJ98" s="207"/>
      <c r="AO98" s="141"/>
    </row>
    <row r="99" spans="1:43" x14ac:dyDescent="0.3">
      <c r="M99" s="102"/>
      <c r="N99" s="102"/>
      <c r="O99" s="102"/>
      <c r="P99" s="102"/>
      <c r="R99" s="102"/>
      <c r="T99" s="99"/>
      <c r="V99" s="110"/>
      <c r="Y99" s="172"/>
      <c r="Z99" s="181"/>
      <c r="AA99" s="110"/>
      <c r="AB99" s="110"/>
      <c r="AC99" s="141"/>
      <c r="AD99" s="141"/>
      <c r="AE99" s="110"/>
      <c r="AF99" s="110"/>
      <c r="AI99" s="207"/>
      <c r="AJ99" s="207"/>
      <c r="AO99" s="141"/>
    </row>
    <row r="100" spans="1:43" x14ac:dyDescent="0.3">
      <c r="M100" s="102"/>
      <c r="N100" s="102"/>
      <c r="O100" s="102"/>
      <c r="P100" s="102"/>
      <c r="R100" s="102"/>
      <c r="V100" s="192"/>
      <c r="Y100" s="110"/>
      <c r="Z100" s="217"/>
      <c r="AA100" s="192"/>
      <c r="AB100" s="192"/>
      <c r="AC100" s="192"/>
      <c r="AD100" s="192"/>
      <c r="AE100" s="192"/>
      <c r="AF100" s="192"/>
      <c r="AK100" s="194"/>
      <c r="AL100" s="192"/>
      <c r="AO100" s="141"/>
      <c r="AQ100" s="194"/>
    </row>
    <row r="101" spans="1:43" x14ac:dyDescent="0.3">
      <c r="A101" s="102"/>
      <c r="C101" s="102"/>
      <c r="D101" s="102"/>
      <c r="E101" s="102"/>
      <c r="F101" s="102"/>
      <c r="K101" s="102"/>
      <c r="L101" s="102"/>
      <c r="M101" s="102"/>
      <c r="N101" s="102"/>
      <c r="O101" s="102"/>
      <c r="P101" s="102"/>
      <c r="Q101" s="102"/>
      <c r="R101" s="102"/>
      <c r="T101" s="99"/>
      <c r="V101" s="110"/>
      <c r="Y101" s="110"/>
      <c r="Z101" s="217"/>
      <c r="AA101" s="110"/>
      <c r="AB101" s="110"/>
      <c r="AC101" s="141"/>
      <c r="AD101" s="141"/>
      <c r="AE101" s="110"/>
      <c r="AF101" s="110"/>
      <c r="AI101" s="207"/>
      <c r="AJ101" s="207"/>
      <c r="AL101" s="110"/>
      <c r="AO101" s="141"/>
    </row>
    <row r="102" spans="1:43" x14ac:dyDescent="0.3">
      <c r="A102" s="102"/>
      <c r="C102" s="102"/>
      <c r="D102" s="102"/>
      <c r="E102" s="102"/>
      <c r="F102" s="102"/>
      <c r="H102" s="102"/>
      <c r="J102" s="102"/>
      <c r="K102" s="102"/>
      <c r="L102" s="102"/>
      <c r="M102" s="102"/>
      <c r="N102" s="102"/>
      <c r="O102" s="102"/>
      <c r="P102" s="102"/>
      <c r="Q102" s="102"/>
      <c r="R102" s="102"/>
      <c r="V102" s="192"/>
      <c r="Y102" s="110"/>
      <c r="Z102" s="217"/>
      <c r="AA102" s="192"/>
      <c r="AB102" s="192"/>
      <c r="AC102" s="192"/>
      <c r="AD102" s="192"/>
      <c r="AE102" s="192"/>
      <c r="AF102" s="192"/>
      <c r="AK102" s="194"/>
      <c r="AL102" s="192"/>
      <c r="AO102" s="141"/>
      <c r="AQ102" s="194"/>
    </row>
    <row r="103" spans="1:43" x14ac:dyDescent="0.3">
      <c r="C103" s="102"/>
      <c r="D103" s="102"/>
      <c r="E103" s="102"/>
      <c r="F103" s="102"/>
      <c r="H103" s="102"/>
      <c r="J103" s="102"/>
      <c r="K103" s="102"/>
      <c r="L103" s="102"/>
      <c r="M103" s="102"/>
      <c r="N103" s="102"/>
      <c r="O103" s="102"/>
      <c r="P103" s="102"/>
      <c r="Q103" s="102"/>
      <c r="R103" s="102"/>
      <c r="T103" s="99"/>
      <c r="V103" s="172"/>
      <c r="Y103" s="172"/>
      <c r="Z103" s="227"/>
      <c r="AA103" s="110"/>
      <c r="AB103" s="110"/>
      <c r="AC103" s="141"/>
      <c r="AD103" s="141"/>
      <c r="AE103" s="110"/>
      <c r="AF103" s="110"/>
      <c r="AI103" s="141"/>
      <c r="AJ103" s="141"/>
      <c r="AL103" s="110"/>
      <c r="AO103" s="141"/>
    </row>
    <row r="104" spans="1:43" x14ac:dyDescent="0.3">
      <c r="A104" s="101"/>
      <c r="B104" s="101"/>
      <c r="C104" s="101"/>
      <c r="D104" s="101"/>
      <c r="E104" s="101"/>
      <c r="F104" s="101"/>
      <c r="G104" s="101"/>
      <c r="H104" s="101"/>
      <c r="J104" s="101"/>
      <c r="K104" s="101"/>
      <c r="L104" s="101"/>
      <c r="M104" s="101"/>
      <c r="N104" s="101"/>
      <c r="O104" s="101"/>
      <c r="P104" s="101"/>
      <c r="Q104" s="101"/>
      <c r="R104" s="101"/>
      <c r="T104" s="99"/>
      <c r="V104" s="172"/>
      <c r="Y104" s="110"/>
      <c r="Z104" s="181"/>
      <c r="AA104" s="110"/>
      <c r="AB104" s="110"/>
      <c r="AC104" s="141"/>
      <c r="AD104" s="141"/>
      <c r="AE104" s="110"/>
      <c r="AF104" s="110"/>
      <c r="AI104" s="207"/>
      <c r="AJ104" s="207"/>
      <c r="AL104" s="110"/>
      <c r="AO104" s="141"/>
    </row>
    <row r="105" spans="1:43" x14ac:dyDescent="0.3">
      <c r="H105" s="102"/>
      <c r="J105" s="102"/>
      <c r="K105" s="102"/>
      <c r="L105" s="102"/>
      <c r="M105" s="102"/>
      <c r="N105" s="102"/>
      <c r="O105" s="102"/>
      <c r="P105" s="102"/>
      <c r="Q105" s="102"/>
      <c r="R105" s="102"/>
      <c r="T105" s="99"/>
      <c r="V105" s="172"/>
      <c r="Y105" s="110"/>
      <c r="Z105" s="181"/>
      <c r="AA105" s="110"/>
      <c r="AB105" s="110"/>
      <c r="AC105" s="141"/>
      <c r="AD105" s="141"/>
      <c r="AE105" s="110"/>
      <c r="AF105" s="110"/>
      <c r="AI105" s="207"/>
      <c r="AJ105" s="207"/>
      <c r="AL105" s="110"/>
      <c r="AO105" s="141"/>
    </row>
    <row r="106" spans="1:43" x14ac:dyDescent="0.3">
      <c r="C106" s="99"/>
      <c r="D106" s="99"/>
      <c r="E106" s="99"/>
      <c r="V106" s="110"/>
      <c r="Y106" s="192"/>
      <c r="Z106" s="217"/>
      <c r="AA106" s="192"/>
      <c r="AB106" s="192"/>
      <c r="AC106" s="192"/>
      <c r="AD106" s="192"/>
      <c r="AE106" s="192"/>
      <c r="AF106" s="192"/>
      <c r="AK106" s="194"/>
      <c r="AL106" s="192"/>
      <c r="AO106" s="141"/>
      <c r="AQ106" s="194"/>
    </row>
    <row r="107" spans="1:43" x14ac:dyDescent="0.3">
      <c r="D107" s="99"/>
      <c r="E107" s="99"/>
      <c r="T107" s="99"/>
      <c r="V107" s="110"/>
      <c r="Y107" s="110"/>
      <c r="Z107" s="217"/>
      <c r="AA107" s="110"/>
      <c r="AB107" s="110"/>
      <c r="AC107" s="141"/>
      <c r="AD107" s="141"/>
      <c r="AE107" s="110"/>
      <c r="AF107" s="110"/>
      <c r="AI107" s="207"/>
      <c r="AJ107" s="207"/>
      <c r="AL107" s="110"/>
      <c r="AO107" s="141"/>
    </row>
    <row r="108" spans="1:43" x14ac:dyDescent="0.3">
      <c r="V108" s="110"/>
      <c r="Y108" s="192"/>
      <c r="Z108" s="217"/>
      <c r="AA108" s="192"/>
      <c r="AB108" s="192"/>
      <c r="AC108" s="192"/>
      <c r="AD108" s="192"/>
      <c r="AE108" s="192"/>
      <c r="AF108" s="192"/>
      <c r="AK108" s="194"/>
      <c r="AL108" s="192"/>
      <c r="AO108" s="141"/>
      <c r="AQ108" s="194"/>
    </row>
    <row r="109" spans="1:43" x14ac:dyDescent="0.3">
      <c r="C109" s="99"/>
      <c r="F109" s="172"/>
      <c r="H109" s="172"/>
      <c r="J109" s="172"/>
      <c r="K109" s="181"/>
      <c r="L109" s="181"/>
      <c r="M109" s="110"/>
      <c r="N109" s="110"/>
      <c r="O109" s="141"/>
      <c r="P109" s="141"/>
      <c r="R109" s="110"/>
      <c r="T109" s="99"/>
      <c r="V109" s="110"/>
      <c r="Y109" s="110"/>
      <c r="Z109" s="217"/>
      <c r="AA109" s="110"/>
      <c r="AB109" s="110"/>
      <c r="AC109" s="110"/>
      <c r="AD109" s="110"/>
      <c r="AE109" s="110"/>
      <c r="AF109" s="110"/>
      <c r="AI109" s="207"/>
      <c r="AJ109" s="207"/>
      <c r="AL109" s="110"/>
      <c r="AO109" s="141"/>
    </row>
    <row r="110" spans="1:43" x14ac:dyDescent="0.3">
      <c r="C110" s="99"/>
      <c r="F110" s="172"/>
      <c r="H110" s="172"/>
      <c r="J110" s="172"/>
      <c r="K110" s="181"/>
      <c r="L110" s="181"/>
      <c r="M110" s="110"/>
      <c r="N110" s="110"/>
      <c r="O110" s="141"/>
      <c r="P110" s="141"/>
      <c r="R110" s="110"/>
      <c r="T110" s="99"/>
      <c r="V110" s="110"/>
      <c r="Y110" s="110"/>
      <c r="Z110" s="228"/>
      <c r="AA110" s="110"/>
      <c r="AB110" s="110"/>
      <c r="AC110" s="141"/>
      <c r="AD110" s="141"/>
      <c r="AE110" s="110"/>
      <c r="AF110" s="110"/>
      <c r="AI110" s="207"/>
      <c r="AJ110" s="207"/>
      <c r="AL110" s="110"/>
      <c r="AO110" s="141"/>
    </row>
    <row r="111" spans="1:43" x14ac:dyDescent="0.3">
      <c r="F111" s="192"/>
      <c r="H111" s="110"/>
      <c r="J111" s="110"/>
      <c r="K111" s="217"/>
      <c r="L111" s="217"/>
      <c r="M111" s="192"/>
      <c r="N111" s="192"/>
      <c r="O111" s="192"/>
      <c r="P111" s="192"/>
      <c r="Q111" s="192"/>
      <c r="R111" s="192"/>
      <c r="T111" s="99"/>
      <c r="Y111" s="110"/>
      <c r="Z111" s="228"/>
      <c r="AA111" s="110"/>
      <c r="AB111" s="110"/>
      <c r="AC111" s="141"/>
      <c r="AD111" s="141"/>
      <c r="AE111" s="110"/>
      <c r="AF111" s="110"/>
      <c r="AI111" s="207"/>
      <c r="AJ111" s="207"/>
      <c r="AL111" s="110"/>
      <c r="AO111" s="141"/>
    </row>
    <row r="112" spans="1:43" x14ac:dyDescent="0.3">
      <c r="C112" s="99"/>
      <c r="F112" s="110"/>
      <c r="H112" s="110"/>
      <c r="J112" s="110"/>
      <c r="K112" s="217"/>
      <c r="L112" s="217"/>
      <c r="M112" s="110"/>
      <c r="N112" s="110"/>
      <c r="O112" s="141"/>
      <c r="P112" s="141"/>
      <c r="Q112" s="110"/>
      <c r="R112" s="110"/>
      <c r="V112" s="110"/>
      <c r="Y112" s="110"/>
      <c r="Z112" s="217"/>
      <c r="AA112" s="192"/>
      <c r="AB112" s="192"/>
      <c r="AC112" s="192"/>
      <c r="AD112" s="192"/>
      <c r="AE112" s="192"/>
      <c r="AF112" s="192"/>
      <c r="AK112" s="194"/>
      <c r="AL112" s="192"/>
      <c r="AO112" s="141"/>
      <c r="AQ112" s="194"/>
    </row>
    <row r="113" spans="3:43" x14ac:dyDescent="0.3">
      <c r="F113" s="192"/>
      <c r="H113" s="110"/>
      <c r="J113" s="110"/>
      <c r="K113" s="217"/>
      <c r="L113" s="217"/>
      <c r="M113" s="192"/>
      <c r="N113" s="192"/>
      <c r="O113" s="192"/>
      <c r="P113" s="192"/>
      <c r="Q113" s="192"/>
      <c r="R113" s="192"/>
      <c r="T113" s="99"/>
      <c r="V113" s="110"/>
      <c r="Y113" s="110"/>
      <c r="Z113" s="198"/>
      <c r="AA113" s="110"/>
      <c r="AB113" s="110"/>
      <c r="AC113" s="141"/>
      <c r="AD113" s="141"/>
      <c r="AE113" s="110"/>
      <c r="AF113" s="110"/>
      <c r="AI113" s="207"/>
      <c r="AJ113" s="207"/>
      <c r="AL113" s="110"/>
      <c r="AO113" s="141"/>
    </row>
    <row r="114" spans="3:43" x14ac:dyDescent="0.3">
      <c r="F114" s="110"/>
      <c r="H114" s="110"/>
      <c r="J114" s="110"/>
      <c r="K114" s="217"/>
      <c r="L114" s="217"/>
      <c r="M114" s="110"/>
      <c r="N114" s="110"/>
      <c r="O114" s="141"/>
      <c r="P114" s="141"/>
      <c r="Q114" s="110"/>
      <c r="R114" s="110"/>
      <c r="V114" s="110"/>
      <c r="Y114" s="110"/>
      <c r="Z114" s="217"/>
      <c r="AA114" s="192"/>
      <c r="AB114" s="192"/>
      <c r="AC114" s="192"/>
      <c r="AD114" s="192"/>
      <c r="AE114" s="192"/>
      <c r="AF114" s="192"/>
      <c r="AK114" s="194"/>
      <c r="AL114" s="192"/>
      <c r="AO114" s="141"/>
      <c r="AQ114" s="194"/>
    </row>
    <row r="115" spans="3:43" x14ac:dyDescent="0.3">
      <c r="C115" s="99"/>
      <c r="F115" s="172"/>
      <c r="H115" s="172"/>
      <c r="J115" s="172"/>
      <c r="K115" s="181"/>
      <c r="L115" s="181"/>
      <c r="M115" s="110"/>
      <c r="N115" s="110"/>
      <c r="O115" s="141"/>
      <c r="P115" s="141"/>
      <c r="Q115" s="110"/>
      <c r="R115" s="110"/>
      <c r="T115" s="99"/>
      <c r="V115" s="110"/>
      <c r="Y115" s="110"/>
      <c r="Z115" s="198"/>
      <c r="AA115" s="110"/>
      <c r="AB115" s="110"/>
      <c r="AC115" s="141"/>
      <c r="AD115" s="141"/>
      <c r="AE115" s="110"/>
      <c r="AF115" s="110"/>
      <c r="AI115" s="207"/>
      <c r="AJ115" s="207"/>
      <c r="AL115" s="110"/>
      <c r="AO115" s="141"/>
    </row>
    <row r="116" spans="3:43" x14ac:dyDescent="0.3">
      <c r="C116" s="99"/>
      <c r="F116" s="172"/>
      <c r="H116" s="172"/>
      <c r="J116" s="172"/>
      <c r="K116" s="181"/>
      <c r="L116" s="181"/>
      <c r="M116" s="110"/>
      <c r="N116" s="110"/>
      <c r="O116" s="141"/>
      <c r="P116" s="141"/>
      <c r="Q116" s="110"/>
      <c r="R116" s="110"/>
      <c r="T116" s="99"/>
      <c r="V116" s="172"/>
      <c r="Y116" s="110"/>
      <c r="Z116" s="222"/>
      <c r="AA116" s="110"/>
      <c r="AB116" s="110"/>
      <c r="AC116" s="141"/>
      <c r="AD116" s="141"/>
      <c r="AE116" s="110"/>
      <c r="AF116" s="110"/>
      <c r="AI116" s="207"/>
      <c r="AJ116" s="207"/>
      <c r="AL116" s="110"/>
      <c r="AO116" s="141"/>
    </row>
    <row r="117" spans="3:43" x14ac:dyDescent="0.3">
      <c r="F117" s="110"/>
      <c r="H117" s="192"/>
      <c r="J117" s="192"/>
      <c r="K117" s="217"/>
      <c r="L117" s="217"/>
      <c r="M117" s="192"/>
      <c r="N117" s="192"/>
      <c r="O117" s="192"/>
      <c r="P117" s="192"/>
      <c r="Q117" s="192"/>
      <c r="R117" s="192"/>
      <c r="V117" s="192"/>
      <c r="Y117" s="192"/>
      <c r="Z117" s="217"/>
      <c r="AA117" s="192"/>
      <c r="AB117" s="192"/>
      <c r="AC117" s="192"/>
      <c r="AD117" s="192"/>
      <c r="AE117" s="192"/>
      <c r="AF117" s="192"/>
      <c r="AK117" s="194"/>
      <c r="AL117" s="192"/>
      <c r="AO117" s="141"/>
      <c r="AQ117" s="194"/>
    </row>
    <row r="118" spans="3:43" x14ac:dyDescent="0.3">
      <c r="C118" s="99"/>
      <c r="F118" s="110"/>
      <c r="H118" s="110"/>
      <c r="J118" s="110"/>
      <c r="K118" s="217"/>
      <c r="L118" s="217"/>
      <c r="M118" s="110"/>
      <c r="N118" s="110"/>
      <c r="O118" s="141"/>
      <c r="P118" s="141"/>
      <c r="Q118" s="110"/>
      <c r="R118" s="110"/>
      <c r="T118" s="99"/>
      <c r="V118" s="110"/>
      <c r="Y118" s="110"/>
      <c r="Z118" s="217"/>
      <c r="AA118" s="110"/>
      <c r="AB118" s="110"/>
      <c r="AC118" s="141"/>
      <c r="AD118" s="141"/>
      <c r="AE118" s="110"/>
      <c r="AF118" s="110"/>
      <c r="AI118" s="141"/>
      <c r="AJ118" s="141"/>
      <c r="AL118" s="110"/>
      <c r="AO118" s="141"/>
    </row>
    <row r="119" spans="3:43" x14ac:dyDescent="0.3">
      <c r="F119" s="110"/>
      <c r="H119" s="192"/>
      <c r="J119" s="192"/>
      <c r="K119" s="217"/>
      <c r="L119" s="217"/>
      <c r="M119" s="192"/>
      <c r="N119" s="192"/>
      <c r="O119" s="192"/>
      <c r="P119" s="192"/>
      <c r="Q119" s="192"/>
      <c r="R119" s="192"/>
      <c r="V119" s="192"/>
      <c r="Y119" s="192"/>
      <c r="Z119" s="217"/>
      <c r="AA119" s="192"/>
      <c r="AB119" s="192"/>
      <c r="AC119" s="192"/>
      <c r="AD119" s="192"/>
      <c r="AE119" s="192"/>
      <c r="AF119" s="192"/>
      <c r="AK119" s="194"/>
      <c r="AL119" s="192"/>
      <c r="AO119" s="141"/>
      <c r="AQ119" s="194"/>
    </row>
    <row r="120" spans="3:43" x14ac:dyDescent="0.3">
      <c r="F120" s="110"/>
      <c r="H120" s="110"/>
      <c r="J120" s="110"/>
      <c r="K120" s="217"/>
      <c r="L120" s="217"/>
      <c r="M120" s="110"/>
      <c r="N120" s="110"/>
      <c r="O120" s="110"/>
      <c r="P120" s="110"/>
      <c r="Q120" s="110"/>
      <c r="R120" s="110"/>
      <c r="T120" s="99"/>
    </row>
    <row r="121" spans="3:43" x14ac:dyDescent="0.3">
      <c r="C121" s="99"/>
      <c r="F121" s="172"/>
      <c r="H121" s="172"/>
      <c r="J121" s="172"/>
      <c r="K121" s="222"/>
      <c r="L121" s="222"/>
      <c r="M121" s="110"/>
      <c r="N121" s="110"/>
      <c r="O121" s="141"/>
      <c r="P121" s="141"/>
      <c r="Q121" s="172"/>
      <c r="R121" s="110"/>
      <c r="T121" s="99"/>
      <c r="V121" s="110"/>
      <c r="Y121" s="110"/>
      <c r="AA121" s="110"/>
      <c r="AB121" s="110"/>
      <c r="AC121" s="141"/>
      <c r="AD121" s="141"/>
      <c r="AE121" s="110"/>
      <c r="AF121" s="110"/>
      <c r="AI121" s="141"/>
      <c r="AJ121" s="141"/>
      <c r="AK121" s="224"/>
      <c r="AL121" s="172"/>
      <c r="AO121" s="141"/>
    </row>
    <row r="122" spans="3:43" x14ac:dyDescent="0.3">
      <c r="C122" s="99"/>
      <c r="F122" s="172"/>
      <c r="H122" s="172"/>
      <c r="J122" s="172"/>
      <c r="K122" s="222"/>
      <c r="L122" s="222"/>
      <c r="M122" s="110"/>
      <c r="N122" s="110"/>
      <c r="O122" s="141"/>
      <c r="P122" s="141"/>
      <c r="Q122" s="172"/>
      <c r="R122" s="110"/>
      <c r="V122" s="192"/>
      <c r="Y122" s="192"/>
      <c r="Z122" s="217"/>
      <c r="AA122" s="192"/>
      <c r="AB122" s="192"/>
      <c r="AC122" s="192"/>
      <c r="AD122" s="192"/>
      <c r="AE122" s="192"/>
      <c r="AF122" s="192"/>
      <c r="AK122" s="194"/>
      <c r="AL122" s="192"/>
      <c r="AQ122" s="194"/>
    </row>
    <row r="123" spans="3:43" x14ac:dyDescent="0.3">
      <c r="C123" s="99"/>
      <c r="F123" s="172"/>
      <c r="H123" s="172"/>
      <c r="J123" s="172"/>
      <c r="K123" s="222"/>
      <c r="L123" s="222"/>
      <c r="M123" s="110"/>
      <c r="N123" s="110"/>
      <c r="O123" s="141"/>
      <c r="P123" s="141"/>
      <c r="Q123" s="172"/>
      <c r="R123" s="110"/>
    </row>
    <row r="124" spans="3:43" x14ac:dyDescent="0.3">
      <c r="F124" s="192"/>
      <c r="H124" s="192"/>
      <c r="J124" s="192"/>
      <c r="K124" s="217"/>
      <c r="L124" s="217"/>
      <c r="M124" s="192"/>
      <c r="N124" s="192"/>
      <c r="O124" s="192"/>
      <c r="P124" s="192"/>
      <c r="Q124" s="192"/>
      <c r="R124" s="192"/>
      <c r="T124" s="99"/>
      <c r="AA124" s="110"/>
      <c r="AB124" s="110"/>
      <c r="AC124" s="110"/>
      <c r="AD124" s="110"/>
      <c r="AI124" s="110"/>
      <c r="AJ124" s="110"/>
      <c r="AL124" s="110"/>
    </row>
    <row r="125" spans="3:43" x14ac:dyDescent="0.3">
      <c r="C125" s="99"/>
      <c r="F125" s="110"/>
      <c r="H125" s="110"/>
      <c r="J125" s="110"/>
      <c r="K125" s="198"/>
      <c r="L125" s="198"/>
      <c r="M125" s="110"/>
      <c r="N125" s="110"/>
      <c r="O125" s="141"/>
      <c r="P125" s="141"/>
      <c r="Q125" s="110"/>
      <c r="R125" s="110"/>
    </row>
    <row r="126" spans="3:43" x14ac:dyDescent="0.3">
      <c r="F126" s="192"/>
      <c r="H126" s="192"/>
      <c r="J126" s="192"/>
      <c r="K126" s="217"/>
      <c r="L126" s="217"/>
      <c r="M126" s="192"/>
      <c r="N126" s="192"/>
      <c r="O126" s="192"/>
      <c r="P126" s="192"/>
      <c r="Q126" s="192"/>
      <c r="R126" s="192"/>
    </row>
    <row r="127" spans="3:43" x14ac:dyDescent="0.3">
      <c r="C127" s="99"/>
      <c r="F127" s="110"/>
      <c r="H127" s="110"/>
      <c r="J127" s="110"/>
      <c r="K127" s="198"/>
      <c r="L127" s="198"/>
      <c r="M127" s="110"/>
      <c r="N127" s="110"/>
      <c r="O127" s="141"/>
      <c r="P127" s="141"/>
      <c r="Q127" s="110"/>
      <c r="R127" s="110"/>
      <c r="Y127" s="99"/>
    </row>
    <row r="128" spans="3:43" x14ac:dyDescent="0.3">
      <c r="C128" s="99"/>
      <c r="F128" s="110"/>
      <c r="H128" s="110"/>
      <c r="I128" s="110"/>
      <c r="J128" s="198"/>
      <c r="K128" s="198"/>
      <c r="L128" s="110"/>
      <c r="M128" s="110"/>
      <c r="N128" s="141"/>
      <c r="O128" s="141"/>
      <c r="P128" s="110"/>
      <c r="Q128" s="110"/>
      <c r="R128" s="110"/>
    </row>
    <row r="129" spans="1:40" x14ac:dyDescent="0.3">
      <c r="F129" s="192"/>
      <c r="H129" s="192"/>
      <c r="I129" s="192"/>
      <c r="J129" s="217"/>
      <c r="K129" s="217"/>
      <c r="L129" s="192"/>
      <c r="M129" s="192"/>
      <c r="N129" s="192"/>
      <c r="O129" s="192"/>
      <c r="P129" s="192"/>
      <c r="Q129" s="192"/>
      <c r="R129" s="192"/>
      <c r="AA129" s="99"/>
      <c r="AB129" s="99"/>
    </row>
    <row r="130" spans="1:40" x14ac:dyDescent="0.3">
      <c r="F130" s="110"/>
      <c r="H130" s="110"/>
      <c r="I130" s="110"/>
      <c r="J130" s="198"/>
      <c r="K130" s="198"/>
      <c r="L130" s="110"/>
      <c r="M130" s="110"/>
      <c r="N130" s="110"/>
      <c r="O130" s="110"/>
      <c r="P130" s="110"/>
      <c r="Q130" s="110"/>
      <c r="R130" s="110"/>
      <c r="AK130" s="190"/>
      <c r="AL130" s="99"/>
    </row>
    <row r="131" spans="1:40" x14ac:dyDescent="0.3">
      <c r="C131" s="99"/>
      <c r="F131" s="110"/>
      <c r="H131" s="110"/>
      <c r="I131" s="110"/>
      <c r="J131" s="198"/>
      <c r="K131" s="198"/>
      <c r="L131" s="110"/>
      <c r="M131" s="110"/>
      <c r="N131" s="110"/>
      <c r="O131" s="110"/>
      <c r="P131" s="110"/>
      <c r="Q131" s="110"/>
      <c r="R131" s="110"/>
      <c r="AK131" s="190"/>
      <c r="AL131" s="99"/>
    </row>
    <row r="132" spans="1:40" x14ac:dyDescent="0.3">
      <c r="A132" s="99"/>
      <c r="AK132" s="190"/>
      <c r="AL132" s="99"/>
    </row>
    <row r="134" spans="1:40" x14ac:dyDescent="0.3">
      <c r="H134" s="99"/>
      <c r="I134" s="99"/>
      <c r="Y134" s="99"/>
    </row>
    <row r="136" spans="1:40" x14ac:dyDescent="0.3">
      <c r="L136" s="99"/>
      <c r="M136" s="99"/>
      <c r="AA136" s="99"/>
      <c r="AB136" s="99"/>
    </row>
    <row r="137" spans="1:40" x14ac:dyDescent="0.3">
      <c r="R137" s="99"/>
      <c r="AK137" s="190"/>
      <c r="AL137" s="99"/>
    </row>
    <row r="138" spans="1:40" x14ac:dyDescent="0.3">
      <c r="R138" s="99"/>
      <c r="AK138" s="190"/>
      <c r="AL138" s="99"/>
    </row>
    <row r="139" spans="1:40" x14ac:dyDescent="0.3">
      <c r="A139" s="99"/>
      <c r="R139" s="99"/>
      <c r="AK139" s="190"/>
      <c r="AL139" s="99"/>
    </row>
    <row r="140" spans="1:40" x14ac:dyDescent="0.3">
      <c r="L140" s="99"/>
      <c r="M140" s="99"/>
      <c r="AA140" s="99"/>
      <c r="AB140" s="99"/>
    </row>
    <row r="141" spans="1:40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91"/>
      <c r="AH141" s="101"/>
      <c r="AI141" s="101"/>
      <c r="AJ141" s="101"/>
      <c r="AK141" s="191"/>
      <c r="AL141" s="101"/>
      <c r="AM141" s="101"/>
      <c r="AN141" s="101"/>
    </row>
    <row r="142" spans="1:40" x14ac:dyDescent="0.3">
      <c r="L142" s="102"/>
      <c r="M142" s="102"/>
      <c r="N142" s="102"/>
      <c r="O142" s="102"/>
      <c r="R142" s="102"/>
      <c r="AA142" s="102"/>
      <c r="AB142" s="102"/>
      <c r="AC142" s="102"/>
      <c r="AD142" s="102"/>
      <c r="AE142" s="102"/>
      <c r="AF142" s="102"/>
      <c r="AG142" s="151"/>
      <c r="AH142" s="102"/>
      <c r="AK142" s="151"/>
      <c r="AL142" s="102"/>
      <c r="AM142" s="102"/>
      <c r="AN142" s="102"/>
    </row>
    <row r="143" spans="1:40" x14ac:dyDescent="0.3">
      <c r="L143" s="102"/>
      <c r="M143" s="102"/>
      <c r="N143" s="102"/>
      <c r="O143" s="102"/>
      <c r="R143" s="102"/>
      <c r="Z143" s="102"/>
      <c r="AA143" s="102"/>
      <c r="AB143" s="102"/>
      <c r="AC143" s="102"/>
      <c r="AD143" s="102"/>
      <c r="AE143" s="102"/>
      <c r="AF143" s="102"/>
      <c r="AG143" s="151"/>
      <c r="AH143" s="102"/>
      <c r="AK143" s="151"/>
      <c r="AL143" s="102"/>
      <c r="AM143" s="102"/>
      <c r="AN143" s="102"/>
    </row>
    <row r="144" spans="1:40" x14ac:dyDescent="0.3">
      <c r="A144" s="102"/>
      <c r="C144" s="102"/>
      <c r="D144" s="102"/>
      <c r="E144" s="102"/>
      <c r="F144" s="102"/>
      <c r="J144" s="102"/>
      <c r="K144" s="102"/>
      <c r="L144" s="102"/>
      <c r="M144" s="102"/>
      <c r="N144" s="102"/>
      <c r="O144" s="102"/>
      <c r="P144" s="102"/>
      <c r="Q144" s="102"/>
      <c r="R144" s="102"/>
      <c r="T144" s="102"/>
      <c r="U144" s="102"/>
      <c r="V144" s="102"/>
      <c r="Z144" s="102"/>
      <c r="AA144" s="102"/>
      <c r="AB144" s="102"/>
      <c r="AC144" s="102"/>
      <c r="AD144" s="102"/>
      <c r="AE144" s="102"/>
      <c r="AF144" s="102"/>
      <c r="AG144" s="151"/>
      <c r="AH144" s="102"/>
      <c r="AI144" s="102"/>
      <c r="AJ144" s="102"/>
      <c r="AK144" s="151"/>
      <c r="AL144" s="102"/>
      <c r="AM144" s="102"/>
      <c r="AN144" s="102"/>
    </row>
    <row r="145" spans="1:40" x14ac:dyDescent="0.3">
      <c r="A145" s="102"/>
      <c r="C145" s="102"/>
      <c r="D145" s="102"/>
      <c r="E145" s="102"/>
      <c r="F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T145" s="102"/>
      <c r="U145" s="102"/>
      <c r="V145" s="102"/>
      <c r="Y145" s="102"/>
      <c r="Z145" s="102"/>
      <c r="AA145" s="102"/>
      <c r="AB145" s="102"/>
      <c r="AC145" s="102"/>
      <c r="AD145" s="102"/>
      <c r="AE145" s="102"/>
      <c r="AF145" s="102"/>
      <c r="AG145" s="151"/>
      <c r="AH145" s="102"/>
      <c r="AI145" s="102"/>
      <c r="AJ145" s="102"/>
      <c r="AK145" s="151"/>
      <c r="AL145" s="102"/>
      <c r="AM145" s="102"/>
      <c r="AN145" s="102"/>
    </row>
    <row r="146" spans="1:40" x14ac:dyDescent="0.3">
      <c r="C146" s="102"/>
      <c r="D146" s="102"/>
      <c r="E146" s="102"/>
      <c r="F146" s="102"/>
      <c r="H146" s="102"/>
      <c r="I146" s="102"/>
      <c r="J146" s="102"/>
      <c r="K146" s="102"/>
      <c r="L146" s="102"/>
      <c r="M146" s="102"/>
      <c r="N146" s="102"/>
      <c r="O146" s="102"/>
      <c r="P146" s="102"/>
      <c r="Q146" s="102"/>
      <c r="R146" s="102"/>
      <c r="T146" s="102"/>
      <c r="U146" s="102"/>
      <c r="V146" s="102"/>
      <c r="Y146" s="102"/>
      <c r="Z146" s="102"/>
      <c r="AA146" s="102"/>
      <c r="AB146" s="102"/>
      <c r="AC146" s="102"/>
      <c r="AD146" s="102"/>
      <c r="AE146" s="102"/>
      <c r="AF146" s="102"/>
      <c r="AG146" s="151"/>
      <c r="AH146" s="102"/>
      <c r="AI146" s="102"/>
      <c r="AJ146" s="102"/>
      <c r="AK146" s="151"/>
      <c r="AL146" s="102"/>
      <c r="AM146" s="102"/>
      <c r="AN146" s="102"/>
    </row>
    <row r="147" spans="1:40" x14ac:dyDescent="0.3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91"/>
      <c r="AH147" s="101"/>
      <c r="AI147" s="101"/>
      <c r="AJ147" s="101"/>
      <c r="AK147" s="191"/>
      <c r="AL147" s="101"/>
      <c r="AM147" s="101"/>
      <c r="AN147" s="101"/>
    </row>
    <row r="148" spans="1:40" x14ac:dyDescent="0.3">
      <c r="H148" s="102"/>
      <c r="I148" s="102"/>
      <c r="J148" s="102"/>
      <c r="K148" s="102"/>
      <c r="L148" s="102"/>
      <c r="M148" s="102"/>
      <c r="N148" s="102"/>
      <c r="O148" s="102"/>
      <c r="P148" s="102"/>
      <c r="Q148" s="102"/>
      <c r="R148" s="102"/>
      <c r="Y148" s="102"/>
      <c r="Z148" s="102"/>
      <c r="AA148" s="102"/>
      <c r="AB148" s="102"/>
      <c r="AC148" s="102"/>
      <c r="AD148" s="102"/>
      <c r="AE148" s="102"/>
      <c r="AF148" s="102"/>
      <c r="AG148" s="151"/>
      <c r="AH148" s="102"/>
      <c r="AI148" s="102"/>
      <c r="AJ148" s="102"/>
      <c r="AK148" s="151"/>
      <c r="AL148" s="102"/>
      <c r="AM148" s="102"/>
      <c r="AN148" s="102"/>
    </row>
    <row r="149" spans="1:40" x14ac:dyDescent="0.3">
      <c r="C149" s="99"/>
      <c r="D149" s="99"/>
      <c r="E149" s="99"/>
      <c r="T149" s="99"/>
      <c r="U149" s="99"/>
    </row>
    <row r="151" spans="1:40" x14ac:dyDescent="0.3">
      <c r="C151" s="99"/>
      <c r="F151" s="172"/>
      <c r="H151" s="220"/>
      <c r="I151" s="220"/>
      <c r="J151" s="181"/>
      <c r="K151" s="181"/>
      <c r="L151" s="110"/>
      <c r="M151" s="110"/>
      <c r="R151" s="110"/>
      <c r="T151" s="99"/>
      <c r="V151" s="110"/>
      <c r="Z151" s="181"/>
      <c r="AA151" s="110"/>
      <c r="AB151" s="110"/>
      <c r="AE151" s="110"/>
      <c r="AF151" s="110"/>
      <c r="AG151" s="224"/>
      <c r="AH151" s="225"/>
      <c r="AI151" s="110"/>
      <c r="AJ151" s="110"/>
      <c r="AL151" s="110"/>
      <c r="AM151" s="226"/>
      <c r="AN151" s="226"/>
    </row>
    <row r="152" spans="1:40" x14ac:dyDescent="0.3">
      <c r="F152" s="172"/>
      <c r="H152" s="220"/>
      <c r="I152" s="220"/>
      <c r="J152" s="220"/>
      <c r="K152" s="220"/>
      <c r="R152" s="110"/>
      <c r="V152" s="110"/>
      <c r="Z152" s="220"/>
    </row>
    <row r="153" spans="1:40" x14ac:dyDescent="0.3">
      <c r="C153" s="99"/>
      <c r="F153" s="172"/>
      <c r="H153" s="172"/>
      <c r="I153" s="172"/>
      <c r="J153" s="222"/>
      <c r="K153" s="222"/>
      <c r="L153" s="110"/>
      <c r="M153" s="110"/>
      <c r="N153" s="141"/>
      <c r="O153" s="141"/>
      <c r="P153" s="172"/>
      <c r="Q153" s="172"/>
      <c r="R153" s="110"/>
      <c r="T153" s="99"/>
      <c r="V153" s="110"/>
      <c r="Y153" s="110"/>
      <c r="Z153" s="216"/>
      <c r="AA153" s="110"/>
      <c r="AB153" s="110"/>
      <c r="AC153" s="141"/>
      <c r="AD153" s="141"/>
      <c r="AE153" s="110"/>
      <c r="AF153" s="110"/>
      <c r="AH153" s="207"/>
      <c r="AI153" s="172"/>
      <c r="AJ153" s="172"/>
      <c r="AL153" s="110"/>
      <c r="AM153" s="141"/>
      <c r="AN153" s="141"/>
    </row>
    <row r="154" spans="1:40" x14ac:dyDescent="0.3">
      <c r="F154" s="192"/>
      <c r="H154" s="192"/>
      <c r="I154" s="192"/>
      <c r="J154" s="217"/>
      <c r="K154" s="217"/>
      <c r="L154" s="192"/>
      <c r="M154" s="192"/>
      <c r="N154" s="192"/>
      <c r="O154" s="192"/>
      <c r="P154" s="192"/>
      <c r="Q154" s="192"/>
      <c r="R154" s="192"/>
      <c r="V154" s="192"/>
      <c r="Y154" s="192"/>
      <c r="Z154" s="217"/>
      <c r="AA154" s="192"/>
      <c r="AB154" s="192"/>
      <c r="AC154" s="192"/>
      <c r="AD154" s="192"/>
      <c r="AE154" s="192"/>
      <c r="AF154" s="192"/>
      <c r="AI154" s="192"/>
      <c r="AJ154" s="192"/>
      <c r="AK154" s="194"/>
      <c r="AL154" s="192"/>
    </row>
    <row r="155" spans="1:40" x14ac:dyDescent="0.3">
      <c r="D155" s="99"/>
      <c r="E155" s="99"/>
      <c r="F155" s="110"/>
      <c r="H155" s="110"/>
      <c r="I155" s="110"/>
      <c r="J155" s="198"/>
      <c r="K155" s="198"/>
      <c r="L155" s="110"/>
      <c r="M155" s="110"/>
      <c r="N155" s="141"/>
      <c r="O155" s="141"/>
      <c r="P155" s="110"/>
      <c r="Q155" s="110"/>
      <c r="R155" s="110"/>
      <c r="U155" s="99"/>
      <c r="V155" s="110"/>
      <c r="Y155" s="110"/>
      <c r="Z155" s="198"/>
      <c r="AA155" s="110"/>
      <c r="AB155" s="110"/>
      <c r="AC155" s="141"/>
      <c r="AD155" s="141"/>
      <c r="AE155" s="110"/>
      <c r="AF155" s="110"/>
      <c r="AH155" s="207"/>
      <c r="AI155" s="110"/>
      <c r="AJ155" s="110"/>
      <c r="AL155" s="110"/>
      <c r="AM155" s="141"/>
      <c r="AN155" s="141"/>
    </row>
    <row r="156" spans="1:40" x14ac:dyDescent="0.3">
      <c r="F156" s="192"/>
      <c r="H156" s="192"/>
      <c r="I156" s="192"/>
      <c r="J156" s="217"/>
      <c r="K156" s="217"/>
      <c r="L156" s="192"/>
      <c r="M156" s="192"/>
      <c r="N156" s="192"/>
      <c r="O156" s="192"/>
      <c r="P156" s="192"/>
      <c r="Q156" s="192"/>
      <c r="R156" s="192"/>
      <c r="V156" s="192"/>
      <c r="Y156" s="192"/>
      <c r="Z156" s="217"/>
      <c r="AA156" s="192"/>
      <c r="AB156" s="192"/>
      <c r="AC156" s="192"/>
      <c r="AD156" s="192"/>
      <c r="AE156" s="192"/>
      <c r="AF156" s="192"/>
      <c r="AI156" s="192"/>
      <c r="AJ156" s="192"/>
      <c r="AK156" s="194"/>
      <c r="AL156" s="192"/>
    </row>
    <row r="157" spans="1:40" x14ac:dyDescent="0.3">
      <c r="R157" s="110"/>
    </row>
    <row r="158" spans="1:40" x14ac:dyDescent="0.3">
      <c r="R158" s="110"/>
    </row>
    <row r="159" spans="1:40" x14ac:dyDescent="0.3">
      <c r="R159" s="110"/>
    </row>
    <row r="160" spans="1:40" x14ac:dyDescent="0.3">
      <c r="C160" s="99"/>
      <c r="D160" s="99"/>
      <c r="E160" s="99"/>
      <c r="H160" s="110"/>
      <c r="I160" s="110"/>
      <c r="J160" s="198"/>
      <c r="K160" s="198"/>
      <c r="L160" s="110"/>
      <c r="M160" s="110"/>
      <c r="N160" s="141"/>
      <c r="O160" s="141"/>
      <c r="P160" s="110"/>
      <c r="Q160" s="110"/>
      <c r="R160" s="110"/>
      <c r="T160" s="99"/>
      <c r="U160" s="99"/>
      <c r="Y160" s="110"/>
      <c r="Z160" s="198"/>
      <c r="AA160" s="110"/>
      <c r="AB160" s="110"/>
      <c r="AC160" s="141"/>
      <c r="AD160" s="141"/>
    </row>
    <row r="161" spans="1:40" x14ac:dyDescent="0.3">
      <c r="H161" s="110"/>
      <c r="I161" s="110"/>
      <c r="J161" s="198"/>
      <c r="K161" s="198"/>
      <c r="L161" s="110"/>
      <c r="M161" s="110"/>
      <c r="N161" s="141"/>
      <c r="O161" s="141"/>
      <c r="P161" s="110"/>
      <c r="Q161" s="110"/>
      <c r="R161" s="110"/>
      <c r="Y161" s="110"/>
      <c r="Z161" s="198"/>
      <c r="AA161" s="110"/>
      <c r="AB161" s="110"/>
      <c r="AC161" s="141"/>
      <c r="AD161" s="141"/>
    </row>
    <row r="162" spans="1:40" x14ac:dyDescent="0.3">
      <c r="C162" s="99"/>
      <c r="F162" s="172"/>
      <c r="H162" s="172"/>
      <c r="I162" s="172"/>
      <c r="J162" s="208"/>
      <c r="K162" s="208"/>
      <c r="L162" s="172"/>
      <c r="M162" s="172"/>
      <c r="N162" s="141"/>
      <c r="O162" s="141"/>
      <c r="P162" s="110"/>
      <c r="Q162" s="110"/>
      <c r="R162" s="110"/>
      <c r="T162" s="99"/>
      <c r="V162" s="110"/>
      <c r="Y162" s="110"/>
      <c r="Z162" s="208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1:40" x14ac:dyDescent="0.3">
      <c r="F163" s="172"/>
      <c r="H163" s="220"/>
      <c r="I163" s="220"/>
      <c r="J163" s="220"/>
      <c r="K163" s="220"/>
      <c r="R163" s="110"/>
      <c r="V163" s="110"/>
      <c r="Z163" s="220"/>
    </row>
    <row r="164" spans="1:40" x14ac:dyDescent="0.3">
      <c r="C164" s="99"/>
      <c r="F164" s="172"/>
      <c r="H164" s="172"/>
      <c r="I164" s="172"/>
      <c r="J164" s="181"/>
      <c r="K164" s="181"/>
      <c r="L164" s="110"/>
      <c r="M164" s="110"/>
      <c r="N164" s="141"/>
      <c r="O164" s="141"/>
      <c r="P164" s="110"/>
      <c r="Q164" s="110"/>
      <c r="R164" s="110"/>
      <c r="T164" s="99"/>
      <c r="V164" s="110"/>
      <c r="Y164" s="110"/>
      <c r="Z164" s="181"/>
      <c r="AA164" s="110"/>
      <c r="AB164" s="110"/>
      <c r="AC164" s="141"/>
      <c r="AD164" s="141"/>
      <c r="AE164" s="110"/>
      <c r="AF164" s="110"/>
      <c r="AH164" s="207"/>
      <c r="AI164" s="110"/>
      <c r="AJ164" s="110"/>
      <c r="AL164" s="110"/>
      <c r="AM164" s="141"/>
      <c r="AN164" s="141"/>
    </row>
    <row r="165" spans="1:40" x14ac:dyDescent="0.3">
      <c r="F165" s="172"/>
      <c r="H165" s="220"/>
      <c r="I165" s="220"/>
      <c r="J165" s="220"/>
      <c r="K165" s="220"/>
      <c r="R165" s="110"/>
      <c r="V165" s="110"/>
      <c r="Z165" s="220"/>
    </row>
    <row r="166" spans="1:40" x14ac:dyDescent="0.3">
      <c r="C166" s="99"/>
      <c r="F166" s="172"/>
      <c r="H166" s="172"/>
      <c r="I166" s="172"/>
      <c r="J166" s="222"/>
      <c r="K166" s="222"/>
      <c r="L166" s="110"/>
      <c r="M166" s="110"/>
      <c r="N166" s="141"/>
      <c r="O166" s="141"/>
      <c r="P166" s="110"/>
      <c r="Q166" s="110"/>
      <c r="R166" s="110"/>
      <c r="T166" s="99"/>
      <c r="V166" s="110"/>
      <c r="Y166" s="110"/>
      <c r="Z166" s="216"/>
      <c r="AA166" s="110"/>
      <c r="AB166" s="110"/>
      <c r="AC166" s="141"/>
      <c r="AD166" s="141"/>
      <c r="AE166" s="110"/>
      <c r="AF166" s="110"/>
      <c r="AH166" s="207"/>
      <c r="AI166" s="110"/>
      <c r="AJ166" s="110"/>
      <c r="AL166" s="110"/>
      <c r="AM166" s="141"/>
      <c r="AN166" s="141"/>
    </row>
    <row r="167" spans="1:40" x14ac:dyDescent="0.3">
      <c r="F167" s="192"/>
      <c r="H167" s="192"/>
      <c r="I167" s="192"/>
      <c r="J167" s="217"/>
      <c r="K167" s="217"/>
      <c r="L167" s="192"/>
      <c r="M167" s="192"/>
      <c r="N167" s="192"/>
      <c r="O167" s="192"/>
      <c r="P167" s="192"/>
      <c r="Q167" s="192"/>
      <c r="R167" s="192"/>
      <c r="S167" s="110"/>
      <c r="V167" s="192"/>
      <c r="Y167" s="192"/>
      <c r="Z167" s="217"/>
      <c r="AA167" s="192"/>
      <c r="AB167" s="192"/>
      <c r="AC167" s="192"/>
      <c r="AD167" s="192"/>
      <c r="AE167" s="192"/>
      <c r="AF167" s="192"/>
      <c r="AI167" s="192"/>
      <c r="AJ167" s="192"/>
      <c r="AK167" s="194"/>
      <c r="AL167" s="192"/>
    </row>
    <row r="168" spans="1:40" x14ac:dyDescent="0.3">
      <c r="D168" s="99"/>
      <c r="E168" s="99"/>
      <c r="F168" s="110"/>
      <c r="H168" s="110"/>
      <c r="I168" s="110"/>
      <c r="J168" s="198"/>
      <c r="K168" s="198"/>
      <c r="L168" s="110"/>
      <c r="M168" s="110"/>
      <c r="N168" s="141"/>
      <c r="O168" s="141"/>
      <c r="P168" s="172"/>
      <c r="Q168" s="172"/>
      <c r="R168" s="110"/>
      <c r="S168" s="110"/>
      <c r="U168" s="99"/>
      <c r="V168" s="110"/>
      <c r="Y168" s="110"/>
      <c r="Z168" s="198"/>
      <c r="AA168" s="110"/>
      <c r="AB168" s="110"/>
      <c r="AC168" s="141"/>
      <c r="AD168" s="141"/>
      <c r="AE168" s="110"/>
      <c r="AF168" s="110"/>
      <c r="AH168" s="207"/>
      <c r="AI168" s="172"/>
      <c r="AJ168" s="172"/>
      <c r="AL168" s="110"/>
      <c r="AM168" s="141"/>
      <c r="AN168" s="141"/>
    </row>
    <row r="169" spans="1:40" x14ac:dyDescent="0.3">
      <c r="F169" s="192"/>
      <c r="H169" s="192"/>
      <c r="I169" s="192"/>
      <c r="J169" s="217"/>
      <c r="K169" s="217"/>
      <c r="L169" s="192"/>
      <c r="M169" s="192"/>
      <c r="N169" s="192"/>
      <c r="O169" s="192"/>
      <c r="P169" s="192"/>
      <c r="Q169" s="192"/>
      <c r="R169" s="192"/>
      <c r="S169" s="110"/>
      <c r="V169" s="192"/>
      <c r="Y169" s="192"/>
      <c r="Z169" s="217"/>
      <c r="AA169" s="192"/>
      <c r="AB169" s="192"/>
      <c r="AC169" s="192"/>
      <c r="AD169" s="192"/>
      <c r="AE169" s="192"/>
      <c r="AF169" s="192"/>
      <c r="AI169" s="192"/>
      <c r="AJ169" s="192"/>
      <c r="AK169" s="194"/>
      <c r="AL169" s="192"/>
    </row>
    <row r="170" spans="1:40" x14ac:dyDescent="0.3">
      <c r="R170" s="110"/>
    </row>
    <row r="171" spans="1:40" x14ac:dyDescent="0.3">
      <c r="F171" s="110"/>
      <c r="H171" s="110"/>
      <c r="I171" s="110"/>
      <c r="J171" s="198"/>
      <c r="K171" s="198"/>
      <c r="L171" s="110"/>
      <c r="M171" s="110"/>
      <c r="N171" s="110"/>
      <c r="O171" s="110"/>
      <c r="P171" s="110"/>
      <c r="Q171" s="110"/>
      <c r="R171" s="110"/>
      <c r="V171" s="110"/>
      <c r="Y171" s="110"/>
      <c r="Z171" s="198"/>
      <c r="AA171" s="110"/>
      <c r="AB171" s="110"/>
      <c r="AC171" s="110"/>
      <c r="AD171" s="110"/>
    </row>
    <row r="172" spans="1:40" x14ac:dyDescent="0.3">
      <c r="C172" s="99"/>
      <c r="F172" s="110"/>
      <c r="H172" s="110"/>
      <c r="I172" s="110"/>
      <c r="J172" s="198"/>
      <c r="K172" s="198"/>
      <c r="L172" s="110"/>
      <c r="M172" s="110"/>
      <c r="N172" s="110"/>
      <c r="O172" s="110"/>
      <c r="P172" s="110"/>
      <c r="Q172" s="110"/>
      <c r="R172" s="110"/>
      <c r="T172" s="99"/>
      <c r="V172" s="110"/>
      <c r="Y172" s="110"/>
      <c r="Z172" s="198"/>
      <c r="AA172" s="110"/>
      <c r="AB172" s="110"/>
      <c r="AC172" s="110"/>
      <c r="AD172" s="110"/>
    </row>
    <row r="173" spans="1:40" x14ac:dyDescent="0.3">
      <c r="C173" s="99"/>
      <c r="T173" s="99"/>
    </row>
    <row r="174" spans="1:40" x14ac:dyDescent="0.3">
      <c r="A174" s="99"/>
    </row>
    <row r="177" spans="1:40" x14ac:dyDescent="0.3">
      <c r="H177" s="99"/>
      <c r="I177" s="99"/>
      <c r="Y177" s="99"/>
    </row>
    <row r="179" spans="1:40" x14ac:dyDescent="0.3">
      <c r="L179" s="99"/>
      <c r="M179" s="99"/>
      <c r="AA179" s="99"/>
      <c r="AB179" s="99"/>
    </row>
    <row r="180" spans="1:40" x14ac:dyDescent="0.3">
      <c r="R180" s="99"/>
      <c r="AK180" s="190"/>
      <c r="AL180" s="99"/>
    </row>
    <row r="181" spans="1:40" x14ac:dyDescent="0.3">
      <c r="R181" s="99"/>
      <c r="AK181" s="190"/>
      <c r="AL181" s="99"/>
    </row>
    <row r="182" spans="1:40" x14ac:dyDescent="0.3">
      <c r="A182" s="99"/>
      <c r="R182" s="99"/>
      <c r="AK182" s="190"/>
      <c r="AL182" s="99"/>
    </row>
    <row r="183" spans="1:40" x14ac:dyDescent="0.3">
      <c r="L183" s="99"/>
      <c r="M183" s="99"/>
      <c r="AA183" s="99"/>
      <c r="AB183" s="99"/>
    </row>
    <row r="184" spans="1:40" x14ac:dyDescent="0.3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91"/>
      <c r="AH184" s="101"/>
      <c r="AI184" s="101"/>
      <c r="AJ184" s="101"/>
      <c r="AK184" s="191"/>
      <c r="AL184" s="101"/>
      <c r="AM184" s="101"/>
      <c r="AN184" s="101"/>
    </row>
    <row r="185" spans="1:40" x14ac:dyDescent="0.3">
      <c r="L185" s="102"/>
      <c r="M185" s="102"/>
      <c r="N185" s="102"/>
      <c r="O185" s="102"/>
      <c r="R185" s="102"/>
      <c r="AA185" s="102"/>
      <c r="AB185" s="102"/>
      <c r="AC185" s="102"/>
      <c r="AD185" s="102"/>
      <c r="AE185" s="102"/>
      <c r="AF185" s="102"/>
      <c r="AG185" s="151"/>
      <c r="AH185" s="102"/>
      <c r="AK185" s="151"/>
      <c r="AL185" s="102"/>
      <c r="AM185" s="102"/>
      <c r="AN185" s="102"/>
    </row>
    <row r="186" spans="1:40" x14ac:dyDescent="0.3">
      <c r="L186" s="102"/>
      <c r="M186" s="102"/>
      <c r="N186" s="102"/>
      <c r="O186" s="102"/>
      <c r="R186" s="102"/>
      <c r="Z186" s="102"/>
      <c r="AA186" s="102"/>
      <c r="AB186" s="102"/>
      <c r="AC186" s="102"/>
      <c r="AD186" s="102"/>
      <c r="AE186" s="102"/>
      <c r="AF186" s="102"/>
      <c r="AG186" s="151"/>
      <c r="AH186" s="102"/>
      <c r="AK186" s="151"/>
      <c r="AL186" s="102"/>
      <c r="AM186" s="102"/>
      <c r="AN186" s="102"/>
    </row>
    <row r="187" spans="1:40" x14ac:dyDescent="0.3">
      <c r="A187" s="102"/>
      <c r="C187" s="102"/>
      <c r="D187" s="102"/>
      <c r="E187" s="102"/>
      <c r="F187" s="102"/>
      <c r="J187" s="102"/>
      <c r="K187" s="102"/>
      <c r="L187" s="102"/>
      <c r="M187" s="102"/>
      <c r="N187" s="102"/>
      <c r="O187" s="102"/>
      <c r="P187" s="102"/>
      <c r="Q187" s="102"/>
      <c r="R187" s="102"/>
      <c r="T187" s="102"/>
      <c r="U187" s="102"/>
      <c r="V187" s="102"/>
      <c r="Z187" s="102"/>
      <c r="AA187" s="102"/>
      <c r="AB187" s="102"/>
      <c r="AC187" s="102"/>
      <c r="AD187" s="102"/>
      <c r="AE187" s="102"/>
      <c r="AF187" s="102"/>
      <c r="AG187" s="151"/>
      <c r="AH187" s="102"/>
      <c r="AI187" s="102"/>
      <c r="AJ187" s="102"/>
      <c r="AK187" s="151"/>
      <c r="AL187" s="102"/>
      <c r="AM187" s="102"/>
      <c r="AN187" s="102"/>
    </row>
    <row r="188" spans="1:40" x14ac:dyDescent="0.3">
      <c r="A188" s="102"/>
      <c r="C188" s="102"/>
      <c r="D188" s="102"/>
      <c r="E188" s="102"/>
      <c r="F188" s="102"/>
      <c r="H188" s="102"/>
      <c r="I188" s="102"/>
      <c r="J188" s="102"/>
      <c r="K188" s="102"/>
      <c r="L188" s="102"/>
      <c r="M188" s="102"/>
      <c r="N188" s="102"/>
      <c r="O188" s="102"/>
      <c r="P188" s="102"/>
      <c r="Q188" s="102"/>
      <c r="R188" s="102"/>
      <c r="T188" s="102"/>
      <c r="U188" s="102"/>
      <c r="V188" s="102"/>
      <c r="Y188" s="102"/>
      <c r="Z188" s="102"/>
      <c r="AA188" s="102"/>
      <c r="AB188" s="102"/>
      <c r="AC188" s="102"/>
      <c r="AD188" s="102"/>
      <c r="AE188" s="102"/>
      <c r="AF188" s="102"/>
      <c r="AG188" s="151"/>
      <c r="AH188" s="102"/>
      <c r="AI188" s="102"/>
      <c r="AJ188" s="102"/>
      <c r="AK188" s="151"/>
      <c r="AL188" s="102"/>
      <c r="AM188" s="102"/>
      <c r="AN188" s="102"/>
    </row>
    <row r="189" spans="1:40" x14ac:dyDescent="0.3">
      <c r="C189" s="102"/>
      <c r="D189" s="102"/>
      <c r="E189" s="102"/>
      <c r="F189" s="102"/>
      <c r="H189" s="102"/>
      <c r="I189" s="102"/>
      <c r="J189" s="102"/>
      <c r="K189" s="102"/>
      <c r="L189" s="102"/>
      <c r="M189" s="102"/>
      <c r="N189" s="102"/>
      <c r="O189" s="102"/>
      <c r="P189" s="102"/>
      <c r="Q189" s="102"/>
      <c r="R189" s="102"/>
      <c r="T189" s="102"/>
      <c r="U189" s="102"/>
      <c r="V189" s="102"/>
      <c r="Y189" s="102"/>
      <c r="Z189" s="102"/>
      <c r="AA189" s="102"/>
      <c r="AB189" s="102"/>
      <c r="AC189" s="102"/>
      <c r="AD189" s="102"/>
      <c r="AE189" s="102"/>
      <c r="AF189" s="102"/>
      <c r="AG189" s="151"/>
      <c r="AH189" s="102"/>
      <c r="AI189" s="102"/>
      <c r="AJ189" s="102"/>
      <c r="AK189" s="151"/>
      <c r="AL189" s="102"/>
      <c r="AM189" s="102"/>
      <c r="AN189" s="102"/>
    </row>
    <row r="190" spans="1:40" x14ac:dyDescent="0.3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91"/>
      <c r="AH190" s="101"/>
      <c r="AI190" s="101"/>
      <c r="AJ190" s="101"/>
      <c r="AK190" s="191"/>
      <c r="AL190" s="101"/>
      <c r="AM190" s="101"/>
      <c r="AN190" s="101"/>
    </row>
    <row r="191" spans="1:40" x14ac:dyDescent="0.3">
      <c r="H191" s="102"/>
      <c r="I191" s="102"/>
      <c r="J191" s="102"/>
      <c r="K191" s="102"/>
      <c r="L191" s="102"/>
      <c r="M191" s="102"/>
      <c r="N191" s="102"/>
      <c r="O191" s="102"/>
      <c r="P191" s="102"/>
      <c r="Q191" s="102"/>
      <c r="R191" s="102"/>
      <c r="Y191" s="102"/>
      <c r="Z191" s="102"/>
      <c r="AA191" s="102"/>
      <c r="AB191" s="102"/>
      <c r="AC191" s="102"/>
      <c r="AD191" s="102"/>
      <c r="AE191" s="102"/>
      <c r="AF191" s="102"/>
      <c r="AG191" s="151"/>
      <c r="AH191" s="102"/>
      <c r="AI191" s="102"/>
      <c r="AJ191" s="102"/>
      <c r="AK191" s="151"/>
      <c r="AL191" s="102"/>
      <c r="AM191" s="102"/>
      <c r="AN191" s="102"/>
    </row>
    <row r="192" spans="1:40" x14ac:dyDescent="0.3">
      <c r="C192" s="99"/>
      <c r="D192" s="99"/>
      <c r="E192" s="99"/>
      <c r="T192" s="99"/>
      <c r="U192" s="99"/>
    </row>
    <row r="193" spans="3:40" x14ac:dyDescent="0.3">
      <c r="D193" s="99"/>
      <c r="E193" s="99"/>
      <c r="U193" s="99"/>
    </row>
    <row r="195" spans="3:40" x14ac:dyDescent="0.3">
      <c r="C195" s="99"/>
      <c r="F195" s="110"/>
      <c r="J195" s="209"/>
      <c r="K195" s="209"/>
      <c r="L195" s="110"/>
      <c r="M195" s="110"/>
      <c r="R195" s="110"/>
      <c r="T195" s="99"/>
      <c r="V195" s="110"/>
      <c r="Z195" s="209"/>
      <c r="AA195" s="110"/>
      <c r="AB195" s="110"/>
      <c r="AL195" s="110"/>
    </row>
    <row r="196" spans="3:40" x14ac:dyDescent="0.3">
      <c r="F196" s="110"/>
      <c r="R196" s="110"/>
      <c r="V196" s="110"/>
      <c r="AL196" s="110"/>
    </row>
    <row r="197" spans="3:40" x14ac:dyDescent="0.3">
      <c r="C197" s="99"/>
      <c r="F197" s="172"/>
      <c r="H197" s="172"/>
      <c r="I197" s="172"/>
      <c r="J197" s="181"/>
      <c r="K197" s="181"/>
      <c r="L197" s="110"/>
      <c r="M197" s="110"/>
      <c r="N197" s="141"/>
      <c r="O197" s="141"/>
      <c r="P197" s="110"/>
      <c r="Q197" s="110"/>
      <c r="R197" s="110"/>
      <c r="T197" s="99"/>
      <c r="V197" s="110"/>
      <c r="Y197" s="110"/>
      <c r="Z197" s="181"/>
      <c r="AA197" s="110"/>
      <c r="AB197" s="110"/>
      <c r="AC197" s="141"/>
      <c r="AD197" s="141"/>
      <c r="AE197" s="110"/>
      <c r="AF197" s="110"/>
      <c r="AH197" s="207"/>
      <c r="AI197" s="110"/>
      <c r="AJ197" s="110"/>
      <c r="AL197" s="110"/>
      <c r="AM197" s="141"/>
      <c r="AN197" s="141"/>
    </row>
    <row r="198" spans="3:40" x14ac:dyDescent="0.3">
      <c r="C198" s="99"/>
      <c r="F198" s="172"/>
      <c r="H198" s="220"/>
      <c r="I198" s="220"/>
      <c r="J198" s="181"/>
      <c r="K198" s="181"/>
      <c r="L198" s="110"/>
      <c r="M198" s="110"/>
      <c r="N198" s="141"/>
      <c r="O198" s="141"/>
      <c r="P198" s="110"/>
      <c r="Q198" s="110"/>
      <c r="R198" s="110"/>
      <c r="T198" s="99"/>
      <c r="V198" s="110"/>
      <c r="Y198" s="110"/>
      <c r="Z198" s="181"/>
      <c r="AA198" s="110"/>
      <c r="AB198" s="110"/>
      <c r="AC198" s="141"/>
      <c r="AD198" s="141"/>
      <c r="AE198" s="110"/>
      <c r="AF198" s="110"/>
      <c r="AH198" s="207"/>
      <c r="AI198" s="110"/>
      <c r="AJ198" s="110"/>
      <c r="AL198" s="110"/>
      <c r="AM198" s="141"/>
      <c r="AN198" s="141"/>
    </row>
    <row r="199" spans="3:40" x14ac:dyDescent="0.3">
      <c r="F199" s="192"/>
      <c r="H199" s="110"/>
      <c r="I199" s="110"/>
      <c r="J199" s="217"/>
      <c r="K199" s="217"/>
      <c r="L199" s="192"/>
      <c r="M199" s="192"/>
      <c r="N199" s="192"/>
      <c r="O199" s="192"/>
      <c r="P199" s="192"/>
      <c r="Q199" s="192"/>
      <c r="R199" s="192"/>
      <c r="V199" s="192"/>
      <c r="Y199" s="110"/>
      <c r="Z199" s="217"/>
      <c r="AA199" s="192"/>
      <c r="AB199" s="192"/>
      <c r="AC199" s="192"/>
      <c r="AD199" s="192"/>
      <c r="AE199" s="192"/>
      <c r="AF199" s="192"/>
      <c r="AI199" s="192"/>
      <c r="AJ199" s="192"/>
      <c r="AK199" s="194"/>
      <c r="AL199" s="192"/>
    </row>
    <row r="200" spans="3:40" x14ac:dyDescent="0.3">
      <c r="C200" s="99"/>
      <c r="F200" s="110"/>
      <c r="H200" s="110"/>
      <c r="I200" s="110"/>
      <c r="J200" s="198"/>
      <c r="K200" s="198"/>
      <c r="L200" s="110"/>
      <c r="M200" s="110"/>
      <c r="N200" s="141"/>
      <c r="O200" s="141"/>
      <c r="P200" s="110"/>
      <c r="Q200" s="110"/>
      <c r="R200" s="110"/>
      <c r="T200" s="99"/>
      <c r="V200" s="110"/>
      <c r="Y200" s="110"/>
      <c r="Z200" s="198"/>
      <c r="AA200" s="110"/>
      <c r="AB200" s="110"/>
      <c r="AC200" s="141"/>
      <c r="AD200" s="141"/>
      <c r="AE200" s="110"/>
      <c r="AF200" s="110"/>
      <c r="AH200" s="207"/>
      <c r="AI200" s="110"/>
      <c r="AJ200" s="110"/>
      <c r="AL200" s="110"/>
      <c r="AM200" s="141"/>
      <c r="AN200" s="141"/>
    </row>
    <row r="201" spans="3:40" x14ac:dyDescent="0.3">
      <c r="F201" s="192"/>
      <c r="H201" s="110"/>
      <c r="I201" s="110"/>
      <c r="J201" s="217"/>
      <c r="K201" s="217"/>
      <c r="L201" s="192"/>
      <c r="M201" s="192"/>
      <c r="N201" s="192"/>
      <c r="O201" s="192"/>
      <c r="P201" s="192"/>
      <c r="Q201" s="192"/>
      <c r="R201" s="192"/>
      <c r="V201" s="192"/>
      <c r="Y201" s="110"/>
      <c r="Z201" s="217"/>
      <c r="AA201" s="192"/>
      <c r="AB201" s="192"/>
      <c r="AC201" s="192"/>
      <c r="AD201" s="192"/>
      <c r="AE201" s="192"/>
      <c r="AF201" s="192"/>
      <c r="AI201" s="192"/>
      <c r="AJ201" s="192"/>
      <c r="AK201" s="194"/>
      <c r="AL201" s="192"/>
    </row>
    <row r="202" spans="3:40" x14ac:dyDescent="0.3">
      <c r="F202" s="110"/>
      <c r="R202" s="110"/>
      <c r="V202" s="110"/>
      <c r="AL202" s="110"/>
    </row>
    <row r="203" spans="3:40" x14ac:dyDescent="0.3">
      <c r="C203" s="99"/>
      <c r="F203" s="110"/>
      <c r="R203" s="110"/>
      <c r="T203" s="99"/>
      <c r="V203" s="110"/>
      <c r="AL203" s="110"/>
    </row>
    <row r="204" spans="3:40" x14ac:dyDescent="0.3">
      <c r="F204" s="110"/>
      <c r="R204" s="110"/>
      <c r="V204" s="110"/>
      <c r="AL204" s="110"/>
    </row>
    <row r="205" spans="3:40" x14ac:dyDescent="0.3">
      <c r="C205" s="99"/>
      <c r="F205" s="110"/>
      <c r="H205" s="172"/>
      <c r="I205" s="172"/>
      <c r="J205" s="222"/>
      <c r="K205" s="222"/>
      <c r="L205" s="110"/>
      <c r="M205" s="110"/>
      <c r="N205" s="141"/>
      <c r="O205" s="141"/>
      <c r="P205" s="172"/>
      <c r="Q205" s="172"/>
      <c r="R205" s="110"/>
      <c r="T205" s="99"/>
      <c r="V205" s="110"/>
      <c r="Y205" s="110"/>
      <c r="Z205" s="216"/>
      <c r="AA205" s="110"/>
      <c r="AB205" s="110"/>
      <c r="AC205" s="141"/>
      <c r="AD205" s="141"/>
      <c r="AE205" s="110"/>
      <c r="AF205" s="110"/>
      <c r="AH205" s="207"/>
      <c r="AI205" s="172"/>
      <c r="AJ205" s="172"/>
      <c r="AL205" s="110"/>
      <c r="AM205" s="141"/>
      <c r="AN205" s="141"/>
    </row>
    <row r="206" spans="3:40" x14ac:dyDescent="0.3">
      <c r="F206" s="192"/>
      <c r="H206" s="192"/>
      <c r="I206" s="192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92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</row>
    <row r="208" spans="3:40" x14ac:dyDescent="0.3">
      <c r="C208" s="99"/>
      <c r="F208" s="110"/>
      <c r="H208" s="110"/>
      <c r="I208" s="110"/>
      <c r="J208" s="209"/>
      <c r="K208" s="209"/>
      <c r="L208" s="110"/>
      <c r="M208" s="110"/>
      <c r="N208" s="141"/>
      <c r="O208" s="141"/>
      <c r="P208" s="110"/>
      <c r="Q208" s="110"/>
      <c r="R208" s="110"/>
      <c r="T208" s="99"/>
      <c r="V208" s="110"/>
      <c r="Y208" s="110"/>
      <c r="Z208" s="209"/>
      <c r="AA208" s="110"/>
      <c r="AB208" s="110"/>
      <c r="AC208" s="141"/>
      <c r="AD208" s="141"/>
      <c r="AE208" s="110"/>
      <c r="AF208" s="110"/>
      <c r="AH208" s="207"/>
      <c r="AI208" s="110"/>
      <c r="AJ208" s="110"/>
      <c r="AL208" s="110"/>
      <c r="AM208" s="141"/>
      <c r="AN208" s="141"/>
    </row>
    <row r="209" spans="1:40" x14ac:dyDescent="0.3">
      <c r="F209" s="192"/>
      <c r="H209" s="192"/>
      <c r="I209" s="192"/>
      <c r="J209" s="217"/>
      <c r="K209" s="217"/>
      <c r="L209" s="192"/>
      <c r="M209" s="192"/>
      <c r="N209" s="192"/>
      <c r="O209" s="192"/>
      <c r="P209" s="192"/>
      <c r="Q209" s="192"/>
      <c r="R209" s="192"/>
      <c r="V209" s="192"/>
      <c r="Y209" s="192"/>
      <c r="Z209" s="217"/>
      <c r="AA209" s="192"/>
      <c r="AB209" s="192"/>
      <c r="AC209" s="192"/>
      <c r="AD209" s="192"/>
      <c r="AE209" s="192"/>
      <c r="AF209" s="192"/>
      <c r="AI209" s="192"/>
      <c r="AJ209" s="192"/>
      <c r="AK209" s="194"/>
      <c r="AL209" s="192"/>
    </row>
    <row r="210" spans="1:40" x14ac:dyDescent="0.3">
      <c r="R210" s="110"/>
      <c r="AH210" s="110"/>
    </row>
    <row r="211" spans="1:40" x14ac:dyDescent="0.3">
      <c r="F211" s="110"/>
      <c r="H211" s="110"/>
      <c r="I211" s="110"/>
      <c r="J211" s="198"/>
      <c r="K211" s="198"/>
      <c r="L211" s="110"/>
      <c r="M211" s="110"/>
      <c r="N211" s="110"/>
      <c r="O211" s="110"/>
      <c r="P211" s="110"/>
      <c r="Q211" s="110"/>
      <c r="R211" s="110"/>
      <c r="V211" s="110"/>
      <c r="Y211" s="110"/>
      <c r="Z211" s="198"/>
      <c r="AA211" s="110"/>
      <c r="AB211" s="110"/>
      <c r="AC211" s="110"/>
      <c r="AD211" s="110"/>
      <c r="AE211" s="110"/>
      <c r="AF211" s="110"/>
      <c r="AH211" s="110"/>
    </row>
    <row r="212" spans="1:40" x14ac:dyDescent="0.3">
      <c r="C212" s="99"/>
      <c r="F212" s="110"/>
      <c r="H212" s="110"/>
      <c r="I212" s="110"/>
      <c r="J212" s="198"/>
      <c r="K212" s="198"/>
      <c r="L212" s="110"/>
      <c r="M212" s="110"/>
      <c r="N212" s="110"/>
      <c r="O212" s="110"/>
      <c r="P212" s="110"/>
      <c r="Q212" s="110"/>
      <c r="R212" s="110"/>
      <c r="T212" s="99"/>
      <c r="V212" s="110"/>
      <c r="Y212" s="110"/>
      <c r="Z212" s="198"/>
      <c r="AA212" s="110"/>
      <c r="AB212" s="110"/>
      <c r="AC212" s="110"/>
      <c r="AD212" s="110"/>
      <c r="AE212" s="110"/>
      <c r="AF212" s="110"/>
      <c r="AH212" s="110"/>
    </row>
    <row r="213" spans="1:40" x14ac:dyDescent="0.3">
      <c r="A213" s="99"/>
    </row>
    <row r="216" spans="1:40" x14ac:dyDescent="0.3">
      <c r="H216" s="99"/>
      <c r="I216" s="99"/>
      <c r="Y216" s="99"/>
    </row>
    <row r="218" spans="1:40" x14ac:dyDescent="0.3">
      <c r="L218" s="99"/>
      <c r="M218" s="99"/>
      <c r="AA218" s="99"/>
      <c r="AB218" s="99"/>
    </row>
    <row r="219" spans="1:40" x14ac:dyDescent="0.3">
      <c r="R219" s="99"/>
      <c r="AK219" s="190"/>
      <c r="AL219" s="99"/>
    </row>
    <row r="220" spans="1:40" x14ac:dyDescent="0.3">
      <c r="R220" s="99"/>
      <c r="AK220" s="190"/>
      <c r="AL220" s="99"/>
    </row>
    <row r="221" spans="1:40" x14ac:dyDescent="0.3">
      <c r="A221" s="99"/>
      <c r="R221" s="99"/>
      <c r="AK221" s="190"/>
      <c r="AL221" s="99"/>
    </row>
    <row r="222" spans="1:40" x14ac:dyDescent="0.3">
      <c r="L222" s="99"/>
      <c r="M222" s="99"/>
      <c r="AA222" s="99"/>
      <c r="AB222" s="99"/>
    </row>
    <row r="223" spans="1:40" x14ac:dyDescent="0.3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91"/>
      <c r="AH223" s="101"/>
      <c r="AI223" s="101"/>
      <c r="AJ223" s="101"/>
      <c r="AK223" s="191"/>
      <c r="AL223" s="101"/>
      <c r="AM223" s="101"/>
      <c r="AN223" s="101"/>
    </row>
    <row r="224" spans="1:40" x14ac:dyDescent="0.3">
      <c r="L224" s="102"/>
      <c r="M224" s="102"/>
      <c r="N224" s="102"/>
      <c r="O224" s="102"/>
      <c r="R224" s="102"/>
      <c r="AA224" s="102"/>
      <c r="AB224" s="102"/>
      <c r="AC224" s="102"/>
      <c r="AD224" s="102"/>
      <c r="AE224" s="102"/>
      <c r="AF224" s="102"/>
      <c r="AG224" s="151"/>
      <c r="AH224" s="102"/>
      <c r="AK224" s="151"/>
      <c r="AL224" s="102"/>
      <c r="AM224" s="102"/>
      <c r="AN224" s="102"/>
    </row>
    <row r="225" spans="1:40" x14ac:dyDescent="0.3">
      <c r="L225" s="102"/>
      <c r="M225" s="102"/>
      <c r="N225" s="102"/>
      <c r="O225" s="102"/>
      <c r="R225" s="102"/>
      <c r="Z225" s="102"/>
      <c r="AA225" s="102"/>
      <c r="AB225" s="102"/>
      <c r="AC225" s="102"/>
      <c r="AD225" s="102"/>
      <c r="AE225" s="102"/>
      <c r="AF225" s="102"/>
      <c r="AG225" s="151"/>
      <c r="AH225" s="102"/>
      <c r="AK225" s="151"/>
      <c r="AL225" s="102"/>
      <c r="AM225" s="102"/>
      <c r="AN225" s="102"/>
    </row>
    <row r="226" spans="1:40" x14ac:dyDescent="0.3">
      <c r="A226" s="102"/>
      <c r="C226" s="102"/>
      <c r="D226" s="102"/>
      <c r="E226" s="102"/>
      <c r="F226" s="102"/>
      <c r="J226" s="102"/>
      <c r="K226" s="102"/>
      <c r="L226" s="102"/>
      <c r="M226" s="102"/>
      <c r="N226" s="102"/>
      <c r="O226" s="102"/>
      <c r="P226" s="102"/>
      <c r="Q226" s="102"/>
      <c r="R226" s="102"/>
      <c r="T226" s="102"/>
      <c r="U226" s="102"/>
      <c r="V226" s="102"/>
      <c r="Z226" s="102"/>
      <c r="AA226" s="102"/>
      <c r="AB226" s="102"/>
      <c r="AC226" s="102"/>
      <c r="AD226" s="102"/>
      <c r="AE226" s="102"/>
      <c r="AF226" s="102"/>
      <c r="AG226" s="151"/>
      <c r="AH226" s="102"/>
      <c r="AI226" s="102"/>
      <c r="AJ226" s="102"/>
      <c r="AK226" s="151"/>
      <c r="AL226" s="102"/>
      <c r="AM226" s="102"/>
      <c r="AN226" s="102"/>
    </row>
    <row r="227" spans="1:40" x14ac:dyDescent="0.3">
      <c r="A227" s="102"/>
      <c r="C227" s="102"/>
      <c r="D227" s="102"/>
      <c r="E227" s="102"/>
      <c r="F227" s="102"/>
      <c r="H227" s="102"/>
      <c r="I227" s="102"/>
      <c r="J227" s="102"/>
      <c r="K227" s="102"/>
      <c r="L227" s="102"/>
      <c r="M227" s="102"/>
      <c r="N227" s="102"/>
      <c r="O227" s="102"/>
      <c r="P227" s="102"/>
      <c r="Q227" s="102"/>
      <c r="R227" s="102"/>
      <c r="T227" s="102"/>
      <c r="U227" s="102"/>
      <c r="V227" s="102"/>
      <c r="Y227" s="102"/>
      <c r="Z227" s="102"/>
      <c r="AA227" s="102"/>
      <c r="AB227" s="102"/>
      <c r="AC227" s="102"/>
      <c r="AD227" s="102"/>
      <c r="AE227" s="102"/>
      <c r="AF227" s="102"/>
      <c r="AG227" s="151"/>
      <c r="AH227" s="102"/>
      <c r="AI227" s="102"/>
      <c r="AJ227" s="102"/>
      <c r="AK227" s="151"/>
      <c r="AL227" s="102"/>
      <c r="AM227" s="102"/>
      <c r="AN227" s="102"/>
    </row>
    <row r="228" spans="1:40" x14ac:dyDescent="0.3">
      <c r="C228" s="102"/>
      <c r="D228" s="102"/>
      <c r="E228" s="102"/>
      <c r="F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T228" s="102"/>
      <c r="U228" s="102"/>
      <c r="V228" s="102"/>
      <c r="Y228" s="102"/>
      <c r="Z228" s="102"/>
      <c r="AA228" s="102"/>
      <c r="AB228" s="102"/>
      <c r="AC228" s="102"/>
      <c r="AD228" s="102"/>
      <c r="AE228" s="102"/>
      <c r="AF228" s="102"/>
      <c r="AG228" s="151"/>
      <c r="AH228" s="102"/>
      <c r="AI228" s="102"/>
      <c r="AJ228" s="102"/>
      <c r="AK228" s="151"/>
      <c r="AL228" s="102"/>
      <c r="AM228" s="102"/>
      <c r="AN228" s="102"/>
    </row>
    <row r="229" spans="1:40" x14ac:dyDescent="0.3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91"/>
      <c r="AH229" s="101"/>
      <c r="AI229" s="101"/>
      <c r="AJ229" s="101"/>
      <c r="AK229" s="191"/>
      <c r="AL229" s="101"/>
      <c r="AM229" s="101"/>
      <c r="AN229" s="101"/>
    </row>
    <row r="230" spans="1:40" x14ac:dyDescent="0.3">
      <c r="H230" s="102"/>
      <c r="I230" s="102"/>
      <c r="J230" s="102"/>
      <c r="K230" s="102"/>
      <c r="L230" s="102"/>
      <c r="M230" s="102"/>
      <c r="N230" s="102"/>
      <c r="O230" s="102"/>
      <c r="P230" s="102"/>
      <c r="Q230" s="102"/>
      <c r="R230" s="102"/>
      <c r="Y230" s="102"/>
      <c r="Z230" s="102"/>
      <c r="AA230" s="102"/>
      <c r="AB230" s="102"/>
      <c r="AC230" s="102"/>
      <c r="AD230" s="102"/>
      <c r="AE230" s="102"/>
      <c r="AF230" s="102"/>
      <c r="AG230" s="151"/>
      <c r="AH230" s="102"/>
      <c r="AI230" s="102"/>
      <c r="AJ230" s="102"/>
      <c r="AK230" s="151"/>
      <c r="AL230" s="102"/>
      <c r="AM230" s="102"/>
      <c r="AN230" s="102"/>
    </row>
    <row r="231" spans="1:40" x14ac:dyDescent="0.3">
      <c r="C231" s="99"/>
      <c r="D231" s="99"/>
      <c r="E231" s="99"/>
      <c r="T231" s="99"/>
      <c r="U231" s="99"/>
    </row>
    <row r="232" spans="1:40" x14ac:dyDescent="0.3">
      <c r="C232" s="99"/>
      <c r="T232" s="99"/>
    </row>
    <row r="234" spans="1:40" x14ac:dyDescent="0.3">
      <c r="C234" s="99"/>
      <c r="F234" s="172"/>
      <c r="H234" s="172"/>
      <c r="I234" s="172"/>
      <c r="J234" s="181"/>
      <c r="K234" s="181"/>
      <c r="L234" s="110"/>
      <c r="M234" s="110"/>
      <c r="N234" s="141"/>
      <c r="O234" s="141"/>
      <c r="R234" s="110"/>
      <c r="T234" s="99"/>
      <c r="V234" s="110"/>
      <c r="Y234" s="172"/>
      <c r="Z234" s="181"/>
      <c r="AA234" s="110"/>
      <c r="AB234" s="110"/>
      <c r="AC234" s="141"/>
      <c r="AD234" s="141"/>
      <c r="AE234" s="110"/>
      <c r="AF234" s="110"/>
      <c r="AH234" s="207"/>
      <c r="AL234" s="110"/>
      <c r="AM234" s="141"/>
      <c r="AN234" s="141"/>
    </row>
    <row r="235" spans="1:40" x14ac:dyDescent="0.3">
      <c r="F235" s="192"/>
      <c r="H235" s="110"/>
      <c r="I235" s="110"/>
      <c r="J235" s="217"/>
      <c r="K235" s="217"/>
      <c r="L235" s="192"/>
      <c r="M235" s="192"/>
      <c r="N235" s="192"/>
      <c r="O235" s="192"/>
      <c r="P235" s="192"/>
      <c r="Q235" s="192"/>
      <c r="R235" s="192"/>
      <c r="V235" s="192"/>
      <c r="Y235" s="110"/>
      <c r="Z235" s="217"/>
      <c r="AA235" s="192"/>
      <c r="AB235" s="192"/>
      <c r="AC235" s="192"/>
      <c r="AD235" s="192"/>
      <c r="AE235" s="192"/>
      <c r="AF235" s="192"/>
      <c r="AI235" s="192"/>
      <c r="AJ235" s="192"/>
      <c r="AK235" s="194"/>
      <c r="AL235" s="192"/>
      <c r="AM235" s="141"/>
      <c r="AN235" s="141"/>
    </row>
    <row r="236" spans="1:40" x14ac:dyDescent="0.3">
      <c r="C236" s="99"/>
      <c r="F236" s="172"/>
      <c r="H236" s="172"/>
      <c r="I236" s="172"/>
      <c r="J236" s="227"/>
      <c r="K236" s="227"/>
      <c r="L236" s="110"/>
      <c r="M236" s="110"/>
      <c r="N236" s="141"/>
      <c r="O236" s="141"/>
      <c r="P236" s="110"/>
      <c r="Q236" s="110"/>
      <c r="R236" s="110"/>
      <c r="S236" s="110"/>
      <c r="T236" s="99"/>
      <c r="V236" s="172"/>
      <c r="Y236" s="172"/>
      <c r="Z236" s="227"/>
      <c r="AA236" s="110"/>
      <c r="AB236" s="110"/>
      <c r="AC236" s="141"/>
      <c r="AD236" s="141"/>
      <c r="AE236" s="110"/>
      <c r="AF236" s="110"/>
      <c r="AH236" s="141"/>
      <c r="AI236" s="110"/>
      <c r="AJ236" s="110"/>
      <c r="AL236" s="110"/>
      <c r="AM236" s="141"/>
      <c r="AN236" s="141"/>
    </row>
    <row r="237" spans="1:40" x14ac:dyDescent="0.3">
      <c r="C237" s="99"/>
      <c r="F237" s="172"/>
      <c r="H237" s="172"/>
      <c r="I237" s="172"/>
      <c r="J237" s="181"/>
      <c r="K237" s="181"/>
      <c r="L237" s="110"/>
      <c r="M237" s="110"/>
      <c r="N237" s="141"/>
      <c r="O237" s="141"/>
      <c r="P237" s="110"/>
      <c r="Q237" s="110"/>
      <c r="R237" s="110"/>
      <c r="T237" s="99"/>
      <c r="V237" s="172"/>
      <c r="Y237" s="110"/>
      <c r="Z237" s="181"/>
      <c r="AA237" s="110"/>
      <c r="AB237" s="110"/>
      <c r="AC237" s="141"/>
      <c r="AD237" s="141"/>
      <c r="AE237" s="110"/>
      <c r="AF237" s="110"/>
      <c r="AH237" s="207"/>
      <c r="AI237" s="110"/>
      <c r="AJ237" s="110"/>
      <c r="AL237" s="110"/>
      <c r="AM237" s="141"/>
      <c r="AN237" s="141"/>
    </row>
    <row r="238" spans="1:40" x14ac:dyDescent="0.3">
      <c r="C238" s="99"/>
      <c r="F238" s="172"/>
      <c r="H238" s="172"/>
      <c r="I238" s="172"/>
      <c r="J238" s="181"/>
      <c r="K238" s="181"/>
      <c r="L238" s="110"/>
      <c r="M238" s="110"/>
      <c r="N238" s="141"/>
      <c r="O238" s="141"/>
      <c r="P238" s="110"/>
      <c r="Q238" s="110"/>
      <c r="R238" s="110"/>
      <c r="T238" s="99"/>
      <c r="V238" s="172"/>
      <c r="Y238" s="110"/>
      <c r="Z238" s="181"/>
      <c r="AA238" s="110"/>
      <c r="AB238" s="110"/>
      <c r="AC238" s="141"/>
      <c r="AD238" s="141"/>
      <c r="AE238" s="110"/>
      <c r="AF238" s="110"/>
      <c r="AH238" s="207"/>
      <c r="AI238" s="110"/>
      <c r="AJ238" s="110"/>
      <c r="AL238" s="110"/>
      <c r="AM238" s="141"/>
      <c r="AN238" s="141"/>
    </row>
    <row r="239" spans="1:40" x14ac:dyDescent="0.3">
      <c r="F239" s="192"/>
      <c r="H239" s="192"/>
      <c r="I239" s="192"/>
      <c r="J239" s="217"/>
      <c r="K239" s="217"/>
      <c r="L239" s="192"/>
      <c r="M239" s="192"/>
      <c r="N239" s="192"/>
      <c r="O239" s="192"/>
      <c r="P239" s="192"/>
      <c r="Q239" s="192"/>
      <c r="R239" s="192"/>
      <c r="V239" s="192"/>
      <c r="Y239" s="192"/>
      <c r="Z239" s="217"/>
      <c r="AA239" s="192"/>
      <c r="AB239" s="192"/>
      <c r="AC239" s="192"/>
      <c r="AD239" s="192"/>
      <c r="AE239" s="192"/>
      <c r="AF239" s="192"/>
      <c r="AI239" s="192"/>
      <c r="AJ239" s="192"/>
      <c r="AK239" s="194"/>
      <c r="AL239" s="192"/>
      <c r="AM239" s="141"/>
      <c r="AN239" s="141"/>
    </row>
    <row r="240" spans="1:40" x14ac:dyDescent="0.3">
      <c r="C240" s="99"/>
      <c r="F240" s="110"/>
      <c r="H240" s="110"/>
      <c r="I240" s="110"/>
      <c r="J240" s="198"/>
      <c r="K240" s="198"/>
      <c r="L240" s="110"/>
      <c r="M240" s="110"/>
      <c r="N240" s="141"/>
      <c r="O240" s="141"/>
      <c r="P240" s="110"/>
      <c r="Q240" s="110"/>
      <c r="R240" s="110"/>
      <c r="T240" s="99"/>
      <c r="V240" s="110"/>
      <c r="Y240" s="110"/>
      <c r="Z240" s="198"/>
      <c r="AA240" s="110"/>
      <c r="AB240" s="110"/>
      <c r="AC240" s="141"/>
      <c r="AD240" s="141"/>
      <c r="AE240" s="110"/>
      <c r="AF240" s="110"/>
      <c r="AH240" s="207"/>
      <c r="AI240" s="110"/>
      <c r="AJ240" s="110"/>
      <c r="AL240" s="110"/>
      <c r="AM240" s="141"/>
      <c r="AN240" s="141"/>
    </row>
    <row r="241" spans="3:40" x14ac:dyDescent="0.3">
      <c r="F241" s="192"/>
      <c r="H241" s="192"/>
      <c r="I241" s="192"/>
      <c r="J241" s="217"/>
      <c r="K241" s="217"/>
      <c r="L241" s="192"/>
      <c r="M241" s="192"/>
      <c r="N241" s="192"/>
      <c r="O241" s="192"/>
      <c r="P241" s="192"/>
      <c r="Q241" s="192"/>
      <c r="R241" s="192"/>
      <c r="V241" s="192"/>
      <c r="Y241" s="192"/>
      <c r="Z241" s="217"/>
      <c r="AA241" s="192"/>
      <c r="AB241" s="192"/>
      <c r="AC241" s="192"/>
      <c r="AD241" s="192"/>
      <c r="AE241" s="192"/>
      <c r="AF241" s="192"/>
      <c r="AI241" s="192"/>
      <c r="AJ241" s="192"/>
      <c r="AK241" s="194"/>
      <c r="AL241" s="192"/>
      <c r="AM241" s="141"/>
      <c r="AN241" s="141"/>
    </row>
    <row r="242" spans="3:40" x14ac:dyDescent="0.3">
      <c r="C242" s="99"/>
      <c r="F242" s="110"/>
      <c r="H242" s="110"/>
      <c r="I242" s="110"/>
      <c r="J242" s="198"/>
      <c r="K242" s="198"/>
      <c r="L242" s="110"/>
      <c r="M242" s="110"/>
      <c r="N242" s="141"/>
      <c r="O242" s="141"/>
      <c r="P242" s="110"/>
      <c r="Q242" s="110"/>
      <c r="R242" s="110"/>
      <c r="T242" s="99"/>
      <c r="V242" s="110"/>
      <c r="Y242" s="110"/>
      <c r="Z242" s="198"/>
      <c r="AA242" s="110"/>
      <c r="AB242" s="110"/>
      <c r="AC242" s="141"/>
      <c r="AD242" s="141"/>
      <c r="AE242" s="110"/>
      <c r="AF242" s="110"/>
      <c r="AH242" s="207"/>
      <c r="AI242" s="110"/>
      <c r="AJ242" s="110"/>
      <c r="AL242" s="110"/>
      <c r="AM242" s="141"/>
      <c r="AN242" s="141"/>
    </row>
    <row r="243" spans="3:40" x14ac:dyDescent="0.3">
      <c r="C243" s="99"/>
      <c r="F243" s="110"/>
      <c r="H243" s="172"/>
      <c r="I243" s="172"/>
      <c r="J243" s="222"/>
      <c r="K243" s="222"/>
      <c r="L243" s="110"/>
      <c r="M243" s="110"/>
      <c r="N243" s="141"/>
      <c r="O243" s="141"/>
      <c r="P243" s="110"/>
      <c r="Q243" s="110"/>
      <c r="R243" s="110"/>
      <c r="T243" s="99"/>
      <c r="V243" s="110"/>
      <c r="Y243" s="110"/>
      <c r="Z243" s="216"/>
      <c r="AA243" s="110"/>
      <c r="AB243" s="110"/>
      <c r="AC243" s="141"/>
      <c r="AD243" s="141"/>
      <c r="AE243" s="110"/>
      <c r="AF243" s="110"/>
      <c r="AH243" s="207"/>
      <c r="AI243" s="110"/>
      <c r="AJ243" s="110"/>
      <c r="AL243" s="110"/>
      <c r="AM243" s="141"/>
      <c r="AN243" s="141"/>
    </row>
    <row r="244" spans="3:40" x14ac:dyDescent="0.3">
      <c r="F244" s="192"/>
      <c r="H244" s="192"/>
      <c r="I244" s="192"/>
      <c r="J244" s="217"/>
      <c r="K244" s="217"/>
      <c r="L244" s="192"/>
      <c r="M244" s="192"/>
      <c r="N244" s="192"/>
      <c r="O244" s="192"/>
      <c r="P244" s="192"/>
      <c r="Q244" s="192"/>
      <c r="R244" s="192"/>
      <c r="V244" s="192"/>
      <c r="Y244" s="192"/>
      <c r="Z244" s="217"/>
      <c r="AA244" s="192"/>
      <c r="AB244" s="192"/>
      <c r="AC244" s="192"/>
      <c r="AD244" s="192"/>
      <c r="AE244" s="192"/>
      <c r="AF244" s="192"/>
      <c r="AI244" s="192"/>
      <c r="AJ244" s="192"/>
      <c r="AK244" s="194"/>
      <c r="AL244" s="192"/>
      <c r="AM244" s="141"/>
      <c r="AN244" s="141"/>
    </row>
    <row r="246" spans="3:40" x14ac:dyDescent="0.3">
      <c r="C246" s="99"/>
      <c r="F246" s="110"/>
      <c r="H246" s="110"/>
      <c r="I246" s="110"/>
      <c r="J246" s="217"/>
      <c r="K246" s="217"/>
      <c r="L246" s="110"/>
      <c r="M246" s="110"/>
      <c r="N246" s="141"/>
      <c r="O246" s="141"/>
      <c r="P246" s="110"/>
      <c r="Q246" s="110"/>
      <c r="R246" s="110"/>
      <c r="S246" s="110"/>
      <c r="T246" s="99"/>
      <c r="V246" s="110"/>
      <c r="Y246" s="110"/>
      <c r="Z246" s="217"/>
      <c r="AA246" s="110"/>
      <c r="AB246" s="110"/>
      <c r="AC246" s="141"/>
      <c r="AD246" s="141"/>
      <c r="AE246" s="110"/>
      <c r="AF246" s="110"/>
      <c r="AH246" s="141"/>
      <c r="AI246" s="110"/>
      <c r="AJ246" s="110"/>
      <c r="AL246" s="110"/>
      <c r="AM246" s="141"/>
      <c r="AN246" s="141"/>
    </row>
    <row r="247" spans="3:40" x14ac:dyDescent="0.3">
      <c r="F247" s="192"/>
      <c r="H247" s="192"/>
      <c r="I247" s="192"/>
      <c r="J247" s="217"/>
      <c r="K247" s="217"/>
      <c r="L247" s="192"/>
      <c r="M247" s="192"/>
      <c r="N247" s="192"/>
      <c r="O247" s="192"/>
      <c r="P247" s="192"/>
      <c r="Q247" s="192"/>
      <c r="R247" s="192"/>
      <c r="S247" s="110"/>
      <c r="V247" s="192"/>
      <c r="Y247" s="192"/>
      <c r="Z247" s="217"/>
      <c r="AA247" s="192"/>
      <c r="AB247" s="192"/>
      <c r="AC247" s="192"/>
      <c r="AD247" s="192"/>
      <c r="AE247" s="192"/>
      <c r="AF247" s="192"/>
      <c r="AI247" s="192"/>
      <c r="AJ247" s="192"/>
      <c r="AK247" s="194"/>
      <c r="AL247" s="192"/>
      <c r="AM247" s="141"/>
      <c r="AN247" s="141"/>
    </row>
    <row r="248" spans="3:40" x14ac:dyDescent="0.3">
      <c r="C248" s="99"/>
      <c r="F248" s="172"/>
      <c r="H248" s="172"/>
      <c r="I248" s="172"/>
      <c r="J248" s="217"/>
      <c r="K248" s="217"/>
      <c r="L248" s="110"/>
      <c r="M248" s="110"/>
      <c r="N248" s="141"/>
      <c r="O248" s="141"/>
      <c r="P248" s="110"/>
      <c r="Q248" s="110"/>
      <c r="R248" s="110"/>
      <c r="S248" s="110"/>
      <c r="T248" s="99"/>
      <c r="V248" s="172"/>
      <c r="Y248" s="172"/>
      <c r="Z248" s="217"/>
      <c r="AA248" s="110"/>
      <c r="AB248" s="110"/>
      <c r="AC248" s="141"/>
      <c r="AD248" s="141"/>
      <c r="AE248" s="110"/>
      <c r="AF248" s="110"/>
      <c r="AI248" s="110"/>
      <c r="AJ248" s="110"/>
      <c r="AL248" s="110"/>
      <c r="AM248" s="141"/>
      <c r="AN248" s="141"/>
    </row>
    <row r="250" spans="3:40" x14ac:dyDescent="0.3">
      <c r="C250" s="99"/>
      <c r="F250" s="172"/>
      <c r="H250" s="172"/>
      <c r="I250" s="172"/>
      <c r="J250" s="181"/>
      <c r="K250" s="181"/>
      <c r="L250" s="110"/>
      <c r="M250" s="110"/>
      <c r="N250" s="141"/>
      <c r="O250" s="141"/>
      <c r="R250" s="110"/>
      <c r="T250" s="99"/>
      <c r="V250" s="110"/>
      <c r="Y250" s="172"/>
      <c r="Z250" s="181"/>
      <c r="AA250" s="110"/>
      <c r="AB250" s="110"/>
      <c r="AC250" s="141"/>
      <c r="AD250" s="141"/>
      <c r="AE250" s="110"/>
      <c r="AF250" s="110"/>
      <c r="AH250" s="207"/>
      <c r="AL250" s="110"/>
      <c r="AM250" s="141"/>
      <c r="AN250" s="141"/>
    </row>
    <row r="251" spans="3:40" x14ac:dyDescent="0.3">
      <c r="F251" s="192"/>
      <c r="H251" s="110"/>
      <c r="I251" s="110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10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  <c r="AM251" s="141"/>
      <c r="AN251" s="141"/>
    </row>
    <row r="252" spans="3:40" x14ac:dyDescent="0.3">
      <c r="C252" s="99"/>
      <c r="F252" s="172"/>
      <c r="H252" s="172"/>
      <c r="I252" s="172"/>
      <c r="J252" s="227"/>
      <c r="K252" s="227"/>
      <c r="L252" s="110"/>
      <c r="M252" s="110"/>
      <c r="N252" s="141"/>
      <c r="O252" s="141"/>
      <c r="P252" s="110"/>
      <c r="Q252" s="110"/>
      <c r="R252" s="110"/>
      <c r="S252" s="110"/>
      <c r="T252" s="99"/>
      <c r="V252" s="172"/>
      <c r="Y252" s="172"/>
      <c r="Z252" s="227"/>
      <c r="AA252" s="110"/>
      <c r="AB252" s="110"/>
      <c r="AC252" s="141"/>
      <c r="AD252" s="141"/>
      <c r="AE252" s="110"/>
      <c r="AF252" s="110"/>
      <c r="AH252" s="141"/>
      <c r="AI252" s="110"/>
      <c r="AJ252" s="110"/>
      <c r="AL252" s="110"/>
      <c r="AM252" s="141"/>
      <c r="AN252" s="141"/>
    </row>
    <row r="253" spans="3:40" x14ac:dyDescent="0.3">
      <c r="C253" s="99"/>
      <c r="F253" s="172"/>
      <c r="H253" s="172"/>
      <c r="I253" s="172"/>
      <c r="J253" s="181"/>
      <c r="K253" s="181"/>
      <c r="L253" s="110"/>
      <c r="M253" s="110"/>
      <c r="N253" s="141"/>
      <c r="O253" s="141"/>
      <c r="P253" s="110"/>
      <c r="Q253" s="110"/>
      <c r="R253" s="110"/>
      <c r="T253" s="99"/>
      <c r="V253" s="172"/>
      <c r="Y253" s="110"/>
      <c r="Z253" s="181"/>
      <c r="AA253" s="110"/>
      <c r="AB253" s="110"/>
      <c r="AC253" s="141"/>
      <c r="AD253" s="141"/>
      <c r="AE253" s="110"/>
      <c r="AF253" s="110"/>
      <c r="AH253" s="207"/>
      <c r="AI253" s="110"/>
      <c r="AJ253" s="110"/>
      <c r="AL253" s="110"/>
      <c r="AM253" s="141"/>
      <c r="AN253" s="141"/>
    </row>
    <row r="254" spans="3:40" x14ac:dyDescent="0.3">
      <c r="C254" s="99"/>
      <c r="F254" s="172"/>
      <c r="H254" s="172"/>
      <c r="I254" s="172"/>
      <c r="J254" s="181"/>
      <c r="K254" s="181"/>
      <c r="L254" s="110"/>
      <c r="M254" s="110"/>
      <c r="N254" s="141"/>
      <c r="O254" s="141"/>
      <c r="P254" s="110"/>
      <c r="Q254" s="110"/>
      <c r="R254" s="110"/>
      <c r="T254" s="99"/>
      <c r="V254" s="172"/>
      <c r="Y254" s="110"/>
      <c r="Z254" s="181"/>
      <c r="AA254" s="110"/>
      <c r="AB254" s="110"/>
      <c r="AC254" s="141"/>
      <c r="AD254" s="141"/>
      <c r="AE254" s="110"/>
      <c r="AF254" s="110"/>
      <c r="AH254" s="207"/>
      <c r="AI254" s="110"/>
      <c r="AJ254" s="110"/>
      <c r="AL254" s="110"/>
      <c r="AM254" s="141"/>
      <c r="AN254" s="141"/>
    </row>
    <row r="255" spans="3:40" x14ac:dyDescent="0.3">
      <c r="F255" s="192"/>
      <c r="H255" s="192"/>
      <c r="I255" s="192"/>
      <c r="J255" s="217"/>
      <c r="K255" s="217"/>
      <c r="L255" s="192"/>
      <c r="M255" s="192"/>
      <c r="N255" s="192"/>
      <c r="O255" s="192"/>
      <c r="P255" s="192"/>
      <c r="Q255" s="192"/>
      <c r="R255" s="192"/>
      <c r="V255" s="192"/>
      <c r="Y255" s="192"/>
      <c r="Z255" s="217"/>
      <c r="AA255" s="192"/>
      <c r="AB255" s="192"/>
      <c r="AC255" s="192"/>
      <c r="AD255" s="192"/>
      <c r="AE255" s="192"/>
      <c r="AF255" s="192"/>
      <c r="AI255" s="192"/>
      <c r="AJ255" s="192"/>
      <c r="AK255" s="194"/>
      <c r="AL255" s="192"/>
      <c r="AM255" s="141"/>
      <c r="AN255" s="141"/>
    </row>
    <row r="256" spans="3:40" x14ac:dyDescent="0.3">
      <c r="C256" s="99"/>
      <c r="F256" s="110"/>
      <c r="H256" s="110"/>
      <c r="I256" s="110"/>
      <c r="J256" s="198"/>
      <c r="K256" s="198"/>
      <c r="L256" s="110"/>
      <c r="M256" s="110"/>
      <c r="N256" s="141"/>
      <c r="O256" s="141"/>
      <c r="P256" s="110"/>
      <c r="Q256" s="110"/>
      <c r="R256" s="110"/>
      <c r="T256" s="99"/>
      <c r="V256" s="110"/>
      <c r="Y256" s="110"/>
      <c r="Z256" s="198"/>
      <c r="AA256" s="110"/>
      <c r="AB256" s="110"/>
      <c r="AC256" s="141"/>
      <c r="AD256" s="141"/>
      <c r="AE256" s="110"/>
      <c r="AF256" s="110"/>
      <c r="AH256" s="207"/>
      <c r="AI256" s="110"/>
      <c r="AJ256" s="110"/>
      <c r="AL256" s="110"/>
      <c r="AM256" s="141"/>
      <c r="AN256" s="141"/>
    </row>
    <row r="257" spans="1:40" x14ac:dyDescent="0.3">
      <c r="F257" s="192"/>
      <c r="H257" s="192"/>
      <c r="I257" s="192"/>
      <c r="J257" s="217"/>
      <c r="K257" s="217"/>
      <c r="L257" s="192"/>
      <c r="M257" s="192"/>
      <c r="N257" s="192"/>
      <c r="O257" s="192"/>
      <c r="P257" s="192"/>
      <c r="Q257" s="192"/>
      <c r="R257" s="192"/>
      <c r="V257" s="192"/>
      <c r="Y257" s="192"/>
      <c r="Z257" s="217"/>
      <c r="AA257" s="192"/>
      <c r="AB257" s="192"/>
      <c r="AC257" s="192"/>
      <c r="AD257" s="192"/>
      <c r="AE257" s="192"/>
      <c r="AF257" s="192"/>
      <c r="AI257" s="192"/>
      <c r="AJ257" s="192"/>
      <c r="AK257" s="194"/>
      <c r="AL257" s="192"/>
      <c r="AM257" s="141"/>
      <c r="AN257" s="141"/>
    </row>
    <row r="258" spans="1:40" x14ac:dyDescent="0.3">
      <c r="C258" s="99"/>
      <c r="F258" s="110"/>
      <c r="H258" s="110"/>
      <c r="I258" s="110"/>
      <c r="J258" s="198"/>
      <c r="K258" s="198"/>
      <c r="L258" s="110"/>
      <c r="M258" s="110"/>
      <c r="N258" s="141"/>
      <c r="O258" s="141"/>
      <c r="P258" s="110"/>
      <c r="Q258" s="110"/>
      <c r="R258" s="110"/>
      <c r="T258" s="99"/>
      <c r="V258" s="110"/>
      <c r="Y258" s="110"/>
      <c r="Z258" s="198"/>
      <c r="AA258" s="110"/>
      <c r="AB258" s="110"/>
      <c r="AC258" s="141"/>
      <c r="AD258" s="141"/>
      <c r="AE258" s="110"/>
      <c r="AF258" s="110"/>
      <c r="AH258" s="207"/>
      <c r="AI258" s="110"/>
      <c r="AJ258" s="110"/>
      <c r="AL258" s="110"/>
      <c r="AM258" s="141"/>
      <c r="AN258" s="141"/>
    </row>
    <row r="259" spans="1:40" x14ac:dyDescent="0.3">
      <c r="C259" s="99"/>
      <c r="F259" s="110"/>
      <c r="H259" s="172"/>
      <c r="I259" s="172"/>
      <c r="J259" s="222"/>
      <c r="K259" s="222"/>
      <c r="L259" s="110"/>
      <c r="M259" s="110"/>
      <c r="N259" s="141"/>
      <c r="O259" s="141"/>
      <c r="P259" s="110"/>
      <c r="Q259" s="110"/>
      <c r="R259" s="110"/>
      <c r="T259" s="99"/>
      <c r="V259" s="110"/>
      <c r="Y259" s="110"/>
      <c r="Z259" s="216"/>
      <c r="AA259" s="110"/>
      <c r="AB259" s="110"/>
      <c r="AC259" s="141"/>
      <c r="AD259" s="141"/>
      <c r="AE259" s="110"/>
      <c r="AF259" s="110"/>
      <c r="AH259" s="207"/>
      <c r="AI259" s="110"/>
      <c r="AJ259" s="110"/>
      <c r="AL259" s="110"/>
      <c r="AM259" s="141"/>
      <c r="AN259" s="141"/>
    </row>
    <row r="260" spans="1:40" x14ac:dyDescent="0.3">
      <c r="F260" s="192"/>
      <c r="H260" s="192"/>
      <c r="I260" s="192"/>
      <c r="J260" s="217"/>
      <c r="K260" s="217"/>
      <c r="L260" s="192"/>
      <c r="M260" s="192"/>
      <c r="N260" s="192"/>
      <c r="O260" s="192"/>
      <c r="P260" s="192"/>
      <c r="Q260" s="192"/>
      <c r="R260" s="192"/>
      <c r="V260" s="192"/>
      <c r="Y260" s="192"/>
      <c r="Z260" s="217"/>
      <c r="AA260" s="192"/>
      <c r="AB260" s="192"/>
      <c r="AC260" s="192"/>
      <c r="AD260" s="192"/>
      <c r="AE260" s="192"/>
      <c r="AF260" s="192"/>
      <c r="AI260" s="192"/>
      <c r="AJ260" s="192"/>
      <c r="AK260" s="194"/>
      <c r="AL260" s="192"/>
      <c r="AM260" s="141"/>
      <c r="AN260" s="141"/>
    </row>
    <row r="262" spans="1:40" x14ac:dyDescent="0.3">
      <c r="C262" s="99"/>
      <c r="F262" s="110"/>
      <c r="H262" s="110"/>
      <c r="I262" s="110"/>
      <c r="J262" s="217"/>
      <c r="K262" s="217"/>
      <c r="L262" s="110"/>
      <c r="M262" s="110"/>
      <c r="N262" s="141"/>
      <c r="O262" s="141"/>
      <c r="P262" s="110"/>
      <c r="Q262" s="110"/>
      <c r="R262" s="110"/>
      <c r="S262" s="110"/>
      <c r="T262" s="99"/>
      <c r="V262" s="110"/>
      <c r="Y262" s="110"/>
      <c r="Z262" s="217"/>
      <c r="AA262" s="110"/>
      <c r="AB262" s="110"/>
      <c r="AC262" s="141"/>
      <c r="AD262" s="141"/>
      <c r="AE262" s="110"/>
      <c r="AF262" s="110"/>
      <c r="AH262" s="141"/>
      <c r="AI262" s="110"/>
      <c r="AJ262" s="110"/>
      <c r="AL262" s="110"/>
      <c r="AM262" s="141"/>
      <c r="AN262" s="141"/>
    </row>
    <row r="263" spans="1:40" x14ac:dyDescent="0.3">
      <c r="F263" s="192"/>
      <c r="H263" s="192"/>
      <c r="I263" s="192"/>
      <c r="J263" s="217"/>
      <c r="K263" s="217"/>
      <c r="L263" s="192"/>
      <c r="M263" s="192"/>
      <c r="N263" s="192"/>
      <c r="O263" s="192"/>
      <c r="P263" s="192"/>
      <c r="Q263" s="192"/>
      <c r="R263" s="192"/>
      <c r="S263" s="110"/>
      <c r="V263" s="192"/>
      <c r="Y263" s="192"/>
      <c r="Z263" s="217"/>
      <c r="AA263" s="192"/>
      <c r="AB263" s="192"/>
      <c r="AC263" s="192"/>
      <c r="AD263" s="192"/>
      <c r="AE263" s="192"/>
      <c r="AF263" s="192"/>
      <c r="AI263" s="192"/>
      <c r="AJ263" s="192"/>
      <c r="AK263" s="194"/>
      <c r="AL263" s="192"/>
      <c r="AM263" s="141"/>
      <c r="AN263" s="141"/>
    </row>
    <row r="264" spans="1:40" x14ac:dyDescent="0.3">
      <c r="C264" s="99"/>
      <c r="T264" s="99"/>
    </row>
    <row r="265" spans="1:40" x14ac:dyDescent="0.3">
      <c r="C265" s="99"/>
      <c r="F265" s="110"/>
      <c r="H265" s="110"/>
      <c r="I265" s="110"/>
      <c r="L265" s="110"/>
      <c r="M265" s="110"/>
      <c r="N265" s="141"/>
      <c r="O265" s="141"/>
      <c r="P265" s="172"/>
      <c r="Q265" s="172"/>
      <c r="R265" s="110"/>
      <c r="T265" s="99"/>
      <c r="V265" s="110"/>
      <c r="Y265" s="110"/>
      <c r="AA265" s="110"/>
      <c r="AB265" s="110"/>
      <c r="AC265" s="141"/>
      <c r="AD265" s="141"/>
      <c r="AE265" s="110"/>
      <c r="AF265" s="110"/>
      <c r="AH265" s="141"/>
      <c r="AI265" s="172"/>
      <c r="AJ265" s="172"/>
      <c r="AL265" s="110"/>
      <c r="AM265" s="141"/>
      <c r="AN265" s="141"/>
    </row>
    <row r="266" spans="1:40" x14ac:dyDescent="0.3">
      <c r="F266" s="192"/>
      <c r="H266" s="192"/>
      <c r="I266" s="192"/>
      <c r="J266" s="217"/>
      <c r="K266" s="217"/>
      <c r="L266" s="192"/>
      <c r="M266" s="192"/>
      <c r="N266" s="192"/>
      <c r="O266" s="192"/>
      <c r="P266" s="192"/>
      <c r="Q266" s="192"/>
      <c r="R266" s="192"/>
      <c r="V266" s="192"/>
      <c r="Y266" s="192"/>
      <c r="Z266" s="217"/>
      <c r="AA266" s="192"/>
      <c r="AB266" s="192"/>
      <c r="AC266" s="192"/>
      <c r="AD266" s="192"/>
      <c r="AE266" s="192"/>
      <c r="AF266" s="192"/>
      <c r="AI266" s="192"/>
      <c r="AJ266" s="192"/>
      <c r="AK266" s="194"/>
      <c r="AL266" s="192"/>
    </row>
    <row r="268" spans="1:40" x14ac:dyDescent="0.3">
      <c r="C268" s="99"/>
      <c r="L268" s="110"/>
      <c r="M268" s="110"/>
      <c r="N268" s="110"/>
      <c r="O268" s="110"/>
      <c r="P268" s="110"/>
      <c r="Q268" s="110"/>
      <c r="R268" s="110"/>
      <c r="S268" s="110"/>
      <c r="T268" s="99"/>
      <c r="AA268" s="110"/>
      <c r="AB268" s="110"/>
      <c r="AC268" s="110"/>
      <c r="AD268" s="110"/>
      <c r="AI268" s="110"/>
      <c r="AJ268" s="110"/>
      <c r="AL268" s="110"/>
    </row>
    <row r="269" spans="1:40" x14ac:dyDescent="0.3">
      <c r="A269" s="99"/>
    </row>
    <row r="271" spans="1:40" x14ac:dyDescent="0.3">
      <c r="H271" s="99"/>
      <c r="I271" s="99"/>
      <c r="Y271" s="99"/>
    </row>
    <row r="273" spans="1:40" x14ac:dyDescent="0.3">
      <c r="L273" s="99"/>
      <c r="M273" s="99"/>
      <c r="AA273" s="99"/>
      <c r="AB273" s="99"/>
    </row>
    <row r="274" spans="1:40" x14ac:dyDescent="0.3">
      <c r="R274" s="99"/>
      <c r="AK274" s="190"/>
      <c r="AL274" s="99"/>
    </row>
    <row r="275" spans="1:40" x14ac:dyDescent="0.3">
      <c r="R275" s="99"/>
      <c r="AK275" s="190"/>
      <c r="AL275" s="99"/>
    </row>
    <row r="276" spans="1:40" x14ac:dyDescent="0.3">
      <c r="A276" s="99"/>
      <c r="R276" s="99"/>
      <c r="AK276" s="190"/>
      <c r="AL276" s="99"/>
    </row>
    <row r="277" spans="1:40" x14ac:dyDescent="0.3">
      <c r="L277" s="99"/>
      <c r="M277" s="99"/>
      <c r="AA277" s="99"/>
      <c r="AB277" s="99"/>
    </row>
    <row r="278" spans="1:40" x14ac:dyDescent="0.3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91"/>
      <c r="AH278" s="101"/>
      <c r="AI278" s="101"/>
      <c r="AJ278" s="101"/>
      <c r="AK278" s="191"/>
      <c r="AL278" s="101"/>
      <c r="AM278" s="101"/>
      <c r="AN278" s="101"/>
    </row>
    <row r="279" spans="1:40" x14ac:dyDescent="0.3">
      <c r="L279" s="102"/>
      <c r="M279" s="102"/>
      <c r="N279" s="102"/>
      <c r="O279" s="102"/>
      <c r="R279" s="102"/>
      <c r="AA279" s="102"/>
      <c r="AB279" s="102"/>
      <c r="AC279" s="102"/>
      <c r="AD279" s="102"/>
      <c r="AE279" s="102"/>
      <c r="AF279" s="102"/>
      <c r="AG279" s="151"/>
      <c r="AH279" s="102"/>
      <c r="AK279" s="151"/>
      <c r="AL279" s="102"/>
      <c r="AM279" s="102"/>
      <c r="AN279" s="102"/>
    </row>
    <row r="280" spans="1:40" x14ac:dyDescent="0.3">
      <c r="L280" s="102"/>
      <c r="M280" s="102"/>
      <c r="N280" s="102"/>
      <c r="O280" s="102"/>
      <c r="R280" s="102"/>
      <c r="Z280" s="102"/>
      <c r="AA280" s="102"/>
      <c r="AB280" s="102"/>
      <c r="AC280" s="102"/>
      <c r="AD280" s="102"/>
      <c r="AE280" s="102"/>
      <c r="AF280" s="102"/>
      <c r="AG280" s="151"/>
      <c r="AH280" s="102"/>
      <c r="AK280" s="151"/>
      <c r="AL280" s="102"/>
      <c r="AM280" s="102"/>
      <c r="AN280" s="102"/>
    </row>
    <row r="281" spans="1:40" x14ac:dyDescent="0.3">
      <c r="A281" s="102"/>
      <c r="C281" s="102"/>
      <c r="D281" s="102"/>
      <c r="E281" s="102"/>
      <c r="F281" s="102"/>
      <c r="J281" s="102"/>
      <c r="K281" s="102"/>
      <c r="L281" s="102"/>
      <c r="M281" s="102"/>
      <c r="N281" s="102"/>
      <c r="O281" s="102"/>
      <c r="P281" s="102"/>
      <c r="Q281" s="102"/>
      <c r="R281" s="102"/>
      <c r="T281" s="102"/>
      <c r="U281" s="102"/>
      <c r="V281" s="102"/>
      <c r="Z281" s="102"/>
      <c r="AA281" s="102"/>
      <c r="AB281" s="102"/>
      <c r="AC281" s="102"/>
      <c r="AD281" s="102"/>
      <c r="AE281" s="102"/>
      <c r="AF281" s="102"/>
      <c r="AG281" s="151"/>
      <c r="AH281" s="102"/>
      <c r="AI281" s="102"/>
      <c r="AJ281" s="102"/>
      <c r="AK281" s="151"/>
      <c r="AL281" s="102"/>
      <c r="AM281" s="102"/>
      <c r="AN281" s="102"/>
    </row>
    <row r="282" spans="1:40" x14ac:dyDescent="0.3">
      <c r="A282" s="102"/>
      <c r="C282" s="102"/>
      <c r="D282" s="102"/>
      <c r="E282" s="102"/>
      <c r="F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T282" s="102"/>
      <c r="U282" s="102"/>
      <c r="V282" s="102"/>
      <c r="Y282" s="102"/>
      <c r="Z282" s="102"/>
      <c r="AA282" s="102"/>
      <c r="AB282" s="102"/>
      <c r="AC282" s="102"/>
      <c r="AD282" s="102"/>
      <c r="AE282" s="102"/>
      <c r="AF282" s="102"/>
      <c r="AG282" s="151"/>
      <c r="AH282" s="102"/>
      <c r="AI282" s="102"/>
      <c r="AJ282" s="102"/>
      <c r="AK282" s="151"/>
      <c r="AL282" s="102"/>
      <c r="AM282" s="102"/>
      <c r="AN282" s="102"/>
    </row>
    <row r="283" spans="1:40" x14ac:dyDescent="0.3">
      <c r="C283" s="102"/>
      <c r="D283" s="102"/>
      <c r="E283" s="102"/>
      <c r="F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T283" s="102"/>
      <c r="U283" s="102"/>
      <c r="V283" s="102"/>
      <c r="Y283" s="102"/>
      <c r="Z283" s="102"/>
      <c r="AA283" s="102"/>
      <c r="AB283" s="102"/>
      <c r="AC283" s="102"/>
      <c r="AD283" s="102"/>
      <c r="AE283" s="102"/>
      <c r="AF283" s="102"/>
      <c r="AG283" s="151"/>
      <c r="AH283" s="102"/>
      <c r="AI283" s="102"/>
      <c r="AJ283" s="102"/>
      <c r="AK283" s="151"/>
      <c r="AL283" s="102"/>
      <c r="AM283" s="102"/>
      <c r="AN283" s="102"/>
    </row>
    <row r="284" spans="1:40" x14ac:dyDescent="0.3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91"/>
      <c r="AH284" s="101"/>
      <c r="AI284" s="101"/>
      <c r="AJ284" s="101"/>
      <c r="AK284" s="191"/>
      <c r="AL284" s="101"/>
      <c r="AM284" s="101"/>
      <c r="AN284" s="101"/>
    </row>
    <row r="285" spans="1:40" x14ac:dyDescent="0.3"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Y285" s="102"/>
      <c r="Z285" s="102"/>
      <c r="AA285" s="102"/>
      <c r="AB285" s="102"/>
      <c r="AC285" s="102"/>
      <c r="AD285" s="102"/>
      <c r="AE285" s="102"/>
      <c r="AF285" s="102"/>
      <c r="AG285" s="151"/>
      <c r="AH285" s="102"/>
      <c r="AI285" s="102"/>
      <c r="AJ285" s="102"/>
      <c r="AK285" s="151"/>
      <c r="AL285" s="102"/>
      <c r="AM285" s="102"/>
      <c r="AN285" s="102"/>
    </row>
    <row r="286" spans="1:40" x14ac:dyDescent="0.3">
      <c r="C286" s="99"/>
      <c r="D286" s="99"/>
      <c r="E286" s="99"/>
      <c r="T286" s="99"/>
      <c r="U286" s="99"/>
    </row>
    <row r="287" spans="1:40" x14ac:dyDescent="0.3">
      <c r="D287" s="99"/>
      <c r="E287" s="99"/>
      <c r="U287" s="99"/>
    </row>
    <row r="289" spans="3:40" x14ac:dyDescent="0.3">
      <c r="C289" s="99"/>
      <c r="T289" s="99"/>
    </row>
    <row r="290" spans="3:40" x14ac:dyDescent="0.3">
      <c r="C290" s="99"/>
      <c r="F290" s="172"/>
      <c r="H290" s="172"/>
      <c r="I290" s="172"/>
      <c r="J290" s="228"/>
      <c r="K290" s="228"/>
      <c r="L290" s="110"/>
      <c r="M290" s="110"/>
      <c r="N290" s="141"/>
      <c r="O290" s="141"/>
      <c r="P290" s="110"/>
      <c r="Q290" s="110"/>
      <c r="R290" s="110"/>
      <c r="T290" s="99"/>
      <c r="V290" s="172"/>
      <c r="W290" s="110"/>
      <c r="X290" s="110"/>
      <c r="Y290" s="172"/>
      <c r="Z290" s="228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3:40" x14ac:dyDescent="0.3">
      <c r="C291" s="99"/>
      <c r="F291" s="110"/>
      <c r="H291" s="110"/>
      <c r="I291" s="110"/>
      <c r="J291" s="217"/>
      <c r="K291" s="217"/>
      <c r="L291" s="110"/>
      <c r="M291" s="110"/>
      <c r="N291" s="141"/>
      <c r="O291" s="141"/>
      <c r="P291" s="110"/>
      <c r="Q291" s="110"/>
      <c r="R291" s="110"/>
      <c r="T291" s="99"/>
      <c r="V291" s="172"/>
      <c r="W291" s="110"/>
      <c r="X291" s="110"/>
      <c r="Y291" s="172"/>
      <c r="Z291" s="217"/>
      <c r="AA291" s="110"/>
      <c r="AB291" s="110"/>
      <c r="AC291" s="141"/>
      <c r="AD291" s="141"/>
      <c r="AE291" s="110"/>
      <c r="AF291" s="110"/>
      <c r="AH291" s="207"/>
      <c r="AI291" s="110"/>
      <c r="AJ291" s="110"/>
      <c r="AL291" s="110"/>
      <c r="AM291" s="141"/>
      <c r="AN291" s="141"/>
    </row>
    <row r="292" spans="3:40" x14ac:dyDescent="0.3">
      <c r="C292" s="99"/>
      <c r="F292" s="172"/>
      <c r="H292" s="172"/>
      <c r="I292" s="172"/>
      <c r="J292" s="228"/>
      <c r="K292" s="228"/>
      <c r="L292" s="110"/>
      <c r="M292" s="110"/>
      <c r="N292" s="141"/>
      <c r="O292" s="141"/>
      <c r="P292" s="110"/>
      <c r="Q292" s="110"/>
      <c r="R292" s="110"/>
      <c r="T292" s="99"/>
      <c r="V292" s="172"/>
      <c r="W292" s="110"/>
      <c r="X292" s="110"/>
      <c r="Y292" s="172"/>
      <c r="Z292" s="228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C293" s="99"/>
      <c r="F293" s="172"/>
      <c r="H293" s="172"/>
      <c r="I293" s="172"/>
      <c r="J293" s="228"/>
      <c r="K293" s="228"/>
      <c r="L293" s="110"/>
      <c r="M293" s="110"/>
      <c r="N293" s="141"/>
      <c r="O293" s="141"/>
      <c r="P293" s="110"/>
      <c r="Q293" s="110"/>
      <c r="R293" s="110"/>
      <c r="T293" s="99"/>
      <c r="V293" s="172"/>
      <c r="W293" s="110"/>
      <c r="X293" s="110"/>
      <c r="Y293" s="172"/>
      <c r="Z293" s="228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3:40" x14ac:dyDescent="0.3">
      <c r="C294" s="99"/>
      <c r="F294" s="172"/>
      <c r="H294" s="172"/>
      <c r="I294" s="172"/>
      <c r="J294" s="228"/>
      <c r="K294" s="228"/>
      <c r="L294" s="110"/>
      <c r="M294" s="110"/>
      <c r="N294" s="141"/>
      <c r="O294" s="141"/>
      <c r="P294" s="110"/>
      <c r="Q294" s="110"/>
      <c r="R294" s="110"/>
      <c r="T294" s="99"/>
      <c r="V294" s="172"/>
      <c r="W294" s="110"/>
      <c r="X294" s="110"/>
      <c r="Y294" s="172"/>
      <c r="Z294" s="228"/>
      <c r="AA294" s="110"/>
      <c r="AB294" s="110"/>
      <c r="AC294" s="141"/>
      <c r="AD294" s="141"/>
      <c r="AE294" s="110"/>
      <c r="AF294" s="110"/>
      <c r="AH294" s="207"/>
      <c r="AI294" s="110"/>
      <c r="AJ294" s="110"/>
      <c r="AL294" s="110"/>
      <c r="AM294" s="141"/>
      <c r="AN294" s="141"/>
    </row>
    <row r="295" spans="3:40" x14ac:dyDescent="0.3">
      <c r="C295" s="99"/>
      <c r="F295" s="110"/>
      <c r="H295" s="110"/>
      <c r="I295" s="110"/>
      <c r="J295" s="228"/>
      <c r="K295" s="228"/>
      <c r="L295" s="110"/>
      <c r="M295" s="110"/>
      <c r="N295" s="141"/>
      <c r="O295" s="141"/>
      <c r="P295" s="110"/>
      <c r="Q295" s="110"/>
      <c r="R295" s="110"/>
      <c r="T295" s="99"/>
      <c r="V295" s="172"/>
      <c r="W295" s="110"/>
      <c r="X295" s="110"/>
      <c r="Y295" s="172"/>
      <c r="Z295" s="228"/>
      <c r="AA295" s="110"/>
      <c r="AB295" s="110"/>
      <c r="AC295" s="141"/>
      <c r="AD295" s="141"/>
      <c r="AE295" s="110"/>
      <c r="AF295" s="110"/>
      <c r="AH295" s="207"/>
      <c r="AI295" s="110"/>
      <c r="AJ295" s="110"/>
      <c r="AL295" s="110"/>
      <c r="AM295" s="141"/>
      <c r="AN295" s="141"/>
    </row>
    <row r="296" spans="3:40" x14ac:dyDescent="0.3">
      <c r="C296" s="99"/>
      <c r="F296" s="110"/>
      <c r="H296" s="110"/>
      <c r="I296" s="110"/>
      <c r="J296" s="228"/>
      <c r="K296" s="228"/>
      <c r="L296" s="110"/>
      <c r="M296" s="110"/>
      <c r="N296" s="141"/>
      <c r="O296" s="141"/>
      <c r="P296" s="110"/>
      <c r="Q296" s="110"/>
      <c r="R296" s="110"/>
      <c r="T296" s="99"/>
      <c r="V296" s="172"/>
      <c r="W296" s="110"/>
      <c r="X296" s="110"/>
      <c r="Y296" s="172"/>
      <c r="Z296" s="228"/>
      <c r="AA296" s="110"/>
      <c r="AB296" s="110"/>
      <c r="AC296" s="141"/>
      <c r="AD296" s="141"/>
      <c r="AE296" s="110"/>
      <c r="AF296" s="110"/>
      <c r="AH296" s="207"/>
      <c r="AI296" s="110"/>
      <c r="AJ296" s="110"/>
      <c r="AL296" s="110"/>
      <c r="AM296" s="141"/>
      <c r="AN296" s="141"/>
    </row>
    <row r="297" spans="3:40" x14ac:dyDescent="0.3">
      <c r="F297" s="210"/>
      <c r="H297" s="230"/>
      <c r="I297" s="230"/>
      <c r="J297" s="228"/>
      <c r="K297" s="228"/>
      <c r="L297" s="210"/>
      <c r="M297" s="210"/>
      <c r="N297" s="192"/>
      <c r="O297" s="192"/>
      <c r="P297" s="210"/>
      <c r="Q297" s="210"/>
      <c r="R297" s="210"/>
      <c r="V297" s="210"/>
      <c r="W297" s="110"/>
      <c r="X297" s="110"/>
      <c r="Y297" s="210"/>
      <c r="Z297" s="228"/>
      <c r="AA297" s="210"/>
      <c r="AB297" s="210"/>
      <c r="AC297" s="211"/>
      <c r="AD297" s="211"/>
      <c r="AE297" s="210"/>
      <c r="AF297" s="210"/>
      <c r="AH297" s="207"/>
      <c r="AI297" s="210"/>
      <c r="AJ297" s="210"/>
      <c r="AK297" s="191"/>
      <c r="AL297" s="210"/>
      <c r="AM297" s="141"/>
      <c r="AN297" s="141"/>
    </row>
    <row r="298" spans="3:40" x14ac:dyDescent="0.3">
      <c r="C298" s="99"/>
      <c r="F298" s="110"/>
      <c r="H298" s="110"/>
      <c r="I298" s="110"/>
      <c r="J298" s="228"/>
      <c r="K298" s="228"/>
      <c r="L298" s="110"/>
      <c r="M298" s="110"/>
      <c r="N298" s="207"/>
      <c r="O298" s="207"/>
      <c r="P298" s="110"/>
      <c r="Q298" s="110"/>
      <c r="R298" s="110"/>
      <c r="T298" s="102"/>
      <c r="V298" s="110"/>
      <c r="W298" s="110"/>
      <c r="X298" s="110"/>
      <c r="Y298" s="110"/>
      <c r="Z298" s="228"/>
      <c r="AA298" s="110"/>
      <c r="AB298" s="110"/>
      <c r="AC298" s="207"/>
      <c r="AD298" s="207"/>
      <c r="AE298" s="110"/>
      <c r="AF298" s="110"/>
      <c r="AH298" s="207"/>
      <c r="AI298" s="110"/>
      <c r="AJ298" s="110"/>
      <c r="AL298" s="110"/>
      <c r="AM298" s="141"/>
      <c r="AN298" s="141"/>
    </row>
    <row r="299" spans="3:40" x14ac:dyDescent="0.3">
      <c r="F299" s="101"/>
      <c r="H299" s="101"/>
      <c r="I299" s="101"/>
      <c r="L299" s="101"/>
      <c r="M299" s="101"/>
      <c r="N299" s="211"/>
      <c r="O299" s="211"/>
      <c r="P299" s="210"/>
      <c r="Q299" s="210"/>
      <c r="R299" s="210"/>
      <c r="V299" s="210"/>
      <c r="Y299" s="210"/>
      <c r="Z299" s="217"/>
      <c r="AA299" s="210"/>
      <c r="AB299" s="210"/>
      <c r="AC299" s="210"/>
      <c r="AD299" s="210"/>
      <c r="AE299" s="210"/>
      <c r="AF299" s="210"/>
      <c r="AI299" s="210"/>
      <c r="AJ299" s="210"/>
      <c r="AK299" s="191"/>
      <c r="AL299" s="210"/>
      <c r="AM299" s="211"/>
      <c r="AN299" s="211"/>
    </row>
    <row r="304" spans="3:40" x14ac:dyDescent="0.3">
      <c r="N304" s="110"/>
      <c r="O304" s="110"/>
      <c r="P304" s="110"/>
      <c r="Q304" s="110"/>
      <c r="R304" s="110"/>
      <c r="V304" s="110"/>
      <c r="Y304" s="110"/>
      <c r="Z304" s="198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1:40" x14ac:dyDescent="0.3">
      <c r="C305" s="99"/>
      <c r="D305" s="99"/>
      <c r="E305" s="99"/>
      <c r="J305" s="163"/>
      <c r="K305" s="163"/>
      <c r="T305" s="99"/>
      <c r="U305" s="99"/>
      <c r="Z305" s="163"/>
      <c r="AE305" s="110"/>
      <c r="AF305" s="110"/>
      <c r="AI305" s="110"/>
      <c r="AJ305" s="110"/>
      <c r="AL305" s="110"/>
      <c r="AM305" s="141"/>
      <c r="AN305" s="141"/>
    </row>
    <row r="306" spans="1:40" x14ac:dyDescent="0.3">
      <c r="D306" s="99"/>
      <c r="E306" s="99"/>
      <c r="F306" s="110"/>
      <c r="H306" s="110"/>
      <c r="I306" s="110"/>
      <c r="J306" s="228"/>
      <c r="K306" s="228"/>
      <c r="L306" s="110"/>
      <c r="M306" s="110"/>
      <c r="N306" s="141"/>
      <c r="O306" s="141"/>
      <c r="P306" s="110"/>
      <c r="Q306" s="110"/>
      <c r="R306" s="110"/>
      <c r="U306" s="99"/>
      <c r="V306" s="110"/>
      <c r="Y306" s="110"/>
      <c r="Z306" s="228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1:40" x14ac:dyDescent="0.3">
      <c r="F307" s="110"/>
      <c r="H307" s="110"/>
      <c r="I307" s="110"/>
      <c r="J307" s="217"/>
      <c r="K307" s="217"/>
      <c r="L307" s="110"/>
      <c r="M307" s="110"/>
      <c r="N307" s="110"/>
      <c r="O307" s="110"/>
      <c r="P307" s="110"/>
      <c r="Q307" s="110"/>
      <c r="R307" s="110"/>
      <c r="V307" s="110"/>
      <c r="Y307" s="110"/>
      <c r="Z307" s="217"/>
      <c r="AA307" s="110"/>
      <c r="AB307" s="110"/>
      <c r="AC307" s="110"/>
      <c r="AD307" s="110"/>
      <c r="AE307" s="110"/>
      <c r="AF307" s="110"/>
      <c r="AH307" s="207"/>
      <c r="AI307" s="172"/>
      <c r="AJ307" s="172"/>
      <c r="AL307" s="110"/>
      <c r="AM307" s="141"/>
      <c r="AN307" s="141"/>
    </row>
    <row r="308" spans="1:40" x14ac:dyDescent="0.3">
      <c r="C308" s="99"/>
      <c r="F308" s="172"/>
      <c r="H308" s="172"/>
      <c r="I308" s="172"/>
      <c r="J308" s="216"/>
      <c r="K308" s="216"/>
      <c r="L308" s="110"/>
      <c r="M308" s="110"/>
      <c r="N308" s="141"/>
      <c r="O308" s="141"/>
      <c r="P308" s="110"/>
      <c r="Q308" s="110"/>
      <c r="R308" s="110"/>
      <c r="T308" s="99"/>
      <c r="V308" s="172"/>
      <c r="Y308" s="172"/>
      <c r="Z308" s="216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1:40" x14ac:dyDescent="0.3">
      <c r="F309" s="101"/>
      <c r="H309" s="101"/>
      <c r="I309" s="101"/>
      <c r="L309" s="101"/>
      <c r="M309" s="101"/>
      <c r="N309" s="101"/>
      <c r="O309" s="101"/>
      <c r="P309" s="101"/>
      <c r="Q309" s="101"/>
      <c r="R309" s="101"/>
      <c r="V309" s="101"/>
      <c r="Y309" s="101"/>
      <c r="AA309" s="101"/>
      <c r="AB309" s="101"/>
      <c r="AC309" s="101"/>
      <c r="AD309" s="101"/>
      <c r="AE309" s="101"/>
      <c r="AF309" s="101"/>
      <c r="AG309" s="191"/>
      <c r="AH309" s="101"/>
      <c r="AI309" s="101"/>
      <c r="AJ309" s="101"/>
      <c r="AK309" s="191"/>
      <c r="AL309" s="101"/>
      <c r="AM309" s="101"/>
      <c r="AN309" s="101"/>
    </row>
    <row r="310" spans="1:40" x14ac:dyDescent="0.3">
      <c r="C310" s="102"/>
      <c r="F310" s="172"/>
      <c r="H310" s="172"/>
      <c r="I310" s="172"/>
      <c r="J310" s="181"/>
      <c r="K310" s="181"/>
      <c r="L310" s="172"/>
      <c r="M310" s="172"/>
      <c r="N310" s="141"/>
      <c r="O310" s="141"/>
      <c r="P310" s="172"/>
      <c r="Q310" s="172"/>
      <c r="R310" s="172"/>
      <c r="T310" s="102"/>
      <c r="V310" s="110"/>
      <c r="Y310" s="110"/>
      <c r="Z310" s="198"/>
      <c r="AA310" s="110"/>
      <c r="AB310" s="110"/>
      <c r="AC310" s="141"/>
      <c r="AD310" s="141"/>
      <c r="AH310" s="207"/>
      <c r="AI310" s="110"/>
      <c r="AJ310" s="110"/>
      <c r="AL310" s="110"/>
      <c r="AM310" s="141"/>
      <c r="AN310" s="141"/>
    </row>
    <row r="311" spans="1:40" x14ac:dyDescent="0.3">
      <c r="F311" s="210"/>
      <c r="H311" s="210"/>
      <c r="I311" s="210"/>
      <c r="J311" s="217"/>
      <c r="K311" s="217"/>
      <c r="L311" s="210"/>
      <c r="M311" s="210"/>
      <c r="N311" s="210"/>
      <c r="O311" s="210"/>
      <c r="P311" s="210"/>
      <c r="Q311" s="210"/>
      <c r="R311" s="210"/>
      <c r="V311" s="101"/>
      <c r="Y311" s="101"/>
      <c r="AA311" s="101"/>
      <c r="AB311" s="101"/>
      <c r="AC311" s="101"/>
      <c r="AD311" s="101"/>
      <c r="AE311" s="101"/>
      <c r="AF311" s="101"/>
      <c r="AG311" s="191"/>
      <c r="AH311" s="101"/>
      <c r="AI311" s="101"/>
      <c r="AJ311" s="101"/>
      <c r="AK311" s="191"/>
      <c r="AL311" s="101"/>
      <c r="AM311" s="101"/>
      <c r="AN311" s="101"/>
    </row>
    <row r="312" spans="1:40" x14ac:dyDescent="0.3">
      <c r="F312" s="172"/>
      <c r="H312" s="172"/>
      <c r="I312" s="172"/>
      <c r="J312" s="227"/>
      <c r="K312" s="227"/>
      <c r="L312" s="110"/>
      <c r="M312" s="110"/>
      <c r="N312" s="141"/>
      <c r="O312" s="141"/>
      <c r="P312" s="110"/>
      <c r="Q312" s="110"/>
      <c r="R312" s="110"/>
    </row>
    <row r="313" spans="1:40" x14ac:dyDescent="0.3">
      <c r="A313" s="99"/>
      <c r="F313" s="172"/>
      <c r="H313" s="172"/>
      <c r="I313" s="172"/>
      <c r="J313" s="181"/>
      <c r="K313" s="181"/>
      <c r="L313" s="110"/>
      <c r="M313" s="110"/>
      <c r="N313" s="141"/>
      <c r="O313" s="141"/>
      <c r="P313" s="110"/>
      <c r="Q313" s="110"/>
      <c r="R313" s="110"/>
    </row>
    <row r="314" spans="1:40" x14ac:dyDescent="0.3">
      <c r="F314" s="172"/>
      <c r="H314" s="172"/>
      <c r="I314" s="172"/>
      <c r="J314" s="181"/>
      <c r="K314" s="181"/>
      <c r="L314" s="110"/>
      <c r="M314" s="110"/>
      <c r="N314" s="141"/>
      <c r="O314" s="141"/>
      <c r="P314" s="110"/>
      <c r="Q314" s="110"/>
      <c r="R314" s="110"/>
    </row>
    <row r="315" spans="1:40" x14ac:dyDescent="0.3">
      <c r="A315" s="99"/>
    </row>
    <row r="318" spans="1:40" x14ac:dyDescent="0.3">
      <c r="H318" s="99"/>
      <c r="I318" s="99"/>
      <c r="Y318" s="99"/>
    </row>
    <row r="320" spans="1:40" x14ac:dyDescent="0.3">
      <c r="L320" s="99"/>
      <c r="M320" s="99"/>
      <c r="AA320" s="99"/>
      <c r="AB320" s="99"/>
    </row>
    <row r="321" spans="1:40" x14ac:dyDescent="0.3">
      <c r="R321" s="99"/>
      <c r="AK321" s="190"/>
      <c r="AL321" s="99"/>
    </row>
    <row r="322" spans="1:40" x14ac:dyDescent="0.3">
      <c r="R322" s="99"/>
      <c r="AK322" s="190"/>
      <c r="AL322" s="99"/>
    </row>
    <row r="323" spans="1:40" x14ac:dyDescent="0.3">
      <c r="A323" s="99"/>
      <c r="R323" s="99"/>
      <c r="AK323" s="190"/>
      <c r="AL323" s="99"/>
    </row>
    <row r="324" spans="1:40" x14ac:dyDescent="0.3">
      <c r="L324" s="99"/>
      <c r="M324" s="99"/>
      <c r="AA324" s="99"/>
      <c r="AB324" s="99"/>
    </row>
    <row r="325" spans="1:40" x14ac:dyDescent="0.3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T325" s="101"/>
      <c r="U325" s="101"/>
      <c r="V325" s="101"/>
      <c r="W325" s="101"/>
      <c r="X325" s="101"/>
      <c r="Y325" s="101"/>
      <c r="Z325" s="101"/>
      <c r="AA325" s="101"/>
      <c r="AB325" s="101"/>
      <c r="AC325" s="101"/>
      <c r="AD325" s="101"/>
      <c r="AE325" s="101"/>
      <c r="AF325" s="101"/>
      <c r="AG325" s="191"/>
      <c r="AH325" s="101"/>
      <c r="AI325" s="101"/>
      <c r="AJ325" s="101"/>
      <c r="AK325" s="191"/>
      <c r="AL325" s="101"/>
      <c r="AM325" s="101"/>
      <c r="AN325" s="101"/>
    </row>
    <row r="326" spans="1:40" x14ac:dyDescent="0.3">
      <c r="L326" s="102"/>
      <c r="M326" s="102"/>
      <c r="N326" s="102"/>
      <c r="O326" s="102"/>
      <c r="R326" s="102"/>
      <c r="AA326" s="102"/>
      <c r="AB326" s="102"/>
      <c r="AC326" s="102"/>
      <c r="AD326" s="102"/>
      <c r="AE326" s="102"/>
      <c r="AF326" s="102"/>
      <c r="AG326" s="151"/>
      <c r="AH326" s="102"/>
      <c r="AK326" s="151"/>
      <c r="AL326" s="102"/>
      <c r="AM326" s="102"/>
      <c r="AN326" s="102"/>
    </row>
    <row r="327" spans="1:40" x14ac:dyDescent="0.3">
      <c r="L327" s="102"/>
      <c r="M327" s="102"/>
      <c r="N327" s="102"/>
      <c r="O327" s="102"/>
      <c r="R327" s="102"/>
      <c r="Z327" s="102"/>
      <c r="AA327" s="102"/>
      <c r="AB327" s="102"/>
      <c r="AC327" s="102"/>
      <c r="AD327" s="102"/>
      <c r="AE327" s="102"/>
      <c r="AF327" s="102"/>
      <c r="AG327" s="151"/>
      <c r="AH327" s="102"/>
      <c r="AK327" s="151"/>
      <c r="AL327" s="102"/>
      <c r="AM327" s="102"/>
      <c r="AN327" s="102"/>
    </row>
    <row r="328" spans="1:40" x14ac:dyDescent="0.3">
      <c r="A328" s="102"/>
      <c r="C328" s="102"/>
      <c r="D328" s="102"/>
      <c r="E328" s="102"/>
      <c r="F328" s="102"/>
      <c r="J328" s="102"/>
      <c r="K328" s="102"/>
      <c r="L328" s="102"/>
      <c r="M328" s="102"/>
      <c r="N328" s="102"/>
      <c r="O328" s="102"/>
      <c r="P328" s="102"/>
      <c r="Q328" s="102"/>
      <c r="R328" s="102"/>
      <c r="T328" s="102"/>
      <c r="U328" s="102"/>
      <c r="V328" s="102"/>
      <c r="Z328" s="102"/>
      <c r="AA328" s="102"/>
      <c r="AB328" s="102"/>
      <c r="AC328" s="102"/>
      <c r="AD328" s="102"/>
      <c r="AE328" s="102"/>
      <c r="AF328" s="102"/>
      <c r="AG328" s="151"/>
      <c r="AH328" s="102"/>
      <c r="AI328" s="102"/>
      <c r="AJ328" s="102"/>
      <c r="AK328" s="151"/>
      <c r="AL328" s="102"/>
      <c r="AM328" s="102"/>
      <c r="AN328" s="102"/>
    </row>
    <row r="329" spans="1:40" x14ac:dyDescent="0.3">
      <c r="A329" s="102"/>
      <c r="C329" s="102"/>
      <c r="D329" s="102"/>
      <c r="E329" s="102"/>
      <c r="F329" s="102"/>
      <c r="H329" s="102"/>
      <c r="I329" s="102"/>
      <c r="J329" s="102"/>
      <c r="K329" s="102"/>
      <c r="L329" s="102"/>
      <c r="M329" s="102"/>
      <c r="N329" s="102"/>
      <c r="O329" s="102"/>
      <c r="P329" s="102"/>
      <c r="Q329" s="102"/>
      <c r="R329" s="102"/>
      <c r="T329" s="102"/>
      <c r="U329" s="102"/>
      <c r="V329" s="102"/>
      <c r="Y329" s="102"/>
      <c r="Z329" s="102"/>
      <c r="AA329" s="102"/>
      <c r="AB329" s="102"/>
      <c r="AC329" s="102"/>
      <c r="AD329" s="102"/>
      <c r="AE329" s="102"/>
      <c r="AF329" s="102"/>
      <c r="AG329" s="151"/>
      <c r="AH329" s="102"/>
      <c r="AI329" s="102"/>
      <c r="AJ329" s="102"/>
      <c r="AK329" s="151"/>
      <c r="AL329" s="102"/>
      <c r="AM329" s="102"/>
      <c r="AN329" s="102"/>
    </row>
    <row r="330" spans="1:40" x14ac:dyDescent="0.3">
      <c r="C330" s="102"/>
      <c r="D330" s="102"/>
      <c r="E330" s="102"/>
      <c r="F330" s="102"/>
      <c r="H330" s="102"/>
      <c r="I330" s="102"/>
      <c r="J330" s="102"/>
      <c r="K330" s="102"/>
      <c r="L330" s="102"/>
      <c r="M330" s="102"/>
      <c r="N330" s="102"/>
      <c r="O330" s="102"/>
      <c r="P330" s="102"/>
      <c r="Q330" s="102"/>
      <c r="R330" s="102"/>
      <c r="T330" s="102"/>
      <c r="U330" s="102"/>
      <c r="V330" s="102"/>
      <c r="Y330" s="102"/>
      <c r="Z330" s="102"/>
      <c r="AA330" s="102"/>
      <c r="AB330" s="102"/>
      <c r="AC330" s="102"/>
      <c r="AD330" s="102"/>
      <c r="AE330" s="102"/>
      <c r="AF330" s="102"/>
      <c r="AG330" s="151"/>
      <c r="AH330" s="102"/>
      <c r="AI330" s="102"/>
      <c r="AJ330" s="102"/>
      <c r="AK330" s="151"/>
      <c r="AL330" s="102"/>
      <c r="AM330" s="102"/>
      <c r="AN330" s="102"/>
    </row>
    <row r="331" spans="1:40" x14ac:dyDescent="0.3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T331" s="101"/>
      <c r="U331" s="101"/>
      <c r="V331" s="101"/>
      <c r="W331" s="101"/>
      <c r="X331" s="101"/>
      <c r="Y331" s="101"/>
      <c r="Z331" s="101"/>
      <c r="AA331" s="101"/>
      <c r="AB331" s="101"/>
      <c r="AC331" s="101"/>
      <c r="AD331" s="101"/>
      <c r="AE331" s="101"/>
      <c r="AF331" s="101"/>
      <c r="AG331" s="191"/>
      <c r="AH331" s="101"/>
      <c r="AI331" s="101"/>
      <c r="AJ331" s="101"/>
      <c r="AK331" s="191"/>
      <c r="AL331" s="101"/>
      <c r="AM331" s="101"/>
      <c r="AN331" s="101"/>
    </row>
    <row r="332" spans="1:40" x14ac:dyDescent="0.3">
      <c r="H332" s="102"/>
      <c r="I332" s="102"/>
      <c r="J332" s="102"/>
      <c r="K332" s="102"/>
      <c r="L332" s="102"/>
      <c r="M332" s="102"/>
      <c r="N332" s="102"/>
      <c r="O332" s="102"/>
      <c r="P332" s="102"/>
      <c r="Q332" s="102"/>
      <c r="R332" s="102"/>
      <c r="Y332" s="102"/>
      <c r="Z332" s="102"/>
      <c r="AA332" s="102"/>
      <c r="AB332" s="102"/>
      <c r="AC332" s="102"/>
      <c r="AD332" s="102"/>
      <c r="AE332" s="102"/>
      <c r="AF332" s="102"/>
      <c r="AG332" s="151"/>
      <c r="AH332" s="102"/>
      <c r="AI332" s="102"/>
      <c r="AJ332" s="102"/>
      <c r="AK332" s="151"/>
      <c r="AL332" s="102"/>
      <c r="AM332" s="102"/>
      <c r="AN332" s="102"/>
    </row>
    <row r="333" spans="1:40" x14ac:dyDescent="0.3">
      <c r="C333" s="99"/>
      <c r="D333" s="99"/>
      <c r="E333" s="99"/>
      <c r="T333" s="99"/>
      <c r="U333" s="99"/>
    </row>
    <row r="335" spans="1:40" x14ac:dyDescent="0.3">
      <c r="C335" s="99"/>
      <c r="T335" s="99"/>
    </row>
    <row r="336" spans="1:40" x14ac:dyDescent="0.3">
      <c r="C336" s="99"/>
      <c r="F336" s="172"/>
      <c r="H336" s="172"/>
      <c r="I336" s="172"/>
      <c r="J336" s="217"/>
      <c r="K336" s="217"/>
      <c r="L336" s="110"/>
      <c r="M336" s="110"/>
      <c r="N336" s="141"/>
      <c r="O336" s="141"/>
      <c r="P336" s="110"/>
      <c r="Q336" s="110"/>
      <c r="R336" s="110"/>
      <c r="T336" s="99"/>
      <c r="V336" s="172"/>
      <c r="Y336" s="172"/>
      <c r="Z336" s="217"/>
      <c r="AA336" s="110"/>
      <c r="AB336" s="110"/>
      <c r="AC336" s="141"/>
      <c r="AD336" s="141"/>
      <c r="AE336" s="110"/>
      <c r="AF336" s="110"/>
      <c r="AH336" s="207"/>
      <c r="AI336" s="110"/>
      <c r="AJ336" s="110"/>
      <c r="AL336" s="110"/>
      <c r="AM336" s="141"/>
      <c r="AN336" s="141"/>
    </row>
    <row r="337" spans="3:40" x14ac:dyDescent="0.3">
      <c r="C337" s="99"/>
      <c r="T337" s="99"/>
    </row>
    <row r="338" spans="3:40" x14ac:dyDescent="0.3">
      <c r="C338" s="99"/>
      <c r="F338" s="172"/>
      <c r="H338" s="172"/>
      <c r="I338" s="172"/>
      <c r="J338" s="228"/>
      <c r="K338" s="228"/>
      <c r="L338" s="110"/>
      <c r="M338" s="110"/>
      <c r="N338" s="141"/>
      <c r="O338" s="141"/>
      <c r="P338" s="110"/>
      <c r="Q338" s="110"/>
      <c r="R338" s="110"/>
      <c r="T338" s="99"/>
      <c r="V338" s="110"/>
      <c r="Y338" s="110"/>
      <c r="Z338" s="228"/>
      <c r="AA338" s="110"/>
      <c r="AB338" s="110"/>
      <c r="AC338" s="141"/>
      <c r="AD338" s="141"/>
      <c r="AE338" s="110"/>
      <c r="AF338" s="110"/>
      <c r="AH338" s="207"/>
      <c r="AI338" s="110"/>
      <c r="AJ338" s="110"/>
      <c r="AL338" s="110"/>
      <c r="AM338" s="141"/>
      <c r="AN338" s="141"/>
    </row>
    <row r="339" spans="3:40" x14ac:dyDescent="0.3">
      <c r="C339" s="99"/>
      <c r="F339" s="172"/>
      <c r="H339" s="172"/>
      <c r="I339" s="172"/>
      <c r="J339" s="228"/>
      <c r="K339" s="228"/>
      <c r="L339" s="110"/>
      <c r="M339" s="110"/>
      <c r="N339" s="141"/>
      <c r="O339" s="141"/>
      <c r="P339" s="110"/>
      <c r="Q339" s="110"/>
      <c r="R339" s="110"/>
      <c r="T339" s="99"/>
      <c r="V339" s="110"/>
      <c r="Y339" s="110"/>
      <c r="Z339" s="228"/>
      <c r="AA339" s="110"/>
      <c r="AB339" s="110"/>
      <c r="AC339" s="141"/>
      <c r="AD339" s="141"/>
      <c r="AE339" s="110"/>
      <c r="AF339" s="110"/>
      <c r="AH339" s="207"/>
      <c r="AI339" s="110"/>
      <c r="AJ339" s="110"/>
      <c r="AL339" s="110"/>
      <c r="AM339" s="141"/>
      <c r="AN339" s="141"/>
    </row>
    <row r="340" spans="3:40" x14ac:dyDescent="0.3">
      <c r="C340" s="99"/>
      <c r="F340" s="172"/>
      <c r="H340" s="172"/>
      <c r="I340" s="172"/>
      <c r="J340" s="228"/>
      <c r="K340" s="228"/>
      <c r="L340" s="110"/>
      <c r="M340" s="110"/>
      <c r="N340" s="141"/>
      <c r="O340" s="141"/>
      <c r="P340" s="110"/>
      <c r="Q340" s="110"/>
      <c r="R340" s="110"/>
      <c r="T340" s="99"/>
      <c r="V340" s="110"/>
      <c r="Y340" s="110"/>
      <c r="Z340" s="228"/>
      <c r="AA340" s="110"/>
      <c r="AB340" s="110"/>
      <c r="AC340" s="141"/>
      <c r="AD340" s="141"/>
      <c r="AE340" s="110"/>
      <c r="AF340" s="110"/>
      <c r="AH340" s="207"/>
      <c r="AI340" s="110"/>
      <c r="AJ340" s="110"/>
      <c r="AL340" s="110"/>
      <c r="AM340" s="141"/>
      <c r="AN340" s="141"/>
    </row>
    <row r="341" spans="3:40" x14ac:dyDescent="0.3">
      <c r="C341" s="99"/>
      <c r="F341" s="172"/>
      <c r="H341" s="172"/>
      <c r="I341" s="172"/>
      <c r="J341" s="228"/>
      <c r="K341" s="228"/>
      <c r="L341" s="110"/>
      <c r="M341" s="110"/>
      <c r="N341" s="141"/>
      <c r="O341" s="141"/>
      <c r="P341" s="110"/>
      <c r="Q341" s="110"/>
      <c r="R341" s="110"/>
      <c r="T341" s="99"/>
      <c r="V341" s="110"/>
      <c r="Y341" s="110"/>
      <c r="Z341" s="228"/>
      <c r="AA341" s="110"/>
      <c r="AB341" s="110"/>
      <c r="AC341" s="141"/>
      <c r="AD341" s="141"/>
      <c r="AE341" s="110"/>
      <c r="AF341" s="110"/>
      <c r="AH341" s="207"/>
      <c r="AI341" s="110"/>
      <c r="AJ341" s="110"/>
      <c r="AL341" s="110"/>
      <c r="AM341" s="141"/>
      <c r="AN341" s="141"/>
    </row>
    <row r="342" spans="3:40" x14ac:dyDescent="0.3">
      <c r="C342" s="99"/>
      <c r="J342" s="163"/>
      <c r="K342" s="163"/>
      <c r="T342" s="99"/>
      <c r="Z342" s="163"/>
    </row>
    <row r="343" spans="3:40" x14ac:dyDescent="0.3">
      <c r="C343" s="99"/>
      <c r="F343" s="172"/>
      <c r="H343" s="172"/>
      <c r="I343" s="172"/>
      <c r="J343" s="228"/>
      <c r="K343" s="228"/>
      <c r="L343" s="110"/>
      <c r="M343" s="110"/>
      <c r="N343" s="141"/>
      <c r="O343" s="141"/>
      <c r="P343" s="110"/>
      <c r="Q343" s="110"/>
      <c r="R343" s="110"/>
      <c r="T343" s="99"/>
      <c r="V343" s="110"/>
      <c r="Y343" s="110"/>
      <c r="Z343" s="228"/>
      <c r="AA343" s="110"/>
      <c r="AB343" s="110"/>
      <c r="AC343" s="141"/>
      <c r="AD343" s="141"/>
      <c r="AE343" s="110"/>
      <c r="AF343" s="110"/>
      <c r="AH343" s="207"/>
      <c r="AI343" s="110"/>
      <c r="AJ343" s="110"/>
      <c r="AL343" s="110"/>
      <c r="AM343" s="141"/>
      <c r="AN343" s="141"/>
    </row>
    <row r="344" spans="3:40" x14ac:dyDescent="0.3">
      <c r="C344" s="99"/>
      <c r="F344" s="172"/>
      <c r="H344" s="172"/>
      <c r="I344" s="172"/>
      <c r="J344" s="228"/>
      <c r="K344" s="228"/>
      <c r="L344" s="110"/>
      <c r="M344" s="110"/>
      <c r="N344" s="141"/>
      <c r="O344" s="141"/>
      <c r="P344" s="110"/>
      <c r="Q344" s="110"/>
      <c r="R344" s="110"/>
      <c r="T344" s="99"/>
      <c r="V344" s="110"/>
      <c r="Y344" s="110"/>
      <c r="Z344" s="228"/>
      <c r="AA344" s="110"/>
      <c r="AB344" s="110"/>
      <c r="AC344" s="141"/>
      <c r="AD344" s="141"/>
      <c r="AE344" s="110"/>
      <c r="AF344" s="110"/>
      <c r="AH344" s="207"/>
      <c r="AI344" s="110"/>
      <c r="AJ344" s="110"/>
      <c r="AL344" s="110"/>
      <c r="AM344" s="141"/>
      <c r="AN344" s="141"/>
    </row>
    <row r="345" spans="3:40" x14ac:dyDescent="0.3">
      <c r="C345" s="99"/>
      <c r="F345" s="172"/>
      <c r="H345" s="172"/>
      <c r="I345" s="172"/>
      <c r="J345" s="228"/>
      <c r="K345" s="228"/>
      <c r="L345" s="110"/>
      <c r="M345" s="110"/>
      <c r="N345" s="141"/>
      <c r="O345" s="141"/>
      <c r="P345" s="110"/>
      <c r="Q345" s="110"/>
      <c r="R345" s="110"/>
      <c r="T345" s="99"/>
      <c r="V345" s="110"/>
      <c r="Y345" s="110"/>
      <c r="Z345" s="228"/>
      <c r="AA345" s="110"/>
      <c r="AB345" s="110"/>
      <c r="AC345" s="141"/>
      <c r="AD345" s="141"/>
      <c r="AE345" s="110"/>
      <c r="AF345" s="110"/>
      <c r="AH345" s="207"/>
      <c r="AI345" s="110"/>
      <c r="AJ345" s="110"/>
      <c r="AL345" s="110"/>
      <c r="AM345" s="141"/>
      <c r="AN345" s="141"/>
    </row>
    <row r="346" spans="3:40" x14ac:dyDescent="0.3">
      <c r="C346" s="99"/>
      <c r="J346" s="163"/>
      <c r="K346" s="163"/>
      <c r="T346" s="99"/>
      <c r="Z346" s="163"/>
    </row>
    <row r="347" spans="3:40" x14ac:dyDescent="0.3">
      <c r="C347" s="99"/>
      <c r="F347" s="172"/>
      <c r="H347" s="172"/>
      <c r="I347" s="172"/>
      <c r="J347" s="228"/>
      <c r="K347" s="228"/>
      <c r="L347" s="110"/>
      <c r="M347" s="110"/>
      <c r="N347" s="141"/>
      <c r="O347" s="141"/>
      <c r="P347" s="110"/>
      <c r="Q347" s="110"/>
      <c r="R347" s="110"/>
      <c r="T347" s="99"/>
      <c r="V347" s="110"/>
      <c r="Y347" s="110"/>
      <c r="Z347" s="228"/>
      <c r="AA347" s="110"/>
      <c r="AB347" s="110"/>
      <c r="AC347" s="141"/>
      <c r="AD347" s="141"/>
      <c r="AE347" s="110"/>
      <c r="AF347" s="110"/>
      <c r="AH347" s="207"/>
      <c r="AI347" s="110"/>
      <c r="AJ347" s="110"/>
      <c r="AL347" s="110"/>
      <c r="AM347" s="141"/>
      <c r="AN347" s="141"/>
    </row>
    <row r="348" spans="3:40" x14ac:dyDescent="0.3">
      <c r="C348" s="99"/>
      <c r="F348" s="172"/>
      <c r="H348" s="172"/>
      <c r="I348" s="172"/>
      <c r="J348" s="228"/>
      <c r="K348" s="228"/>
      <c r="L348" s="110"/>
      <c r="M348" s="110"/>
      <c r="N348" s="141"/>
      <c r="O348" s="141"/>
      <c r="P348" s="110"/>
      <c r="Q348" s="110"/>
      <c r="R348" s="110"/>
      <c r="T348" s="99"/>
      <c r="V348" s="110"/>
      <c r="Y348" s="110"/>
      <c r="Z348" s="228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C349" s="99"/>
      <c r="J349" s="163"/>
      <c r="K349" s="163"/>
      <c r="T349" s="99"/>
      <c r="Z349" s="163"/>
    </row>
    <row r="350" spans="3:40" x14ac:dyDescent="0.3">
      <c r="C350" s="99"/>
      <c r="F350" s="172"/>
      <c r="H350" s="172"/>
      <c r="I350" s="172"/>
      <c r="J350" s="228"/>
      <c r="K350" s="228"/>
      <c r="L350" s="110"/>
      <c r="M350" s="110"/>
      <c r="N350" s="141"/>
      <c r="O350" s="141"/>
      <c r="P350" s="110"/>
      <c r="Q350" s="110"/>
      <c r="R350" s="110"/>
      <c r="T350" s="99"/>
      <c r="V350" s="110"/>
      <c r="Y350" s="110"/>
      <c r="Z350" s="228"/>
      <c r="AA350" s="110"/>
      <c r="AB350" s="110"/>
      <c r="AC350" s="141"/>
      <c r="AD350" s="141"/>
      <c r="AE350" s="110"/>
      <c r="AF350" s="110"/>
      <c r="AH350" s="207"/>
      <c r="AI350" s="110"/>
      <c r="AJ350" s="110"/>
      <c r="AL350" s="110"/>
      <c r="AM350" s="141"/>
      <c r="AN350" s="141"/>
    </row>
    <row r="351" spans="3:40" x14ac:dyDescent="0.3">
      <c r="C351" s="99"/>
      <c r="F351" s="172"/>
      <c r="H351" s="172"/>
      <c r="I351" s="172"/>
      <c r="J351" s="228"/>
      <c r="K351" s="228"/>
      <c r="L351" s="110"/>
      <c r="M351" s="110"/>
      <c r="N351" s="141"/>
      <c r="O351" s="141"/>
      <c r="P351" s="110"/>
      <c r="Q351" s="110"/>
      <c r="R351" s="110"/>
      <c r="T351" s="99"/>
      <c r="V351" s="110"/>
      <c r="Y351" s="110"/>
      <c r="Z351" s="228"/>
      <c r="AA351" s="110"/>
      <c r="AB351" s="110"/>
      <c r="AC351" s="141"/>
      <c r="AD351" s="141"/>
      <c r="AE351" s="110"/>
      <c r="AF351" s="110"/>
      <c r="AH351" s="207"/>
      <c r="AI351" s="110"/>
      <c r="AJ351" s="110"/>
      <c r="AL351" s="110"/>
      <c r="AM351" s="141"/>
      <c r="AN351" s="141"/>
    </row>
    <row r="352" spans="3:40" x14ac:dyDescent="0.3">
      <c r="C352" s="99"/>
      <c r="F352" s="172"/>
      <c r="H352" s="172"/>
      <c r="I352" s="172"/>
      <c r="J352" s="228"/>
      <c r="K352" s="228"/>
      <c r="L352" s="110"/>
      <c r="M352" s="110"/>
      <c r="N352" s="141"/>
      <c r="O352" s="141"/>
      <c r="P352" s="110"/>
      <c r="Q352" s="110"/>
      <c r="R352" s="110"/>
      <c r="T352" s="99"/>
      <c r="V352" s="110"/>
      <c r="Y352" s="110"/>
      <c r="Z352" s="228"/>
      <c r="AA352" s="110"/>
      <c r="AB352" s="110"/>
      <c r="AC352" s="141"/>
      <c r="AD352" s="141"/>
      <c r="AE352" s="110"/>
      <c r="AF352" s="110"/>
      <c r="AH352" s="207"/>
      <c r="AI352" s="110"/>
      <c r="AJ352" s="110"/>
      <c r="AL352" s="110"/>
      <c r="AM352" s="141"/>
      <c r="AN352" s="141"/>
    </row>
    <row r="353" spans="3:40" x14ac:dyDescent="0.3">
      <c r="F353" s="192"/>
      <c r="H353" s="192"/>
      <c r="I353" s="192"/>
      <c r="J353" s="228"/>
      <c r="K353" s="228"/>
      <c r="L353" s="192"/>
      <c r="M353" s="192"/>
      <c r="N353" s="192"/>
      <c r="O353" s="192"/>
      <c r="P353" s="192"/>
      <c r="Q353" s="192"/>
      <c r="R353" s="192"/>
      <c r="V353" s="192"/>
      <c r="Y353" s="192"/>
      <c r="Z353" s="228"/>
      <c r="AA353" s="192"/>
      <c r="AB353" s="192"/>
      <c r="AC353" s="192"/>
      <c r="AD353" s="192"/>
      <c r="AE353" s="192"/>
      <c r="AF353" s="192"/>
      <c r="AI353" s="192"/>
      <c r="AJ353" s="192"/>
      <c r="AK353" s="194"/>
      <c r="AL353" s="192"/>
    </row>
    <row r="354" spans="3:40" x14ac:dyDescent="0.3">
      <c r="C354" s="102"/>
      <c r="F354" s="110"/>
      <c r="H354" s="110"/>
      <c r="I354" s="110"/>
      <c r="J354" s="163"/>
      <c r="K354" s="163"/>
      <c r="L354" s="110"/>
      <c r="M354" s="110"/>
      <c r="N354" s="207"/>
      <c r="O354" s="207"/>
      <c r="P354" s="110"/>
      <c r="Q354" s="110"/>
      <c r="R354" s="110"/>
      <c r="T354" s="102"/>
      <c r="V354" s="110"/>
      <c r="Y354" s="110"/>
      <c r="Z354" s="163"/>
      <c r="AA354" s="110"/>
      <c r="AB354" s="110"/>
      <c r="AC354" s="110"/>
      <c r="AD354" s="110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F355" s="192"/>
      <c r="H355" s="192"/>
      <c r="I355" s="192"/>
      <c r="J355" s="228"/>
      <c r="K355" s="228"/>
      <c r="L355" s="192"/>
      <c r="M355" s="192"/>
      <c r="N355" s="192"/>
      <c r="O355" s="192"/>
      <c r="P355" s="192"/>
      <c r="Q355" s="192"/>
      <c r="R355" s="192"/>
      <c r="V355" s="192"/>
      <c r="Y355" s="192"/>
      <c r="Z355" s="228"/>
      <c r="AA355" s="192"/>
      <c r="AB355" s="192"/>
      <c r="AC355" s="192"/>
      <c r="AD355" s="192"/>
      <c r="AE355" s="192"/>
      <c r="AF355" s="192"/>
      <c r="AI355" s="192"/>
      <c r="AJ355" s="192"/>
      <c r="AK355" s="194"/>
      <c r="AL355" s="192"/>
    </row>
    <row r="356" spans="3:40" x14ac:dyDescent="0.3">
      <c r="C356" s="99"/>
      <c r="J356" s="163"/>
      <c r="K356" s="163"/>
      <c r="T356" s="99"/>
      <c r="Z356" s="163"/>
    </row>
    <row r="357" spans="3:40" x14ac:dyDescent="0.3">
      <c r="C357" s="99"/>
      <c r="J357" s="163"/>
      <c r="K357" s="163"/>
      <c r="T357" s="99"/>
      <c r="Z357" s="163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F360" s="172"/>
      <c r="H360" s="172"/>
      <c r="I360" s="172"/>
      <c r="J360" s="228"/>
      <c r="K360" s="228"/>
      <c r="L360" s="110"/>
      <c r="M360" s="110"/>
      <c r="N360" s="141"/>
      <c r="O360" s="141"/>
      <c r="P360" s="110"/>
      <c r="Q360" s="110"/>
      <c r="R360" s="110"/>
      <c r="T360" s="99"/>
      <c r="V360" s="110"/>
      <c r="Y360" s="110"/>
      <c r="Z360" s="228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3:40" x14ac:dyDescent="0.3">
      <c r="C361" s="99"/>
      <c r="F361" s="172"/>
      <c r="H361" s="172"/>
      <c r="I361" s="172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10"/>
      <c r="Y361" s="110"/>
      <c r="Z361" s="228"/>
      <c r="AA361" s="110"/>
      <c r="AB361" s="110"/>
      <c r="AC361" s="141"/>
      <c r="AD361" s="141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C363" s="99"/>
      <c r="F363" s="172"/>
      <c r="H363" s="172"/>
      <c r="I363" s="172"/>
      <c r="J363" s="228"/>
      <c r="K363" s="228"/>
      <c r="L363" s="110"/>
      <c r="M363" s="110"/>
      <c r="N363" s="141"/>
      <c r="O363" s="141"/>
      <c r="P363" s="110"/>
      <c r="Q363" s="110"/>
      <c r="R363" s="110"/>
      <c r="T363" s="99"/>
      <c r="V363" s="110"/>
      <c r="Y363" s="110"/>
      <c r="Z363" s="228"/>
      <c r="AA363" s="110"/>
      <c r="AB363" s="110"/>
      <c r="AC363" s="141"/>
      <c r="AD363" s="141"/>
      <c r="AE363" s="110"/>
      <c r="AF363" s="110"/>
      <c r="AH363" s="207"/>
      <c r="AI363" s="110"/>
      <c r="AJ363" s="110"/>
      <c r="AL363" s="110"/>
      <c r="AM363" s="141"/>
      <c r="AN363" s="141"/>
    </row>
    <row r="364" spans="3:40" x14ac:dyDescent="0.3">
      <c r="C364" s="99"/>
      <c r="F364" s="172"/>
      <c r="H364" s="172"/>
      <c r="I364" s="172"/>
      <c r="J364" s="228"/>
      <c r="K364" s="228"/>
      <c r="L364" s="110"/>
      <c r="M364" s="110"/>
      <c r="N364" s="141"/>
      <c r="O364" s="141"/>
      <c r="P364" s="110"/>
      <c r="Q364" s="110"/>
      <c r="R364" s="110"/>
      <c r="T364" s="99"/>
      <c r="V364" s="110"/>
      <c r="Y364" s="110"/>
      <c r="Z364" s="228"/>
      <c r="AA364" s="110"/>
      <c r="AB364" s="110"/>
      <c r="AC364" s="141"/>
      <c r="AD364" s="141"/>
      <c r="AE364" s="110"/>
      <c r="AF364" s="110"/>
      <c r="AH364" s="207"/>
      <c r="AI364" s="110"/>
      <c r="AJ364" s="110"/>
      <c r="AL364" s="110"/>
      <c r="AM364" s="141"/>
      <c r="AN364" s="141"/>
    </row>
    <row r="365" spans="3:40" x14ac:dyDescent="0.3">
      <c r="C365" s="99"/>
      <c r="J365" s="163"/>
      <c r="K365" s="163"/>
      <c r="T365" s="99"/>
      <c r="Z365" s="163"/>
    </row>
    <row r="366" spans="3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Y366" s="110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3:40" x14ac:dyDescent="0.3">
      <c r="C367" s="99"/>
      <c r="F367" s="172"/>
      <c r="H367" s="172"/>
      <c r="I367" s="172"/>
      <c r="J367" s="228"/>
      <c r="K367" s="228"/>
      <c r="L367" s="110"/>
      <c r="M367" s="110"/>
      <c r="N367" s="141"/>
      <c r="O367" s="141"/>
      <c r="P367" s="110"/>
      <c r="Q367" s="110"/>
      <c r="R367" s="110"/>
      <c r="T367" s="99"/>
      <c r="V367" s="110"/>
      <c r="Y367" s="110"/>
      <c r="Z367" s="228"/>
      <c r="AA367" s="110"/>
      <c r="AB367" s="110"/>
      <c r="AC367" s="141"/>
      <c r="AD367" s="141"/>
      <c r="AE367" s="110"/>
      <c r="AF367" s="110"/>
      <c r="AH367" s="207"/>
      <c r="AI367" s="110"/>
      <c r="AJ367" s="110"/>
      <c r="AL367" s="110"/>
      <c r="AM367" s="141"/>
      <c r="AN367" s="141"/>
    </row>
    <row r="368" spans="3:40" x14ac:dyDescent="0.3">
      <c r="C368" s="99"/>
      <c r="F368" s="172"/>
      <c r="H368" s="172"/>
      <c r="I368" s="172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10"/>
      <c r="Y368" s="110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Y369" s="110"/>
      <c r="Z369" s="228"/>
      <c r="AA369" s="110"/>
      <c r="AB369" s="110"/>
      <c r="AC369" s="141"/>
      <c r="AD369" s="141"/>
      <c r="AE369" s="110"/>
      <c r="AF369" s="110"/>
      <c r="AH369" s="207"/>
      <c r="AI369" s="110"/>
      <c r="AJ369" s="110"/>
      <c r="AL369" s="110"/>
      <c r="AM369" s="141"/>
      <c r="AN369" s="141"/>
    </row>
    <row r="370" spans="3:40" x14ac:dyDescent="0.3">
      <c r="C370" s="99"/>
      <c r="J370" s="163"/>
      <c r="K370" s="163"/>
      <c r="T370" s="99"/>
      <c r="Z370" s="163"/>
    </row>
    <row r="371" spans="3:40" x14ac:dyDescent="0.3">
      <c r="C371" s="99"/>
      <c r="F371" s="172"/>
      <c r="H371" s="172"/>
      <c r="I371" s="172"/>
      <c r="J371" s="228"/>
      <c r="K371" s="228"/>
      <c r="L371" s="110"/>
      <c r="M371" s="110"/>
      <c r="N371" s="141"/>
      <c r="O371" s="141"/>
      <c r="P371" s="110"/>
      <c r="Q371" s="110"/>
      <c r="R371" s="110"/>
      <c r="T371" s="99"/>
      <c r="V371" s="110"/>
      <c r="Y371" s="110"/>
      <c r="Z371" s="228"/>
      <c r="AA371" s="110"/>
      <c r="AB371" s="110"/>
      <c r="AC371" s="141"/>
      <c r="AD371" s="141"/>
      <c r="AE371" s="110"/>
      <c r="AF371" s="110"/>
      <c r="AH371" s="207"/>
      <c r="AI371" s="110"/>
      <c r="AJ371" s="110"/>
      <c r="AL371" s="110"/>
      <c r="AM371" s="141"/>
      <c r="AN371" s="141"/>
    </row>
    <row r="372" spans="3:40" x14ac:dyDescent="0.3">
      <c r="C372" s="99"/>
      <c r="F372" s="172"/>
      <c r="H372" s="172"/>
      <c r="I372" s="172"/>
      <c r="J372" s="228"/>
      <c r="K372" s="228"/>
      <c r="L372" s="110"/>
      <c r="M372" s="110"/>
      <c r="N372" s="141"/>
      <c r="O372" s="141"/>
      <c r="P372" s="110"/>
      <c r="Q372" s="110"/>
      <c r="R372" s="110"/>
      <c r="T372" s="99"/>
      <c r="V372" s="110"/>
      <c r="Y372" s="110"/>
      <c r="Z372" s="228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C373" s="99"/>
      <c r="F373" s="172"/>
      <c r="H373" s="172"/>
      <c r="I373" s="172"/>
      <c r="J373" s="228"/>
      <c r="K373" s="228"/>
      <c r="L373" s="110"/>
      <c r="M373" s="110"/>
      <c r="N373" s="141"/>
      <c r="O373" s="141"/>
      <c r="P373" s="110"/>
      <c r="Q373" s="110"/>
      <c r="R373" s="110"/>
      <c r="T373" s="99"/>
      <c r="V373" s="110"/>
      <c r="Y373" s="110"/>
      <c r="Z373" s="228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3:40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10"/>
      <c r="Y374" s="110"/>
      <c r="Z374" s="228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3:40" x14ac:dyDescent="0.3">
      <c r="C375" s="99"/>
      <c r="F375" s="172"/>
      <c r="H375" s="172"/>
      <c r="I375" s="172"/>
      <c r="J375" s="228"/>
      <c r="K375" s="228"/>
      <c r="L375" s="110"/>
      <c r="M375" s="110"/>
      <c r="N375" s="141"/>
      <c r="O375" s="141"/>
      <c r="P375" s="110"/>
      <c r="Q375" s="110"/>
      <c r="R375" s="110"/>
      <c r="T375" s="99"/>
      <c r="V375" s="110"/>
      <c r="Y375" s="110"/>
      <c r="Z375" s="228"/>
      <c r="AA375" s="110"/>
      <c r="AB375" s="110"/>
      <c r="AC375" s="141"/>
      <c r="AD375" s="141"/>
      <c r="AE375" s="110"/>
      <c r="AF375" s="110"/>
      <c r="AH375" s="207"/>
      <c r="AI375" s="110"/>
      <c r="AJ375" s="110"/>
      <c r="AL375" s="110"/>
      <c r="AM375" s="141"/>
      <c r="AN375" s="141"/>
    </row>
    <row r="376" spans="3:40" x14ac:dyDescent="0.3">
      <c r="F376" s="192"/>
      <c r="H376" s="192"/>
      <c r="I376" s="192"/>
      <c r="J376" s="217"/>
      <c r="K376" s="217"/>
      <c r="L376" s="192"/>
      <c r="M376" s="192"/>
      <c r="N376" s="192"/>
      <c r="O376" s="192"/>
      <c r="P376" s="192"/>
      <c r="Q376" s="192"/>
      <c r="R376" s="192"/>
      <c r="V376" s="192"/>
      <c r="Y376" s="192"/>
      <c r="Z376" s="228"/>
      <c r="AA376" s="192"/>
      <c r="AB376" s="192"/>
      <c r="AC376" s="192"/>
      <c r="AD376" s="192"/>
      <c r="AE376" s="192"/>
      <c r="AF376" s="192"/>
      <c r="AI376" s="192"/>
      <c r="AJ376" s="192"/>
      <c r="AK376" s="194"/>
      <c r="AL376" s="192"/>
    </row>
    <row r="377" spans="3:40" x14ac:dyDescent="0.3">
      <c r="C377" s="99"/>
      <c r="F377" s="110"/>
      <c r="H377" s="110"/>
      <c r="I377" s="110"/>
      <c r="L377" s="110"/>
      <c r="M377" s="110"/>
      <c r="N377" s="207"/>
      <c r="O377" s="207"/>
      <c r="P377" s="110"/>
      <c r="Q377" s="110"/>
      <c r="R377" s="110"/>
      <c r="T377" s="99"/>
      <c r="V377" s="110"/>
      <c r="Y377" s="110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F378" s="192"/>
      <c r="H378" s="192"/>
      <c r="I378" s="192"/>
      <c r="J378" s="217"/>
      <c r="K378" s="217"/>
      <c r="L378" s="192"/>
      <c r="M378" s="192"/>
      <c r="N378" s="192"/>
      <c r="O378" s="192"/>
      <c r="P378" s="192"/>
      <c r="Q378" s="192"/>
      <c r="R378" s="192"/>
      <c r="V378" s="192"/>
      <c r="Y378" s="192"/>
      <c r="Z378" s="217"/>
      <c r="AA378" s="192"/>
      <c r="AB378" s="192"/>
      <c r="AC378" s="192"/>
      <c r="AD378" s="192"/>
      <c r="AE378" s="192"/>
      <c r="AF378" s="192"/>
      <c r="AI378" s="192"/>
      <c r="AJ378" s="192"/>
      <c r="AK378" s="194"/>
      <c r="AL378" s="192"/>
    </row>
    <row r="379" spans="3:40" x14ac:dyDescent="0.3">
      <c r="C379" s="99"/>
      <c r="T379" s="99"/>
    </row>
    <row r="380" spans="3:40" x14ac:dyDescent="0.3">
      <c r="C380" s="99"/>
      <c r="F380" s="172"/>
      <c r="H380" s="172"/>
      <c r="I380" s="172"/>
      <c r="J380" s="181"/>
      <c r="K380" s="181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Z380" s="181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C381" s="99"/>
      <c r="F381" s="172"/>
      <c r="H381" s="172"/>
      <c r="I381" s="172"/>
      <c r="J381" s="181"/>
      <c r="K381" s="181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181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F382" s="192"/>
      <c r="H382" s="110"/>
      <c r="I382" s="110"/>
      <c r="J382" s="217"/>
      <c r="K382" s="217"/>
      <c r="L382" s="192"/>
      <c r="M382" s="192"/>
      <c r="N382" s="192"/>
      <c r="O382" s="192"/>
      <c r="P382" s="192"/>
      <c r="Q382" s="192"/>
      <c r="R382" s="192"/>
      <c r="V382" s="192"/>
      <c r="Y382" s="110"/>
      <c r="Z382" s="217"/>
      <c r="AA382" s="192"/>
      <c r="AB382" s="192"/>
      <c r="AC382" s="192"/>
      <c r="AD382" s="192"/>
      <c r="AE382" s="192"/>
      <c r="AF382" s="192"/>
      <c r="AI382" s="192"/>
      <c r="AJ382" s="192"/>
      <c r="AK382" s="194"/>
      <c r="AL382" s="192"/>
    </row>
    <row r="383" spans="3:40" x14ac:dyDescent="0.3">
      <c r="F383" s="110"/>
      <c r="H383" s="110"/>
      <c r="I383" s="110"/>
      <c r="J383" s="217"/>
      <c r="K383" s="217"/>
      <c r="L383" s="110"/>
      <c r="M383" s="110"/>
      <c r="N383" s="110"/>
      <c r="O383" s="110"/>
      <c r="P383" s="110"/>
      <c r="Q383" s="110"/>
      <c r="R383" s="110"/>
      <c r="V383" s="110"/>
      <c r="Y383" s="110"/>
      <c r="Z383" s="217"/>
      <c r="AA383" s="110"/>
      <c r="AB383" s="110"/>
      <c r="AC383" s="110"/>
      <c r="AD383" s="110"/>
      <c r="AE383" s="110"/>
      <c r="AF383" s="110"/>
      <c r="AI383" s="110"/>
      <c r="AJ383" s="110"/>
      <c r="AL383" s="110"/>
    </row>
    <row r="384" spans="3:40" x14ac:dyDescent="0.3">
      <c r="C384" s="99"/>
      <c r="F384" s="110"/>
      <c r="H384" s="110"/>
      <c r="I384" s="110"/>
      <c r="L384" s="110"/>
      <c r="M384" s="110"/>
      <c r="N384" s="141"/>
      <c r="O384" s="141"/>
      <c r="P384" s="110"/>
      <c r="Q384" s="110"/>
      <c r="R384" s="110"/>
      <c r="T384" s="99"/>
      <c r="V384" s="110"/>
      <c r="Y384" s="110"/>
      <c r="AA384" s="110"/>
      <c r="AB384" s="110"/>
      <c r="AC384" s="141"/>
      <c r="AD384" s="141"/>
      <c r="AE384" s="110"/>
      <c r="AF384" s="110"/>
      <c r="AH384" s="207"/>
      <c r="AI384" s="172"/>
      <c r="AJ384" s="172"/>
      <c r="AL384" s="110"/>
      <c r="AM384" s="141"/>
      <c r="AN384" s="141"/>
    </row>
    <row r="385" spans="1:38" x14ac:dyDescent="0.3">
      <c r="F385" s="192"/>
      <c r="H385" s="192"/>
      <c r="I385" s="192"/>
      <c r="J385" s="217"/>
      <c r="K385" s="217"/>
      <c r="L385" s="192"/>
      <c r="M385" s="192"/>
      <c r="N385" s="192"/>
      <c r="O385" s="192"/>
      <c r="P385" s="192"/>
      <c r="Q385" s="192"/>
      <c r="R385" s="192"/>
      <c r="V385" s="192"/>
      <c r="Y385" s="192"/>
      <c r="Z385" s="217"/>
      <c r="AA385" s="192"/>
      <c r="AB385" s="192"/>
      <c r="AC385" s="192"/>
      <c r="AD385" s="192"/>
      <c r="AE385" s="192"/>
      <c r="AF385" s="192"/>
      <c r="AI385" s="192"/>
      <c r="AJ385" s="192"/>
      <c r="AK385" s="194"/>
      <c r="AL385" s="192"/>
    </row>
    <row r="387" spans="1:38" x14ac:dyDescent="0.3">
      <c r="A387" s="99"/>
      <c r="T387" s="99"/>
    </row>
    <row r="388" spans="1:38" x14ac:dyDescent="0.3">
      <c r="A388" s="99"/>
      <c r="T388" s="99"/>
    </row>
    <row r="389" spans="1:38" x14ac:dyDescent="0.3">
      <c r="A389" s="99"/>
      <c r="T389" s="99"/>
    </row>
    <row r="390" spans="1:38" x14ac:dyDescent="0.3">
      <c r="A390" s="99"/>
      <c r="T390" s="99"/>
    </row>
    <row r="391" spans="1:38" x14ac:dyDescent="0.3">
      <c r="A391" s="99"/>
      <c r="T391" s="99"/>
    </row>
    <row r="392" spans="1:38" x14ac:dyDescent="0.3">
      <c r="A392" s="99"/>
      <c r="T392" s="99"/>
    </row>
    <row r="393" spans="1:38" x14ac:dyDescent="0.3">
      <c r="A393" s="99"/>
      <c r="T393" s="99"/>
    </row>
    <row r="394" spans="1:38" x14ac:dyDescent="0.3">
      <c r="A394" s="99"/>
      <c r="T394" s="99"/>
    </row>
    <row r="395" spans="1:38" x14ac:dyDescent="0.3">
      <c r="A395" s="99"/>
      <c r="T395" s="99"/>
    </row>
    <row r="397" spans="1:38" x14ac:dyDescent="0.3">
      <c r="A397" s="99"/>
    </row>
    <row r="399" spans="1:38" x14ac:dyDescent="0.3">
      <c r="H399" s="99"/>
      <c r="I399" s="99"/>
      <c r="Y399" s="99"/>
    </row>
    <row r="401" spans="1:40" x14ac:dyDescent="0.3">
      <c r="L401" s="99"/>
      <c r="M401" s="99"/>
      <c r="AA401" s="99"/>
      <c r="AB401" s="99"/>
    </row>
    <row r="402" spans="1:40" x14ac:dyDescent="0.3">
      <c r="R402" s="99"/>
      <c r="AK402" s="190"/>
      <c r="AL402" s="99"/>
    </row>
    <row r="403" spans="1:40" x14ac:dyDescent="0.3">
      <c r="R403" s="99"/>
      <c r="AK403" s="190"/>
      <c r="AL403" s="99"/>
    </row>
    <row r="404" spans="1:40" x14ac:dyDescent="0.3">
      <c r="A404" s="99"/>
      <c r="R404" s="99"/>
      <c r="AK404" s="190"/>
      <c r="AL404" s="99"/>
    </row>
    <row r="405" spans="1:40" x14ac:dyDescent="0.3">
      <c r="L405" s="99"/>
      <c r="M405" s="99"/>
      <c r="AA405" s="99"/>
      <c r="AB405" s="99"/>
    </row>
    <row r="406" spans="1:40" x14ac:dyDescent="0.3">
      <c r="A406" s="101"/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T406" s="101"/>
      <c r="U406" s="101"/>
      <c r="V406" s="101"/>
      <c r="W406" s="101"/>
      <c r="X406" s="101"/>
      <c r="Y406" s="101"/>
      <c r="Z406" s="101"/>
      <c r="AA406" s="101"/>
      <c r="AB406" s="101"/>
      <c r="AC406" s="101"/>
      <c r="AD406" s="101"/>
      <c r="AE406" s="101"/>
      <c r="AF406" s="101"/>
      <c r="AG406" s="191"/>
      <c r="AH406" s="101"/>
      <c r="AI406" s="101"/>
      <c r="AJ406" s="101"/>
      <c r="AK406" s="191"/>
      <c r="AL406" s="101"/>
      <c r="AM406" s="101"/>
      <c r="AN406" s="101"/>
    </row>
    <row r="407" spans="1:40" x14ac:dyDescent="0.3">
      <c r="L407" s="102"/>
      <c r="M407" s="102"/>
      <c r="N407" s="102"/>
      <c r="O407" s="102"/>
      <c r="R407" s="102"/>
      <c r="AA407" s="102"/>
      <c r="AB407" s="102"/>
      <c r="AC407" s="102"/>
      <c r="AD407" s="102"/>
      <c r="AE407" s="102"/>
      <c r="AF407" s="102"/>
      <c r="AG407" s="151"/>
      <c r="AH407" s="102"/>
      <c r="AK407" s="151"/>
      <c r="AL407" s="102"/>
      <c r="AM407" s="102"/>
      <c r="AN407" s="102"/>
    </row>
    <row r="408" spans="1:40" x14ac:dyDescent="0.3">
      <c r="L408" s="102"/>
      <c r="M408" s="102"/>
      <c r="N408" s="102"/>
      <c r="O408" s="102"/>
      <c r="R408" s="102"/>
      <c r="Z408" s="102"/>
      <c r="AA408" s="102"/>
      <c r="AB408" s="102"/>
      <c r="AC408" s="102"/>
      <c r="AD408" s="102"/>
      <c r="AE408" s="102"/>
      <c r="AF408" s="102"/>
      <c r="AG408" s="151"/>
      <c r="AH408" s="102"/>
      <c r="AK408" s="151"/>
      <c r="AL408" s="102"/>
      <c r="AM408" s="102"/>
      <c r="AN408" s="102"/>
    </row>
    <row r="409" spans="1:40" x14ac:dyDescent="0.3">
      <c r="A409" s="102"/>
      <c r="C409" s="102"/>
      <c r="D409" s="102"/>
      <c r="E409" s="102"/>
      <c r="F409" s="102"/>
      <c r="J409" s="102"/>
      <c r="K409" s="102"/>
      <c r="L409" s="102"/>
      <c r="M409" s="102"/>
      <c r="N409" s="102"/>
      <c r="O409" s="102"/>
      <c r="P409" s="102"/>
      <c r="Q409" s="102"/>
      <c r="R409" s="102"/>
      <c r="T409" s="102"/>
      <c r="U409" s="102"/>
      <c r="V409" s="102"/>
      <c r="Z409" s="102"/>
      <c r="AA409" s="102"/>
      <c r="AB409" s="102"/>
      <c r="AC409" s="102"/>
      <c r="AD409" s="102"/>
      <c r="AE409" s="102"/>
      <c r="AF409" s="102"/>
      <c r="AG409" s="151"/>
      <c r="AH409" s="102"/>
      <c r="AI409" s="102"/>
      <c r="AJ409" s="102"/>
      <c r="AK409" s="151"/>
      <c r="AL409" s="102"/>
      <c r="AM409" s="102"/>
      <c r="AN409" s="102"/>
    </row>
    <row r="410" spans="1:40" x14ac:dyDescent="0.3">
      <c r="A410" s="102"/>
      <c r="C410" s="102"/>
      <c r="D410" s="102"/>
      <c r="E410" s="102"/>
      <c r="F410" s="102"/>
      <c r="H410" s="102"/>
      <c r="I410" s="102"/>
      <c r="J410" s="102"/>
      <c r="K410" s="102"/>
      <c r="L410" s="102"/>
      <c r="M410" s="102"/>
      <c r="N410" s="102"/>
      <c r="O410" s="102"/>
      <c r="P410" s="102"/>
      <c r="Q410" s="102"/>
      <c r="R410" s="102"/>
      <c r="T410" s="102"/>
      <c r="U410" s="102"/>
      <c r="V410" s="102"/>
      <c r="Y410" s="102"/>
      <c r="Z410" s="102"/>
      <c r="AA410" s="102"/>
      <c r="AB410" s="102"/>
      <c r="AC410" s="102"/>
      <c r="AD410" s="102"/>
      <c r="AE410" s="102"/>
      <c r="AF410" s="102"/>
      <c r="AG410" s="151"/>
      <c r="AH410" s="102"/>
      <c r="AI410" s="102"/>
      <c r="AJ410" s="102"/>
      <c r="AK410" s="151"/>
      <c r="AL410" s="102"/>
      <c r="AM410" s="102"/>
      <c r="AN410" s="102"/>
    </row>
    <row r="411" spans="1:40" x14ac:dyDescent="0.3">
      <c r="C411" s="102"/>
      <c r="D411" s="102"/>
      <c r="E411" s="102"/>
      <c r="F411" s="102"/>
      <c r="H411" s="102"/>
      <c r="I411" s="102"/>
      <c r="J411" s="102"/>
      <c r="K411" s="102"/>
      <c r="L411" s="102"/>
      <c r="M411" s="102"/>
      <c r="N411" s="102"/>
      <c r="O411" s="102"/>
      <c r="P411" s="102"/>
      <c r="Q411" s="102"/>
      <c r="R411" s="102"/>
      <c r="T411" s="102"/>
      <c r="U411" s="102"/>
      <c r="V411" s="102"/>
      <c r="Y411" s="102"/>
      <c r="Z411" s="102"/>
      <c r="AA411" s="102"/>
      <c r="AB411" s="102"/>
      <c r="AC411" s="102"/>
      <c r="AD411" s="102"/>
      <c r="AE411" s="102"/>
      <c r="AF411" s="102"/>
      <c r="AG411" s="151"/>
      <c r="AH411" s="102"/>
      <c r="AI411" s="102"/>
      <c r="AJ411" s="102"/>
      <c r="AK411" s="151"/>
      <c r="AL411" s="102"/>
      <c r="AM411" s="102"/>
      <c r="AN411" s="102"/>
    </row>
    <row r="412" spans="1:40" x14ac:dyDescent="0.3">
      <c r="A412" s="101"/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T412" s="101"/>
      <c r="U412" s="101"/>
      <c r="V412" s="101"/>
      <c r="W412" s="101"/>
      <c r="X412" s="101"/>
      <c r="Y412" s="101"/>
      <c r="Z412" s="101"/>
      <c r="AA412" s="101"/>
      <c r="AB412" s="101"/>
      <c r="AC412" s="101"/>
      <c r="AD412" s="101"/>
      <c r="AE412" s="101"/>
      <c r="AF412" s="101"/>
      <c r="AG412" s="191"/>
      <c r="AH412" s="101"/>
      <c r="AI412" s="101"/>
      <c r="AJ412" s="101"/>
      <c r="AK412" s="191"/>
      <c r="AL412" s="101"/>
      <c r="AM412" s="101"/>
      <c r="AN412" s="101"/>
    </row>
    <row r="413" spans="1:40" x14ac:dyDescent="0.3">
      <c r="H413" s="102"/>
      <c r="I413" s="102"/>
      <c r="J413" s="102"/>
      <c r="K413" s="102"/>
      <c r="L413" s="102"/>
      <c r="M413" s="102"/>
      <c r="N413" s="102"/>
      <c r="O413" s="102"/>
      <c r="P413" s="102"/>
      <c r="Q413" s="102"/>
      <c r="R413" s="102"/>
      <c r="Y413" s="102"/>
      <c r="Z413" s="102"/>
      <c r="AA413" s="102"/>
      <c r="AB413" s="102"/>
      <c r="AC413" s="102"/>
      <c r="AD413" s="102"/>
      <c r="AE413" s="102"/>
      <c r="AF413" s="102"/>
      <c r="AG413" s="151"/>
      <c r="AH413" s="102"/>
      <c r="AI413" s="102"/>
      <c r="AJ413" s="102"/>
      <c r="AK413" s="151"/>
      <c r="AL413" s="102"/>
      <c r="AM413" s="102"/>
      <c r="AN413" s="102"/>
    </row>
    <row r="414" spans="1:40" x14ac:dyDescent="0.3">
      <c r="C414" s="99"/>
      <c r="D414" s="99"/>
      <c r="E414" s="99"/>
      <c r="T414" s="99"/>
      <c r="U414" s="99"/>
    </row>
    <row r="415" spans="1:40" x14ac:dyDescent="0.3">
      <c r="D415" s="99"/>
      <c r="E415" s="99"/>
      <c r="U415" s="99"/>
    </row>
    <row r="417" spans="3:40" x14ac:dyDescent="0.3">
      <c r="C417" s="99"/>
      <c r="F417" s="110"/>
      <c r="J417" s="209"/>
      <c r="K417" s="209"/>
      <c r="L417" s="110"/>
      <c r="M417" s="110"/>
      <c r="R417" s="110"/>
      <c r="T417" s="99"/>
      <c r="V417" s="110"/>
      <c r="Z417" s="209"/>
      <c r="AA417" s="110"/>
      <c r="AB417" s="110"/>
      <c r="AH417" s="110"/>
      <c r="AL417" s="110"/>
    </row>
    <row r="418" spans="3:40" x14ac:dyDescent="0.3">
      <c r="C418" s="99"/>
      <c r="F418" s="110"/>
      <c r="R418" s="110"/>
      <c r="T418" s="99"/>
      <c r="V418" s="110"/>
      <c r="AH418" s="110"/>
      <c r="AL418" s="110"/>
    </row>
    <row r="419" spans="3:40" x14ac:dyDescent="0.3">
      <c r="AI419" s="110"/>
      <c r="AJ419" s="110"/>
      <c r="AL419" s="110"/>
      <c r="AM419" s="141"/>
      <c r="AN419" s="141"/>
    </row>
    <row r="420" spans="3:40" x14ac:dyDescent="0.3">
      <c r="C420" s="99"/>
      <c r="F420" s="172"/>
      <c r="H420" s="172"/>
      <c r="I420" s="172"/>
      <c r="J420" s="227"/>
      <c r="K420" s="227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27"/>
      <c r="AA420" s="110"/>
      <c r="AB420" s="110"/>
      <c r="AC420" s="141"/>
      <c r="AD420" s="141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F421" s="110"/>
      <c r="H421" s="110"/>
      <c r="I421" s="110"/>
      <c r="J421" s="198"/>
      <c r="K421" s="198"/>
      <c r="L421" s="110"/>
      <c r="M421" s="110"/>
      <c r="P421" s="110"/>
      <c r="Q421" s="110"/>
      <c r="R421" s="110"/>
      <c r="V421" s="110"/>
      <c r="Y421" s="110"/>
      <c r="Z421" s="198"/>
      <c r="AA421" s="110"/>
      <c r="AB421" s="110"/>
      <c r="AI421" s="110"/>
      <c r="AJ421" s="110"/>
      <c r="AL421" s="110"/>
      <c r="AM421" s="141"/>
      <c r="AN421" s="141"/>
    </row>
    <row r="422" spans="3:40" x14ac:dyDescent="0.3">
      <c r="F422" s="110"/>
      <c r="R422" s="110"/>
      <c r="V422" s="110"/>
      <c r="AL422" s="110"/>
      <c r="AM422" s="141"/>
      <c r="AN422" s="141"/>
    </row>
    <row r="423" spans="3:40" x14ac:dyDescent="0.3">
      <c r="C423" s="99"/>
      <c r="F423" s="110"/>
      <c r="J423" s="209"/>
      <c r="K423" s="209"/>
      <c r="L423" s="110"/>
      <c r="M423" s="110"/>
      <c r="N423" s="141"/>
      <c r="O423" s="141"/>
      <c r="R423" s="110"/>
      <c r="T423" s="99"/>
      <c r="V423" s="110"/>
      <c r="Z423" s="209"/>
      <c r="AA423" s="110"/>
      <c r="AB423" s="110"/>
      <c r="AC423" s="141"/>
      <c r="AD423" s="141"/>
      <c r="AL423" s="110"/>
      <c r="AM423" s="141"/>
      <c r="AN423" s="141"/>
    </row>
    <row r="424" spans="3:40" x14ac:dyDescent="0.3">
      <c r="C424" s="99"/>
      <c r="F424" s="110"/>
      <c r="H424" s="110"/>
      <c r="I424" s="110"/>
      <c r="J424" s="209"/>
      <c r="K424" s="209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09"/>
      <c r="AA424" s="110"/>
      <c r="AB424" s="110"/>
      <c r="AC424" s="141"/>
      <c r="AD424" s="141"/>
      <c r="AI424" s="110"/>
      <c r="AJ424" s="110"/>
      <c r="AL424" s="110"/>
      <c r="AM424" s="141"/>
      <c r="AN424" s="141"/>
    </row>
    <row r="425" spans="3:40" x14ac:dyDescent="0.3">
      <c r="C425" s="99"/>
      <c r="T425" s="99"/>
      <c r="AM425" s="141"/>
      <c r="AN425" s="141"/>
    </row>
    <row r="426" spans="3:40" x14ac:dyDescent="0.3">
      <c r="C426" s="99"/>
      <c r="T426" s="99"/>
      <c r="AM426" s="141"/>
      <c r="AN426" s="141"/>
    </row>
    <row r="427" spans="3:40" x14ac:dyDescent="0.3">
      <c r="AM427" s="141"/>
      <c r="AN427" s="141"/>
    </row>
    <row r="428" spans="3:40" x14ac:dyDescent="0.3">
      <c r="C428" s="99"/>
      <c r="F428" s="172"/>
      <c r="H428" s="172"/>
      <c r="I428" s="172"/>
      <c r="J428" s="227"/>
      <c r="K428" s="227"/>
      <c r="L428" s="110"/>
      <c r="M428" s="110"/>
      <c r="N428" s="141"/>
      <c r="O428" s="141"/>
      <c r="P428" s="110"/>
      <c r="Q428" s="110"/>
      <c r="R428" s="110"/>
      <c r="T428" s="99"/>
      <c r="V428" s="110"/>
      <c r="Y428" s="110"/>
      <c r="Z428" s="227"/>
      <c r="AA428" s="110"/>
      <c r="AB428" s="110"/>
      <c r="AC428" s="141"/>
      <c r="AD428" s="141"/>
      <c r="AE428" s="110"/>
      <c r="AF428" s="110"/>
      <c r="AH428" s="207"/>
      <c r="AI428" s="110"/>
      <c r="AJ428" s="110"/>
      <c r="AL428" s="110"/>
      <c r="AM428" s="141"/>
      <c r="AN428" s="141"/>
    </row>
    <row r="429" spans="3:40" x14ac:dyDescent="0.3">
      <c r="F429" s="192"/>
      <c r="H429" s="192"/>
      <c r="I429" s="192"/>
      <c r="J429" s="217"/>
      <c r="K429" s="217"/>
      <c r="L429" s="192"/>
      <c r="M429" s="192"/>
      <c r="N429" s="192"/>
      <c r="O429" s="192"/>
      <c r="P429" s="192"/>
      <c r="Q429" s="192"/>
      <c r="R429" s="192"/>
      <c r="V429" s="192"/>
      <c r="Y429" s="192"/>
      <c r="Z429" s="217"/>
      <c r="AA429" s="192"/>
      <c r="AB429" s="192"/>
      <c r="AC429" s="192"/>
      <c r="AD429" s="192"/>
      <c r="AE429" s="192"/>
      <c r="AF429" s="192"/>
      <c r="AI429" s="192"/>
      <c r="AJ429" s="192"/>
      <c r="AK429" s="194"/>
      <c r="AL429" s="192"/>
      <c r="AM429" s="141"/>
      <c r="AN429" s="141"/>
    </row>
    <row r="430" spans="3:40" x14ac:dyDescent="0.3">
      <c r="H430" s="110"/>
      <c r="I430" s="110"/>
      <c r="Y430" s="110"/>
      <c r="AM430" s="141"/>
      <c r="AN430" s="141"/>
    </row>
    <row r="431" spans="3:40" x14ac:dyDescent="0.3">
      <c r="C431" s="99"/>
      <c r="F431" s="110"/>
      <c r="H431" s="110"/>
      <c r="I431" s="110"/>
      <c r="L431" s="110"/>
      <c r="M431" s="110"/>
      <c r="N431" s="141"/>
      <c r="O431" s="141"/>
      <c r="P431" s="172"/>
      <c r="Q431" s="172"/>
      <c r="R431" s="110"/>
      <c r="T431" s="99"/>
      <c r="V431" s="110"/>
      <c r="Y431" s="110"/>
      <c r="AA431" s="110"/>
      <c r="AB431" s="110"/>
      <c r="AC431" s="141"/>
      <c r="AD431" s="141"/>
      <c r="AE431" s="110"/>
      <c r="AF431" s="110"/>
      <c r="AH431" s="207"/>
      <c r="AI431" s="172"/>
      <c r="AJ431" s="172"/>
      <c r="AL431" s="110"/>
      <c r="AM431" s="141"/>
      <c r="AN431" s="141"/>
    </row>
    <row r="432" spans="3:40" x14ac:dyDescent="0.3">
      <c r="F432" s="192"/>
      <c r="H432" s="192"/>
      <c r="I432" s="192"/>
      <c r="J432" s="217"/>
      <c r="K432" s="217"/>
      <c r="L432" s="192"/>
      <c r="M432" s="192"/>
      <c r="N432" s="192"/>
      <c r="O432" s="192"/>
      <c r="P432" s="192"/>
      <c r="Q432" s="192"/>
      <c r="R432" s="192"/>
      <c r="V432" s="192"/>
      <c r="Y432" s="192"/>
      <c r="Z432" s="217"/>
      <c r="AA432" s="192"/>
      <c r="AB432" s="192"/>
      <c r="AC432" s="192"/>
      <c r="AD432" s="192"/>
      <c r="AE432" s="192"/>
      <c r="AF432" s="192"/>
      <c r="AI432" s="192"/>
      <c r="AJ432" s="192"/>
      <c r="AK432" s="194"/>
      <c r="AL432" s="192"/>
      <c r="AM432" s="141"/>
      <c r="AN432" s="141"/>
    </row>
    <row r="434" spans="1:40" x14ac:dyDescent="0.3">
      <c r="F434" s="110"/>
      <c r="H434" s="110"/>
      <c r="I434" s="110"/>
      <c r="J434" s="198"/>
      <c r="K434" s="198"/>
      <c r="L434" s="110"/>
      <c r="M434" s="110"/>
      <c r="N434" s="110"/>
      <c r="O434" s="110"/>
      <c r="P434" s="110"/>
      <c r="Q434" s="110"/>
      <c r="R434" s="110"/>
      <c r="V434" s="110"/>
      <c r="Y434" s="110"/>
      <c r="Z434" s="198"/>
      <c r="AA434" s="110"/>
      <c r="AB434" s="110"/>
      <c r="AC434" s="110"/>
      <c r="AD434" s="110"/>
      <c r="AE434" s="110"/>
      <c r="AF434" s="110"/>
      <c r="AH434" s="110"/>
      <c r="AI434" s="110"/>
      <c r="AJ434" s="110"/>
      <c r="AL434" s="110"/>
    </row>
    <row r="435" spans="1:40" x14ac:dyDescent="0.3">
      <c r="A435" s="99"/>
    </row>
    <row r="437" spans="1:40" x14ac:dyDescent="0.3">
      <c r="H437" s="99"/>
      <c r="I437" s="99"/>
      <c r="Y437" s="99"/>
    </row>
    <row r="439" spans="1:40" x14ac:dyDescent="0.3">
      <c r="L439" s="99"/>
      <c r="M439" s="99"/>
      <c r="AA439" s="99"/>
      <c r="AB439" s="99"/>
    </row>
    <row r="440" spans="1:40" x14ac:dyDescent="0.3">
      <c r="R440" s="99"/>
      <c r="AK440" s="190"/>
      <c r="AL440" s="99"/>
    </row>
    <row r="441" spans="1:40" x14ac:dyDescent="0.3">
      <c r="R441" s="99"/>
      <c r="AK441" s="190"/>
      <c r="AL441" s="99"/>
    </row>
    <row r="442" spans="1:40" x14ac:dyDescent="0.3">
      <c r="A442" s="99"/>
      <c r="R442" s="99"/>
      <c r="AK442" s="190"/>
      <c r="AL442" s="99"/>
    </row>
    <row r="443" spans="1:40" x14ac:dyDescent="0.3">
      <c r="L443" s="99"/>
      <c r="M443" s="99"/>
      <c r="AA443" s="99"/>
      <c r="AB443" s="99"/>
    </row>
    <row r="444" spans="1:40" x14ac:dyDescent="0.3">
      <c r="A444" s="101"/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T444" s="101"/>
      <c r="U444" s="101"/>
      <c r="V444" s="101"/>
      <c r="W444" s="101"/>
      <c r="X444" s="101"/>
      <c r="Y444" s="101"/>
      <c r="Z444" s="101"/>
      <c r="AA444" s="101"/>
      <c r="AB444" s="101"/>
      <c r="AC444" s="101"/>
      <c r="AD444" s="101"/>
      <c r="AE444" s="101"/>
      <c r="AF444" s="101"/>
      <c r="AG444" s="191"/>
      <c r="AH444" s="101"/>
      <c r="AI444" s="101"/>
      <c r="AJ444" s="101"/>
      <c r="AK444" s="191"/>
      <c r="AL444" s="101"/>
      <c r="AM444" s="101"/>
      <c r="AN444" s="101"/>
    </row>
    <row r="445" spans="1:40" x14ac:dyDescent="0.3">
      <c r="L445" s="102"/>
      <c r="M445" s="102"/>
      <c r="N445" s="102"/>
      <c r="O445" s="102"/>
      <c r="R445" s="102"/>
      <c r="AA445" s="102"/>
      <c r="AB445" s="102"/>
      <c r="AC445" s="102"/>
      <c r="AD445" s="102"/>
      <c r="AE445" s="102"/>
      <c r="AF445" s="102"/>
      <c r="AG445" s="151"/>
      <c r="AH445" s="102"/>
      <c r="AK445" s="151"/>
      <c r="AL445" s="102"/>
      <c r="AM445" s="102"/>
      <c r="AN445" s="102"/>
    </row>
    <row r="446" spans="1:40" x14ac:dyDescent="0.3">
      <c r="L446" s="102"/>
      <c r="M446" s="102"/>
      <c r="N446" s="102"/>
      <c r="O446" s="102"/>
      <c r="R446" s="102"/>
      <c r="Z446" s="102"/>
      <c r="AA446" s="102"/>
      <c r="AB446" s="102"/>
      <c r="AC446" s="102"/>
      <c r="AD446" s="102"/>
      <c r="AE446" s="102"/>
      <c r="AF446" s="102"/>
      <c r="AG446" s="151"/>
      <c r="AH446" s="102"/>
      <c r="AK446" s="151"/>
      <c r="AL446" s="102"/>
      <c r="AM446" s="102"/>
      <c r="AN446" s="102"/>
    </row>
    <row r="447" spans="1:40" x14ac:dyDescent="0.3">
      <c r="A447" s="102"/>
      <c r="C447" s="102"/>
      <c r="D447" s="102"/>
      <c r="E447" s="102"/>
      <c r="F447" s="102"/>
      <c r="J447" s="102"/>
      <c r="K447" s="102"/>
      <c r="L447" s="102"/>
      <c r="M447" s="102"/>
      <c r="N447" s="102"/>
      <c r="O447" s="102"/>
      <c r="P447" s="102"/>
      <c r="Q447" s="102"/>
      <c r="R447" s="102"/>
      <c r="T447" s="102"/>
      <c r="U447" s="102"/>
      <c r="V447" s="102"/>
      <c r="Z447" s="102"/>
      <c r="AA447" s="102"/>
      <c r="AB447" s="102"/>
      <c r="AC447" s="102"/>
      <c r="AD447" s="102"/>
      <c r="AE447" s="102"/>
      <c r="AF447" s="102"/>
      <c r="AG447" s="151"/>
      <c r="AH447" s="102"/>
      <c r="AI447" s="102"/>
      <c r="AJ447" s="102"/>
      <c r="AK447" s="151"/>
      <c r="AL447" s="102"/>
      <c r="AM447" s="102"/>
      <c r="AN447" s="102"/>
    </row>
    <row r="448" spans="1:40" x14ac:dyDescent="0.3">
      <c r="A448" s="102"/>
      <c r="C448" s="102"/>
      <c r="D448" s="102"/>
      <c r="E448" s="102"/>
      <c r="F448" s="102"/>
      <c r="H448" s="102"/>
      <c r="I448" s="102"/>
      <c r="J448" s="102"/>
      <c r="K448" s="102"/>
      <c r="L448" s="102"/>
      <c r="M448" s="102"/>
      <c r="N448" s="102"/>
      <c r="O448" s="102"/>
      <c r="P448" s="102"/>
      <c r="Q448" s="102"/>
      <c r="R448" s="102"/>
      <c r="T448" s="102"/>
      <c r="U448" s="102"/>
      <c r="V448" s="102"/>
      <c r="Y448" s="102"/>
      <c r="Z448" s="102"/>
      <c r="AA448" s="102"/>
      <c r="AB448" s="102"/>
      <c r="AC448" s="102"/>
      <c r="AD448" s="102"/>
      <c r="AE448" s="102"/>
      <c r="AF448" s="102"/>
      <c r="AG448" s="151"/>
      <c r="AH448" s="102"/>
      <c r="AI448" s="102"/>
      <c r="AJ448" s="102"/>
      <c r="AK448" s="151"/>
      <c r="AL448" s="102"/>
      <c r="AM448" s="102"/>
      <c r="AN448" s="102"/>
    </row>
    <row r="449" spans="1:40" x14ac:dyDescent="0.3">
      <c r="C449" s="102"/>
      <c r="D449" s="102"/>
      <c r="E449" s="102"/>
      <c r="F449" s="102"/>
      <c r="H449" s="102"/>
      <c r="I449" s="102"/>
      <c r="J449" s="102"/>
      <c r="K449" s="102"/>
      <c r="L449" s="102"/>
      <c r="M449" s="102"/>
      <c r="N449" s="102"/>
      <c r="O449" s="102"/>
      <c r="P449" s="102"/>
      <c r="Q449" s="102"/>
      <c r="R449" s="102"/>
      <c r="T449" s="102"/>
      <c r="U449" s="102"/>
      <c r="V449" s="102"/>
      <c r="Y449" s="102"/>
      <c r="Z449" s="102"/>
      <c r="AA449" s="102"/>
      <c r="AB449" s="102"/>
      <c r="AC449" s="102"/>
      <c r="AD449" s="102"/>
      <c r="AE449" s="102"/>
      <c r="AF449" s="102"/>
      <c r="AG449" s="151"/>
      <c r="AH449" s="102"/>
      <c r="AI449" s="102"/>
      <c r="AJ449" s="102"/>
      <c r="AK449" s="151"/>
      <c r="AL449" s="102"/>
      <c r="AM449" s="102"/>
      <c r="AN449" s="102"/>
    </row>
    <row r="450" spans="1:40" x14ac:dyDescent="0.3">
      <c r="A450" s="101"/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T450" s="101"/>
      <c r="U450" s="101"/>
      <c r="V450" s="101"/>
      <c r="W450" s="101"/>
      <c r="X450" s="101"/>
      <c r="Y450" s="101"/>
      <c r="Z450" s="101"/>
      <c r="AA450" s="101"/>
      <c r="AB450" s="101"/>
      <c r="AC450" s="101"/>
      <c r="AD450" s="101"/>
      <c r="AE450" s="101"/>
      <c r="AF450" s="101"/>
      <c r="AG450" s="191"/>
      <c r="AH450" s="101"/>
      <c r="AI450" s="101"/>
      <c r="AJ450" s="101"/>
      <c r="AK450" s="191"/>
      <c r="AL450" s="101"/>
      <c r="AM450" s="101"/>
      <c r="AN450" s="101"/>
    </row>
    <row r="451" spans="1:40" x14ac:dyDescent="0.3">
      <c r="H451" s="102"/>
      <c r="I451" s="102"/>
      <c r="J451" s="102"/>
      <c r="K451" s="102"/>
      <c r="L451" s="102"/>
      <c r="M451" s="102"/>
      <c r="N451" s="102"/>
      <c r="O451" s="102"/>
      <c r="P451" s="102"/>
      <c r="Q451" s="102"/>
      <c r="R451" s="102"/>
      <c r="Y451" s="102"/>
      <c r="Z451" s="102"/>
      <c r="AA451" s="102"/>
      <c r="AB451" s="102"/>
      <c r="AC451" s="102"/>
      <c r="AD451" s="102"/>
      <c r="AE451" s="102"/>
      <c r="AF451" s="102"/>
      <c r="AG451" s="151"/>
      <c r="AH451" s="102"/>
      <c r="AI451" s="102"/>
      <c r="AJ451" s="102"/>
      <c r="AK451" s="151"/>
      <c r="AL451" s="102"/>
      <c r="AM451" s="102"/>
      <c r="AN451" s="102"/>
    </row>
    <row r="452" spans="1:40" x14ac:dyDescent="0.3">
      <c r="C452" s="99"/>
      <c r="D452" s="99"/>
      <c r="E452" s="99"/>
      <c r="T452" s="99"/>
      <c r="U452" s="99"/>
      <c r="V452" s="110"/>
      <c r="W452" s="110"/>
      <c r="X452" s="110"/>
      <c r="Y452" s="110"/>
      <c r="Z452" s="227"/>
    </row>
    <row r="454" spans="1:40" x14ac:dyDescent="0.3">
      <c r="C454" s="99"/>
      <c r="T454" s="99"/>
      <c r="V454" s="110"/>
      <c r="W454" s="110"/>
      <c r="X454" s="110"/>
      <c r="Y454" s="110"/>
      <c r="Z454" s="227"/>
    </row>
    <row r="455" spans="1:40" x14ac:dyDescent="0.3">
      <c r="C455" s="99"/>
      <c r="F455" s="172"/>
      <c r="H455" s="172"/>
      <c r="I455" s="172"/>
      <c r="J455" s="228"/>
      <c r="K455" s="228"/>
      <c r="L455" s="110"/>
      <c r="M455" s="110"/>
      <c r="N455" s="141"/>
      <c r="O455" s="141"/>
      <c r="P455" s="110"/>
      <c r="Q455" s="110"/>
      <c r="R455" s="110"/>
      <c r="T455" s="99"/>
      <c r="V455" s="110"/>
      <c r="W455" s="110"/>
      <c r="X455" s="110"/>
      <c r="Y455" s="110"/>
      <c r="Z455" s="228"/>
      <c r="AA455" s="110"/>
      <c r="AB455" s="110"/>
      <c r="AC455" s="141"/>
      <c r="AD455" s="141"/>
      <c r="AE455" s="110"/>
      <c r="AF455" s="110"/>
      <c r="AH455" s="207"/>
      <c r="AI455" s="110"/>
      <c r="AJ455" s="110"/>
      <c r="AL455" s="110"/>
      <c r="AM455" s="141"/>
      <c r="AN455" s="141"/>
    </row>
    <row r="456" spans="1:40" x14ac:dyDescent="0.3">
      <c r="C456" s="99"/>
      <c r="F456" s="172"/>
      <c r="H456" s="172"/>
      <c r="I456" s="172"/>
      <c r="J456" s="228"/>
      <c r="K456" s="228"/>
      <c r="L456" s="110"/>
      <c r="M456" s="110"/>
      <c r="N456" s="141"/>
      <c r="O456" s="141"/>
      <c r="P456" s="110"/>
      <c r="Q456" s="110"/>
      <c r="R456" s="110"/>
      <c r="T456" s="99"/>
      <c r="V456" s="110"/>
      <c r="W456" s="110"/>
      <c r="X456" s="110"/>
      <c r="Y456" s="110"/>
      <c r="Z456" s="228"/>
      <c r="AA456" s="110"/>
      <c r="AB456" s="110"/>
      <c r="AC456" s="141"/>
      <c r="AD456" s="141"/>
      <c r="AE456" s="110"/>
      <c r="AF456" s="110"/>
      <c r="AH456" s="207"/>
      <c r="AI456" s="110"/>
      <c r="AJ456" s="110"/>
      <c r="AL456" s="110"/>
      <c r="AM456" s="141"/>
      <c r="AN456" s="141"/>
    </row>
    <row r="457" spans="1:40" x14ac:dyDescent="0.3">
      <c r="C457" s="99"/>
      <c r="F457" s="172"/>
      <c r="H457" s="172"/>
      <c r="I457" s="172"/>
      <c r="J457" s="228"/>
      <c r="K457" s="228"/>
      <c r="L457" s="110"/>
      <c r="M457" s="110"/>
      <c r="N457" s="141"/>
      <c r="O457" s="141"/>
      <c r="P457" s="110"/>
      <c r="Q457" s="110"/>
      <c r="R457" s="110"/>
      <c r="T457" s="99"/>
      <c r="V457" s="110"/>
      <c r="W457" s="110"/>
      <c r="X457" s="110"/>
      <c r="Y457" s="110"/>
      <c r="Z457" s="228"/>
      <c r="AA457" s="110"/>
      <c r="AB457" s="110"/>
      <c r="AC457" s="141"/>
      <c r="AD457" s="141"/>
      <c r="AE457" s="110"/>
      <c r="AF457" s="110"/>
      <c r="AH457" s="207"/>
      <c r="AI457" s="110"/>
      <c r="AJ457" s="110"/>
      <c r="AL457" s="110"/>
      <c r="AM457" s="141"/>
      <c r="AN457" s="141"/>
    </row>
    <row r="458" spans="1:40" x14ac:dyDescent="0.3">
      <c r="C458" s="99"/>
      <c r="F458" s="172"/>
      <c r="H458" s="172"/>
      <c r="I458" s="172"/>
      <c r="J458" s="228"/>
      <c r="K458" s="228"/>
      <c r="L458" s="110"/>
      <c r="M458" s="110"/>
      <c r="N458" s="141"/>
      <c r="O458" s="141"/>
      <c r="P458" s="110"/>
      <c r="Q458" s="110"/>
      <c r="R458" s="110"/>
      <c r="T458" s="99"/>
      <c r="V458" s="110"/>
      <c r="W458" s="110"/>
      <c r="X458" s="110"/>
      <c r="Y458" s="110"/>
      <c r="Z458" s="228"/>
      <c r="AA458" s="110"/>
      <c r="AB458" s="110"/>
      <c r="AC458" s="141"/>
      <c r="AD458" s="141"/>
      <c r="AE458" s="110"/>
      <c r="AF458" s="110"/>
      <c r="AH458" s="207"/>
      <c r="AI458" s="110"/>
      <c r="AJ458" s="110"/>
      <c r="AL458" s="110"/>
      <c r="AM458" s="141"/>
      <c r="AN458" s="141"/>
    </row>
    <row r="459" spans="1:40" x14ac:dyDescent="0.3">
      <c r="J459" s="163"/>
      <c r="K459" s="163"/>
      <c r="V459" s="110"/>
      <c r="W459" s="110"/>
      <c r="X459" s="110"/>
      <c r="Y459" s="110"/>
      <c r="Z459" s="228"/>
    </row>
    <row r="460" spans="1:40" x14ac:dyDescent="0.3">
      <c r="C460" s="99"/>
      <c r="F460" s="172"/>
      <c r="H460" s="172"/>
      <c r="I460" s="172"/>
      <c r="J460" s="228"/>
      <c r="K460" s="228"/>
      <c r="L460" s="110"/>
      <c r="M460" s="110"/>
      <c r="N460" s="141"/>
      <c r="O460" s="141"/>
      <c r="P460" s="110"/>
      <c r="Q460" s="110"/>
      <c r="R460" s="110"/>
      <c r="T460" s="99"/>
      <c r="V460" s="110"/>
      <c r="W460" s="110"/>
      <c r="X460" s="110"/>
      <c r="Y460" s="110"/>
      <c r="Z460" s="228"/>
      <c r="AA460" s="110"/>
      <c r="AB460" s="110"/>
      <c r="AC460" s="141"/>
      <c r="AD460" s="141"/>
      <c r="AE460" s="110"/>
      <c r="AF460" s="110"/>
      <c r="AH460" s="207"/>
      <c r="AI460" s="110"/>
      <c r="AJ460" s="110"/>
      <c r="AL460" s="110"/>
      <c r="AM460" s="207"/>
      <c r="AN460" s="207"/>
    </row>
    <row r="461" spans="1:40" x14ac:dyDescent="0.3">
      <c r="C461" s="99"/>
      <c r="J461" s="163"/>
      <c r="K461" s="163"/>
      <c r="T461" s="99"/>
      <c r="V461" s="110"/>
      <c r="W461" s="110"/>
      <c r="X461" s="110"/>
      <c r="Y461" s="110"/>
      <c r="Z461" s="228"/>
    </row>
    <row r="462" spans="1:40" x14ac:dyDescent="0.3">
      <c r="C462" s="99"/>
      <c r="F462" s="172"/>
      <c r="H462" s="172"/>
      <c r="I462" s="172"/>
      <c r="J462" s="228"/>
      <c r="K462" s="228"/>
      <c r="L462" s="110"/>
      <c r="M462" s="110"/>
      <c r="N462" s="141"/>
      <c r="O462" s="141"/>
      <c r="P462" s="110"/>
      <c r="Q462" s="110"/>
      <c r="R462" s="110"/>
      <c r="T462" s="99"/>
      <c r="V462" s="110"/>
      <c r="W462" s="110"/>
      <c r="X462" s="110"/>
      <c r="Y462" s="110"/>
      <c r="Z462" s="228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207"/>
      <c r="AN462" s="207"/>
    </row>
    <row r="463" spans="1:40" x14ac:dyDescent="0.3">
      <c r="J463" s="163"/>
      <c r="K463" s="163"/>
      <c r="Z463" s="163"/>
    </row>
    <row r="464" spans="1:40" x14ac:dyDescent="0.3">
      <c r="C464" s="99"/>
      <c r="J464" s="163"/>
      <c r="K464" s="163"/>
      <c r="T464" s="99"/>
      <c r="V464" s="110"/>
      <c r="W464" s="110"/>
      <c r="X464" s="110"/>
      <c r="Y464" s="110"/>
      <c r="Z464" s="228"/>
    </row>
    <row r="465" spans="1:40" x14ac:dyDescent="0.3">
      <c r="C465" s="99"/>
      <c r="F465" s="172"/>
      <c r="H465" s="172"/>
      <c r="I465" s="172"/>
      <c r="J465" s="228"/>
      <c r="K465" s="228"/>
      <c r="L465" s="110"/>
      <c r="M465" s="110"/>
      <c r="N465" s="141"/>
      <c r="O465" s="141"/>
      <c r="P465" s="110"/>
      <c r="Q465" s="110"/>
      <c r="R465" s="110"/>
      <c r="T465" s="99"/>
      <c r="V465" s="110"/>
      <c r="W465" s="110"/>
      <c r="X465" s="110"/>
      <c r="Y465" s="110"/>
      <c r="Z465" s="228"/>
      <c r="AA465" s="110"/>
      <c r="AB465" s="110"/>
      <c r="AC465" s="141"/>
      <c r="AD465" s="141"/>
      <c r="AE465" s="110"/>
      <c r="AF465" s="110"/>
      <c r="AH465" s="207"/>
      <c r="AI465" s="110"/>
      <c r="AJ465" s="110"/>
      <c r="AL465" s="110"/>
      <c r="AM465" s="207"/>
      <c r="AN465" s="207"/>
    </row>
    <row r="466" spans="1:40" x14ac:dyDescent="0.3">
      <c r="C466" s="99"/>
      <c r="F466" s="172"/>
      <c r="H466" s="172"/>
      <c r="I466" s="172"/>
      <c r="J466" s="228"/>
      <c r="K466" s="228"/>
      <c r="L466" s="110"/>
      <c r="M466" s="110"/>
      <c r="N466" s="141"/>
      <c r="O466" s="141"/>
      <c r="P466" s="110"/>
      <c r="Q466" s="110"/>
      <c r="R466" s="110"/>
      <c r="T466" s="99"/>
      <c r="V466" s="110"/>
      <c r="W466" s="110"/>
      <c r="X466" s="110"/>
      <c r="Y466" s="110"/>
      <c r="Z466" s="228"/>
      <c r="AA466" s="110"/>
      <c r="AB466" s="110"/>
      <c r="AC466" s="141"/>
      <c r="AD466" s="141"/>
      <c r="AE466" s="110"/>
      <c r="AF466" s="110"/>
      <c r="AH466" s="207"/>
      <c r="AI466" s="110"/>
      <c r="AJ466" s="110"/>
      <c r="AL466" s="110"/>
      <c r="AM466" s="207"/>
      <c r="AN466" s="207"/>
    </row>
    <row r="467" spans="1:40" x14ac:dyDescent="0.3">
      <c r="F467" s="192"/>
      <c r="H467" s="192"/>
      <c r="I467" s="192"/>
      <c r="J467" s="228"/>
      <c r="K467" s="228"/>
      <c r="L467" s="192"/>
      <c r="M467" s="192"/>
      <c r="N467" s="192"/>
      <c r="O467" s="192"/>
      <c r="P467" s="192"/>
      <c r="Q467" s="192"/>
      <c r="R467" s="192"/>
      <c r="V467" s="192"/>
      <c r="Y467" s="192"/>
      <c r="Z467" s="217"/>
      <c r="AA467" s="192"/>
      <c r="AB467" s="192"/>
      <c r="AC467" s="192"/>
      <c r="AD467" s="192"/>
      <c r="AE467" s="192"/>
      <c r="AF467" s="192"/>
      <c r="AI467" s="192"/>
      <c r="AJ467" s="192"/>
      <c r="AK467" s="194"/>
      <c r="AL467" s="192"/>
    </row>
    <row r="468" spans="1:40" x14ac:dyDescent="0.3">
      <c r="C468" s="99"/>
      <c r="F468" s="110"/>
      <c r="H468" s="110"/>
      <c r="I468" s="110"/>
      <c r="L468" s="110"/>
      <c r="M468" s="110"/>
      <c r="N468" s="141"/>
      <c r="O468" s="141"/>
      <c r="P468" s="172"/>
      <c r="Q468" s="172"/>
      <c r="R468" s="110"/>
      <c r="T468" s="99"/>
      <c r="V468" s="110"/>
      <c r="W468" s="110"/>
      <c r="X468" s="110"/>
      <c r="Y468" s="110"/>
      <c r="Z468" s="227"/>
      <c r="AA468" s="110"/>
      <c r="AB468" s="110"/>
      <c r="AC468" s="141"/>
      <c r="AD468" s="141"/>
      <c r="AE468" s="110"/>
      <c r="AF468" s="110"/>
      <c r="AH468" s="207"/>
      <c r="AI468" s="172"/>
      <c r="AJ468" s="172"/>
      <c r="AL468" s="110"/>
      <c r="AM468" s="207"/>
      <c r="AN468" s="207"/>
    </row>
    <row r="469" spans="1:40" x14ac:dyDescent="0.3">
      <c r="F469" s="192"/>
      <c r="H469" s="192"/>
      <c r="I469" s="192"/>
      <c r="J469" s="217"/>
      <c r="K469" s="217"/>
      <c r="L469" s="192"/>
      <c r="M469" s="192"/>
      <c r="N469" s="192"/>
      <c r="O469" s="192"/>
      <c r="P469" s="192"/>
      <c r="Q469" s="192"/>
      <c r="R469" s="192"/>
      <c r="V469" s="192"/>
      <c r="Y469" s="192"/>
      <c r="Z469" s="217"/>
      <c r="AA469" s="192"/>
      <c r="AB469" s="192"/>
      <c r="AC469" s="192"/>
      <c r="AD469" s="192"/>
      <c r="AE469" s="192"/>
      <c r="AF469" s="192"/>
      <c r="AI469" s="192"/>
      <c r="AJ469" s="192"/>
      <c r="AK469" s="194"/>
      <c r="AL469" s="192"/>
    </row>
    <row r="472" spans="1:40" x14ac:dyDescent="0.3">
      <c r="A472" s="99"/>
    </row>
    <row r="474" spans="1:40" x14ac:dyDescent="0.3">
      <c r="H474" s="99"/>
      <c r="I474" s="99"/>
      <c r="Y474" s="99"/>
    </row>
    <row r="476" spans="1:40" x14ac:dyDescent="0.3">
      <c r="L476" s="99"/>
      <c r="M476" s="99"/>
      <c r="AA476" s="99"/>
      <c r="AB476" s="99"/>
    </row>
    <row r="477" spans="1:40" x14ac:dyDescent="0.3">
      <c r="R477" s="99"/>
      <c r="AK477" s="190"/>
      <c r="AL477" s="99"/>
    </row>
    <row r="478" spans="1:40" x14ac:dyDescent="0.3">
      <c r="R478" s="99"/>
      <c r="AK478" s="190"/>
      <c r="AL478" s="99"/>
    </row>
    <row r="479" spans="1:40" x14ac:dyDescent="0.3">
      <c r="A479" s="99"/>
      <c r="R479" s="99"/>
      <c r="AK479" s="190"/>
      <c r="AL479" s="99"/>
    </row>
    <row r="480" spans="1:40" x14ac:dyDescent="0.3">
      <c r="L480" s="99"/>
      <c r="M480" s="99"/>
      <c r="AA480" s="99"/>
      <c r="AB480" s="99"/>
    </row>
    <row r="481" spans="1:40" x14ac:dyDescent="0.3">
      <c r="A481" s="101"/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T481" s="101"/>
      <c r="U481" s="101"/>
      <c r="V481" s="101"/>
      <c r="W481" s="101"/>
      <c r="X481" s="101"/>
      <c r="Y481" s="101"/>
      <c r="Z481" s="101"/>
      <c r="AA481" s="101"/>
      <c r="AB481" s="101"/>
      <c r="AC481" s="101"/>
      <c r="AD481" s="101"/>
      <c r="AE481" s="101"/>
      <c r="AF481" s="101"/>
      <c r="AG481" s="191"/>
      <c r="AH481" s="101"/>
      <c r="AI481" s="101"/>
      <c r="AJ481" s="101"/>
      <c r="AK481" s="191"/>
      <c r="AL481" s="101"/>
      <c r="AM481" s="101"/>
      <c r="AN481" s="101"/>
    </row>
    <row r="482" spans="1:40" x14ac:dyDescent="0.3">
      <c r="L482" s="102"/>
      <c r="M482" s="102"/>
      <c r="N482" s="102"/>
      <c r="O482" s="102"/>
      <c r="R482" s="102"/>
      <c r="AA482" s="102"/>
      <c r="AB482" s="102"/>
      <c r="AC482" s="102"/>
      <c r="AD482" s="102"/>
      <c r="AE482" s="102"/>
      <c r="AF482" s="102"/>
      <c r="AG482" s="151"/>
      <c r="AH482" s="102"/>
      <c r="AK482" s="151"/>
      <c r="AL482" s="102"/>
      <c r="AM482" s="102"/>
      <c r="AN482" s="102"/>
    </row>
    <row r="483" spans="1:40" x14ac:dyDescent="0.3">
      <c r="L483" s="102"/>
      <c r="M483" s="102"/>
      <c r="N483" s="102"/>
      <c r="O483" s="102"/>
      <c r="R483" s="102"/>
      <c r="Z483" s="102"/>
      <c r="AA483" s="102"/>
      <c r="AB483" s="102"/>
      <c r="AC483" s="102"/>
      <c r="AD483" s="102"/>
      <c r="AE483" s="102"/>
      <c r="AF483" s="102"/>
      <c r="AG483" s="151"/>
      <c r="AH483" s="102"/>
      <c r="AK483" s="151"/>
      <c r="AL483" s="102"/>
      <c r="AM483" s="102"/>
      <c r="AN483" s="102"/>
    </row>
    <row r="484" spans="1:40" x14ac:dyDescent="0.3">
      <c r="A484" s="102"/>
      <c r="C484" s="102"/>
      <c r="D484" s="102"/>
      <c r="E484" s="102"/>
      <c r="F484" s="102"/>
      <c r="J484" s="102"/>
      <c r="K484" s="102"/>
      <c r="L484" s="102"/>
      <c r="M484" s="102"/>
      <c r="N484" s="102"/>
      <c r="O484" s="102"/>
      <c r="P484" s="102"/>
      <c r="Q484" s="102"/>
      <c r="R484" s="102"/>
      <c r="T484" s="102"/>
      <c r="U484" s="102"/>
      <c r="V484" s="102"/>
      <c r="Z484" s="102"/>
      <c r="AA484" s="102"/>
      <c r="AB484" s="102"/>
      <c r="AC484" s="102"/>
      <c r="AD484" s="102"/>
      <c r="AE484" s="102"/>
      <c r="AF484" s="102"/>
      <c r="AG484" s="151"/>
      <c r="AH484" s="102"/>
      <c r="AI484" s="102"/>
      <c r="AJ484" s="102"/>
      <c r="AK484" s="151"/>
      <c r="AL484" s="102"/>
      <c r="AM484" s="102"/>
      <c r="AN484" s="102"/>
    </row>
    <row r="485" spans="1:40" x14ac:dyDescent="0.3">
      <c r="A485" s="102"/>
      <c r="C485" s="102"/>
      <c r="D485" s="102"/>
      <c r="E485" s="102"/>
      <c r="F485" s="102"/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T485" s="102"/>
      <c r="U485" s="102"/>
      <c r="V485" s="102"/>
      <c r="Y485" s="102"/>
      <c r="Z485" s="102"/>
      <c r="AA485" s="102"/>
      <c r="AB485" s="102"/>
      <c r="AC485" s="102"/>
      <c r="AD485" s="102"/>
      <c r="AE485" s="102"/>
      <c r="AF485" s="102"/>
      <c r="AG485" s="151"/>
      <c r="AH485" s="102"/>
      <c r="AI485" s="102"/>
      <c r="AJ485" s="102"/>
      <c r="AK485" s="151"/>
      <c r="AL485" s="102"/>
      <c r="AM485" s="102"/>
      <c r="AN485" s="102"/>
    </row>
    <row r="486" spans="1:40" x14ac:dyDescent="0.3">
      <c r="C486" s="102"/>
      <c r="D486" s="102"/>
      <c r="E486" s="102"/>
      <c r="F486" s="102"/>
      <c r="H486" s="102"/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T486" s="102"/>
      <c r="U486" s="102"/>
      <c r="V486" s="102"/>
      <c r="Y486" s="102"/>
      <c r="Z486" s="102"/>
      <c r="AA486" s="102"/>
      <c r="AB486" s="102"/>
      <c r="AC486" s="102"/>
      <c r="AD486" s="102"/>
      <c r="AE486" s="102"/>
      <c r="AF486" s="102"/>
      <c r="AG486" s="151"/>
      <c r="AH486" s="102"/>
      <c r="AI486" s="102"/>
      <c r="AJ486" s="102"/>
      <c r="AK486" s="151"/>
      <c r="AL486" s="102"/>
      <c r="AM486" s="102"/>
      <c r="AN486" s="102"/>
    </row>
    <row r="487" spans="1:40" x14ac:dyDescent="0.3">
      <c r="A487" s="101"/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T487" s="101"/>
      <c r="U487" s="101"/>
      <c r="V487" s="101"/>
      <c r="W487" s="101"/>
      <c r="X487" s="101"/>
      <c r="Y487" s="101"/>
      <c r="Z487" s="101"/>
      <c r="AA487" s="101"/>
      <c r="AB487" s="101"/>
      <c r="AC487" s="101"/>
      <c r="AD487" s="101"/>
      <c r="AE487" s="101"/>
      <c r="AF487" s="101"/>
      <c r="AG487" s="191"/>
      <c r="AH487" s="101"/>
      <c r="AI487" s="101"/>
      <c r="AJ487" s="101"/>
      <c r="AK487" s="191"/>
      <c r="AL487" s="101"/>
      <c r="AM487" s="101"/>
      <c r="AN487" s="101"/>
    </row>
    <row r="488" spans="1:40" x14ac:dyDescent="0.3">
      <c r="H488" s="102"/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Y488" s="102"/>
      <c r="Z488" s="102"/>
      <c r="AA488" s="102"/>
      <c r="AB488" s="102"/>
      <c r="AC488" s="102"/>
      <c r="AD488" s="102"/>
      <c r="AE488" s="102"/>
      <c r="AF488" s="102"/>
      <c r="AG488" s="151"/>
      <c r="AH488" s="102"/>
      <c r="AI488" s="102"/>
      <c r="AJ488" s="102"/>
      <c r="AK488" s="151"/>
      <c r="AL488" s="102"/>
      <c r="AM488" s="102"/>
      <c r="AN488" s="102"/>
    </row>
    <row r="489" spans="1:40" x14ac:dyDescent="0.3">
      <c r="C489" s="99"/>
      <c r="D489" s="99"/>
      <c r="E489" s="99"/>
      <c r="T489" s="99"/>
      <c r="U489" s="99"/>
    </row>
    <row r="491" spans="1:40" x14ac:dyDescent="0.3">
      <c r="C491" s="99"/>
      <c r="T491" s="99"/>
    </row>
    <row r="492" spans="1:40" x14ac:dyDescent="0.3">
      <c r="C492" s="99"/>
      <c r="T492" s="99"/>
    </row>
    <row r="493" spans="1:40" x14ac:dyDescent="0.3">
      <c r="C493" s="99"/>
      <c r="F493" s="172"/>
      <c r="H493" s="172"/>
      <c r="I493" s="172"/>
      <c r="J493" s="228"/>
      <c r="K493" s="228"/>
      <c r="L493" s="110"/>
      <c r="M493" s="110"/>
      <c r="N493" s="141"/>
      <c r="O493" s="141"/>
      <c r="P493" s="110"/>
      <c r="Q493" s="110"/>
      <c r="R493" s="110"/>
      <c r="T493" s="99"/>
      <c r="V493" s="110"/>
      <c r="W493" s="110"/>
      <c r="X493" s="110"/>
      <c r="Y493" s="110"/>
      <c r="Z493" s="228"/>
      <c r="AA493" s="110"/>
      <c r="AB493" s="110"/>
      <c r="AC493" s="141"/>
      <c r="AD493" s="141"/>
      <c r="AE493" s="110"/>
      <c r="AF493" s="110"/>
      <c r="AH493" s="207"/>
      <c r="AI493" s="110"/>
      <c r="AJ493" s="110"/>
      <c r="AL493" s="110"/>
      <c r="AM493" s="207"/>
      <c r="AN493" s="207"/>
    </row>
    <row r="494" spans="1:40" x14ac:dyDescent="0.3">
      <c r="C494" s="99"/>
      <c r="F494" s="110"/>
      <c r="H494" s="110"/>
      <c r="I494" s="110"/>
      <c r="J494" s="163"/>
      <c r="K494" s="163"/>
      <c r="L494" s="110"/>
      <c r="M494" s="110"/>
      <c r="N494" s="141"/>
      <c r="O494" s="141"/>
      <c r="P494" s="110"/>
      <c r="Q494" s="110"/>
      <c r="R494" s="110"/>
      <c r="T494" s="99"/>
      <c r="V494" s="110"/>
      <c r="W494" s="110"/>
      <c r="X494" s="110"/>
      <c r="Y494" s="110"/>
      <c r="Z494" s="163"/>
      <c r="AA494" s="110"/>
      <c r="AB494" s="110"/>
      <c r="AC494" s="141"/>
      <c r="AD494" s="141"/>
      <c r="AE494" s="110"/>
      <c r="AF494" s="110"/>
      <c r="AH494" s="207"/>
      <c r="AI494" s="110"/>
      <c r="AJ494" s="110"/>
      <c r="AL494" s="110"/>
      <c r="AM494" s="207"/>
      <c r="AN494" s="207"/>
    </row>
    <row r="495" spans="1:40" x14ac:dyDescent="0.3">
      <c r="C495" s="99"/>
      <c r="F495" s="110"/>
      <c r="H495" s="110"/>
      <c r="I495" s="110"/>
      <c r="J495" s="163"/>
      <c r="K495" s="163"/>
      <c r="L495" s="110"/>
      <c r="M495" s="110"/>
      <c r="N495" s="141"/>
      <c r="O495" s="141"/>
      <c r="P495" s="110"/>
      <c r="Q495" s="110"/>
      <c r="R495" s="110"/>
      <c r="T495" s="99"/>
      <c r="V495" s="110"/>
      <c r="W495" s="110"/>
      <c r="X495" s="110"/>
      <c r="Y495" s="110"/>
      <c r="Z495" s="163"/>
      <c r="AA495" s="110"/>
      <c r="AB495" s="110"/>
      <c r="AC495" s="141"/>
      <c r="AD495" s="141"/>
      <c r="AE495" s="110"/>
      <c r="AF495" s="110"/>
      <c r="AH495" s="207"/>
      <c r="AI495" s="110"/>
      <c r="AJ495" s="110"/>
      <c r="AL495" s="110"/>
      <c r="AM495" s="207"/>
      <c r="AN495" s="207"/>
    </row>
    <row r="496" spans="1:40" x14ac:dyDescent="0.3">
      <c r="C496" s="99"/>
      <c r="F496" s="110"/>
      <c r="H496" s="110"/>
      <c r="I496" s="110"/>
      <c r="J496" s="163"/>
      <c r="K496" s="163"/>
      <c r="T496" s="99"/>
      <c r="V496" s="110"/>
      <c r="Z496" s="163"/>
    </row>
    <row r="497" spans="3:40" x14ac:dyDescent="0.3">
      <c r="C497" s="99"/>
      <c r="F497" s="172"/>
      <c r="H497" s="172"/>
      <c r="I497" s="172"/>
      <c r="J497" s="228"/>
      <c r="K497" s="228"/>
      <c r="L497" s="110"/>
      <c r="M497" s="110"/>
      <c r="N497" s="141"/>
      <c r="O497" s="141"/>
      <c r="P497" s="110"/>
      <c r="Q497" s="110"/>
      <c r="R497" s="110"/>
      <c r="T497" s="99"/>
      <c r="V497" s="110"/>
      <c r="W497" s="110"/>
      <c r="X497" s="110"/>
      <c r="Y497" s="110"/>
      <c r="Z497" s="228"/>
      <c r="AA497" s="110"/>
      <c r="AB497" s="110"/>
      <c r="AC497" s="141"/>
      <c r="AD497" s="141"/>
      <c r="AE497" s="110"/>
      <c r="AF497" s="110"/>
      <c r="AH497" s="207"/>
      <c r="AI497" s="110"/>
      <c r="AJ497" s="110"/>
      <c r="AL497" s="110"/>
      <c r="AM497" s="207"/>
      <c r="AN497" s="207"/>
    </row>
    <row r="498" spans="3:40" x14ac:dyDescent="0.3">
      <c r="C498" s="99"/>
      <c r="F498" s="110"/>
      <c r="H498" s="110"/>
      <c r="I498" s="110"/>
      <c r="J498" s="163"/>
      <c r="K498" s="163"/>
      <c r="T498" s="99"/>
      <c r="V498" s="110"/>
      <c r="W498" s="110"/>
      <c r="X498" s="110"/>
      <c r="Y498" s="110"/>
      <c r="Z498" s="163"/>
      <c r="AC498" s="141"/>
      <c r="AD498" s="141"/>
      <c r="AE498" s="110"/>
      <c r="AF498" s="110"/>
      <c r="AH498" s="207"/>
      <c r="AI498" s="110"/>
      <c r="AJ498" s="110"/>
      <c r="AL498" s="110"/>
      <c r="AM498" s="207"/>
      <c r="AN498" s="207"/>
    </row>
    <row r="499" spans="3:40" x14ac:dyDescent="0.3">
      <c r="C499" s="99"/>
      <c r="F499" s="172"/>
      <c r="H499" s="172"/>
      <c r="I499" s="172"/>
      <c r="J499" s="228"/>
      <c r="K499" s="228"/>
      <c r="L499" s="110"/>
      <c r="M499" s="110"/>
      <c r="N499" s="141"/>
      <c r="O499" s="141"/>
      <c r="P499" s="110"/>
      <c r="Q499" s="110"/>
      <c r="R499" s="110"/>
      <c r="T499" s="99"/>
      <c r="V499" s="110"/>
      <c r="W499" s="110"/>
      <c r="X499" s="110"/>
      <c r="Y499" s="110"/>
      <c r="Z499" s="228"/>
      <c r="AA499" s="110"/>
      <c r="AB499" s="110"/>
      <c r="AC499" s="141"/>
      <c r="AD499" s="141"/>
      <c r="AE499" s="110"/>
      <c r="AF499" s="110"/>
      <c r="AH499" s="207"/>
      <c r="AI499" s="110"/>
      <c r="AJ499" s="110"/>
      <c r="AL499" s="110"/>
      <c r="AM499" s="207"/>
      <c r="AN499" s="207"/>
    </row>
    <row r="500" spans="3:40" x14ac:dyDescent="0.3">
      <c r="C500" s="99"/>
      <c r="F500" s="110"/>
      <c r="H500" s="110"/>
      <c r="I500" s="110"/>
      <c r="J500" s="163"/>
      <c r="K500" s="163"/>
      <c r="L500" s="110"/>
      <c r="M500" s="110"/>
      <c r="N500" s="141"/>
      <c r="O500" s="141"/>
      <c r="P500" s="110"/>
      <c r="Q500" s="110"/>
      <c r="R500" s="110"/>
      <c r="T500" s="99"/>
      <c r="V500" s="110"/>
      <c r="W500" s="110"/>
      <c r="X500" s="110"/>
      <c r="Y500" s="110"/>
      <c r="Z500" s="163"/>
      <c r="AA500" s="110"/>
      <c r="AB500" s="110"/>
      <c r="AC500" s="141"/>
      <c r="AD500" s="141"/>
      <c r="AE500" s="110"/>
      <c r="AF500" s="110"/>
      <c r="AH500" s="207"/>
      <c r="AI500" s="110"/>
      <c r="AJ500" s="110"/>
      <c r="AL500" s="110"/>
      <c r="AM500" s="207"/>
      <c r="AN500" s="207"/>
    </row>
    <row r="501" spans="3:40" x14ac:dyDescent="0.3">
      <c r="F501" s="110"/>
      <c r="H501" s="110"/>
      <c r="I501" s="110"/>
      <c r="J501" s="163"/>
      <c r="K501" s="163"/>
      <c r="Z501" s="163"/>
    </row>
    <row r="502" spans="3:40" x14ac:dyDescent="0.3">
      <c r="C502" s="99"/>
      <c r="F502" s="110"/>
      <c r="H502" s="172"/>
      <c r="I502" s="172"/>
      <c r="J502" s="228"/>
      <c r="K502" s="228"/>
      <c r="L502" s="110"/>
      <c r="M502" s="110"/>
      <c r="N502" s="141"/>
      <c r="O502" s="141"/>
      <c r="P502" s="110"/>
      <c r="Q502" s="110"/>
      <c r="R502" s="110"/>
      <c r="T502" s="99"/>
      <c r="V502" s="110"/>
      <c r="W502" s="110"/>
      <c r="X502" s="110"/>
      <c r="Y502" s="110"/>
      <c r="Z502" s="228"/>
      <c r="AA502" s="110"/>
      <c r="AB502" s="110"/>
      <c r="AC502" s="141"/>
      <c r="AD502" s="141"/>
      <c r="AE502" s="110"/>
      <c r="AF502" s="110"/>
      <c r="AH502" s="207"/>
      <c r="AI502" s="110"/>
      <c r="AJ502" s="110"/>
      <c r="AL502" s="110"/>
      <c r="AM502" s="207"/>
      <c r="AN502" s="207"/>
    </row>
    <row r="503" spans="3:40" x14ac:dyDescent="0.3">
      <c r="F503" s="192"/>
      <c r="H503" s="192"/>
      <c r="I503" s="192"/>
      <c r="J503" s="228"/>
      <c r="K503" s="228"/>
      <c r="L503" s="192"/>
      <c r="M503" s="192"/>
      <c r="N503" s="192"/>
      <c r="O503" s="192"/>
      <c r="P503" s="192"/>
      <c r="Q503" s="192"/>
      <c r="R503" s="192"/>
      <c r="V503" s="192"/>
      <c r="Y503" s="192"/>
      <c r="Z503" s="228"/>
      <c r="AA503" s="192"/>
      <c r="AB503" s="192"/>
      <c r="AC503" s="192"/>
      <c r="AD503" s="192"/>
      <c r="AE503" s="192"/>
      <c r="AF503" s="192"/>
      <c r="AI503" s="192"/>
      <c r="AJ503" s="192"/>
      <c r="AK503" s="194"/>
      <c r="AL503" s="192"/>
    </row>
    <row r="504" spans="3:40" x14ac:dyDescent="0.3">
      <c r="C504" s="99"/>
      <c r="F504" s="110"/>
      <c r="H504" s="110"/>
      <c r="I504" s="110"/>
      <c r="J504" s="163"/>
      <c r="K504" s="163"/>
      <c r="L504" s="110"/>
      <c r="M504" s="110"/>
      <c r="P504" s="110"/>
      <c r="Q504" s="110"/>
      <c r="R504" s="110"/>
      <c r="T504" s="99"/>
      <c r="V504" s="110"/>
      <c r="Y504" s="110"/>
      <c r="Z504" s="163"/>
      <c r="AA504" s="110"/>
      <c r="AB504" s="110"/>
      <c r="AC504" s="207"/>
      <c r="AD504" s="207"/>
      <c r="AE504" s="110"/>
      <c r="AF504" s="110"/>
      <c r="AH504" s="207"/>
      <c r="AI504" s="110"/>
      <c r="AJ504" s="110"/>
      <c r="AL504" s="110"/>
      <c r="AM504" s="207"/>
      <c r="AN504" s="207"/>
    </row>
    <row r="505" spans="3:40" x14ac:dyDescent="0.3">
      <c r="F505" s="192"/>
      <c r="H505" s="192"/>
      <c r="I505" s="192"/>
      <c r="J505" s="228"/>
      <c r="K505" s="228"/>
      <c r="L505" s="192"/>
      <c r="M505" s="192"/>
      <c r="N505" s="192"/>
      <c r="O505" s="192"/>
      <c r="P505" s="192"/>
      <c r="Q505" s="192"/>
      <c r="R505" s="192"/>
      <c r="V505" s="192"/>
      <c r="Y505" s="192"/>
      <c r="Z505" s="228"/>
      <c r="AA505" s="192"/>
      <c r="AB505" s="192"/>
      <c r="AC505" s="192"/>
      <c r="AD505" s="192"/>
      <c r="AE505" s="192"/>
      <c r="AF505" s="192"/>
      <c r="AI505" s="192"/>
      <c r="AJ505" s="192"/>
      <c r="AK505" s="194"/>
      <c r="AL505" s="192"/>
    </row>
    <row r="506" spans="3:40" x14ac:dyDescent="0.3">
      <c r="J506" s="163"/>
      <c r="K506" s="163"/>
      <c r="Z506" s="163"/>
    </row>
    <row r="507" spans="3:40" x14ac:dyDescent="0.3">
      <c r="C507" s="99"/>
      <c r="J507" s="163"/>
      <c r="K507" s="163"/>
      <c r="T507" s="99"/>
      <c r="Z507" s="163"/>
    </row>
    <row r="508" spans="3:40" x14ac:dyDescent="0.3">
      <c r="C508" s="99"/>
      <c r="J508" s="163"/>
      <c r="K508" s="163"/>
      <c r="T508" s="99"/>
      <c r="Z508" s="163"/>
    </row>
    <row r="509" spans="3:40" x14ac:dyDescent="0.3">
      <c r="C509" s="99"/>
      <c r="F509" s="172"/>
      <c r="H509" s="172"/>
      <c r="I509" s="172"/>
      <c r="J509" s="228"/>
      <c r="K509" s="228"/>
      <c r="L509" s="110"/>
      <c r="M509" s="110"/>
      <c r="N509" s="141"/>
      <c r="O509" s="141"/>
      <c r="P509" s="110"/>
      <c r="Q509" s="110"/>
      <c r="R509" s="110"/>
      <c r="T509" s="99"/>
      <c r="V509" s="110"/>
      <c r="W509" s="110"/>
      <c r="X509" s="110"/>
      <c r="Y509" s="110"/>
      <c r="Z509" s="228"/>
      <c r="AA509" s="110"/>
      <c r="AB509" s="110"/>
      <c r="AC509" s="141"/>
      <c r="AD509" s="141"/>
      <c r="AE509" s="110"/>
      <c r="AF509" s="110"/>
      <c r="AH509" s="207"/>
      <c r="AI509" s="110"/>
      <c r="AJ509" s="110"/>
      <c r="AL509" s="110"/>
      <c r="AM509" s="207"/>
      <c r="AN509" s="207"/>
    </row>
    <row r="510" spans="3:40" x14ac:dyDescent="0.3">
      <c r="C510" s="99"/>
      <c r="J510" s="163"/>
      <c r="K510" s="163"/>
      <c r="T510" s="99"/>
      <c r="Z510" s="163"/>
    </row>
    <row r="511" spans="3:40" x14ac:dyDescent="0.3">
      <c r="C511" s="99"/>
      <c r="F511" s="172"/>
      <c r="H511" s="172"/>
      <c r="I511" s="172"/>
      <c r="J511" s="228"/>
      <c r="K511" s="228"/>
      <c r="L511" s="110"/>
      <c r="M511" s="110"/>
      <c r="N511" s="141"/>
      <c r="O511" s="141"/>
      <c r="P511" s="110"/>
      <c r="Q511" s="110"/>
      <c r="R511" s="110"/>
      <c r="T511" s="99"/>
      <c r="V511" s="110"/>
      <c r="W511" s="110"/>
      <c r="X511" s="110"/>
      <c r="Y511" s="110"/>
      <c r="Z511" s="228"/>
      <c r="AA511" s="110"/>
      <c r="AB511" s="110"/>
      <c r="AC511" s="141"/>
      <c r="AD511" s="141"/>
      <c r="AE511" s="110"/>
      <c r="AF511" s="110"/>
      <c r="AH511" s="207"/>
      <c r="AI511" s="110"/>
      <c r="AJ511" s="110"/>
      <c r="AL511" s="110"/>
      <c r="AM511" s="207"/>
      <c r="AN511" s="207"/>
    </row>
    <row r="512" spans="3:40" x14ac:dyDescent="0.3">
      <c r="F512" s="192"/>
      <c r="H512" s="192"/>
      <c r="I512" s="192"/>
      <c r="J512" s="228"/>
      <c r="K512" s="228"/>
      <c r="L512" s="192"/>
      <c r="M512" s="192"/>
      <c r="N512" s="192"/>
      <c r="O512" s="192"/>
      <c r="P512" s="192"/>
      <c r="Q512" s="192"/>
      <c r="R512" s="192"/>
      <c r="V512" s="192"/>
      <c r="Y512" s="192"/>
      <c r="Z512" s="228"/>
      <c r="AA512" s="192"/>
      <c r="AB512" s="192"/>
      <c r="AC512" s="192"/>
      <c r="AD512" s="192"/>
      <c r="AE512" s="192"/>
      <c r="AF512" s="192"/>
      <c r="AI512" s="192"/>
      <c r="AJ512" s="192"/>
      <c r="AK512" s="194"/>
      <c r="AL512" s="192"/>
    </row>
    <row r="513" spans="1:40" x14ac:dyDescent="0.3">
      <c r="C513" s="99"/>
      <c r="F513" s="110"/>
      <c r="H513" s="110"/>
      <c r="I513" s="110"/>
      <c r="J513" s="163"/>
      <c r="K513" s="163"/>
      <c r="L513" s="110"/>
      <c r="M513" s="110"/>
      <c r="N513" s="207"/>
      <c r="O513" s="207"/>
      <c r="P513" s="110"/>
      <c r="Q513" s="110"/>
      <c r="R513" s="110"/>
      <c r="T513" s="99"/>
      <c r="V513" s="110"/>
      <c r="Y513" s="110"/>
      <c r="Z513" s="163"/>
      <c r="AA513" s="110"/>
      <c r="AB513" s="110"/>
      <c r="AC513" s="207"/>
      <c r="AD513" s="207"/>
      <c r="AE513" s="110"/>
      <c r="AF513" s="110"/>
      <c r="AH513" s="207"/>
      <c r="AI513" s="110"/>
      <c r="AJ513" s="110"/>
      <c r="AL513" s="110"/>
      <c r="AM513" s="207"/>
      <c r="AN513" s="207"/>
    </row>
    <row r="514" spans="1:40" x14ac:dyDescent="0.3">
      <c r="F514" s="192"/>
      <c r="H514" s="192"/>
      <c r="I514" s="192"/>
      <c r="J514" s="228"/>
      <c r="K514" s="228"/>
      <c r="L514" s="192"/>
      <c r="M514" s="192"/>
      <c r="N514" s="192"/>
      <c r="O514" s="192"/>
      <c r="P514" s="192"/>
      <c r="Q514" s="192"/>
      <c r="R514" s="192"/>
      <c r="V514" s="192"/>
      <c r="Y514" s="192"/>
      <c r="Z514" s="217"/>
      <c r="AA514" s="192"/>
      <c r="AB514" s="192"/>
      <c r="AC514" s="192"/>
      <c r="AD514" s="192"/>
      <c r="AE514" s="192"/>
      <c r="AF514" s="192"/>
      <c r="AI514" s="192"/>
      <c r="AJ514" s="192"/>
      <c r="AK514" s="194"/>
      <c r="AL514" s="192"/>
    </row>
    <row r="515" spans="1:40" x14ac:dyDescent="0.3">
      <c r="J515" s="163"/>
      <c r="K515" s="163"/>
    </row>
    <row r="516" spans="1:40" x14ac:dyDescent="0.3">
      <c r="C516" s="99"/>
      <c r="F516" s="110"/>
      <c r="H516" s="110"/>
      <c r="I516" s="110"/>
      <c r="J516" s="163"/>
      <c r="K516" s="163"/>
      <c r="L516" s="110"/>
      <c r="M516" s="110"/>
      <c r="N516" s="141"/>
      <c r="O516" s="141"/>
      <c r="P516" s="172"/>
      <c r="Q516" s="172"/>
      <c r="R516" s="110"/>
      <c r="T516" s="99"/>
      <c r="V516" s="110"/>
      <c r="Y516" s="110"/>
      <c r="AA516" s="110"/>
      <c r="AB516" s="110"/>
      <c r="AC516" s="207"/>
      <c r="AD516" s="207"/>
      <c r="AE516" s="110"/>
      <c r="AF516" s="110"/>
      <c r="AH516" s="207"/>
      <c r="AI516" s="172"/>
      <c r="AJ516" s="172"/>
      <c r="AL516" s="110"/>
      <c r="AM516" s="207"/>
      <c r="AN516" s="207"/>
    </row>
    <row r="517" spans="1:40" x14ac:dyDescent="0.3">
      <c r="F517" s="192"/>
      <c r="H517" s="192"/>
      <c r="I517" s="192"/>
      <c r="J517" s="228"/>
      <c r="K517" s="228"/>
      <c r="L517" s="192"/>
      <c r="M517" s="192"/>
      <c r="N517" s="192"/>
      <c r="O517" s="192"/>
      <c r="P517" s="192"/>
      <c r="Q517" s="192"/>
      <c r="R517" s="192"/>
      <c r="V517" s="192"/>
      <c r="Y517" s="192"/>
      <c r="Z517" s="217"/>
      <c r="AA517" s="192"/>
      <c r="AB517" s="192"/>
      <c r="AC517" s="192"/>
      <c r="AD517" s="192"/>
      <c r="AE517" s="192"/>
      <c r="AF517" s="192"/>
      <c r="AI517" s="192"/>
      <c r="AJ517" s="192"/>
      <c r="AK517" s="194"/>
      <c r="AL517" s="192"/>
    </row>
    <row r="520" spans="1:40" x14ac:dyDescent="0.3">
      <c r="A520" s="99"/>
    </row>
    <row r="522" spans="1:40" x14ac:dyDescent="0.3">
      <c r="H522" s="99"/>
      <c r="I522" s="99"/>
      <c r="Y522" s="99"/>
    </row>
    <row r="524" spans="1:40" x14ac:dyDescent="0.3">
      <c r="L524" s="99"/>
      <c r="M524" s="99"/>
      <c r="AA524" s="99"/>
      <c r="AB524" s="99"/>
    </row>
    <row r="525" spans="1:40" x14ac:dyDescent="0.3">
      <c r="R525" s="99"/>
      <c r="AK525" s="190"/>
      <c r="AL525" s="99"/>
    </row>
    <row r="526" spans="1:40" x14ac:dyDescent="0.3">
      <c r="R526" s="99"/>
      <c r="AK526" s="190"/>
      <c r="AL526" s="99"/>
    </row>
    <row r="527" spans="1:40" x14ac:dyDescent="0.3">
      <c r="A527" s="99"/>
      <c r="R527" s="99"/>
      <c r="AK527" s="190"/>
      <c r="AL527" s="99"/>
    </row>
    <row r="528" spans="1:40" x14ac:dyDescent="0.3">
      <c r="L528" s="99"/>
      <c r="M528" s="99"/>
      <c r="AA528" s="99"/>
      <c r="AB528" s="99"/>
    </row>
    <row r="529" spans="1:40" x14ac:dyDescent="0.3">
      <c r="A529" s="101"/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T529" s="101"/>
      <c r="U529" s="101"/>
      <c r="V529" s="101"/>
      <c r="W529" s="101"/>
      <c r="X529" s="101"/>
      <c r="Y529" s="101"/>
      <c r="Z529" s="101"/>
      <c r="AA529" s="101"/>
      <c r="AB529" s="101"/>
      <c r="AC529" s="101"/>
      <c r="AD529" s="101"/>
      <c r="AE529" s="101"/>
      <c r="AF529" s="101"/>
      <c r="AG529" s="191"/>
      <c r="AH529" s="101"/>
      <c r="AI529" s="101"/>
      <c r="AJ529" s="101"/>
      <c r="AK529" s="191"/>
      <c r="AL529" s="101"/>
      <c r="AM529" s="101"/>
      <c r="AN529" s="101"/>
    </row>
    <row r="530" spans="1:40" x14ac:dyDescent="0.3">
      <c r="L530" s="102"/>
      <c r="M530" s="102"/>
      <c r="N530" s="102"/>
      <c r="O530" s="102"/>
      <c r="R530" s="102"/>
      <c r="AA530" s="102"/>
      <c r="AB530" s="102"/>
      <c r="AC530" s="102"/>
      <c r="AD530" s="102"/>
      <c r="AE530" s="102"/>
      <c r="AF530" s="102"/>
      <c r="AG530" s="151"/>
      <c r="AH530" s="102"/>
      <c r="AK530" s="151"/>
      <c r="AL530" s="102"/>
      <c r="AM530" s="102"/>
      <c r="AN530" s="102"/>
    </row>
    <row r="531" spans="1:40" x14ac:dyDescent="0.3">
      <c r="L531" s="102"/>
      <c r="M531" s="102"/>
      <c r="N531" s="102"/>
      <c r="O531" s="102"/>
      <c r="R531" s="102"/>
      <c r="Z531" s="102"/>
      <c r="AA531" s="102"/>
      <c r="AB531" s="102"/>
      <c r="AC531" s="102"/>
      <c r="AD531" s="102"/>
      <c r="AE531" s="102"/>
      <c r="AF531" s="102"/>
      <c r="AG531" s="151"/>
      <c r="AH531" s="102"/>
      <c r="AK531" s="151"/>
      <c r="AL531" s="102"/>
      <c r="AM531" s="102"/>
      <c r="AN531" s="102"/>
    </row>
    <row r="532" spans="1:40" x14ac:dyDescent="0.3">
      <c r="A532" s="102"/>
      <c r="C532" s="102"/>
      <c r="D532" s="102"/>
      <c r="E532" s="102"/>
      <c r="F532" s="102"/>
      <c r="J532" s="102"/>
      <c r="K532" s="102"/>
      <c r="L532" s="102"/>
      <c r="M532" s="102"/>
      <c r="N532" s="102"/>
      <c r="O532" s="102"/>
      <c r="P532" s="102"/>
      <c r="Q532" s="102"/>
      <c r="R532" s="102"/>
      <c r="T532" s="102"/>
      <c r="U532" s="102"/>
      <c r="V532" s="102"/>
      <c r="Z532" s="102"/>
      <c r="AA532" s="102"/>
      <c r="AB532" s="102"/>
      <c r="AC532" s="102"/>
      <c r="AD532" s="102"/>
      <c r="AE532" s="102"/>
      <c r="AF532" s="102"/>
      <c r="AG532" s="151"/>
      <c r="AH532" s="102"/>
      <c r="AI532" s="102"/>
      <c r="AJ532" s="102"/>
      <c r="AK532" s="151"/>
      <c r="AL532" s="102"/>
      <c r="AM532" s="102"/>
      <c r="AN532" s="102"/>
    </row>
    <row r="533" spans="1:40" x14ac:dyDescent="0.3">
      <c r="A533" s="102"/>
      <c r="C533" s="102"/>
      <c r="D533" s="102"/>
      <c r="E533" s="102"/>
      <c r="F533" s="102"/>
      <c r="H533" s="102"/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T533" s="102"/>
      <c r="U533" s="102"/>
      <c r="V533" s="102"/>
      <c r="Y533" s="102"/>
      <c r="Z533" s="102"/>
      <c r="AA533" s="102"/>
      <c r="AB533" s="102"/>
      <c r="AC533" s="102"/>
      <c r="AD533" s="102"/>
      <c r="AE533" s="102"/>
      <c r="AF533" s="102"/>
      <c r="AG533" s="151"/>
      <c r="AH533" s="102"/>
      <c r="AI533" s="102"/>
      <c r="AJ533" s="102"/>
      <c r="AK533" s="151"/>
      <c r="AL533" s="102"/>
      <c r="AM533" s="102"/>
      <c r="AN533" s="102"/>
    </row>
    <row r="534" spans="1:40" x14ac:dyDescent="0.3">
      <c r="C534" s="102"/>
      <c r="D534" s="102"/>
      <c r="E534" s="102"/>
      <c r="F534" s="102"/>
      <c r="H534" s="102"/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T534" s="102"/>
      <c r="U534" s="102"/>
      <c r="V534" s="102"/>
      <c r="Y534" s="102"/>
      <c r="Z534" s="102"/>
      <c r="AA534" s="102"/>
      <c r="AB534" s="102"/>
      <c r="AC534" s="102"/>
      <c r="AD534" s="102"/>
      <c r="AE534" s="102"/>
      <c r="AF534" s="102"/>
      <c r="AG534" s="151"/>
      <c r="AH534" s="102"/>
      <c r="AI534" s="102"/>
      <c r="AJ534" s="102"/>
      <c r="AK534" s="151"/>
      <c r="AL534" s="102"/>
      <c r="AM534" s="102"/>
      <c r="AN534" s="102"/>
    </row>
    <row r="535" spans="1:40" x14ac:dyDescent="0.3">
      <c r="A535" s="101"/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T535" s="101"/>
      <c r="U535" s="101"/>
      <c r="V535" s="101"/>
      <c r="W535" s="101"/>
      <c r="X535" s="101"/>
      <c r="Y535" s="101"/>
      <c r="Z535" s="101"/>
      <c r="AA535" s="101"/>
      <c r="AB535" s="101"/>
      <c r="AC535" s="101"/>
      <c r="AD535" s="101"/>
      <c r="AE535" s="101"/>
      <c r="AF535" s="101"/>
      <c r="AG535" s="191"/>
      <c r="AH535" s="101"/>
      <c r="AI535" s="101"/>
      <c r="AJ535" s="101"/>
      <c r="AK535" s="191"/>
      <c r="AL535" s="101"/>
      <c r="AM535" s="101"/>
      <c r="AN535" s="101"/>
    </row>
    <row r="536" spans="1:40" x14ac:dyDescent="0.3"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Y536" s="102"/>
      <c r="Z536" s="102"/>
      <c r="AA536" s="102"/>
      <c r="AB536" s="102"/>
      <c r="AC536" s="102"/>
      <c r="AD536" s="102"/>
      <c r="AE536" s="102"/>
      <c r="AF536" s="102"/>
      <c r="AG536" s="151"/>
      <c r="AH536" s="102"/>
      <c r="AI536" s="102"/>
      <c r="AJ536" s="102"/>
      <c r="AK536" s="151"/>
      <c r="AL536" s="102"/>
      <c r="AM536" s="102"/>
      <c r="AN536" s="102"/>
    </row>
    <row r="537" spans="1:40" x14ac:dyDescent="0.3">
      <c r="C537" s="99"/>
      <c r="D537" s="99"/>
      <c r="E537" s="99"/>
      <c r="T537" s="99"/>
      <c r="U537" s="99"/>
    </row>
    <row r="539" spans="1:40" x14ac:dyDescent="0.3">
      <c r="C539" s="99"/>
      <c r="D539" s="99"/>
      <c r="E539" s="99"/>
      <c r="T539" s="99"/>
      <c r="U539" s="99"/>
    </row>
    <row r="540" spans="1:40" x14ac:dyDescent="0.3">
      <c r="C540" s="99"/>
      <c r="T540" s="99"/>
    </row>
    <row r="541" spans="1:40" x14ac:dyDescent="0.3">
      <c r="C541" s="99"/>
      <c r="T541" s="99"/>
    </row>
    <row r="542" spans="1:40" x14ac:dyDescent="0.3">
      <c r="C542" s="99"/>
      <c r="F542" s="172"/>
      <c r="H542" s="172"/>
      <c r="I542" s="172"/>
      <c r="J542" s="228"/>
      <c r="K542" s="228"/>
      <c r="L542" s="110"/>
      <c r="M542" s="110"/>
      <c r="N542" s="141"/>
      <c r="O542" s="141"/>
      <c r="P542" s="110"/>
      <c r="Q542" s="110"/>
      <c r="R542" s="110"/>
      <c r="T542" s="99"/>
      <c r="V542" s="110"/>
      <c r="W542" s="110"/>
      <c r="X542" s="110"/>
      <c r="Y542" s="110"/>
      <c r="Z542" s="228"/>
      <c r="AA542" s="110"/>
      <c r="AB542" s="110"/>
      <c r="AC542" s="141"/>
      <c r="AD542" s="141"/>
      <c r="AE542" s="110"/>
      <c r="AF542" s="110"/>
      <c r="AH542" s="207"/>
      <c r="AI542" s="110"/>
      <c r="AJ542" s="110"/>
      <c r="AL542" s="110"/>
      <c r="AM542" s="141"/>
      <c r="AN542" s="141"/>
    </row>
    <row r="543" spans="1:40" x14ac:dyDescent="0.3">
      <c r="C543" s="99"/>
      <c r="J543" s="163"/>
      <c r="K543" s="163"/>
      <c r="T543" s="99"/>
      <c r="V543" s="110"/>
      <c r="W543" s="110"/>
      <c r="X543" s="110"/>
      <c r="Y543" s="110"/>
      <c r="Z543" s="228"/>
    </row>
    <row r="544" spans="1:40" x14ac:dyDescent="0.3">
      <c r="C544" s="99"/>
      <c r="F544" s="172"/>
      <c r="H544" s="172"/>
      <c r="I544" s="172"/>
      <c r="J544" s="228"/>
      <c r="K544" s="228"/>
      <c r="L544" s="110"/>
      <c r="M544" s="110"/>
      <c r="N544" s="141"/>
      <c r="O544" s="141"/>
      <c r="P544" s="110"/>
      <c r="Q544" s="110"/>
      <c r="R544" s="110"/>
      <c r="T544" s="99"/>
      <c r="V544" s="110"/>
      <c r="W544" s="110"/>
      <c r="X544" s="110"/>
      <c r="Y544" s="110"/>
      <c r="Z544" s="228"/>
      <c r="AA544" s="110"/>
      <c r="AB544" s="110"/>
      <c r="AC544" s="141"/>
      <c r="AD544" s="141"/>
      <c r="AE544" s="110"/>
      <c r="AF544" s="110"/>
      <c r="AH544" s="207"/>
      <c r="AI544" s="110"/>
      <c r="AJ544" s="110"/>
      <c r="AL544" s="110"/>
      <c r="AM544" s="141"/>
      <c r="AN544" s="141"/>
    </row>
    <row r="545" spans="3:40" x14ac:dyDescent="0.3">
      <c r="C545" s="99"/>
      <c r="J545" s="163"/>
      <c r="K545" s="163"/>
      <c r="T545" s="99"/>
      <c r="V545" s="110"/>
      <c r="W545" s="110"/>
      <c r="X545" s="110"/>
      <c r="Y545" s="110"/>
      <c r="Z545" s="228"/>
    </row>
    <row r="546" spans="3:40" x14ac:dyDescent="0.3">
      <c r="C546" s="99"/>
      <c r="F546" s="172"/>
      <c r="H546" s="172"/>
      <c r="I546" s="172"/>
      <c r="J546" s="228"/>
      <c r="K546" s="228"/>
      <c r="L546" s="110"/>
      <c r="M546" s="110"/>
      <c r="N546" s="141"/>
      <c r="O546" s="141"/>
      <c r="P546" s="110"/>
      <c r="Q546" s="110"/>
      <c r="R546" s="110"/>
      <c r="T546" s="99"/>
      <c r="V546" s="110"/>
      <c r="W546" s="110"/>
      <c r="X546" s="110"/>
      <c r="Y546" s="110"/>
      <c r="Z546" s="228"/>
      <c r="AA546" s="110"/>
      <c r="AB546" s="110"/>
      <c r="AC546" s="141"/>
      <c r="AD546" s="141"/>
      <c r="AE546" s="110"/>
      <c r="AF546" s="110"/>
      <c r="AH546" s="207"/>
      <c r="AI546" s="110"/>
      <c r="AJ546" s="110"/>
      <c r="AL546" s="110"/>
      <c r="AM546" s="141"/>
      <c r="AN546" s="141"/>
    </row>
    <row r="547" spans="3:40" x14ac:dyDescent="0.3">
      <c r="C547" s="99"/>
      <c r="J547" s="163"/>
      <c r="K547" s="163"/>
      <c r="T547" s="99"/>
      <c r="V547" s="110"/>
      <c r="W547" s="110"/>
      <c r="X547" s="110"/>
      <c r="Y547" s="110"/>
      <c r="Z547" s="228"/>
    </row>
    <row r="548" spans="3:40" x14ac:dyDescent="0.3">
      <c r="C548" s="99"/>
      <c r="F548" s="172"/>
      <c r="H548" s="172"/>
      <c r="I548" s="172"/>
      <c r="J548" s="228"/>
      <c r="K548" s="228"/>
      <c r="L548" s="110"/>
      <c r="M548" s="110"/>
      <c r="N548" s="141"/>
      <c r="O548" s="141"/>
      <c r="P548" s="110"/>
      <c r="Q548" s="110"/>
      <c r="R548" s="110"/>
      <c r="T548" s="99"/>
      <c r="V548" s="110"/>
      <c r="W548" s="110"/>
      <c r="X548" s="110"/>
      <c r="Y548" s="110"/>
      <c r="Z548" s="228"/>
      <c r="AA548" s="110"/>
      <c r="AB548" s="110"/>
      <c r="AC548" s="141"/>
      <c r="AD548" s="141"/>
      <c r="AE548" s="110"/>
      <c r="AF548" s="110"/>
      <c r="AH548" s="207"/>
      <c r="AI548" s="110"/>
      <c r="AJ548" s="110"/>
      <c r="AL548" s="110"/>
      <c r="AM548" s="141"/>
      <c r="AN548" s="141"/>
    </row>
    <row r="549" spans="3:40" x14ac:dyDescent="0.3">
      <c r="C549" s="99"/>
      <c r="J549" s="163"/>
      <c r="K549" s="163"/>
      <c r="T549" s="99"/>
      <c r="V549" s="110"/>
      <c r="W549" s="110"/>
      <c r="X549" s="110"/>
      <c r="Y549" s="110"/>
      <c r="Z549" s="228"/>
    </row>
    <row r="550" spans="3:40" x14ac:dyDescent="0.3">
      <c r="C550" s="99"/>
      <c r="F550" s="172"/>
      <c r="H550" s="172"/>
      <c r="I550" s="172"/>
      <c r="J550" s="228"/>
      <c r="K550" s="228"/>
      <c r="L550" s="110"/>
      <c r="M550" s="110"/>
      <c r="N550" s="141"/>
      <c r="O550" s="141"/>
      <c r="P550" s="110"/>
      <c r="Q550" s="110"/>
      <c r="R550" s="110"/>
      <c r="T550" s="99"/>
      <c r="V550" s="110"/>
      <c r="W550" s="110"/>
      <c r="X550" s="110"/>
      <c r="Y550" s="110"/>
      <c r="Z550" s="228"/>
      <c r="AA550" s="110"/>
      <c r="AB550" s="110"/>
      <c r="AC550" s="141"/>
      <c r="AD550" s="141"/>
      <c r="AE550" s="110"/>
      <c r="AF550" s="110"/>
      <c r="AH550" s="207"/>
      <c r="AI550" s="110"/>
      <c r="AJ550" s="110"/>
      <c r="AL550" s="110"/>
      <c r="AM550" s="141"/>
      <c r="AN550" s="141"/>
    </row>
    <row r="551" spans="3:40" x14ac:dyDescent="0.3">
      <c r="C551" s="99"/>
      <c r="J551" s="163"/>
      <c r="K551" s="163"/>
      <c r="T551" s="99"/>
      <c r="V551" s="110"/>
      <c r="W551" s="110"/>
      <c r="X551" s="110"/>
      <c r="Y551" s="110"/>
      <c r="Z551" s="228"/>
    </row>
    <row r="552" spans="3:40" x14ac:dyDescent="0.3">
      <c r="C552" s="99"/>
      <c r="F552" s="172"/>
      <c r="H552" s="172"/>
      <c r="I552" s="172"/>
      <c r="J552" s="228"/>
      <c r="K552" s="228"/>
      <c r="L552" s="110"/>
      <c r="M552" s="110"/>
      <c r="N552" s="141"/>
      <c r="O552" s="141"/>
      <c r="P552" s="110"/>
      <c r="Q552" s="110"/>
      <c r="R552" s="110"/>
      <c r="T552" s="99"/>
      <c r="V552" s="110"/>
      <c r="W552" s="110"/>
      <c r="X552" s="110"/>
      <c r="Y552" s="110"/>
      <c r="Z552" s="228"/>
      <c r="AA552" s="110"/>
      <c r="AB552" s="110"/>
      <c r="AC552" s="141"/>
      <c r="AD552" s="141"/>
      <c r="AE552" s="110"/>
      <c r="AF552" s="110"/>
      <c r="AH552" s="207"/>
      <c r="AI552" s="110"/>
      <c r="AJ552" s="110"/>
      <c r="AL552" s="110"/>
      <c r="AM552" s="141"/>
      <c r="AN552" s="141"/>
    </row>
    <row r="553" spans="3:40" x14ac:dyDescent="0.3">
      <c r="F553" s="192"/>
      <c r="H553" s="192"/>
      <c r="I553" s="192"/>
      <c r="J553" s="228"/>
      <c r="K553" s="228"/>
      <c r="L553" s="192"/>
      <c r="M553" s="192"/>
      <c r="N553" s="192"/>
      <c r="O553" s="192"/>
      <c r="P553" s="192"/>
      <c r="Q553" s="192"/>
      <c r="R553" s="192"/>
      <c r="V553" s="192"/>
      <c r="Y553" s="192"/>
      <c r="Z553" s="228"/>
      <c r="AA553" s="192"/>
      <c r="AB553" s="192"/>
      <c r="AC553" s="192"/>
      <c r="AD553" s="192"/>
      <c r="AE553" s="192"/>
      <c r="AF553" s="192"/>
      <c r="AI553" s="192"/>
      <c r="AJ553" s="192"/>
      <c r="AK553" s="194"/>
      <c r="AL553" s="192"/>
      <c r="AM553" s="141"/>
      <c r="AN553" s="141"/>
    </row>
    <row r="554" spans="3:40" x14ac:dyDescent="0.3">
      <c r="C554" s="99"/>
      <c r="F554" s="110"/>
      <c r="H554" s="110"/>
      <c r="I554" s="110"/>
      <c r="J554" s="163"/>
      <c r="K554" s="163"/>
      <c r="L554" s="110"/>
      <c r="M554" s="110"/>
      <c r="N554" s="141"/>
      <c r="O554" s="141"/>
      <c r="P554" s="172"/>
      <c r="Q554" s="172"/>
      <c r="R554" s="110"/>
      <c r="T554" s="99"/>
      <c r="V554" s="110"/>
      <c r="W554" s="110"/>
      <c r="X554" s="110"/>
      <c r="Y554" s="110"/>
      <c r="Z554" s="228"/>
      <c r="AA554" s="110"/>
      <c r="AB554" s="110"/>
      <c r="AC554" s="141"/>
      <c r="AD554" s="141"/>
      <c r="AE554" s="110"/>
      <c r="AF554" s="110"/>
      <c r="AH554" s="207"/>
      <c r="AI554" s="172"/>
      <c r="AJ554" s="172"/>
      <c r="AL554" s="110"/>
      <c r="AM554" s="141"/>
      <c r="AN554" s="141"/>
    </row>
    <row r="555" spans="3:40" x14ac:dyDescent="0.3">
      <c r="F555" s="192"/>
      <c r="H555" s="192"/>
      <c r="I555" s="192"/>
      <c r="J555" s="228"/>
      <c r="K555" s="228"/>
      <c r="L555" s="192"/>
      <c r="M555" s="192"/>
      <c r="N555" s="192"/>
      <c r="O555" s="192"/>
      <c r="P555" s="192"/>
      <c r="Q555" s="192"/>
      <c r="R555" s="192"/>
      <c r="V555" s="192"/>
      <c r="Y555" s="192"/>
      <c r="Z555" s="228"/>
      <c r="AA555" s="192"/>
      <c r="AB555" s="192"/>
      <c r="AC555" s="192"/>
      <c r="AD555" s="192"/>
      <c r="AE555" s="192"/>
      <c r="AF555" s="192"/>
      <c r="AI555" s="192"/>
      <c r="AJ555" s="192"/>
      <c r="AK555" s="194"/>
      <c r="AL555" s="192"/>
    </row>
    <row r="556" spans="3:40" x14ac:dyDescent="0.3">
      <c r="C556" s="99"/>
      <c r="D556" s="99"/>
      <c r="E556" s="99"/>
      <c r="J556" s="163"/>
      <c r="K556" s="163"/>
      <c r="T556" s="99"/>
      <c r="U556" s="99"/>
      <c r="V556" s="110"/>
      <c r="W556" s="110"/>
      <c r="X556" s="110"/>
      <c r="Y556" s="110"/>
      <c r="Z556" s="228"/>
    </row>
    <row r="557" spans="3:40" x14ac:dyDescent="0.3">
      <c r="C557" s="99"/>
      <c r="J557" s="163"/>
      <c r="K557" s="163"/>
      <c r="T557" s="99"/>
      <c r="V557" s="110"/>
      <c r="W557" s="110"/>
      <c r="X557" s="110"/>
      <c r="Y557" s="110"/>
      <c r="Z557" s="228"/>
    </row>
    <row r="558" spans="3:40" x14ac:dyDescent="0.3">
      <c r="C558" s="99"/>
      <c r="J558" s="163"/>
      <c r="K558" s="163"/>
      <c r="T558" s="99"/>
      <c r="V558" s="110"/>
      <c r="W558" s="110"/>
      <c r="X558" s="110"/>
      <c r="Y558" s="110"/>
      <c r="Z558" s="228"/>
    </row>
    <row r="559" spans="3:40" x14ac:dyDescent="0.3">
      <c r="C559" s="99"/>
      <c r="F559" s="172"/>
      <c r="H559" s="172"/>
      <c r="I559" s="172"/>
      <c r="J559" s="228"/>
      <c r="K559" s="228"/>
      <c r="L559" s="110"/>
      <c r="M559" s="110"/>
      <c r="N559" s="141"/>
      <c r="O559" s="141"/>
      <c r="P559" s="110"/>
      <c r="Q559" s="110"/>
      <c r="R559" s="110"/>
      <c r="T559" s="99"/>
      <c r="V559" s="110"/>
      <c r="W559" s="110"/>
      <c r="X559" s="110"/>
      <c r="Y559" s="110"/>
      <c r="Z559" s="228"/>
      <c r="AA559" s="110"/>
      <c r="AB559" s="110"/>
      <c r="AC559" s="141"/>
      <c r="AD559" s="141"/>
      <c r="AE559" s="110"/>
      <c r="AF559" s="110"/>
      <c r="AH559" s="207"/>
      <c r="AI559" s="110"/>
      <c r="AJ559" s="110"/>
      <c r="AL559" s="110"/>
      <c r="AM559" s="141"/>
      <c r="AN559" s="141"/>
    </row>
    <row r="560" spans="3:40" x14ac:dyDescent="0.3">
      <c r="C560" s="99"/>
      <c r="J560" s="163"/>
      <c r="K560" s="163"/>
      <c r="T560" s="99"/>
      <c r="V560" s="110"/>
      <c r="W560" s="110"/>
      <c r="X560" s="110"/>
      <c r="Y560" s="110"/>
      <c r="Z560" s="228"/>
    </row>
    <row r="561" spans="3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141"/>
      <c r="AN561" s="141"/>
    </row>
    <row r="562" spans="3:40" x14ac:dyDescent="0.3">
      <c r="F562" s="192"/>
      <c r="H562" s="192"/>
      <c r="I562" s="192"/>
      <c r="J562" s="228"/>
      <c r="K562" s="228"/>
      <c r="L562" s="192"/>
      <c r="M562" s="192"/>
      <c r="N562" s="192"/>
      <c r="O562" s="192"/>
      <c r="P562" s="192"/>
      <c r="Q562" s="192"/>
      <c r="R562" s="192"/>
      <c r="V562" s="192"/>
      <c r="Y562" s="192"/>
      <c r="Z562" s="217"/>
      <c r="AA562" s="192"/>
      <c r="AB562" s="192"/>
      <c r="AC562" s="192"/>
      <c r="AD562" s="192"/>
      <c r="AE562" s="192"/>
      <c r="AF562" s="192"/>
      <c r="AI562" s="192"/>
      <c r="AJ562" s="192"/>
      <c r="AK562" s="194"/>
      <c r="AL562" s="192"/>
    </row>
    <row r="563" spans="3:40" x14ac:dyDescent="0.3">
      <c r="C563" s="99"/>
      <c r="F563" s="110"/>
      <c r="H563" s="110"/>
      <c r="I563" s="110"/>
      <c r="L563" s="110"/>
      <c r="M563" s="110"/>
      <c r="N563" s="141"/>
      <c r="O563" s="141"/>
      <c r="P563" s="172"/>
      <c r="Q563" s="172"/>
      <c r="R563" s="110"/>
      <c r="T563" s="99"/>
      <c r="V563" s="110"/>
      <c r="W563" s="110"/>
      <c r="X563" s="110"/>
      <c r="Y563" s="110"/>
      <c r="Z563" s="227"/>
      <c r="AA563" s="110"/>
      <c r="AB563" s="110"/>
      <c r="AC563" s="141"/>
      <c r="AD563" s="141"/>
      <c r="AE563" s="110"/>
      <c r="AF563" s="110"/>
      <c r="AH563" s="207"/>
      <c r="AI563" s="172"/>
      <c r="AJ563" s="172"/>
      <c r="AL563" s="110"/>
      <c r="AM563" s="141"/>
      <c r="AN563" s="141"/>
    </row>
    <row r="564" spans="3:40" x14ac:dyDescent="0.3">
      <c r="F564" s="192"/>
      <c r="H564" s="192"/>
      <c r="I564" s="192"/>
      <c r="J564" s="217"/>
      <c r="K564" s="217"/>
      <c r="L564" s="192"/>
      <c r="M564" s="192"/>
      <c r="N564" s="192"/>
      <c r="O564" s="192"/>
      <c r="P564" s="192"/>
      <c r="Q564" s="192"/>
      <c r="R564" s="192"/>
      <c r="V564" s="192"/>
      <c r="Y564" s="192"/>
      <c r="Z564" s="217"/>
      <c r="AA564" s="192"/>
      <c r="AB564" s="192"/>
      <c r="AC564" s="192"/>
      <c r="AD564" s="192"/>
      <c r="AE564" s="192"/>
      <c r="AF564" s="192"/>
      <c r="AI564" s="192"/>
      <c r="AJ564" s="192"/>
      <c r="AK564" s="194"/>
      <c r="AL564" s="192"/>
    </row>
    <row r="565" spans="3:40" x14ac:dyDescent="0.3">
      <c r="C565" s="99"/>
      <c r="D565" s="99"/>
      <c r="E565" s="99"/>
      <c r="T565" s="99"/>
      <c r="U565" s="99"/>
      <c r="V565" s="110"/>
      <c r="W565" s="110"/>
      <c r="X565" s="110"/>
      <c r="Y565" s="110"/>
      <c r="Z565" s="227"/>
    </row>
    <row r="566" spans="3:40" x14ac:dyDescent="0.3">
      <c r="C566" s="99"/>
      <c r="T566" s="99"/>
      <c r="V566" s="110"/>
      <c r="W566" s="110"/>
      <c r="X566" s="110"/>
      <c r="Y566" s="110"/>
      <c r="Z566" s="227"/>
    </row>
    <row r="567" spans="3:40" x14ac:dyDescent="0.3">
      <c r="C567" s="99"/>
      <c r="F567" s="172"/>
      <c r="H567" s="172"/>
      <c r="I567" s="172"/>
      <c r="J567" s="227"/>
      <c r="K567" s="227"/>
      <c r="L567" s="110"/>
      <c r="M567" s="110"/>
      <c r="N567" s="141"/>
      <c r="O567" s="141"/>
      <c r="P567" s="110"/>
      <c r="Q567" s="110"/>
      <c r="R567" s="110"/>
      <c r="T567" s="99"/>
      <c r="V567" s="110"/>
      <c r="W567" s="110"/>
      <c r="X567" s="110"/>
      <c r="Y567" s="110"/>
      <c r="Z567" s="227"/>
      <c r="AA567" s="110"/>
      <c r="AB567" s="110"/>
      <c r="AC567" s="141"/>
      <c r="AD567" s="141"/>
      <c r="AE567" s="110"/>
      <c r="AF567" s="110"/>
      <c r="AH567" s="207"/>
      <c r="AI567" s="110"/>
      <c r="AJ567" s="110"/>
      <c r="AL567" s="110"/>
      <c r="AM567" s="141"/>
      <c r="AN567" s="141"/>
    </row>
    <row r="568" spans="3:40" x14ac:dyDescent="0.3">
      <c r="C568" s="99"/>
      <c r="T568" s="99"/>
      <c r="V568" s="110"/>
      <c r="W568" s="110"/>
      <c r="X568" s="110"/>
      <c r="Y568" s="110"/>
      <c r="Z568" s="227"/>
    </row>
    <row r="569" spans="3:40" x14ac:dyDescent="0.3">
      <c r="C569" s="99"/>
      <c r="F569" s="172"/>
      <c r="H569" s="172"/>
      <c r="I569" s="172"/>
      <c r="J569" s="227"/>
      <c r="K569" s="227"/>
      <c r="L569" s="110"/>
      <c r="M569" s="110"/>
      <c r="N569" s="141"/>
      <c r="O569" s="141"/>
      <c r="P569" s="110"/>
      <c r="Q569" s="110"/>
      <c r="R569" s="110"/>
      <c r="T569" s="99"/>
      <c r="V569" s="110"/>
      <c r="W569" s="110"/>
      <c r="X569" s="110"/>
      <c r="Y569" s="110"/>
      <c r="Z569" s="227"/>
      <c r="AA569" s="110"/>
      <c r="AB569" s="110"/>
      <c r="AC569" s="141"/>
      <c r="AD569" s="141"/>
      <c r="AE569" s="110"/>
      <c r="AF569" s="110"/>
      <c r="AH569" s="207"/>
      <c r="AI569" s="110"/>
      <c r="AJ569" s="110"/>
      <c r="AL569" s="110"/>
      <c r="AM569" s="141"/>
      <c r="AN569" s="141"/>
    </row>
    <row r="570" spans="3:40" x14ac:dyDescent="0.3">
      <c r="C570" s="99"/>
      <c r="T570" s="99"/>
      <c r="V570" s="110"/>
      <c r="W570" s="110"/>
      <c r="X570" s="110"/>
      <c r="Y570" s="110"/>
      <c r="Z570" s="227"/>
    </row>
    <row r="571" spans="3:40" x14ac:dyDescent="0.3">
      <c r="C571" s="99"/>
      <c r="F571" s="172"/>
      <c r="H571" s="172"/>
      <c r="I571" s="172"/>
      <c r="J571" s="227"/>
      <c r="K571" s="227"/>
      <c r="L571" s="110"/>
      <c r="M571" s="110"/>
      <c r="N571" s="141"/>
      <c r="O571" s="141"/>
      <c r="P571" s="110"/>
      <c r="Q571" s="110"/>
      <c r="R571" s="110"/>
      <c r="T571" s="99"/>
      <c r="V571" s="110"/>
      <c r="W571" s="110"/>
      <c r="X571" s="110"/>
      <c r="Y571" s="110"/>
      <c r="Z571" s="227"/>
      <c r="AA571" s="110"/>
      <c r="AB571" s="110"/>
      <c r="AC571" s="141"/>
      <c r="AD571" s="141"/>
      <c r="AE571" s="110"/>
      <c r="AF571" s="110"/>
      <c r="AH571" s="207"/>
      <c r="AI571" s="110"/>
      <c r="AJ571" s="110"/>
      <c r="AL571" s="110"/>
      <c r="AM571" s="141"/>
      <c r="AN571" s="141"/>
    </row>
    <row r="572" spans="3:40" x14ac:dyDescent="0.3">
      <c r="C572" s="99"/>
      <c r="T572" s="99"/>
      <c r="V572" s="110"/>
      <c r="W572" s="110"/>
      <c r="X572" s="110"/>
      <c r="Y572" s="110"/>
      <c r="Z572" s="227"/>
    </row>
    <row r="573" spans="3:40" x14ac:dyDescent="0.3">
      <c r="C573" s="99"/>
      <c r="F573" s="172"/>
      <c r="H573" s="172"/>
      <c r="I573" s="172"/>
      <c r="J573" s="227"/>
      <c r="K573" s="227"/>
      <c r="L573" s="110"/>
      <c r="M573" s="110"/>
      <c r="N573" s="141"/>
      <c r="O573" s="141"/>
      <c r="P573" s="110"/>
      <c r="Q573" s="110"/>
      <c r="R573" s="110"/>
      <c r="T573" s="99"/>
      <c r="V573" s="110"/>
      <c r="W573" s="110"/>
      <c r="X573" s="110"/>
      <c r="Y573" s="110"/>
      <c r="Z573" s="227"/>
      <c r="AA573" s="110"/>
      <c r="AB573" s="110"/>
      <c r="AC573" s="141"/>
      <c r="AD573" s="141"/>
      <c r="AE573" s="110"/>
      <c r="AF573" s="110"/>
      <c r="AH573" s="207"/>
      <c r="AI573" s="110"/>
      <c r="AJ573" s="110"/>
      <c r="AL573" s="110"/>
      <c r="AM573" s="141"/>
      <c r="AN573" s="141"/>
    </row>
    <row r="574" spans="3:40" x14ac:dyDescent="0.3">
      <c r="F574" s="192"/>
      <c r="H574" s="192"/>
      <c r="I574" s="192"/>
      <c r="J574" s="217"/>
      <c r="K574" s="217"/>
      <c r="L574" s="192"/>
      <c r="M574" s="192"/>
      <c r="N574" s="192"/>
      <c r="O574" s="192"/>
      <c r="P574" s="192"/>
      <c r="Q574" s="192"/>
      <c r="R574" s="192"/>
      <c r="V574" s="192"/>
      <c r="Y574" s="192"/>
      <c r="Z574" s="217"/>
      <c r="AA574" s="192"/>
      <c r="AB574" s="192"/>
      <c r="AC574" s="192"/>
      <c r="AD574" s="192"/>
      <c r="AE574" s="192"/>
      <c r="AF574" s="192"/>
      <c r="AI574" s="192"/>
      <c r="AJ574" s="192"/>
      <c r="AK574" s="194"/>
      <c r="AL574" s="192"/>
    </row>
    <row r="575" spans="3:40" x14ac:dyDescent="0.3">
      <c r="C575" s="99"/>
      <c r="F575" s="110"/>
      <c r="H575" s="110"/>
      <c r="I575" s="110"/>
      <c r="L575" s="110"/>
      <c r="M575" s="110"/>
      <c r="N575" s="141"/>
      <c r="O575" s="141"/>
      <c r="P575" s="172"/>
      <c r="Q575" s="172"/>
      <c r="R575" s="110"/>
      <c r="T575" s="99"/>
      <c r="V575" s="110"/>
      <c r="W575" s="110"/>
      <c r="X575" s="110"/>
      <c r="Y575" s="110"/>
      <c r="Z575" s="227"/>
      <c r="AA575" s="110"/>
      <c r="AB575" s="110"/>
      <c r="AC575" s="141"/>
      <c r="AD575" s="141"/>
      <c r="AE575" s="110"/>
      <c r="AF575" s="110"/>
      <c r="AH575" s="207"/>
      <c r="AI575" s="172"/>
      <c r="AJ575" s="172"/>
      <c r="AL575" s="110"/>
      <c r="AM575" s="141"/>
      <c r="AN575" s="141"/>
    </row>
    <row r="576" spans="3:40" x14ac:dyDescent="0.3">
      <c r="F576" s="192"/>
      <c r="H576" s="192"/>
      <c r="I576" s="192"/>
      <c r="J576" s="217"/>
      <c r="K576" s="217"/>
      <c r="L576" s="192"/>
      <c r="M576" s="192"/>
      <c r="N576" s="192"/>
      <c r="O576" s="192"/>
      <c r="P576" s="192"/>
      <c r="Q576" s="192"/>
      <c r="R576" s="192"/>
      <c r="V576" s="192"/>
      <c r="Y576" s="192"/>
      <c r="Z576" s="217"/>
      <c r="AA576" s="192"/>
      <c r="AB576" s="192"/>
      <c r="AC576" s="192"/>
      <c r="AD576" s="192"/>
      <c r="AE576" s="192"/>
      <c r="AF576" s="192"/>
      <c r="AI576" s="192"/>
      <c r="AJ576" s="192"/>
      <c r="AK576" s="194"/>
      <c r="AL576" s="192"/>
    </row>
    <row r="577" spans="1:40" x14ac:dyDescent="0.3">
      <c r="C577" s="99"/>
      <c r="F577" s="110"/>
      <c r="H577" s="110"/>
      <c r="I577" s="110"/>
      <c r="L577" s="110"/>
      <c r="M577" s="110"/>
      <c r="N577" s="141"/>
      <c r="O577" s="141"/>
      <c r="P577" s="110"/>
      <c r="Q577" s="110"/>
      <c r="R577" s="110"/>
      <c r="T577" s="99"/>
      <c r="V577" s="110"/>
      <c r="W577" s="110"/>
      <c r="X577" s="110"/>
      <c r="Y577" s="110"/>
      <c r="AA577" s="110"/>
      <c r="AB577" s="110"/>
      <c r="AC577" s="141"/>
      <c r="AD577" s="141"/>
      <c r="AE577" s="110"/>
      <c r="AF577" s="110"/>
      <c r="AH577" s="207"/>
      <c r="AI577" s="110"/>
      <c r="AJ577" s="110"/>
      <c r="AL577" s="110"/>
      <c r="AM577" s="207"/>
      <c r="AN577" s="207"/>
    </row>
    <row r="578" spans="1:40" x14ac:dyDescent="0.3">
      <c r="F578" s="192"/>
      <c r="H578" s="192"/>
      <c r="I578" s="192"/>
      <c r="J578" s="217"/>
      <c r="K578" s="217"/>
      <c r="L578" s="192"/>
      <c r="M578" s="192"/>
      <c r="N578" s="192"/>
      <c r="O578" s="192"/>
      <c r="P578" s="192"/>
      <c r="Q578" s="192"/>
      <c r="R578" s="192"/>
      <c r="V578" s="192"/>
      <c r="Y578" s="192"/>
      <c r="Z578" s="217"/>
      <c r="AA578" s="192"/>
      <c r="AB578" s="192"/>
      <c r="AC578" s="192"/>
      <c r="AD578" s="192"/>
      <c r="AE578" s="192"/>
      <c r="AF578" s="192"/>
      <c r="AI578" s="192"/>
      <c r="AJ578" s="192"/>
      <c r="AK578" s="194"/>
      <c r="AL578" s="192"/>
    </row>
    <row r="581" spans="1:40" x14ac:dyDescent="0.3">
      <c r="A581" s="99"/>
    </row>
    <row r="583" spans="1:40" x14ac:dyDescent="0.3">
      <c r="H583" s="99"/>
      <c r="I583" s="99"/>
      <c r="Y583" s="99"/>
    </row>
    <row r="585" spans="1:40" x14ac:dyDescent="0.3">
      <c r="L585" s="99"/>
      <c r="M585" s="99"/>
      <c r="AA585" s="99"/>
      <c r="AB585" s="99"/>
    </row>
    <row r="586" spans="1:40" x14ac:dyDescent="0.3">
      <c r="R586" s="99"/>
      <c r="AK586" s="190"/>
      <c r="AL586" s="99"/>
    </row>
    <row r="587" spans="1:40" x14ac:dyDescent="0.3">
      <c r="R587" s="99"/>
      <c r="AK587" s="190"/>
      <c r="AL587" s="99"/>
    </row>
    <row r="588" spans="1:40" x14ac:dyDescent="0.3">
      <c r="A588" s="99"/>
      <c r="R588" s="99"/>
      <c r="AK588" s="190"/>
      <c r="AL588" s="99"/>
    </row>
    <row r="589" spans="1:40" x14ac:dyDescent="0.3">
      <c r="L589" s="99"/>
      <c r="M589" s="99"/>
      <c r="AA589" s="99"/>
      <c r="AB589" s="99"/>
    </row>
    <row r="590" spans="1:40" x14ac:dyDescent="0.3">
      <c r="A590" s="101"/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T590" s="101"/>
      <c r="U590" s="101"/>
      <c r="V590" s="101"/>
      <c r="W590" s="101"/>
      <c r="X590" s="101"/>
      <c r="Y590" s="101"/>
      <c r="Z590" s="101"/>
      <c r="AA590" s="101"/>
      <c r="AB590" s="101"/>
      <c r="AC590" s="101"/>
      <c r="AD590" s="101"/>
      <c r="AE590" s="101"/>
      <c r="AF590" s="101"/>
      <c r="AG590" s="191"/>
      <c r="AH590" s="101"/>
      <c r="AI590" s="101"/>
      <c r="AJ590" s="101"/>
      <c r="AK590" s="191"/>
      <c r="AL590" s="101"/>
      <c r="AM590" s="101"/>
      <c r="AN590" s="101"/>
    </row>
    <row r="591" spans="1:40" x14ac:dyDescent="0.3">
      <c r="L591" s="102"/>
      <c r="M591" s="102"/>
      <c r="N591" s="102"/>
      <c r="O591" s="102"/>
      <c r="R591" s="102"/>
      <c r="AA591" s="102"/>
      <c r="AB591" s="102"/>
      <c r="AC591" s="102"/>
      <c r="AD591" s="102"/>
      <c r="AE591" s="102"/>
      <c r="AF591" s="102"/>
      <c r="AG591" s="151"/>
      <c r="AH591" s="102"/>
      <c r="AK591" s="151"/>
      <c r="AL591" s="102"/>
      <c r="AM591" s="102"/>
      <c r="AN591" s="102"/>
    </row>
    <row r="592" spans="1:40" x14ac:dyDescent="0.3">
      <c r="L592" s="102"/>
      <c r="M592" s="102"/>
      <c r="N592" s="102"/>
      <c r="O592" s="102"/>
      <c r="R592" s="102"/>
      <c r="Z592" s="102"/>
      <c r="AA592" s="102"/>
      <c r="AB592" s="102"/>
      <c r="AC592" s="102"/>
      <c r="AD592" s="102"/>
      <c r="AE592" s="102"/>
      <c r="AF592" s="102"/>
      <c r="AG592" s="151"/>
      <c r="AH592" s="102"/>
      <c r="AK592" s="151"/>
      <c r="AL592" s="102"/>
      <c r="AM592" s="102"/>
      <c r="AN592" s="102"/>
    </row>
    <row r="593" spans="1:40" x14ac:dyDescent="0.3">
      <c r="A593" s="102"/>
      <c r="C593" s="102"/>
      <c r="D593" s="102"/>
      <c r="E593" s="102"/>
      <c r="F593" s="102"/>
      <c r="J593" s="102"/>
      <c r="K593" s="102"/>
      <c r="L593" s="102"/>
      <c r="M593" s="102"/>
      <c r="N593" s="102"/>
      <c r="O593" s="102"/>
      <c r="P593" s="102"/>
      <c r="Q593" s="102"/>
      <c r="R593" s="102"/>
      <c r="T593" s="102"/>
      <c r="U593" s="102"/>
      <c r="V593" s="102"/>
      <c r="Z593" s="102"/>
      <c r="AA593" s="102"/>
      <c r="AB593" s="102"/>
      <c r="AC593" s="102"/>
      <c r="AD593" s="102"/>
      <c r="AE593" s="102"/>
      <c r="AF593" s="102"/>
      <c r="AG593" s="151"/>
      <c r="AH593" s="102"/>
      <c r="AI593" s="102"/>
      <c r="AJ593" s="102"/>
      <c r="AK593" s="151"/>
      <c r="AL593" s="102"/>
      <c r="AM593" s="102"/>
      <c r="AN593" s="102"/>
    </row>
    <row r="594" spans="1:40" x14ac:dyDescent="0.3">
      <c r="A594" s="102"/>
      <c r="C594" s="102"/>
      <c r="D594" s="102"/>
      <c r="E594" s="102"/>
      <c r="F594" s="102"/>
      <c r="H594" s="102"/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T594" s="102"/>
      <c r="U594" s="102"/>
      <c r="V594" s="102"/>
      <c r="Y594" s="102"/>
      <c r="Z594" s="102"/>
      <c r="AA594" s="102"/>
      <c r="AB594" s="102"/>
      <c r="AC594" s="102"/>
      <c r="AD594" s="102"/>
      <c r="AE594" s="102"/>
      <c r="AF594" s="102"/>
      <c r="AG594" s="151"/>
      <c r="AH594" s="102"/>
      <c r="AI594" s="102"/>
      <c r="AJ594" s="102"/>
      <c r="AK594" s="151"/>
      <c r="AL594" s="102"/>
      <c r="AM594" s="102"/>
      <c r="AN594" s="102"/>
    </row>
    <row r="595" spans="1:40" x14ac:dyDescent="0.3">
      <c r="C595" s="102"/>
      <c r="D595" s="102"/>
      <c r="E595" s="102"/>
      <c r="F595" s="102"/>
      <c r="H595" s="102"/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T595" s="102"/>
      <c r="U595" s="102"/>
      <c r="V595" s="102"/>
      <c r="Y595" s="102"/>
      <c r="Z595" s="102"/>
      <c r="AA595" s="102"/>
      <c r="AB595" s="102"/>
      <c r="AC595" s="102"/>
      <c r="AD595" s="102"/>
      <c r="AE595" s="102"/>
      <c r="AF595" s="102"/>
      <c r="AG595" s="151"/>
      <c r="AH595" s="102"/>
      <c r="AI595" s="102"/>
      <c r="AJ595" s="102"/>
      <c r="AK595" s="151"/>
      <c r="AL595" s="102"/>
      <c r="AM595" s="102"/>
      <c r="AN595" s="102"/>
    </row>
    <row r="596" spans="1:40" x14ac:dyDescent="0.3">
      <c r="A596" s="101"/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T596" s="101"/>
      <c r="U596" s="101"/>
      <c r="V596" s="101"/>
      <c r="W596" s="101"/>
      <c r="X596" s="101"/>
      <c r="Y596" s="101"/>
      <c r="Z596" s="101"/>
      <c r="AA596" s="101"/>
      <c r="AB596" s="101"/>
      <c r="AC596" s="101"/>
      <c r="AD596" s="101"/>
      <c r="AE596" s="101"/>
      <c r="AF596" s="101"/>
      <c r="AG596" s="191"/>
      <c r="AH596" s="101"/>
      <c r="AI596" s="101"/>
      <c r="AJ596" s="101"/>
      <c r="AK596" s="191"/>
      <c r="AL596" s="101"/>
      <c r="AM596" s="101"/>
      <c r="AN596" s="101"/>
    </row>
    <row r="597" spans="1:40" x14ac:dyDescent="0.3">
      <c r="H597" s="102"/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Y597" s="102"/>
      <c r="Z597" s="102"/>
      <c r="AA597" s="102"/>
      <c r="AB597" s="102"/>
      <c r="AC597" s="102"/>
      <c r="AD597" s="102"/>
      <c r="AE597" s="102"/>
      <c r="AF597" s="102"/>
      <c r="AG597" s="151"/>
      <c r="AH597" s="102"/>
      <c r="AI597" s="102"/>
      <c r="AJ597" s="102"/>
      <c r="AK597" s="151"/>
      <c r="AL597" s="102"/>
      <c r="AM597" s="102"/>
      <c r="AN597" s="102"/>
    </row>
    <row r="598" spans="1:40" x14ac:dyDescent="0.3">
      <c r="C598" s="99"/>
      <c r="D598" s="99"/>
      <c r="E598" s="99"/>
      <c r="F598" s="110"/>
      <c r="H598" s="110"/>
      <c r="I598" s="110"/>
      <c r="J598" s="198"/>
      <c r="K598" s="198"/>
      <c r="L598" s="110"/>
      <c r="M598" s="110"/>
      <c r="N598" s="198"/>
      <c r="O598" s="198"/>
      <c r="P598" s="110"/>
      <c r="Q598" s="110"/>
      <c r="R598" s="110"/>
      <c r="T598" s="99"/>
      <c r="U598" s="99"/>
      <c r="V598" s="110"/>
      <c r="Y598" s="110"/>
      <c r="Z598" s="198"/>
      <c r="AA598" s="110"/>
      <c r="AB598" s="110"/>
      <c r="AC598" s="198"/>
      <c r="AD598" s="198"/>
      <c r="AE598" s="110"/>
      <c r="AF598" s="110"/>
      <c r="AH598" s="207"/>
      <c r="AI598" s="110"/>
      <c r="AJ598" s="110"/>
      <c r="AL598" s="110"/>
      <c r="AM598" s="141"/>
      <c r="AN598" s="141"/>
    </row>
    <row r="599" spans="1:40" x14ac:dyDescent="0.3">
      <c r="F599" s="192"/>
      <c r="H599" s="192"/>
      <c r="I599" s="192"/>
      <c r="J599" s="217"/>
      <c r="K599" s="217"/>
      <c r="L599" s="192"/>
      <c r="M599" s="192"/>
      <c r="N599" s="192"/>
      <c r="O599" s="192"/>
      <c r="P599" s="192"/>
      <c r="Q599" s="192"/>
      <c r="R599" s="192"/>
      <c r="V599" s="192"/>
      <c r="Y599" s="192"/>
      <c r="Z599" s="217"/>
      <c r="AA599" s="192"/>
      <c r="AB599" s="192"/>
      <c r="AC599" s="192"/>
      <c r="AD599" s="192"/>
      <c r="AE599" s="192"/>
      <c r="AF599" s="192"/>
      <c r="AI599" s="192"/>
      <c r="AJ599" s="192"/>
      <c r="AK599" s="194"/>
      <c r="AL599" s="192"/>
      <c r="AM599" s="141"/>
      <c r="AN599" s="141"/>
    </row>
    <row r="600" spans="1:40" x14ac:dyDescent="0.3">
      <c r="C600" s="99"/>
      <c r="F600" s="110"/>
      <c r="H600" s="110"/>
      <c r="I600" s="110"/>
      <c r="J600" s="198"/>
      <c r="K600" s="198"/>
      <c r="L600" s="110"/>
      <c r="M600" s="110"/>
      <c r="N600" s="198"/>
      <c r="O600" s="198"/>
      <c r="P600" s="110"/>
      <c r="Q600" s="110"/>
      <c r="R600" s="110"/>
      <c r="T600" s="99"/>
      <c r="V600" s="110"/>
      <c r="Y600" s="110"/>
      <c r="Z600" s="198"/>
      <c r="AA600" s="110"/>
      <c r="AB600" s="110"/>
      <c r="AC600" s="198"/>
      <c r="AD600" s="198"/>
      <c r="AE600" s="110"/>
      <c r="AF600" s="110"/>
      <c r="AH600" s="207"/>
      <c r="AI600" s="110"/>
      <c r="AJ600" s="110"/>
      <c r="AL600" s="110"/>
      <c r="AM600" s="141"/>
      <c r="AN600" s="141"/>
    </row>
    <row r="601" spans="1:40" x14ac:dyDescent="0.3">
      <c r="F601" s="110"/>
      <c r="H601" s="110"/>
      <c r="I601" s="110"/>
      <c r="J601" s="198"/>
      <c r="K601" s="198"/>
      <c r="L601" s="110"/>
      <c r="M601" s="110"/>
      <c r="N601" s="198"/>
      <c r="O601" s="198"/>
      <c r="P601" s="110"/>
      <c r="Q601" s="110"/>
      <c r="R601" s="110"/>
      <c r="V601" s="110"/>
      <c r="Y601" s="110"/>
      <c r="Z601" s="198"/>
      <c r="AA601" s="110"/>
      <c r="AB601" s="110"/>
      <c r="AC601" s="198"/>
      <c r="AD601" s="198"/>
      <c r="AH601" s="207"/>
      <c r="AI601" s="110"/>
      <c r="AJ601" s="110"/>
      <c r="AL601" s="110"/>
      <c r="AM601" s="141"/>
      <c r="AN601" s="141"/>
    </row>
    <row r="602" spans="1:40" x14ac:dyDescent="0.3">
      <c r="C602" s="99"/>
      <c r="D602" s="99"/>
      <c r="E602" s="99"/>
      <c r="F602" s="110"/>
      <c r="H602" s="110"/>
      <c r="I602" s="110"/>
      <c r="J602" s="198"/>
      <c r="K602" s="198"/>
      <c r="L602" s="110"/>
      <c r="M602" s="110"/>
      <c r="N602" s="198"/>
      <c r="O602" s="198"/>
      <c r="P602" s="110"/>
      <c r="Q602" s="110"/>
      <c r="R602" s="110"/>
      <c r="T602" s="99"/>
      <c r="U602" s="99"/>
      <c r="V602" s="110"/>
      <c r="Y602" s="110"/>
      <c r="Z602" s="198"/>
      <c r="AA602" s="110"/>
      <c r="AB602" s="110"/>
      <c r="AC602" s="198"/>
      <c r="AD602" s="198"/>
      <c r="AE602" s="110"/>
      <c r="AF602" s="110"/>
      <c r="AH602" s="207"/>
      <c r="AI602" s="110"/>
      <c r="AJ602" s="110"/>
      <c r="AL602" s="110"/>
      <c r="AM602" s="141"/>
      <c r="AN602" s="141"/>
    </row>
    <row r="603" spans="1:40" x14ac:dyDescent="0.3">
      <c r="C603" s="99"/>
      <c r="D603" s="99"/>
      <c r="E603" s="99"/>
      <c r="F603" s="110"/>
      <c r="H603" s="110"/>
      <c r="I603" s="110"/>
      <c r="J603" s="198"/>
      <c r="K603" s="198"/>
      <c r="L603" s="110"/>
      <c r="M603" s="110"/>
      <c r="N603" s="198"/>
      <c r="O603" s="198"/>
      <c r="P603" s="110"/>
      <c r="Q603" s="110"/>
      <c r="R603" s="110"/>
      <c r="T603" s="99"/>
      <c r="U603" s="99"/>
      <c r="V603" s="110"/>
      <c r="Y603" s="110"/>
      <c r="Z603" s="198"/>
      <c r="AA603" s="110"/>
      <c r="AB603" s="110"/>
      <c r="AC603" s="198"/>
      <c r="AD603" s="198"/>
      <c r="AE603" s="110"/>
      <c r="AF603" s="110"/>
      <c r="AH603" s="207"/>
      <c r="AI603" s="110"/>
      <c r="AJ603" s="110"/>
      <c r="AL603" s="110"/>
      <c r="AM603" s="141"/>
      <c r="AN603" s="141"/>
    </row>
    <row r="604" spans="1:40" x14ac:dyDescent="0.3">
      <c r="C604" s="99"/>
      <c r="D604" s="99"/>
      <c r="E604" s="99"/>
      <c r="F604" s="110"/>
      <c r="H604" s="110"/>
      <c r="I604" s="110"/>
      <c r="J604" s="198"/>
      <c r="K604" s="198"/>
      <c r="L604" s="110"/>
      <c r="M604" s="110"/>
      <c r="N604" s="198"/>
      <c r="O604" s="198"/>
      <c r="P604" s="110"/>
      <c r="Q604" s="110"/>
      <c r="R604" s="110"/>
      <c r="T604" s="99"/>
      <c r="U604" s="99"/>
      <c r="V604" s="110"/>
      <c r="Y604" s="110"/>
      <c r="Z604" s="198"/>
      <c r="AA604" s="110"/>
      <c r="AB604" s="110"/>
      <c r="AC604" s="198"/>
      <c r="AD604" s="198"/>
      <c r="AE604" s="110"/>
      <c r="AF604" s="110"/>
      <c r="AH604" s="207"/>
      <c r="AI604" s="110"/>
      <c r="AJ604" s="110"/>
      <c r="AL604" s="110"/>
      <c r="AM604" s="141"/>
      <c r="AN604" s="141"/>
    </row>
    <row r="605" spans="1:40" x14ac:dyDescent="0.3">
      <c r="C605" s="99"/>
      <c r="D605" s="99"/>
      <c r="E605" s="99"/>
      <c r="F605" s="110"/>
      <c r="H605" s="110"/>
      <c r="I605" s="110"/>
      <c r="J605" s="198"/>
      <c r="K605" s="198"/>
      <c r="L605" s="110"/>
      <c r="M605" s="110"/>
      <c r="N605" s="198"/>
      <c r="O605" s="198"/>
      <c r="P605" s="110"/>
      <c r="Q605" s="110"/>
      <c r="R605" s="110"/>
      <c r="T605" s="99"/>
      <c r="U605" s="99"/>
      <c r="V605" s="110"/>
      <c r="Y605" s="110"/>
      <c r="Z605" s="198"/>
      <c r="AA605" s="110"/>
      <c r="AB605" s="110"/>
      <c r="AC605" s="198"/>
      <c r="AD605" s="198"/>
      <c r="AE605" s="110"/>
      <c r="AF605" s="110"/>
      <c r="AH605" s="207"/>
      <c r="AI605" s="110"/>
      <c r="AJ605" s="110"/>
      <c r="AL605" s="110"/>
      <c r="AM605" s="141"/>
      <c r="AN605" s="141"/>
    </row>
    <row r="606" spans="1:40" x14ac:dyDescent="0.3">
      <c r="C606" s="99"/>
      <c r="D606" s="99"/>
      <c r="E606" s="99"/>
      <c r="F606" s="110"/>
      <c r="H606" s="110"/>
      <c r="I606" s="110"/>
      <c r="J606" s="198"/>
      <c r="K606" s="198"/>
      <c r="L606" s="110"/>
      <c r="M606" s="110"/>
      <c r="N606" s="198"/>
      <c r="O606" s="198"/>
      <c r="P606" s="110"/>
      <c r="Q606" s="110"/>
      <c r="R606" s="110"/>
      <c r="T606" s="99"/>
      <c r="U606" s="99"/>
      <c r="V606" s="110"/>
      <c r="Y606" s="110"/>
      <c r="Z606" s="198"/>
      <c r="AA606" s="110"/>
      <c r="AB606" s="110"/>
      <c r="AC606" s="198"/>
      <c r="AD606" s="198"/>
      <c r="AE606" s="110"/>
      <c r="AF606" s="110"/>
      <c r="AH606" s="207"/>
      <c r="AI606" s="110"/>
      <c r="AJ606" s="110"/>
      <c r="AL606" s="110"/>
      <c r="AM606" s="141"/>
      <c r="AN606" s="141"/>
    </row>
    <row r="607" spans="1:40" x14ac:dyDescent="0.3">
      <c r="C607" s="99"/>
      <c r="D607" s="99"/>
      <c r="E607" s="99"/>
      <c r="F607" s="110"/>
      <c r="H607" s="110"/>
      <c r="I607" s="110"/>
      <c r="J607" s="198"/>
      <c r="K607" s="198"/>
      <c r="L607" s="110"/>
      <c r="M607" s="110"/>
      <c r="N607" s="198"/>
      <c r="O607" s="198"/>
      <c r="P607" s="110"/>
      <c r="Q607" s="110"/>
      <c r="R607" s="110"/>
      <c r="T607" s="99"/>
      <c r="U607" s="99"/>
      <c r="V607" s="110"/>
      <c r="Y607" s="110"/>
      <c r="Z607" s="198"/>
      <c r="AA607" s="110"/>
      <c r="AB607" s="110"/>
      <c r="AC607" s="198"/>
      <c r="AD607" s="198"/>
      <c r="AE607" s="110"/>
      <c r="AF607" s="110"/>
      <c r="AH607" s="207"/>
      <c r="AI607" s="110"/>
      <c r="AJ607" s="110"/>
      <c r="AL607" s="110"/>
      <c r="AM607" s="141"/>
      <c r="AN607" s="141"/>
    </row>
    <row r="608" spans="1:40" x14ac:dyDescent="0.3">
      <c r="F608" s="192"/>
      <c r="H608" s="192"/>
      <c r="I608" s="192"/>
      <c r="J608" s="217"/>
      <c r="K608" s="217"/>
      <c r="L608" s="192"/>
      <c r="M608" s="192"/>
      <c r="N608" s="192"/>
      <c r="O608" s="192"/>
      <c r="P608" s="192"/>
      <c r="Q608" s="192"/>
      <c r="R608" s="192"/>
      <c r="V608" s="192"/>
      <c r="Y608" s="192"/>
      <c r="Z608" s="217"/>
      <c r="AA608" s="192"/>
      <c r="AB608" s="192"/>
      <c r="AC608" s="192"/>
      <c r="AD608" s="192"/>
      <c r="AE608" s="192"/>
      <c r="AF608" s="192"/>
      <c r="AI608" s="192"/>
      <c r="AJ608" s="192"/>
      <c r="AK608" s="194"/>
      <c r="AL608" s="192"/>
      <c r="AM608" s="141"/>
      <c r="AN608" s="141"/>
    </row>
    <row r="609" spans="3:40" x14ac:dyDescent="0.3">
      <c r="C609" s="99"/>
      <c r="F609" s="110"/>
      <c r="H609" s="110"/>
      <c r="I609" s="110"/>
      <c r="J609" s="198"/>
      <c r="K609" s="198"/>
      <c r="L609" s="110"/>
      <c r="M609" s="110"/>
      <c r="N609" s="198"/>
      <c r="O609" s="198"/>
      <c r="P609" s="110"/>
      <c r="Q609" s="110"/>
      <c r="R609" s="110"/>
      <c r="T609" s="99"/>
      <c r="V609" s="110"/>
      <c r="Y609" s="110"/>
      <c r="Z609" s="198"/>
      <c r="AA609" s="110"/>
      <c r="AB609" s="110"/>
      <c r="AC609" s="198"/>
      <c r="AD609" s="198"/>
      <c r="AE609" s="110"/>
      <c r="AF609" s="110"/>
      <c r="AH609" s="207"/>
      <c r="AI609" s="110"/>
      <c r="AJ609" s="110"/>
      <c r="AL609" s="110"/>
      <c r="AM609" s="141"/>
      <c r="AN609" s="141"/>
    </row>
    <row r="610" spans="3:40" x14ac:dyDescent="0.3">
      <c r="F610" s="110"/>
      <c r="H610" s="110"/>
      <c r="I610" s="110"/>
      <c r="J610" s="198"/>
      <c r="K610" s="198"/>
      <c r="L610" s="110"/>
      <c r="M610" s="110"/>
      <c r="N610" s="198"/>
      <c r="O610" s="198"/>
      <c r="P610" s="110"/>
      <c r="Q610" s="110"/>
      <c r="R610" s="110"/>
      <c r="V610" s="110"/>
      <c r="Y610" s="110"/>
      <c r="Z610" s="198"/>
      <c r="AA610" s="110"/>
      <c r="AB610" s="110"/>
      <c r="AC610" s="198"/>
      <c r="AD610" s="198"/>
      <c r="AH610" s="207"/>
      <c r="AI610" s="110"/>
      <c r="AJ610" s="110"/>
      <c r="AL610" s="110"/>
      <c r="AM610" s="141"/>
      <c r="AN610" s="141"/>
    </row>
    <row r="611" spans="3:40" x14ac:dyDescent="0.3">
      <c r="C611" s="99"/>
      <c r="D611" s="99"/>
      <c r="E611" s="99"/>
      <c r="F611" s="110"/>
      <c r="H611" s="110"/>
      <c r="I611" s="110"/>
      <c r="J611" s="198"/>
      <c r="K611" s="198"/>
      <c r="L611" s="110"/>
      <c r="M611" s="110"/>
      <c r="N611" s="198"/>
      <c r="O611" s="198"/>
      <c r="P611" s="110"/>
      <c r="Q611" s="110"/>
      <c r="R611" s="110"/>
      <c r="T611" s="99"/>
      <c r="U611" s="99"/>
      <c r="V611" s="110"/>
      <c r="Y611" s="110"/>
      <c r="Z611" s="198"/>
      <c r="AA611" s="110"/>
      <c r="AB611" s="110"/>
      <c r="AC611" s="198"/>
      <c r="AD611" s="198"/>
      <c r="AE611" s="110"/>
      <c r="AF611" s="110"/>
      <c r="AH611" s="207"/>
      <c r="AI611" s="110"/>
      <c r="AJ611" s="110"/>
      <c r="AL611" s="110"/>
      <c r="AM611" s="141"/>
      <c r="AN611" s="141"/>
    </row>
    <row r="612" spans="3:40" x14ac:dyDescent="0.3">
      <c r="F612" s="192"/>
      <c r="H612" s="192"/>
      <c r="I612" s="192"/>
      <c r="J612" s="217"/>
      <c r="K612" s="217"/>
      <c r="L612" s="192"/>
      <c r="M612" s="192"/>
      <c r="N612" s="192"/>
      <c r="O612" s="192"/>
      <c r="P612" s="192"/>
      <c r="Q612" s="192"/>
      <c r="R612" s="192"/>
      <c r="V612" s="192"/>
      <c r="Y612" s="192"/>
      <c r="Z612" s="217"/>
      <c r="AA612" s="192"/>
      <c r="AB612" s="192"/>
      <c r="AC612" s="192"/>
      <c r="AD612" s="192"/>
      <c r="AE612" s="192"/>
      <c r="AF612" s="192"/>
      <c r="AI612" s="192"/>
      <c r="AJ612" s="192"/>
      <c r="AK612" s="194"/>
      <c r="AL612" s="192"/>
      <c r="AM612" s="141"/>
      <c r="AN612" s="141"/>
    </row>
    <row r="613" spans="3:40" x14ac:dyDescent="0.3">
      <c r="C613" s="99"/>
      <c r="F613" s="110"/>
      <c r="H613" s="110"/>
      <c r="I613" s="110"/>
      <c r="J613" s="198"/>
      <c r="K613" s="198"/>
      <c r="L613" s="110"/>
      <c r="M613" s="110"/>
      <c r="N613" s="198"/>
      <c r="O613" s="198"/>
      <c r="P613" s="110"/>
      <c r="Q613" s="110"/>
      <c r="R613" s="110"/>
      <c r="T613" s="99"/>
      <c r="V613" s="110"/>
      <c r="Y613" s="110"/>
      <c r="Z613" s="198"/>
      <c r="AA613" s="110"/>
      <c r="AB613" s="110"/>
      <c r="AC613" s="198"/>
      <c r="AD613" s="198"/>
      <c r="AE613" s="110"/>
      <c r="AF613" s="110"/>
      <c r="AH613" s="207"/>
      <c r="AI613" s="110"/>
      <c r="AJ613" s="110"/>
      <c r="AL613" s="110"/>
      <c r="AM613" s="141"/>
      <c r="AN613" s="141"/>
    </row>
    <row r="614" spans="3:40" x14ac:dyDescent="0.3">
      <c r="F614" s="110"/>
      <c r="H614" s="110"/>
      <c r="I614" s="110"/>
      <c r="J614" s="198"/>
      <c r="K614" s="198"/>
      <c r="L614" s="110"/>
      <c r="M614" s="110"/>
      <c r="N614" s="198"/>
      <c r="O614" s="198"/>
      <c r="P614" s="110"/>
      <c r="Q614" s="110"/>
      <c r="R614" s="110"/>
      <c r="V614" s="110"/>
      <c r="Y614" s="110"/>
      <c r="Z614" s="198"/>
      <c r="AA614" s="110"/>
      <c r="AB614" s="110"/>
      <c r="AC614" s="198"/>
      <c r="AD614" s="198"/>
      <c r="AH614" s="207"/>
      <c r="AI614" s="110"/>
      <c r="AJ614" s="110"/>
      <c r="AL614" s="110"/>
      <c r="AM614" s="141"/>
      <c r="AN614" s="141"/>
    </row>
    <row r="615" spans="3:40" x14ac:dyDescent="0.3">
      <c r="C615" s="99"/>
      <c r="D615" s="99"/>
      <c r="E615" s="99"/>
      <c r="F615" s="110"/>
      <c r="H615" s="110"/>
      <c r="I615" s="110"/>
      <c r="J615" s="198"/>
      <c r="K615" s="198"/>
      <c r="L615" s="110"/>
      <c r="M615" s="110"/>
      <c r="N615" s="198"/>
      <c r="O615" s="198"/>
      <c r="P615" s="110"/>
      <c r="Q615" s="110"/>
      <c r="R615" s="110"/>
      <c r="T615" s="99"/>
      <c r="U615" s="99"/>
      <c r="V615" s="110"/>
      <c r="Y615" s="110"/>
      <c r="Z615" s="198"/>
      <c r="AA615" s="110"/>
      <c r="AB615" s="110"/>
      <c r="AC615" s="198"/>
      <c r="AD615" s="198"/>
      <c r="AE615" s="110"/>
      <c r="AF615" s="110"/>
      <c r="AH615" s="207"/>
      <c r="AI615" s="110"/>
      <c r="AJ615" s="110"/>
      <c r="AL615" s="110"/>
      <c r="AM615" s="141"/>
      <c r="AN615" s="141"/>
    </row>
    <row r="616" spans="3:40" x14ac:dyDescent="0.3">
      <c r="C616" s="99"/>
      <c r="D616" s="99"/>
      <c r="E616" s="99"/>
      <c r="F616" s="110"/>
      <c r="G616" s="110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U616" s="99"/>
      <c r="V616" s="110"/>
      <c r="W616" s="110"/>
      <c r="X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C617" s="99"/>
      <c r="D617" s="99"/>
      <c r="E617" s="99"/>
      <c r="F617" s="110"/>
      <c r="G617" s="110"/>
      <c r="H617" s="110"/>
      <c r="I617" s="110"/>
      <c r="J617" s="198"/>
      <c r="K617" s="198"/>
      <c r="L617" s="110"/>
      <c r="M617" s="110"/>
      <c r="N617" s="198"/>
      <c r="O617" s="198"/>
      <c r="P617" s="110"/>
      <c r="Q617" s="110"/>
      <c r="R617" s="110"/>
      <c r="T617" s="99"/>
      <c r="U617" s="99"/>
      <c r="V617" s="110"/>
      <c r="W617" s="110"/>
      <c r="X617" s="110"/>
      <c r="Y617" s="110"/>
      <c r="Z617" s="198"/>
      <c r="AA617" s="110"/>
      <c r="AB617" s="110"/>
      <c r="AC617" s="198"/>
      <c r="AD617" s="198"/>
      <c r="AE617" s="110"/>
      <c r="AF617" s="110"/>
      <c r="AH617" s="207"/>
      <c r="AI617" s="110"/>
      <c r="AJ617" s="110"/>
      <c r="AL617" s="110"/>
      <c r="AM617" s="141"/>
      <c r="AN617" s="141"/>
    </row>
    <row r="618" spans="3:40" x14ac:dyDescent="0.3">
      <c r="C618" s="99"/>
      <c r="D618" s="99"/>
      <c r="E618" s="99"/>
      <c r="F618" s="110"/>
      <c r="H618" s="110"/>
      <c r="I618" s="110"/>
      <c r="J618" s="198"/>
      <c r="K618" s="198"/>
      <c r="L618" s="110"/>
      <c r="M618" s="110"/>
      <c r="N618" s="198"/>
      <c r="O618" s="198"/>
      <c r="P618" s="110"/>
      <c r="Q618" s="110"/>
      <c r="R618" s="110"/>
      <c r="T618" s="99"/>
      <c r="U618" s="99"/>
      <c r="V618" s="110"/>
      <c r="Y618" s="110"/>
      <c r="Z618" s="198"/>
      <c r="AA618" s="110"/>
      <c r="AB618" s="110"/>
      <c r="AC618" s="198"/>
      <c r="AD618" s="198"/>
      <c r="AE618" s="110"/>
      <c r="AF618" s="110"/>
      <c r="AH618" s="207"/>
      <c r="AI618" s="110"/>
      <c r="AJ618" s="110"/>
      <c r="AL618" s="110"/>
      <c r="AM618" s="141"/>
      <c r="AN618" s="141"/>
    </row>
    <row r="619" spans="3:40" x14ac:dyDescent="0.3">
      <c r="C619" s="99"/>
      <c r="D619" s="99"/>
      <c r="E619" s="99"/>
      <c r="F619" s="110"/>
      <c r="H619" s="110"/>
      <c r="I619" s="110"/>
      <c r="J619" s="198"/>
      <c r="K619" s="198"/>
      <c r="L619" s="110"/>
      <c r="M619" s="110"/>
      <c r="N619" s="198"/>
      <c r="O619" s="198"/>
      <c r="P619" s="110"/>
      <c r="Q619" s="110"/>
      <c r="R619" s="110"/>
      <c r="T619" s="99"/>
      <c r="U619" s="99"/>
      <c r="V619" s="110"/>
      <c r="Y619" s="110"/>
      <c r="Z619" s="198"/>
      <c r="AA619" s="110"/>
      <c r="AB619" s="110"/>
      <c r="AC619" s="198"/>
      <c r="AD619" s="198"/>
      <c r="AE619" s="110"/>
      <c r="AF619" s="110"/>
      <c r="AH619" s="207"/>
      <c r="AI619" s="110"/>
      <c r="AJ619" s="110"/>
      <c r="AL619" s="110"/>
      <c r="AM619" s="141"/>
      <c r="AN619" s="141"/>
    </row>
    <row r="620" spans="3:40" x14ac:dyDescent="0.3">
      <c r="C620" s="99"/>
      <c r="D620" s="99"/>
      <c r="E620" s="99"/>
      <c r="F620" s="110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U620" s="99"/>
      <c r="V620" s="110"/>
      <c r="Y620" s="110"/>
      <c r="Z620" s="198"/>
      <c r="AA620" s="110"/>
      <c r="AB620" s="110"/>
      <c r="AC620" s="198"/>
      <c r="AD620" s="198"/>
      <c r="AE620" s="110"/>
      <c r="AF620" s="110"/>
      <c r="AH620" s="207"/>
      <c r="AI620" s="110"/>
      <c r="AJ620" s="110"/>
      <c r="AL620" s="110"/>
      <c r="AM620" s="141"/>
      <c r="AN620" s="141"/>
    </row>
    <row r="621" spans="3:40" x14ac:dyDescent="0.3">
      <c r="C621" s="99"/>
      <c r="D621" s="99"/>
      <c r="E621" s="99"/>
      <c r="F621" s="110"/>
      <c r="H621" s="110"/>
      <c r="I621" s="110"/>
      <c r="J621" s="198"/>
      <c r="K621" s="198"/>
      <c r="L621" s="110"/>
      <c r="M621" s="110"/>
      <c r="N621" s="198"/>
      <c r="O621" s="198"/>
      <c r="P621" s="110"/>
      <c r="Q621" s="110"/>
      <c r="R621" s="110"/>
      <c r="T621" s="99"/>
      <c r="U621" s="99"/>
      <c r="V621" s="110"/>
      <c r="Y621" s="110"/>
      <c r="Z621" s="198"/>
      <c r="AA621" s="110"/>
      <c r="AB621" s="110"/>
      <c r="AC621" s="198"/>
      <c r="AD621" s="198"/>
      <c r="AE621" s="110"/>
      <c r="AF621" s="110"/>
      <c r="AH621" s="207"/>
      <c r="AI621" s="110"/>
      <c r="AJ621" s="110"/>
      <c r="AL621" s="110"/>
      <c r="AM621" s="141"/>
      <c r="AN621" s="141"/>
    </row>
    <row r="622" spans="3:40" x14ac:dyDescent="0.3">
      <c r="F622" s="192"/>
      <c r="H622" s="192"/>
      <c r="I622" s="192"/>
      <c r="J622" s="217"/>
      <c r="K622" s="217"/>
      <c r="L622" s="192"/>
      <c r="M622" s="192"/>
      <c r="N622" s="192"/>
      <c r="O622" s="192"/>
      <c r="P622" s="192"/>
      <c r="Q622" s="192"/>
      <c r="R622" s="192"/>
      <c r="V622" s="192"/>
      <c r="Y622" s="192"/>
      <c r="Z622" s="217"/>
      <c r="AA622" s="192"/>
      <c r="AB622" s="192"/>
      <c r="AC622" s="192"/>
      <c r="AD622" s="192"/>
      <c r="AE622" s="192"/>
      <c r="AF622" s="192"/>
      <c r="AI622" s="192"/>
      <c r="AJ622" s="192"/>
      <c r="AK622" s="194"/>
      <c r="AL622" s="192"/>
      <c r="AM622" s="141"/>
      <c r="AN622" s="141"/>
    </row>
    <row r="623" spans="3:40" x14ac:dyDescent="0.3">
      <c r="C623" s="99"/>
      <c r="F623" s="110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T623" s="99"/>
      <c r="V623" s="110"/>
      <c r="Y623" s="110"/>
      <c r="Z623" s="198"/>
      <c r="AA623" s="110"/>
      <c r="AB623" s="110"/>
      <c r="AC623" s="198"/>
      <c r="AD623" s="198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V624" s="110"/>
      <c r="Y624" s="110"/>
      <c r="Z624" s="217"/>
      <c r="AA624" s="110"/>
      <c r="AB624" s="110"/>
      <c r="AC624" s="110"/>
      <c r="AD624" s="110"/>
      <c r="AE624" s="110"/>
      <c r="AF624" s="110"/>
      <c r="AI624" s="110"/>
      <c r="AJ624" s="110"/>
      <c r="AL624" s="110"/>
      <c r="AM624" s="141"/>
      <c r="AN624" s="141"/>
    </row>
    <row r="625" spans="1:40" x14ac:dyDescent="0.3">
      <c r="C625" s="99"/>
      <c r="D625" s="99"/>
      <c r="E625" s="99"/>
      <c r="L625" s="110"/>
      <c r="M625" s="110"/>
      <c r="N625" s="198"/>
      <c r="O625" s="198"/>
      <c r="R625" s="110"/>
      <c r="T625" s="99"/>
      <c r="U625" s="99"/>
      <c r="AA625" s="110"/>
      <c r="AB625" s="110"/>
      <c r="AC625" s="198"/>
      <c r="AD625" s="198"/>
      <c r="AE625" s="110"/>
      <c r="AF625" s="110"/>
      <c r="AH625" s="207"/>
      <c r="AL625" s="110"/>
      <c r="AM625" s="141"/>
      <c r="AN625" s="141"/>
    </row>
    <row r="626" spans="1:40" x14ac:dyDescent="0.3">
      <c r="D626" s="99"/>
      <c r="E626" s="99"/>
      <c r="F626" s="172"/>
      <c r="H626" s="172"/>
      <c r="I626" s="172"/>
      <c r="J626" s="198"/>
      <c r="K626" s="198"/>
      <c r="L626" s="110"/>
      <c r="M626" s="110"/>
      <c r="N626" s="198"/>
      <c r="O626" s="198"/>
      <c r="P626" s="172"/>
      <c r="Q626" s="172"/>
      <c r="R626" s="110"/>
      <c r="U626" s="99"/>
      <c r="V626" s="110"/>
      <c r="Y626" s="110"/>
      <c r="Z626" s="198"/>
      <c r="AA626" s="110"/>
      <c r="AB626" s="110"/>
      <c r="AC626" s="198"/>
      <c r="AD626" s="198"/>
      <c r="AE626" s="110"/>
      <c r="AF626" s="110"/>
      <c r="AH626" s="207"/>
      <c r="AI626" s="110"/>
      <c r="AJ626" s="110"/>
      <c r="AL626" s="110"/>
      <c r="AM626" s="141"/>
      <c r="AN626" s="141"/>
    </row>
    <row r="627" spans="1:40" x14ac:dyDescent="0.3">
      <c r="F627" s="192"/>
      <c r="H627" s="192"/>
      <c r="I627" s="192"/>
      <c r="J627" s="217"/>
      <c r="K627" s="217"/>
      <c r="L627" s="192"/>
      <c r="M627" s="192"/>
      <c r="N627" s="192"/>
      <c r="O627" s="192"/>
      <c r="P627" s="192"/>
      <c r="Q627" s="192"/>
      <c r="R627" s="192"/>
      <c r="V627" s="192"/>
      <c r="Y627" s="192"/>
      <c r="Z627" s="217"/>
      <c r="AA627" s="192"/>
      <c r="AB627" s="192"/>
      <c r="AC627" s="192"/>
      <c r="AD627" s="192"/>
      <c r="AE627" s="192"/>
      <c r="AF627" s="192"/>
      <c r="AI627" s="192"/>
      <c r="AJ627" s="192"/>
      <c r="AK627" s="194"/>
      <c r="AL627" s="192"/>
      <c r="AM627" s="141"/>
      <c r="AN627" s="141"/>
    </row>
    <row r="628" spans="1:40" x14ac:dyDescent="0.3">
      <c r="C628" s="99"/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T628" s="99"/>
      <c r="V628" s="110"/>
      <c r="Y628" s="110"/>
      <c r="Z628" s="198"/>
      <c r="AA628" s="110"/>
      <c r="AB628" s="110"/>
      <c r="AC628" s="198"/>
      <c r="AD628" s="198"/>
      <c r="AE628" s="110"/>
      <c r="AF628" s="110"/>
      <c r="AH628" s="207"/>
      <c r="AI628" s="110"/>
      <c r="AJ628" s="110"/>
      <c r="AL628" s="110"/>
      <c r="AM628" s="141"/>
      <c r="AN628" s="141"/>
    </row>
    <row r="629" spans="1:40" x14ac:dyDescent="0.3">
      <c r="F629" s="110"/>
      <c r="H629" s="110"/>
      <c r="I629" s="110"/>
      <c r="J629" s="198"/>
      <c r="K629" s="198"/>
      <c r="L629" s="110"/>
      <c r="M629" s="110"/>
      <c r="N629" s="198"/>
      <c r="O629" s="198"/>
      <c r="P629" s="110"/>
      <c r="Q629" s="110"/>
      <c r="R629" s="110"/>
      <c r="V629" s="110"/>
      <c r="Y629" s="110"/>
      <c r="Z629" s="198"/>
      <c r="AA629" s="110"/>
      <c r="AB629" s="110"/>
      <c r="AC629" s="198"/>
      <c r="AD629" s="198"/>
      <c r="AH629" s="207"/>
      <c r="AI629" s="110"/>
      <c r="AJ629" s="110"/>
      <c r="AL629" s="110"/>
      <c r="AM629" s="141"/>
      <c r="AN629" s="141"/>
    </row>
    <row r="630" spans="1:40" x14ac:dyDescent="0.3">
      <c r="D630" s="99"/>
      <c r="E630" s="99"/>
      <c r="F630" s="110"/>
      <c r="H630" s="110"/>
      <c r="I630" s="110"/>
      <c r="J630" s="198"/>
      <c r="K630" s="198"/>
      <c r="L630" s="172"/>
      <c r="M630" s="172"/>
      <c r="N630" s="198"/>
      <c r="O630" s="198"/>
      <c r="P630" s="110"/>
      <c r="Q630" s="110"/>
      <c r="R630" s="110"/>
      <c r="U630" s="99"/>
      <c r="V630" s="110"/>
      <c r="Y630" s="110"/>
      <c r="Z630" s="198"/>
      <c r="AA630" s="172"/>
      <c r="AB630" s="172"/>
      <c r="AC630" s="198"/>
      <c r="AD630" s="198"/>
      <c r="AE630" s="110"/>
      <c r="AF630" s="110"/>
      <c r="AH630" s="207"/>
      <c r="AI630" s="110"/>
      <c r="AJ630" s="110"/>
      <c r="AL630" s="110"/>
      <c r="AM630" s="141"/>
      <c r="AN630" s="141"/>
    </row>
    <row r="631" spans="1:40" x14ac:dyDescent="0.3">
      <c r="D631" s="99"/>
      <c r="E631" s="99"/>
      <c r="F631" s="110"/>
      <c r="H631" s="110"/>
      <c r="I631" s="110"/>
      <c r="J631" s="198"/>
      <c r="K631" s="198"/>
      <c r="L631" s="172"/>
      <c r="M631" s="172"/>
      <c r="N631" s="198"/>
      <c r="O631" s="198"/>
      <c r="P631" s="110"/>
      <c r="Q631" s="110"/>
      <c r="R631" s="110"/>
      <c r="U631" s="99"/>
      <c r="V631" s="110"/>
      <c r="Y631" s="110"/>
      <c r="Z631" s="198"/>
      <c r="AA631" s="172"/>
      <c r="AB631" s="172"/>
      <c r="AC631" s="198"/>
      <c r="AD631" s="198"/>
      <c r="AE631" s="110"/>
      <c r="AF631" s="110"/>
      <c r="AH631" s="207"/>
      <c r="AI631" s="110"/>
      <c r="AJ631" s="110"/>
      <c r="AL631" s="110"/>
      <c r="AM631" s="141"/>
      <c r="AN631" s="141"/>
    </row>
    <row r="632" spans="1:40" x14ac:dyDescent="0.3">
      <c r="D632" s="99"/>
      <c r="E632" s="99"/>
      <c r="F632" s="110"/>
      <c r="H632" s="110"/>
      <c r="I632" s="110"/>
      <c r="J632" s="198"/>
      <c r="K632" s="198"/>
      <c r="L632" s="172"/>
      <c r="M632" s="172"/>
      <c r="N632" s="198"/>
      <c r="O632" s="198"/>
      <c r="P632" s="110"/>
      <c r="Q632" s="110"/>
      <c r="R632" s="110"/>
      <c r="U632" s="99"/>
      <c r="V632" s="110"/>
      <c r="Y632" s="110"/>
      <c r="Z632" s="198"/>
      <c r="AA632" s="172"/>
      <c r="AB632" s="172"/>
      <c r="AC632" s="198"/>
      <c r="AD632" s="198"/>
      <c r="AE632" s="110"/>
      <c r="AF632" s="110"/>
      <c r="AH632" s="207"/>
      <c r="AI632" s="110"/>
      <c r="AJ632" s="110"/>
      <c r="AL632" s="110"/>
      <c r="AM632" s="141"/>
      <c r="AN632" s="141"/>
    </row>
    <row r="633" spans="1:40" x14ac:dyDescent="0.3">
      <c r="F633" s="192"/>
      <c r="H633" s="192"/>
      <c r="I633" s="192"/>
      <c r="J633" s="217"/>
      <c r="K633" s="217"/>
      <c r="L633" s="192"/>
      <c r="M633" s="192"/>
      <c r="N633" s="192"/>
      <c r="O633" s="192"/>
      <c r="P633" s="192"/>
      <c r="Q633" s="192"/>
      <c r="R633" s="192"/>
      <c r="V633" s="192"/>
      <c r="Y633" s="192"/>
      <c r="Z633" s="217"/>
      <c r="AA633" s="192"/>
      <c r="AB633" s="192"/>
      <c r="AC633" s="192"/>
      <c r="AD633" s="192"/>
      <c r="AE633" s="192"/>
      <c r="AF633" s="192"/>
      <c r="AI633" s="192"/>
      <c r="AJ633" s="192"/>
      <c r="AK633" s="194"/>
      <c r="AL633" s="192"/>
      <c r="AM633" s="141"/>
      <c r="AN633" s="141"/>
    </row>
    <row r="634" spans="1:40" x14ac:dyDescent="0.3">
      <c r="C634" s="99"/>
      <c r="F634" s="110"/>
      <c r="H634" s="110"/>
      <c r="I634" s="110"/>
      <c r="J634" s="198"/>
      <c r="K634" s="198"/>
      <c r="L634" s="110"/>
      <c r="M634" s="110"/>
      <c r="N634" s="198"/>
      <c r="O634" s="198"/>
      <c r="P634" s="110"/>
      <c r="Q634" s="110"/>
      <c r="R634" s="110"/>
      <c r="T634" s="99"/>
      <c r="V634" s="110"/>
      <c r="Y634" s="110"/>
      <c r="Z634" s="198"/>
      <c r="AA634" s="110"/>
      <c r="AB634" s="110"/>
      <c r="AC634" s="198"/>
      <c r="AD634" s="198"/>
      <c r="AE634" s="110"/>
      <c r="AF634" s="110"/>
      <c r="AH634" s="207"/>
      <c r="AI634" s="110"/>
      <c r="AJ634" s="110"/>
      <c r="AL634" s="110"/>
      <c r="AM634" s="141"/>
      <c r="AN634" s="141"/>
    </row>
    <row r="635" spans="1:40" x14ac:dyDescent="0.3">
      <c r="F635" s="110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V635" s="110"/>
      <c r="Y635" s="110"/>
      <c r="Z635" s="198"/>
      <c r="AA635" s="110"/>
      <c r="AB635" s="110"/>
      <c r="AC635" s="198"/>
      <c r="AD635" s="198"/>
      <c r="AH635" s="207"/>
      <c r="AI635" s="110"/>
      <c r="AJ635" s="110"/>
      <c r="AL635" s="110"/>
      <c r="AM635" s="141"/>
      <c r="AN635" s="141"/>
    </row>
    <row r="636" spans="1:40" x14ac:dyDescent="0.3">
      <c r="C636" s="99"/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T636" s="99"/>
      <c r="V636" s="110"/>
      <c r="Y636" s="110"/>
      <c r="Z636" s="198"/>
      <c r="AA636" s="110"/>
      <c r="AB636" s="110"/>
      <c r="AC636" s="198"/>
      <c r="AD636" s="198"/>
      <c r="AE636" s="110"/>
      <c r="AF636" s="110"/>
      <c r="AH636" s="207"/>
      <c r="AI636" s="110"/>
      <c r="AJ636" s="110"/>
      <c r="AL636" s="110"/>
      <c r="AM636" s="141"/>
      <c r="AN636" s="141"/>
    </row>
    <row r="637" spans="1:40" x14ac:dyDescent="0.3">
      <c r="F637" s="192"/>
      <c r="H637" s="192"/>
      <c r="I637" s="192"/>
      <c r="J637" s="217"/>
      <c r="K637" s="217"/>
      <c r="L637" s="192"/>
      <c r="M637" s="192"/>
      <c r="N637" s="192"/>
      <c r="O637" s="192"/>
      <c r="P637" s="192"/>
      <c r="Q637" s="192"/>
      <c r="R637" s="192"/>
      <c r="V637" s="192"/>
      <c r="Y637" s="192"/>
      <c r="Z637" s="217"/>
      <c r="AA637" s="192"/>
      <c r="AB637" s="192"/>
      <c r="AC637" s="192"/>
      <c r="AD637" s="192"/>
      <c r="AE637" s="192"/>
      <c r="AF637" s="192"/>
      <c r="AI637" s="192"/>
      <c r="AJ637" s="192"/>
      <c r="AK637" s="194"/>
      <c r="AL637" s="192"/>
    </row>
    <row r="639" spans="1:40" x14ac:dyDescent="0.3">
      <c r="C639" s="99"/>
      <c r="L639" s="110"/>
      <c r="M639" s="110"/>
      <c r="P639" s="110"/>
      <c r="Q639" s="110"/>
      <c r="R639" s="110"/>
      <c r="T639" s="99"/>
    </row>
    <row r="640" spans="1:40" x14ac:dyDescent="0.3">
      <c r="A640" s="99"/>
      <c r="L640" s="110"/>
      <c r="M640" s="110"/>
      <c r="P640" s="110"/>
      <c r="Q640" s="110"/>
      <c r="R640" s="110"/>
    </row>
    <row r="641" spans="12:18" x14ac:dyDescent="0.3">
      <c r="L641" s="110"/>
      <c r="M641" s="110"/>
      <c r="P641" s="110"/>
      <c r="Q641" s="110"/>
      <c r="R641" s="110"/>
    </row>
    <row r="642" spans="12:18" x14ac:dyDescent="0.3">
      <c r="L642" s="110"/>
      <c r="M642" s="110"/>
      <c r="P642" s="110"/>
      <c r="Q642" s="110"/>
      <c r="R642" s="110"/>
    </row>
    <row r="643" spans="12:18" x14ac:dyDescent="0.3">
      <c r="L643" s="110"/>
      <c r="M643" s="110"/>
      <c r="P643" s="110"/>
      <c r="Q643" s="110"/>
      <c r="R643" s="110"/>
    </row>
    <row r="644" spans="12:18" x14ac:dyDescent="0.3">
      <c r="L644" s="110"/>
      <c r="M644" s="110"/>
      <c r="P644" s="110"/>
      <c r="Q644" s="110"/>
      <c r="R644" s="110"/>
    </row>
    <row r="645" spans="12:18" x14ac:dyDescent="0.3">
      <c r="L645" s="110"/>
      <c r="M645" s="110"/>
      <c r="P645" s="110"/>
      <c r="Q645" s="110"/>
      <c r="R645" s="110"/>
    </row>
    <row r="678" spans="49:49" x14ac:dyDescent="0.3">
      <c r="AW678" s="110"/>
    </row>
    <row r="679" spans="49:49" x14ac:dyDescent="0.3">
      <c r="AW679" s="110"/>
    </row>
    <row r="680" spans="49:49" x14ac:dyDescent="0.3">
      <c r="AW680" s="110"/>
    </row>
    <row r="681" spans="49:49" x14ac:dyDescent="0.3">
      <c r="AW681" s="110"/>
    </row>
    <row r="682" spans="49:49" x14ac:dyDescent="0.3">
      <c r="AW682" s="110"/>
    </row>
    <row r="683" spans="49:49" x14ac:dyDescent="0.3">
      <c r="AW683" s="110"/>
    </row>
    <row r="686" spans="49:49" x14ac:dyDescent="0.3">
      <c r="AW686" s="110"/>
    </row>
    <row r="687" spans="49:49" x14ac:dyDescent="0.3">
      <c r="AW687" s="110"/>
    </row>
    <row r="688" spans="49:49" x14ac:dyDescent="0.3">
      <c r="AW688" s="110"/>
    </row>
    <row r="689" spans="49:49" x14ac:dyDescent="0.3">
      <c r="AW689" s="110"/>
    </row>
    <row r="690" spans="49:49" x14ac:dyDescent="0.3">
      <c r="AW690" s="110"/>
    </row>
    <row r="691" spans="49:49" x14ac:dyDescent="0.3">
      <c r="AW691" s="110"/>
    </row>
    <row r="692" spans="49:49" x14ac:dyDescent="0.3">
      <c r="AW692" s="110"/>
    </row>
    <row r="693" spans="49:49" x14ac:dyDescent="0.3">
      <c r="AW693" s="110"/>
    </row>
    <row r="696" spans="49:49" x14ac:dyDescent="0.3">
      <c r="AW696" s="110"/>
    </row>
    <row r="697" spans="49:49" x14ac:dyDescent="0.3">
      <c r="AW697" s="110"/>
    </row>
    <row r="700" spans="49:49" x14ac:dyDescent="0.3">
      <c r="AW700" s="110"/>
    </row>
    <row r="701" spans="49:49" x14ac:dyDescent="0.3">
      <c r="AW701" s="110"/>
    </row>
    <row r="702" spans="49:49" x14ac:dyDescent="0.3">
      <c r="AW702" s="110"/>
    </row>
    <row r="703" spans="49:49" x14ac:dyDescent="0.3">
      <c r="AW703" s="110"/>
    </row>
    <row r="711" spans="45:69" x14ac:dyDescent="0.3">
      <c r="AY711" s="99"/>
    </row>
    <row r="712" spans="45:69" x14ac:dyDescent="0.3">
      <c r="AY712" s="99"/>
    </row>
    <row r="713" spans="45:69" x14ac:dyDescent="0.3">
      <c r="BD713" s="99"/>
    </row>
    <row r="714" spans="45:69" x14ac:dyDescent="0.3">
      <c r="BD714" s="99"/>
    </row>
    <row r="715" spans="45:69" x14ac:dyDescent="0.3">
      <c r="AS715" s="99"/>
      <c r="BD715" s="99"/>
    </row>
    <row r="717" spans="45:69" x14ac:dyDescent="0.3">
      <c r="AS717" s="101"/>
      <c r="AT717" s="101"/>
      <c r="AU717" s="101"/>
      <c r="AV717" s="101"/>
      <c r="AW717" s="101"/>
      <c r="AX717" s="101"/>
      <c r="AY717" s="101"/>
      <c r="AZ717" s="101"/>
      <c r="BA717" s="101"/>
      <c r="BB717" s="101"/>
      <c r="BC717" s="101"/>
      <c r="BD717" s="101"/>
      <c r="BE717" s="101"/>
    </row>
    <row r="718" spans="45:69" x14ac:dyDescent="0.3">
      <c r="AX718" s="99"/>
    </row>
    <row r="719" spans="45:69" x14ac:dyDescent="0.3">
      <c r="AX719" s="101"/>
      <c r="AY719" s="101"/>
      <c r="AZ719" s="101"/>
      <c r="BA719" s="101"/>
      <c r="BC719" s="102"/>
      <c r="BD719" s="102"/>
    </row>
    <row r="720" spans="45:69" x14ac:dyDescent="0.3">
      <c r="AV720" s="102"/>
      <c r="AW720" s="102"/>
      <c r="AZ720" s="102"/>
      <c r="BA720" s="102"/>
      <c r="BC720" s="102"/>
      <c r="BD720" s="102"/>
      <c r="BE720" s="102"/>
      <c r="BG720" s="101"/>
      <c r="BH720" s="99"/>
      <c r="BK720" s="101"/>
      <c r="BM720" s="101"/>
      <c r="BN720" s="99"/>
      <c r="BQ720" s="101"/>
    </row>
    <row r="721" spans="45:69" x14ac:dyDescent="0.3"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H721" s="102"/>
      <c r="BI721" s="102"/>
      <c r="BJ721" s="102"/>
      <c r="BN721" s="102"/>
      <c r="BO721" s="102"/>
      <c r="BP721" s="102"/>
    </row>
    <row r="722" spans="45:69" x14ac:dyDescent="0.3">
      <c r="AS722" s="102"/>
      <c r="AU722" s="99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G722" s="102"/>
      <c r="BH722" s="102"/>
      <c r="BI722" s="102"/>
      <c r="BJ722" s="102"/>
      <c r="BK722" s="102"/>
      <c r="BM722" s="102"/>
      <c r="BN722" s="102"/>
      <c r="BO722" s="102"/>
      <c r="BP722" s="102"/>
      <c r="BQ722" s="102"/>
    </row>
    <row r="723" spans="45:69" x14ac:dyDescent="0.3">
      <c r="AS723" s="102"/>
      <c r="AU723" s="99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G723" s="102"/>
      <c r="BH723" s="102"/>
      <c r="BI723" s="102"/>
      <c r="BJ723" s="102"/>
      <c r="BK723" s="102"/>
      <c r="BM723" s="102"/>
      <c r="BN723" s="102"/>
      <c r="BO723" s="102"/>
      <c r="BP723" s="102"/>
      <c r="BQ723" s="102"/>
    </row>
    <row r="724" spans="45:69" x14ac:dyDescent="0.3"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  <c r="BG724" s="101"/>
      <c r="BH724" s="101"/>
      <c r="BI724" s="101"/>
      <c r="BJ724" s="101"/>
      <c r="BK724" s="101"/>
      <c r="BM724" s="101"/>
      <c r="BN724" s="101"/>
      <c r="BO724" s="101"/>
      <c r="BP724" s="101"/>
      <c r="BQ724" s="101"/>
    </row>
    <row r="725" spans="45:69" x14ac:dyDescent="0.3"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</row>
    <row r="726" spans="45:69" x14ac:dyDescent="0.3">
      <c r="AU726" s="99"/>
      <c r="AV726" s="102"/>
      <c r="AY726" s="198"/>
    </row>
    <row r="727" spans="45:69" x14ac:dyDescent="0.3">
      <c r="AV727" s="102"/>
      <c r="AW727" s="110"/>
      <c r="AX727" s="163"/>
      <c r="AY727" s="163"/>
      <c r="AZ727" s="163"/>
      <c r="BA727" s="141"/>
      <c r="BB727" s="163"/>
      <c r="BC727" s="198"/>
      <c r="BD727" s="198"/>
      <c r="BE727" s="141"/>
      <c r="BG727" s="163"/>
      <c r="BH727" s="163"/>
      <c r="BI727" s="163"/>
      <c r="BJ727" s="163"/>
      <c r="BK727" s="163"/>
      <c r="BM727" s="163"/>
      <c r="BN727" s="163"/>
      <c r="BO727" s="163"/>
      <c r="BP727" s="163"/>
      <c r="BQ727" s="163"/>
    </row>
    <row r="728" spans="45:69" x14ac:dyDescent="0.3">
      <c r="AV728" s="102"/>
      <c r="AW728" s="110"/>
      <c r="AX728" s="163"/>
      <c r="AY728" s="163"/>
      <c r="AZ728" s="163"/>
      <c r="BA728" s="141"/>
      <c r="BB728" s="163"/>
      <c r="BC728" s="198"/>
      <c r="BD728" s="198"/>
      <c r="BE728" s="141"/>
      <c r="BG728" s="163"/>
      <c r="BH728" s="163"/>
      <c r="BI728" s="163"/>
      <c r="BJ728" s="163"/>
      <c r="BK728" s="163"/>
      <c r="BM728" s="163"/>
      <c r="BN728" s="163"/>
      <c r="BO728" s="163"/>
      <c r="BP728" s="163"/>
      <c r="BQ728" s="163"/>
    </row>
    <row r="729" spans="45:69" x14ac:dyDescent="0.3">
      <c r="AV729" s="102"/>
      <c r="AW729" s="110"/>
      <c r="AX729" s="163"/>
      <c r="AY729" s="163"/>
      <c r="AZ729" s="163"/>
      <c r="BA729" s="141"/>
      <c r="BB729" s="163"/>
      <c r="BC729" s="198"/>
      <c r="BD729" s="198"/>
      <c r="BE729" s="141"/>
      <c r="BG729" s="163"/>
      <c r="BH729" s="163"/>
      <c r="BI729" s="163"/>
      <c r="BJ729" s="163"/>
      <c r="BK729" s="163"/>
      <c r="BM729" s="163"/>
      <c r="BN729" s="163"/>
      <c r="BO729" s="163"/>
      <c r="BP729" s="163"/>
      <c r="BQ729" s="163"/>
    </row>
    <row r="730" spans="45:69" x14ac:dyDescent="0.3">
      <c r="AV730" s="102"/>
      <c r="AW730" s="110"/>
      <c r="AX730" s="163"/>
      <c r="AY730" s="163"/>
      <c r="AZ730" s="163"/>
      <c r="BA730" s="141"/>
      <c r="BB730" s="163"/>
      <c r="BC730" s="198"/>
      <c r="BD730" s="198"/>
      <c r="BE730" s="141"/>
      <c r="BG730" s="163"/>
      <c r="BH730" s="163"/>
      <c r="BI730" s="163"/>
      <c r="BJ730" s="163"/>
      <c r="BK730" s="163"/>
      <c r="BM730" s="163"/>
      <c r="BN730" s="163"/>
      <c r="BO730" s="163"/>
      <c r="BP730" s="163"/>
      <c r="BQ730" s="163"/>
    </row>
    <row r="731" spans="45:69" x14ac:dyDescent="0.3">
      <c r="AV731" s="102"/>
      <c r="AW731" s="110"/>
      <c r="AX731" s="163"/>
      <c r="AY731" s="163"/>
      <c r="AZ731" s="163"/>
      <c r="BA731" s="141"/>
      <c r="BB731" s="163"/>
      <c r="BC731" s="198"/>
      <c r="BD731" s="198"/>
      <c r="BE731" s="141"/>
      <c r="BG731" s="163"/>
      <c r="BH731" s="163"/>
      <c r="BI731" s="163"/>
      <c r="BJ731" s="163"/>
      <c r="BK731" s="163"/>
      <c r="BM731" s="163"/>
      <c r="BN731" s="163"/>
      <c r="BO731" s="163"/>
      <c r="BP731" s="163"/>
      <c r="BQ731" s="163"/>
    </row>
    <row r="732" spans="45:69" x14ac:dyDescent="0.3">
      <c r="AV732" s="102"/>
      <c r="AW732" s="110"/>
      <c r="AX732" s="163"/>
      <c r="AY732" s="163"/>
      <c r="AZ732" s="163"/>
      <c r="BA732" s="141"/>
      <c r="BB732" s="163"/>
      <c r="BC732" s="198"/>
      <c r="BD732" s="198"/>
      <c r="BE732" s="141"/>
      <c r="BG732" s="163"/>
      <c r="BH732" s="163"/>
      <c r="BI732" s="163"/>
      <c r="BJ732" s="163"/>
      <c r="BK732" s="163"/>
      <c r="BM732" s="163"/>
      <c r="BN732" s="163"/>
      <c r="BO732" s="163"/>
      <c r="BP732" s="163"/>
      <c r="BQ732" s="163"/>
    </row>
    <row r="733" spans="45:69" x14ac:dyDescent="0.3">
      <c r="AV733" s="102"/>
      <c r="AW733" s="110"/>
      <c r="AX733" s="163"/>
      <c r="AY733" s="163"/>
      <c r="AZ733" s="163"/>
      <c r="BA733" s="141"/>
      <c r="BB733" s="163"/>
      <c r="BC733" s="198"/>
      <c r="BD733" s="198"/>
      <c r="BE733" s="141"/>
      <c r="BG733" s="163"/>
      <c r="BH733" s="163"/>
      <c r="BI733" s="163"/>
      <c r="BJ733" s="163"/>
      <c r="BK733" s="163"/>
      <c r="BM733" s="163"/>
      <c r="BN733" s="163"/>
      <c r="BO733" s="163"/>
      <c r="BP733" s="163"/>
      <c r="BQ733" s="163"/>
    </row>
    <row r="734" spans="45:69" x14ac:dyDescent="0.3">
      <c r="AY734" s="198"/>
      <c r="AZ734" s="163"/>
      <c r="BA734" s="141"/>
      <c r="BB734" s="163"/>
      <c r="BC734" s="198"/>
      <c r="BD734" s="198"/>
      <c r="BE734" s="141"/>
      <c r="BK734" s="163"/>
      <c r="BQ734" s="163"/>
    </row>
    <row r="735" spans="45:69" x14ac:dyDescent="0.3">
      <c r="AV735" s="102"/>
      <c r="AY735" s="198"/>
      <c r="AZ735" s="163"/>
      <c r="BA735" s="141"/>
      <c r="BB735" s="163"/>
      <c r="BC735" s="198"/>
      <c r="BD735" s="198"/>
      <c r="BE735" s="141"/>
      <c r="BK735" s="163"/>
      <c r="BQ735" s="163"/>
    </row>
    <row r="736" spans="45:69" x14ac:dyDescent="0.3">
      <c r="AV736" s="102"/>
      <c r="AW736" s="110"/>
      <c r="AX736" s="163"/>
      <c r="AY736" s="163"/>
      <c r="AZ736" s="163"/>
      <c r="BA736" s="141"/>
      <c r="BB736" s="163"/>
      <c r="BC736" s="198"/>
      <c r="BD736" s="198"/>
      <c r="BE736" s="141"/>
      <c r="BG736" s="163"/>
      <c r="BH736" s="163"/>
      <c r="BI736" s="163"/>
      <c r="BJ736" s="163"/>
      <c r="BK736" s="163"/>
      <c r="BM736" s="163"/>
      <c r="BN736" s="163"/>
      <c r="BO736" s="163"/>
      <c r="BP736" s="163"/>
      <c r="BQ736" s="163"/>
    </row>
    <row r="737" spans="45:69" x14ac:dyDescent="0.3">
      <c r="AV737" s="102"/>
      <c r="AW737" s="110"/>
      <c r="AX737" s="163"/>
      <c r="AY737" s="163"/>
      <c r="AZ737" s="163"/>
      <c r="BA737" s="141"/>
      <c r="BB737" s="163"/>
      <c r="BC737" s="198"/>
      <c r="BD737" s="198"/>
      <c r="BE737" s="141"/>
      <c r="BG737" s="163"/>
      <c r="BH737" s="163"/>
      <c r="BI737" s="163"/>
      <c r="BJ737" s="163"/>
      <c r="BK737" s="163"/>
      <c r="BM737" s="163"/>
      <c r="BN737" s="163"/>
      <c r="BO737" s="163"/>
      <c r="BP737" s="163"/>
      <c r="BQ737" s="163"/>
    </row>
    <row r="738" spans="45:69" x14ac:dyDescent="0.3">
      <c r="AV738" s="102"/>
      <c r="AW738" s="110"/>
      <c r="AX738" s="163"/>
      <c r="AY738" s="163"/>
      <c r="AZ738" s="163"/>
      <c r="BA738" s="141"/>
      <c r="BB738" s="163"/>
      <c r="BC738" s="198"/>
      <c r="BD738" s="198"/>
      <c r="BE738" s="141"/>
      <c r="BG738" s="163"/>
      <c r="BH738" s="163"/>
      <c r="BI738" s="163"/>
      <c r="BJ738" s="163"/>
      <c r="BK738" s="163"/>
      <c r="BM738" s="163"/>
      <c r="BN738" s="163"/>
      <c r="BO738" s="163"/>
      <c r="BP738" s="163"/>
      <c r="BQ738" s="163"/>
    </row>
    <row r="739" spans="45:69" x14ac:dyDescent="0.3">
      <c r="AV739" s="102"/>
      <c r="AW739" s="110"/>
      <c r="AX739" s="163"/>
      <c r="AY739" s="163"/>
      <c r="AZ739" s="163"/>
      <c r="BA739" s="141"/>
      <c r="BB739" s="163"/>
      <c r="BC739" s="198"/>
      <c r="BD739" s="198"/>
      <c r="BE739" s="141"/>
      <c r="BG739" s="163"/>
      <c r="BH739" s="163"/>
      <c r="BI739" s="163"/>
      <c r="BJ739" s="163"/>
      <c r="BK739" s="163"/>
      <c r="BM739" s="163"/>
      <c r="BN739" s="163"/>
      <c r="BO739" s="163"/>
      <c r="BP739" s="163"/>
      <c r="BQ739" s="163"/>
    </row>
    <row r="740" spans="45:69" x14ac:dyDescent="0.3">
      <c r="AV740" s="102"/>
      <c r="AW740" s="110"/>
      <c r="AX740" s="163"/>
      <c r="AY740" s="163"/>
      <c r="AZ740" s="163"/>
      <c r="BA740" s="141"/>
      <c r="BB740" s="163"/>
      <c r="BC740" s="198"/>
      <c r="BD740" s="198"/>
      <c r="BE740" s="141"/>
      <c r="BG740" s="163"/>
      <c r="BH740" s="163"/>
      <c r="BI740" s="163"/>
      <c r="BJ740" s="163"/>
      <c r="BK740" s="163"/>
      <c r="BM740" s="163"/>
      <c r="BN740" s="163"/>
      <c r="BO740" s="163"/>
      <c r="BP740" s="163"/>
      <c r="BQ740" s="163"/>
    </row>
    <row r="741" spans="45:69" x14ac:dyDescent="0.3">
      <c r="AV741" s="102"/>
      <c r="AW741" s="110"/>
      <c r="AX741" s="163"/>
      <c r="AY741" s="163"/>
      <c r="AZ741" s="163"/>
      <c r="BA741" s="141"/>
      <c r="BB741" s="163"/>
      <c r="BC741" s="198"/>
      <c r="BD741" s="198"/>
      <c r="BE741" s="141"/>
      <c r="BG741" s="163"/>
      <c r="BH741" s="163"/>
      <c r="BI741" s="163"/>
      <c r="BJ741" s="163"/>
      <c r="BK741" s="163"/>
      <c r="BM741" s="163"/>
      <c r="BN741" s="163"/>
      <c r="BO741" s="163"/>
      <c r="BP741" s="163"/>
      <c r="BQ741" s="163"/>
    </row>
    <row r="742" spans="45:69" x14ac:dyDescent="0.3">
      <c r="AV742" s="102"/>
      <c r="AW742" s="110"/>
      <c r="AX742" s="163"/>
      <c r="AY742" s="163"/>
      <c r="AZ742" s="163"/>
      <c r="BA742" s="141"/>
      <c r="BB742" s="163"/>
      <c r="BC742" s="198"/>
      <c r="BD742" s="198"/>
      <c r="BE742" s="141"/>
      <c r="BG742" s="163"/>
      <c r="BH742" s="163"/>
      <c r="BI742" s="163"/>
      <c r="BJ742" s="163"/>
      <c r="BK742" s="163"/>
      <c r="BM742" s="163"/>
      <c r="BN742" s="163"/>
      <c r="BO742" s="163"/>
      <c r="BP742" s="163"/>
      <c r="BQ742" s="163"/>
    </row>
    <row r="743" spans="45:69" x14ac:dyDescent="0.3">
      <c r="AV743" s="102"/>
      <c r="AW743" s="110"/>
      <c r="AX743" s="163"/>
      <c r="AY743" s="163"/>
      <c r="AZ743" s="163"/>
      <c r="BA743" s="141"/>
      <c r="BB743" s="163"/>
      <c r="BC743" s="198"/>
      <c r="BD743" s="198"/>
      <c r="BE743" s="141"/>
      <c r="BG743" s="163"/>
      <c r="BH743" s="163"/>
      <c r="BI743" s="163"/>
      <c r="BJ743" s="163"/>
      <c r="BK743" s="163"/>
      <c r="BM743" s="163"/>
      <c r="BN743" s="163"/>
      <c r="BO743" s="163"/>
      <c r="BP743" s="163"/>
      <c r="BQ743" s="163"/>
    </row>
    <row r="744" spans="45:69" x14ac:dyDescent="0.3">
      <c r="AY744" s="198"/>
      <c r="AZ744" s="163"/>
      <c r="BA744" s="141"/>
      <c r="BB744" s="163"/>
      <c r="BC744" s="198"/>
      <c r="BD744" s="198"/>
      <c r="BE744" s="141"/>
      <c r="BK744" s="163"/>
      <c r="BQ744" s="163"/>
    </row>
    <row r="745" spans="45:69" x14ac:dyDescent="0.3">
      <c r="AU745" s="99"/>
      <c r="AZ745" s="163"/>
      <c r="BB745" s="163"/>
      <c r="BG745" s="163"/>
      <c r="BH745" s="163"/>
      <c r="BJ745" s="163"/>
      <c r="BK745" s="163"/>
    </row>
    <row r="746" spans="45:69" x14ac:dyDescent="0.3">
      <c r="AZ746" s="163"/>
      <c r="BB746" s="163"/>
    </row>
    <row r="747" spans="45:69" x14ac:dyDescent="0.3">
      <c r="AS747" s="99"/>
      <c r="AZ747" s="163"/>
      <c r="BB747" s="163"/>
      <c r="BI747" s="163"/>
    </row>
    <row r="748" spans="45:69" x14ac:dyDescent="0.3">
      <c r="AZ748" s="163"/>
      <c r="BB748" s="163"/>
    </row>
    <row r="749" spans="45:69" x14ac:dyDescent="0.3">
      <c r="AY749" s="163"/>
      <c r="BB749" s="163"/>
    </row>
    <row r="750" spans="45:69" x14ac:dyDescent="0.3">
      <c r="AY750" s="99"/>
      <c r="AZ750" s="163"/>
      <c r="BB750" s="163"/>
    </row>
    <row r="751" spans="45:69" x14ac:dyDescent="0.3">
      <c r="AY751" s="99"/>
      <c r="AZ751" s="163"/>
      <c r="BB751" s="163"/>
    </row>
    <row r="752" spans="45:69" x14ac:dyDescent="0.3">
      <c r="AZ752" s="163"/>
      <c r="BB752" s="163"/>
      <c r="BD752" s="99"/>
    </row>
    <row r="753" spans="45:75" x14ac:dyDescent="0.3">
      <c r="AZ753" s="163"/>
      <c r="BB753" s="163"/>
      <c r="BD753" s="99"/>
    </row>
    <row r="754" spans="45:75" x14ac:dyDescent="0.3">
      <c r="AS754" s="99"/>
      <c r="AZ754" s="163"/>
      <c r="BB754" s="163"/>
      <c r="BD754" s="99"/>
    </row>
    <row r="755" spans="45:75" x14ac:dyDescent="0.3">
      <c r="AZ755" s="163"/>
      <c r="BB755" s="163"/>
    </row>
    <row r="756" spans="45:75" x14ac:dyDescent="0.3">
      <c r="AS756" s="101"/>
      <c r="AT756" s="101"/>
      <c r="AU756" s="101"/>
      <c r="AV756" s="101"/>
      <c r="AW756" s="101"/>
      <c r="AX756" s="101"/>
      <c r="AY756" s="101"/>
      <c r="AZ756" s="212"/>
      <c r="BA756" s="101"/>
      <c r="BB756" s="212"/>
      <c r="BC756" s="101"/>
      <c r="BD756" s="101"/>
      <c r="BE756" s="101"/>
    </row>
    <row r="757" spans="45:75" x14ac:dyDescent="0.3">
      <c r="AX757" s="99"/>
      <c r="AZ757" s="163"/>
      <c r="BB757" s="163"/>
    </row>
    <row r="758" spans="45:75" x14ac:dyDescent="0.3">
      <c r="AX758" s="101"/>
      <c r="AY758" s="101"/>
      <c r="AZ758" s="212"/>
      <c r="BA758" s="101"/>
      <c r="BB758" s="163"/>
      <c r="BC758" s="102"/>
      <c r="BD758" s="102"/>
    </row>
    <row r="759" spans="45:75" x14ac:dyDescent="0.3">
      <c r="AV759" s="102"/>
      <c r="AW759" s="102"/>
      <c r="AZ759" s="213"/>
      <c r="BA759" s="102"/>
      <c r="BB759" s="163"/>
      <c r="BC759" s="102"/>
      <c r="BD759" s="102"/>
      <c r="BE759" s="102"/>
      <c r="BG759" s="101"/>
      <c r="BH759" s="101"/>
      <c r="BI759" s="99"/>
      <c r="BM759" s="101"/>
      <c r="BN759" s="101"/>
      <c r="BP759" s="101"/>
      <c r="BQ759" s="101"/>
      <c r="BR759" s="99"/>
      <c r="BV759" s="101"/>
      <c r="BW759" s="101"/>
    </row>
    <row r="760" spans="45:75" x14ac:dyDescent="0.3">
      <c r="AV760" s="102"/>
      <c r="AW760" s="102"/>
      <c r="AX760" s="102"/>
      <c r="AY760" s="102"/>
      <c r="AZ760" s="213"/>
      <c r="BA760" s="102"/>
      <c r="BB760" s="213"/>
      <c r="BC760" s="102"/>
      <c r="BD760" s="102"/>
      <c r="BE760" s="102"/>
      <c r="BH760" s="102"/>
      <c r="BI760" s="102"/>
      <c r="BJ760" s="102"/>
      <c r="BK760" s="102"/>
      <c r="BL760" s="102"/>
      <c r="BM760" s="102"/>
      <c r="BQ760" s="102"/>
      <c r="BR760" s="102"/>
      <c r="BS760" s="102"/>
      <c r="BT760" s="102"/>
      <c r="BU760" s="102"/>
      <c r="BV760" s="102"/>
    </row>
    <row r="761" spans="45:75" x14ac:dyDescent="0.3">
      <c r="AS761" s="102"/>
      <c r="AU761" s="99"/>
      <c r="AV761" s="102"/>
      <c r="AW761" s="102"/>
      <c r="AX761" s="102"/>
      <c r="AY761" s="102"/>
      <c r="AZ761" s="213"/>
      <c r="BA761" s="102"/>
      <c r="BB761" s="213"/>
      <c r="BC761" s="102"/>
      <c r="BD761" s="102"/>
      <c r="BE761" s="102"/>
      <c r="BG761" s="102"/>
      <c r="BH761" s="102"/>
      <c r="BI761" s="102"/>
      <c r="BJ761" s="102"/>
      <c r="BK761" s="102"/>
      <c r="BL761" s="102"/>
      <c r="BM761" s="102"/>
      <c r="BN761" s="102"/>
      <c r="BP761" s="102"/>
      <c r="BQ761" s="102"/>
      <c r="BR761" s="102"/>
      <c r="BS761" s="102"/>
      <c r="BT761" s="102"/>
      <c r="BU761" s="102"/>
      <c r="BV761" s="102"/>
      <c r="BW761" s="102"/>
    </row>
    <row r="762" spans="45:75" x14ac:dyDescent="0.3">
      <c r="AS762" s="102"/>
      <c r="AU762" s="99"/>
      <c r="AV762" s="102"/>
      <c r="AW762" s="102"/>
      <c r="AX762" s="102"/>
      <c r="AY762" s="102"/>
      <c r="AZ762" s="213"/>
      <c r="BA762" s="102"/>
      <c r="BB762" s="213"/>
      <c r="BC762" s="102"/>
      <c r="BD762" s="102"/>
      <c r="BE762" s="102"/>
      <c r="BG762" s="102"/>
      <c r="BH762" s="102"/>
      <c r="BI762" s="102"/>
      <c r="BJ762" s="102"/>
      <c r="BK762" s="102"/>
      <c r="BL762" s="102"/>
      <c r="BM762" s="102"/>
      <c r="BN762" s="102"/>
      <c r="BP762" s="102"/>
      <c r="BQ762" s="102"/>
      <c r="BR762" s="102"/>
      <c r="BS762" s="102"/>
      <c r="BT762" s="102"/>
      <c r="BU762" s="102"/>
      <c r="BV762" s="102"/>
      <c r="BW762" s="102"/>
    </row>
    <row r="763" spans="45:75" x14ac:dyDescent="0.3">
      <c r="AS763" s="101"/>
      <c r="AT763" s="101"/>
      <c r="AU763" s="101"/>
      <c r="AV763" s="101"/>
      <c r="AW763" s="101"/>
      <c r="AX763" s="101"/>
      <c r="AY763" s="101"/>
      <c r="AZ763" s="212"/>
      <c r="BA763" s="101"/>
      <c r="BB763" s="212"/>
      <c r="BC763" s="101"/>
      <c r="BD763" s="101"/>
      <c r="BE763" s="101"/>
      <c r="BG763" s="101"/>
      <c r="BH763" s="101"/>
      <c r="BI763" s="101"/>
      <c r="BJ763" s="101"/>
      <c r="BK763" s="101"/>
      <c r="BL763" s="101"/>
      <c r="BM763" s="101"/>
      <c r="BN763" s="101"/>
      <c r="BP763" s="101"/>
      <c r="BQ763" s="101"/>
      <c r="BR763" s="101"/>
      <c r="BS763" s="101"/>
      <c r="BT763" s="101"/>
      <c r="BU763" s="101"/>
      <c r="BV763" s="101"/>
      <c r="BW763" s="101"/>
    </row>
    <row r="764" spans="45:75" x14ac:dyDescent="0.3">
      <c r="AV764" s="102"/>
      <c r="AW764" s="102"/>
      <c r="AX764" s="102"/>
      <c r="AY764" s="102"/>
      <c r="AZ764" s="213"/>
      <c r="BA764" s="102"/>
      <c r="BB764" s="213"/>
      <c r="BC764" s="102"/>
      <c r="BD764" s="102"/>
      <c r="BE764" s="102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</row>
    <row r="765" spans="45:75" x14ac:dyDescent="0.3">
      <c r="AU765" s="99"/>
      <c r="AW765" s="110"/>
      <c r="AX765" s="163"/>
      <c r="AY765" s="163"/>
      <c r="AZ765" s="163"/>
      <c r="BA765" s="207"/>
      <c r="BB765" s="163"/>
      <c r="BC765" s="163"/>
      <c r="BD765" s="163"/>
      <c r="BE765" s="207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</row>
    <row r="766" spans="45:75" x14ac:dyDescent="0.3">
      <c r="AW766" s="110"/>
      <c r="AX766" s="163"/>
      <c r="AY766" s="163"/>
      <c r="AZ766" s="163"/>
      <c r="BA766" s="207"/>
      <c r="BB766" s="163"/>
      <c r="BC766" s="163"/>
      <c r="BD766" s="163"/>
      <c r="BE766" s="207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</row>
    <row r="767" spans="45:75" x14ac:dyDescent="0.3">
      <c r="AW767" s="110"/>
      <c r="AX767" s="163"/>
      <c r="AY767" s="163"/>
      <c r="AZ767" s="163"/>
      <c r="BA767" s="207"/>
      <c r="BB767" s="163"/>
      <c r="BC767" s="163"/>
      <c r="BD767" s="163"/>
      <c r="BE767" s="207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</row>
    <row r="768" spans="45:75" x14ac:dyDescent="0.3">
      <c r="AW768" s="110"/>
      <c r="AX768" s="163"/>
      <c r="AY768" s="163"/>
      <c r="AZ768" s="163"/>
      <c r="BA768" s="207"/>
      <c r="BB768" s="163"/>
      <c r="BC768" s="163"/>
      <c r="BD768" s="163"/>
      <c r="BE768" s="207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</row>
    <row r="769" spans="49:75" x14ac:dyDescent="0.3">
      <c r="AW769" s="110"/>
      <c r="AX769" s="163"/>
      <c r="AY769" s="163"/>
      <c r="AZ769" s="163"/>
      <c r="BA769" s="207"/>
      <c r="BB769" s="163"/>
      <c r="BC769" s="163"/>
      <c r="BD769" s="163"/>
      <c r="BE769" s="207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</row>
    <row r="770" spans="49:75" x14ac:dyDescent="0.3">
      <c r="AW770" s="110"/>
      <c r="AX770" s="163"/>
      <c r="AY770" s="163"/>
      <c r="AZ770" s="163"/>
      <c r="BA770" s="207"/>
      <c r="BB770" s="163"/>
      <c r="BC770" s="163"/>
      <c r="BD770" s="163"/>
      <c r="BE770" s="207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</row>
    <row r="771" spans="49:75" x14ac:dyDescent="0.3">
      <c r="AW771" s="110"/>
      <c r="AX771" s="163"/>
      <c r="AY771" s="163"/>
      <c r="AZ771" s="163"/>
      <c r="BA771" s="207"/>
      <c r="BB771" s="163"/>
      <c r="BC771" s="163"/>
      <c r="BD771" s="163"/>
      <c r="BE771" s="207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</row>
    <row r="772" spans="49:75" x14ac:dyDescent="0.3">
      <c r="AW772" s="110"/>
      <c r="AX772" s="163"/>
      <c r="AY772" s="163"/>
      <c r="AZ772" s="163"/>
      <c r="BA772" s="207"/>
      <c r="BB772" s="163"/>
      <c r="BC772" s="163"/>
      <c r="BD772" s="163"/>
      <c r="BE772" s="207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</row>
    <row r="773" spans="49:75" x14ac:dyDescent="0.3">
      <c r="AW773" s="110"/>
      <c r="AX773" s="163"/>
      <c r="AY773" s="163"/>
      <c r="AZ773" s="163"/>
      <c r="BA773" s="207"/>
      <c r="BB773" s="163"/>
      <c r="BC773" s="163"/>
      <c r="BD773" s="163"/>
      <c r="BE773" s="207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</row>
    <row r="774" spans="49:75" x14ac:dyDescent="0.3">
      <c r="AW774" s="110"/>
      <c r="AX774" s="163"/>
      <c r="AY774" s="163"/>
      <c r="AZ774" s="163"/>
      <c r="BA774" s="207"/>
      <c r="BB774" s="163"/>
      <c r="BC774" s="163"/>
      <c r="BD774" s="163"/>
      <c r="BE774" s="207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</row>
    <row r="775" spans="49:75" x14ac:dyDescent="0.3">
      <c r="AW775" s="110"/>
      <c r="AX775" s="163"/>
      <c r="AY775" s="163"/>
      <c r="AZ775" s="163"/>
      <c r="BA775" s="207"/>
      <c r="BB775" s="163"/>
      <c r="BC775" s="163"/>
      <c r="BD775" s="163"/>
      <c r="BE775" s="207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</row>
    <row r="776" spans="49:75" x14ac:dyDescent="0.3">
      <c r="AW776" s="110"/>
      <c r="AX776" s="163"/>
      <c r="AY776" s="163"/>
      <c r="AZ776" s="163"/>
      <c r="BA776" s="207"/>
      <c r="BB776" s="163"/>
      <c r="BC776" s="163"/>
      <c r="BD776" s="163"/>
      <c r="BE776" s="207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</row>
    <row r="777" spans="49:75" x14ac:dyDescent="0.3">
      <c r="AW777" s="110"/>
      <c r="AX777" s="163"/>
      <c r="AY777" s="163"/>
      <c r="AZ777" s="163"/>
      <c r="BA777" s="207"/>
      <c r="BB777" s="163"/>
      <c r="BC777" s="163"/>
      <c r="BD777" s="163"/>
      <c r="BE777" s="207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</row>
    <row r="778" spans="49:75" x14ac:dyDescent="0.3">
      <c r="AW778" s="110"/>
      <c r="AX778" s="163"/>
      <c r="AY778" s="163"/>
      <c r="AZ778" s="163"/>
      <c r="BA778" s="207"/>
      <c r="BB778" s="163"/>
      <c r="BC778" s="163"/>
      <c r="BD778" s="163"/>
      <c r="BE778" s="207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</row>
    <row r="779" spans="49:75" x14ac:dyDescent="0.3">
      <c r="AW779" s="110"/>
      <c r="AX779" s="163"/>
      <c r="AY779" s="163"/>
      <c r="AZ779" s="163"/>
      <c r="BA779" s="207"/>
      <c r="BB779" s="163"/>
      <c r="BC779" s="163"/>
      <c r="BD779" s="163"/>
      <c r="BE779" s="207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</row>
    <row r="780" spans="49:75" x14ac:dyDescent="0.3">
      <c r="AW780" s="110"/>
      <c r="AX780" s="163"/>
      <c r="AY780" s="163"/>
      <c r="AZ780" s="163"/>
      <c r="BA780" s="207"/>
      <c r="BB780" s="163"/>
      <c r="BC780" s="163"/>
      <c r="BD780" s="163"/>
      <c r="BE780" s="207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</row>
    <row r="781" spans="49:75" x14ac:dyDescent="0.3">
      <c r="AW781" s="110"/>
      <c r="AX781" s="163"/>
      <c r="AY781" s="163"/>
      <c r="AZ781" s="163"/>
      <c r="BA781" s="207"/>
      <c r="BB781" s="163"/>
      <c r="BC781" s="163"/>
      <c r="BD781" s="163"/>
      <c r="BE781" s="207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</row>
    <row r="782" spans="49:75" x14ac:dyDescent="0.3">
      <c r="AW782" s="110"/>
      <c r="AX782" s="163"/>
      <c r="AY782" s="163"/>
      <c r="AZ782" s="163"/>
      <c r="BA782" s="207"/>
      <c r="BB782" s="163"/>
      <c r="BC782" s="163"/>
      <c r="BD782" s="163"/>
      <c r="BE782" s="207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</row>
    <row r="783" spans="49:75" x14ac:dyDescent="0.3"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</row>
    <row r="784" spans="49:75" x14ac:dyDescent="0.3"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</row>
    <row r="785" spans="45:75" x14ac:dyDescent="0.3"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</row>
    <row r="786" spans="45:75" x14ac:dyDescent="0.3"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01"/>
      <c r="BH786" s="101"/>
      <c r="BI786" s="99"/>
      <c r="BM786" s="101"/>
      <c r="BN786" s="101"/>
      <c r="BO786" s="163"/>
      <c r="BP786" s="101"/>
      <c r="BQ786" s="101"/>
      <c r="BR786" s="99"/>
      <c r="BV786" s="101"/>
      <c r="BW786" s="101"/>
    </row>
    <row r="787" spans="45:75" x14ac:dyDescent="0.3">
      <c r="AU787" s="99"/>
      <c r="AV787" s="102"/>
      <c r="AW787" s="110"/>
      <c r="AX787" s="163"/>
      <c r="AY787" s="163"/>
      <c r="AZ787" s="163"/>
      <c r="BA787" s="207"/>
      <c r="BB787" s="163"/>
      <c r="BC787" s="163"/>
      <c r="BD787" s="163"/>
      <c r="BE787" s="207"/>
      <c r="BG787" s="213"/>
      <c r="BH787" s="163"/>
      <c r="BI787" s="163"/>
      <c r="BJ787" s="163"/>
      <c r="BK787" s="213"/>
      <c r="BL787" s="214"/>
      <c r="BM787" s="163"/>
      <c r="BN787" s="213"/>
      <c r="BO787" s="163"/>
      <c r="BP787" s="213"/>
      <c r="BQ787" s="163"/>
      <c r="BR787" s="163"/>
      <c r="BS787" s="163"/>
      <c r="BT787" s="213"/>
      <c r="BU787" s="214"/>
      <c r="BV787" s="163"/>
      <c r="BW787" s="213"/>
    </row>
    <row r="788" spans="45:75" x14ac:dyDescent="0.3">
      <c r="AV788" s="102"/>
      <c r="AW788" s="110"/>
      <c r="AX788" s="163"/>
      <c r="AY788" s="163"/>
      <c r="AZ788" s="163"/>
      <c r="BA788" s="207"/>
      <c r="BB788" s="163"/>
      <c r="BC788" s="163"/>
      <c r="BD788" s="163"/>
      <c r="BE788" s="207"/>
      <c r="BG788" s="163"/>
      <c r="BH788" s="163"/>
      <c r="BI788" s="163"/>
      <c r="BJ788" s="163"/>
      <c r="BK788" s="163"/>
      <c r="BL788" s="214"/>
      <c r="BM788" s="163"/>
      <c r="BN788" s="163"/>
      <c r="BO788" s="163"/>
      <c r="BP788" s="163"/>
      <c r="BQ788" s="163"/>
      <c r="BR788" s="163"/>
      <c r="BS788" s="163"/>
      <c r="BT788" s="163"/>
      <c r="BU788" s="214"/>
      <c r="BV788" s="163"/>
      <c r="BW788" s="163"/>
    </row>
    <row r="789" spans="45:75" x14ac:dyDescent="0.3">
      <c r="AV789" s="102"/>
      <c r="AW789" s="110"/>
      <c r="AX789" s="163"/>
      <c r="AY789" s="163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214"/>
      <c r="BM789" s="163"/>
      <c r="BN789" s="163"/>
      <c r="BO789" s="163"/>
      <c r="BP789" s="163"/>
      <c r="BQ789" s="163"/>
      <c r="BR789" s="163"/>
      <c r="BS789" s="163"/>
      <c r="BT789" s="163"/>
      <c r="BU789" s="214"/>
      <c r="BV789" s="163"/>
      <c r="BW789" s="163"/>
    </row>
    <row r="790" spans="45:75" x14ac:dyDescent="0.3">
      <c r="AV790" s="102"/>
      <c r="AW790" s="110"/>
      <c r="AX790" s="163"/>
      <c r="AY790" s="163"/>
      <c r="AZ790" s="163"/>
      <c r="BA790" s="207"/>
      <c r="BB790" s="163"/>
      <c r="BC790" s="163"/>
      <c r="BD790" s="163"/>
      <c r="BE790" s="207"/>
      <c r="BG790" s="163"/>
      <c r="BH790" s="163"/>
      <c r="BI790" s="163"/>
      <c r="BJ790" s="163"/>
      <c r="BK790" s="163"/>
      <c r="BL790" s="214"/>
      <c r="BM790" s="163"/>
      <c r="BN790" s="163"/>
      <c r="BO790" s="163"/>
      <c r="BP790" s="163"/>
      <c r="BQ790" s="163"/>
      <c r="BR790" s="163"/>
      <c r="BS790" s="163"/>
      <c r="BT790" s="163"/>
      <c r="BU790" s="214"/>
      <c r="BV790" s="163"/>
      <c r="BW790" s="163"/>
    </row>
    <row r="791" spans="45:75" x14ac:dyDescent="0.3">
      <c r="AX791" s="163"/>
      <c r="AY791" s="163"/>
      <c r="AZ791" s="163"/>
      <c r="BA791" s="207"/>
      <c r="BB791" s="163"/>
      <c r="BC791" s="163"/>
      <c r="BD791" s="163"/>
      <c r="BE791" s="207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</row>
    <row r="792" spans="45:75" x14ac:dyDescent="0.3">
      <c r="AU792" s="99"/>
    </row>
    <row r="793" spans="45:75" x14ac:dyDescent="0.3">
      <c r="AU793" s="99"/>
      <c r="AZ793" s="163"/>
      <c r="BA793" s="207"/>
      <c r="BB793" s="163"/>
      <c r="BC793" s="163"/>
      <c r="BD793" s="163"/>
      <c r="BE793" s="207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</row>
    <row r="794" spans="45:75" x14ac:dyDescent="0.3">
      <c r="AS794" s="99"/>
      <c r="AZ794" s="163"/>
      <c r="BB794" s="163"/>
    </row>
    <row r="795" spans="45:75" x14ac:dyDescent="0.3">
      <c r="AZ795" s="163"/>
      <c r="BB795" s="163"/>
      <c r="BO795" s="163"/>
      <c r="BP795" s="163"/>
      <c r="BQ795" s="163"/>
      <c r="BR795" s="163"/>
      <c r="BS795" s="163"/>
      <c r="BT795" s="163"/>
      <c r="BU795" s="163"/>
      <c r="BV795" s="163"/>
    </row>
    <row r="796" spans="45:75" x14ac:dyDescent="0.3">
      <c r="AY796" s="163"/>
      <c r="AZ796" s="163"/>
      <c r="BB796" s="163"/>
      <c r="BO796" s="163"/>
      <c r="BP796" s="163"/>
      <c r="BQ796" s="163"/>
      <c r="BR796" s="163"/>
      <c r="BS796" s="163"/>
      <c r="BT796" s="163"/>
      <c r="BU796" s="163"/>
      <c r="BV796" s="163"/>
    </row>
    <row r="797" spans="45:75" x14ac:dyDescent="0.3">
      <c r="AY797" s="99"/>
      <c r="AZ797" s="163"/>
      <c r="BB797" s="163"/>
      <c r="BO797" s="163"/>
      <c r="BP797" s="163"/>
      <c r="BQ797" s="163"/>
      <c r="BR797" s="163"/>
      <c r="BS797" s="163"/>
      <c r="BT797" s="163"/>
      <c r="BU797" s="163"/>
      <c r="BV797" s="163"/>
    </row>
    <row r="798" spans="45:75" x14ac:dyDescent="0.3">
      <c r="AY798" s="99"/>
      <c r="AZ798" s="163"/>
      <c r="BB798" s="163"/>
      <c r="BO798" s="163"/>
      <c r="BP798" s="163"/>
      <c r="BQ798" s="163"/>
      <c r="BR798" s="163"/>
      <c r="BS798" s="163"/>
      <c r="BT798" s="163"/>
      <c r="BU798" s="163"/>
      <c r="BV798" s="163"/>
    </row>
    <row r="799" spans="45:75" x14ac:dyDescent="0.3">
      <c r="AZ799" s="163"/>
      <c r="BB799" s="163"/>
      <c r="BD799" s="99"/>
      <c r="BO799" s="163"/>
      <c r="BP799" s="163"/>
      <c r="BQ799" s="163"/>
      <c r="BR799" s="163"/>
      <c r="BS799" s="163"/>
      <c r="BT799" s="163"/>
      <c r="BU799" s="163"/>
      <c r="BV799" s="163"/>
    </row>
    <row r="800" spans="45:75" x14ac:dyDescent="0.3">
      <c r="AZ800" s="163"/>
      <c r="BB800" s="163"/>
      <c r="BD800" s="99"/>
      <c r="BO800" s="163"/>
      <c r="BP800" s="163"/>
      <c r="BQ800" s="163"/>
      <c r="BR800" s="163"/>
      <c r="BS800" s="163"/>
      <c r="BT800" s="163"/>
      <c r="BU800" s="163"/>
      <c r="BV800" s="163"/>
    </row>
    <row r="801" spans="45:74" x14ac:dyDescent="0.3">
      <c r="AS801" s="99"/>
      <c r="AZ801" s="163"/>
      <c r="BB801" s="163"/>
      <c r="BD801" s="99"/>
      <c r="BO801" s="163"/>
      <c r="BP801" s="163"/>
      <c r="BQ801" s="163"/>
      <c r="BR801" s="163"/>
      <c r="BS801" s="163"/>
      <c r="BT801" s="163"/>
      <c r="BU801" s="163"/>
      <c r="BV801" s="163"/>
    </row>
    <row r="802" spans="45:74" x14ac:dyDescent="0.3">
      <c r="AZ802" s="163"/>
      <c r="BB802" s="163"/>
      <c r="BO802" s="163"/>
      <c r="BP802" s="163"/>
      <c r="BQ802" s="163"/>
      <c r="BR802" s="163"/>
      <c r="BS802" s="163"/>
      <c r="BT802" s="163"/>
      <c r="BU802" s="163"/>
      <c r="BV802" s="163"/>
    </row>
    <row r="803" spans="45:74" x14ac:dyDescent="0.3">
      <c r="AS803" s="101"/>
      <c r="AT803" s="101"/>
      <c r="AU803" s="101"/>
      <c r="AV803" s="101"/>
      <c r="AW803" s="101"/>
      <c r="AX803" s="101"/>
      <c r="AY803" s="101"/>
      <c r="AZ803" s="212"/>
      <c r="BA803" s="101"/>
      <c r="BB803" s="212"/>
      <c r="BC803" s="101"/>
      <c r="BD803" s="101"/>
      <c r="BE803" s="101"/>
      <c r="BO803" s="163"/>
      <c r="BP803" s="163"/>
      <c r="BQ803" s="163"/>
      <c r="BR803" s="163"/>
      <c r="BS803" s="163"/>
      <c r="BT803" s="163"/>
      <c r="BU803" s="163"/>
      <c r="BV803" s="163"/>
    </row>
    <row r="804" spans="45:74" x14ac:dyDescent="0.3">
      <c r="AX804" s="99"/>
      <c r="AZ804" s="163"/>
      <c r="BB804" s="163"/>
      <c r="BO804" s="163"/>
      <c r="BP804" s="163"/>
      <c r="BQ804" s="163"/>
      <c r="BR804" s="163"/>
      <c r="BS804" s="163"/>
      <c r="BT804" s="163"/>
      <c r="BU804" s="163"/>
      <c r="BV804" s="163"/>
    </row>
    <row r="805" spans="45:74" x14ac:dyDescent="0.3">
      <c r="AX805" s="101"/>
      <c r="AY805" s="101"/>
      <c r="AZ805" s="212"/>
      <c r="BA805" s="101"/>
      <c r="BB805" s="163"/>
      <c r="BC805" s="102"/>
      <c r="BD805" s="102"/>
      <c r="BO805" s="163"/>
      <c r="BP805" s="163"/>
      <c r="BQ805" s="163"/>
      <c r="BR805" s="163"/>
      <c r="BS805" s="163"/>
      <c r="BT805" s="163"/>
      <c r="BU805" s="163"/>
      <c r="BV805" s="163"/>
    </row>
    <row r="806" spans="45:74" x14ac:dyDescent="0.3">
      <c r="AV806" s="102"/>
      <c r="AW806" s="102"/>
      <c r="AZ806" s="213"/>
      <c r="BA806" s="102"/>
      <c r="BB806" s="163"/>
      <c r="BC806" s="102"/>
      <c r="BD806" s="102"/>
      <c r="BE806" s="102"/>
      <c r="BG806" s="101"/>
      <c r="BH806" s="99"/>
      <c r="BK806" s="101"/>
      <c r="BM806" s="101"/>
      <c r="BN806" s="99"/>
      <c r="BQ806" s="101"/>
    </row>
    <row r="807" spans="45:74" x14ac:dyDescent="0.3">
      <c r="AV807" s="102"/>
      <c r="AW807" s="102"/>
      <c r="AX807" s="102"/>
      <c r="AY807" s="102"/>
      <c r="AZ807" s="213"/>
      <c r="BA807" s="102"/>
      <c r="BB807" s="213"/>
      <c r="BC807" s="102"/>
      <c r="BD807" s="102"/>
      <c r="BE807" s="102"/>
      <c r="BH807" s="102"/>
      <c r="BI807" s="102"/>
      <c r="BN807" s="102"/>
      <c r="BO807" s="102"/>
    </row>
    <row r="808" spans="45:74" x14ac:dyDescent="0.3">
      <c r="AS808" s="102"/>
      <c r="AU808" s="99"/>
      <c r="AV808" s="102"/>
      <c r="AW808" s="102"/>
      <c r="AX808" s="102"/>
      <c r="AY808" s="102"/>
      <c r="AZ808" s="213"/>
      <c r="BA808" s="102"/>
      <c r="BB808" s="213"/>
      <c r="BC808" s="102"/>
      <c r="BD808" s="102"/>
      <c r="BE808" s="102"/>
      <c r="BG808" s="102"/>
      <c r="BH808" s="102"/>
      <c r="BI808" s="102"/>
      <c r="BJ808" s="102"/>
      <c r="BK808" s="102"/>
      <c r="BM808" s="102"/>
      <c r="BN808" s="102"/>
      <c r="BO808" s="102"/>
      <c r="BP808" s="102"/>
      <c r="BQ808" s="102"/>
    </row>
    <row r="809" spans="45:74" x14ac:dyDescent="0.3">
      <c r="AS809" s="102"/>
      <c r="AU809" s="99"/>
      <c r="AV809" s="102"/>
      <c r="AW809" s="102"/>
      <c r="AX809" s="102"/>
      <c r="AY809" s="102"/>
      <c r="AZ809" s="213"/>
      <c r="BA809" s="102"/>
      <c r="BB809" s="213"/>
      <c r="BC809" s="102"/>
      <c r="BD809" s="102"/>
      <c r="BE809" s="102"/>
      <c r="BG809" s="102"/>
      <c r="BH809" s="102"/>
      <c r="BI809" s="102"/>
      <c r="BJ809" s="102"/>
      <c r="BK809" s="102"/>
      <c r="BM809" s="102"/>
      <c r="BN809" s="102"/>
      <c r="BO809" s="102"/>
      <c r="BP809" s="102"/>
      <c r="BQ809" s="102"/>
    </row>
    <row r="810" spans="45:74" x14ac:dyDescent="0.3">
      <c r="AS810" s="101"/>
      <c r="AT810" s="101"/>
      <c r="AU810" s="101"/>
      <c r="AV810" s="101"/>
      <c r="AW810" s="101"/>
      <c r="AX810" s="101"/>
      <c r="AY810" s="101"/>
      <c r="AZ810" s="212"/>
      <c r="BA810" s="101"/>
      <c r="BB810" s="212"/>
      <c r="BC810" s="101"/>
      <c r="BD810" s="101"/>
      <c r="BE810" s="101"/>
      <c r="BG810" s="101"/>
      <c r="BH810" s="101"/>
      <c r="BI810" s="101"/>
      <c r="BJ810" s="101"/>
      <c r="BK810" s="101"/>
      <c r="BM810" s="101"/>
      <c r="BN810" s="101"/>
      <c r="BO810" s="101"/>
      <c r="BP810" s="101"/>
      <c r="BQ810" s="101"/>
    </row>
    <row r="811" spans="45:74" x14ac:dyDescent="0.3">
      <c r="AV811" s="102"/>
      <c r="AW811" s="102"/>
      <c r="AX811" s="102"/>
      <c r="AY811" s="102"/>
      <c r="AZ811" s="213"/>
      <c r="BA811" s="102"/>
      <c r="BB811" s="213"/>
      <c r="BC811" s="102"/>
      <c r="BD811" s="102"/>
      <c r="BE811" s="102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</row>
    <row r="812" spans="45:74" x14ac:dyDescent="0.3">
      <c r="AT812" s="99"/>
      <c r="AV812" s="110"/>
      <c r="AW812" s="110"/>
      <c r="AX812" s="163"/>
      <c r="AY812" s="163"/>
      <c r="AZ812" s="163"/>
      <c r="BA812" s="207"/>
      <c r="BB812" s="163"/>
      <c r="BC812" s="163"/>
      <c r="BD812" s="163"/>
      <c r="BE812" s="207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</row>
    <row r="813" spans="45:74" x14ac:dyDescent="0.3">
      <c r="AV813" s="110"/>
      <c r="AW813" s="110"/>
      <c r="AX813" s="163"/>
      <c r="AY813" s="163"/>
      <c r="AZ813" s="163"/>
      <c r="BA813" s="207"/>
      <c r="BB813" s="163"/>
      <c r="BC813" s="163"/>
      <c r="BD813" s="163"/>
      <c r="BE813" s="207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</row>
    <row r="814" spans="45:74" x14ac:dyDescent="0.3">
      <c r="AV814" s="110"/>
      <c r="AW814" s="110"/>
      <c r="AX814" s="163"/>
      <c r="AY814" s="163"/>
      <c r="AZ814" s="163"/>
      <c r="BA814" s="207"/>
      <c r="BB814" s="163"/>
      <c r="BC814" s="163"/>
      <c r="BD814" s="163"/>
      <c r="BE814" s="207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</row>
    <row r="815" spans="45:74" x14ac:dyDescent="0.3">
      <c r="AV815" s="110"/>
      <c r="AW815" s="110"/>
      <c r="AX815" s="163"/>
      <c r="AY815" s="163"/>
      <c r="AZ815" s="163"/>
      <c r="BA815" s="207"/>
      <c r="BB815" s="163"/>
      <c r="BC815" s="163"/>
      <c r="BD815" s="163"/>
      <c r="BE815" s="207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</row>
    <row r="816" spans="45:74" x14ac:dyDescent="0.3">
      <c r="AV816" s="110"/>
      <c r="AW816" s="110"/>
      <c r="AX816" s="163"/>
      <c r="AY816" s="163"/>
      <c r="AZ816" s="163"/>
      <c r="BA816" s="207"/>
      <c r="BB816" s="163"/>
      <c r="BC816" s="163"/>
      <c r="BD816" s="163"/>
      <c r="BE816" s="207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</row>
    <row r="817" spans="46:71" x14ac:dyDescent="0.3">
      <c r="AV817" s="110"/>
      <c r="AW817" s="110"/>
      <c r="AX817" s="163"/>
      <c r="AY817" s="163"/>
      <c r="AZ817" s="163"/>
      <c r="BA817" s="207"/>
      <c r="BB817" s="163"/>
      <c r="BC817" s="163"/>
      <c r="BD817" s="163"/>
      <c r="BE817" s="207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</row>
    <row r="818" spans="46:71" x14ac:dyDescent="0.3">
      <c r="AV818" s="110"/>
      <c r="AW818" s="110"/>
      <c r="AX818" s="163"/>
      <c r="AY818" s="163"/>
      <c r="AZ818" s="163"/>
      <c r="BA818" s="207"/>
      <c r="BB818" s="163"/>
      <c r="BC818" s="163"/>
      <c r="BD818" s="163"/>
      <c r="BE818" s="207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</row>
    <row r="819" spans="46:71" x14ac:dyDescent="0.3">
      <c r="AV819" s="110"/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</row>
    <row r="820" spans="46:71" x14ac:dyDescent="0.3">
      <c r="AV820" s="110"/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</row>
    <row r="821" spans="46:71" x14ac:dyDescent="0.3">
      <c r="AV821" s="110"/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</row>
    <row r="822" spans="46:71" x14ac:dyDescent="0.3">
      <c r="AV822" s="110"/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</row>
    <row r="823" spans="46:71" x14ac:dyDescent="0.3">
      <c r="AV823" s="110"/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</row>
    <row r="824" spans="46:71" x14ac:dyDescent="0.3">
      <c r="AV824" s="110"/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</row>
    <row r="825" spans="46:71" x14ac:dyDescent="0.3">
      <c r="AV825" s="110"/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</row>
    <row r="826" spans="46:71" x14ac:dyDescent="0.3">
      <c r="AV826" s="110"/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</row>
    <row r="827" spans="46:71" x14ac:dyDescent="0.3">
      <c r="AV827" s="110"/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</row>
    <row r="828" spans="46:71" x14ac:dyDescent="0.3">
      <c r="AV828" s="110"/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</row>
    <row r="829" spans="46:71" x14ac:dyDescent="0.3">
      <c r="AV829" s="110"/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</row>
    <row r="830" spans="46:71" x14ac:dyDescent="0.3">
      <c r="AZ830" s="163"/>
      <c r="BB830" s="163"/>
      <c r="BC830" s="163"/>
      <c r="BD830" s="163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</row>
    <row r="831" spans="46:71" x14ac:dyDescent="0.3">
      <c r="AT831" s="99"/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</row>
    <row r="832" spans="46:71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</row>
    <row r="833" spans="48:57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</row>
    <row r="834" spans="48:57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</row>
    <row r="835" spans="48:57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</row>
    <row r="836" spans="48:57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</row>
    <row r="837" spans="48:57" x14ac:dyDescent="0.3">
      <c r="AV837" s="110"/>
      <c r="AW837" s="110"/>
      <c r="AX837" s="163"/>
      <c r="AY837" s="163"/>
      <c r="AZ837" s="163"/>
      <c r="BA837" s="207"/>
      <c r="BB837" s="163"/>
      <c r="BC837" s="163"/>
      <c r="BD837" s="163"/>
      <c r="BE837" s="207"/>
    </row>
    <row r="838" spans="48:57" x14ac:dyDescent="0.3"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</row>
    <row r="839" spans="48:57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</row>
    <row r="840" spans="48:57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</row>
    <row r="841" spans="48:57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</row>
    <row r="842" spans="48:57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</row>
    <row r="843" spans="48:57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</row>
    <row r="844" spans="48:57" x14ac:dyDescent="0.3">
      <c r="AV844" s="110"/>
      <c r="AW844" s="110"/>
      <c r="AX844" s="163"/>
      <c r="AY844" s="163"/>
      <c r="AZ844" s="163"/>
      <c r="BA844" s="207"/>
      <c r="BB844" s="163"/>
      <c r="BC844" s="163"/>
      <c r="BD844" s="163"/>
      <c r="BE844" s="207"/>
    </row>
    <row r="845" spans="48:57" x14ac:dyDescent="0.3">
      <c r="AV845" s="110"/>
      <c r="AW845" s="110"/>
      <c r="AX845" s="163"/>
      <c r="AY845" s="163"/>
      <c r="AZ845" s="163"/>
      <c r="BA845" s="207"/>
      <c r="BB845" s="163"/>
      <c r="BC845" s="163"/>
      <c r="BD845" s="163"/>
      <c r="BE845" s="207"/>
    </row>
    <row r="846" spans="48:57" x14ac:dyDescent="0.3"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</row>
    <row r="847" spans="48:57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</row>
    <row r="848" spans="48:57" x14ac:dyDescent="0.3">
      <c r="AV848" s="110"/>
      <c r="AW848" s="110"/>
      <c r="AX848" s="163"/>
      <c r="AY848" s="163"/>
      <c r="AZ848" s="163"/>
      <c r="BA848" s="207"/>
      <c r="BB848" s="163"/>
      <c r="BC848" s="163"/>
      <c r="BD848" s="163"/>
      <c r="BE848" s="207"/>
    </row>
    <row r="849" spans="45:57" x14ac:dyDescent="0.3">
      <c r="BB849" s="163"/>
    </row>
    <row r="850" spans="45:57" x14ac:dyDescent="0.3">
      <c r="AU850" s="99"/>
      <c r="BB850" s="163"/>
    </row>
    <row r="851" spans="45:57" x14ac:dyDescent="0.3">
      <c r="AU851" s="99"/>
    </row>
    <row r="852" spans="45:57" x14ac:dyDescent="0.3">
      <c r="AU852" s="99"/>
      <c r="BB852" s="163"/>
    </row>
    <row r="853" spans="45:57" x14ac:dyDescent="0.3">
      <c r="AS853" s="99"/>
      <c r="AZ853" s="163"/>
      <c r="BB853" s="163"/>
    </row>
    <row r="854" spans="45:57" x14ac:dyDescent="0.3">
      <c r="AZ854" s="163"/>
      <c r="BB854" s="163"/>
    </row>
    <row r="855" spans="45:57" x14ac:dyDescent="0.3">
      <c r="AY855" s="163"/>
      <c r="AZ855" s="163"/>
      <c r="BB855" s="163"/>
    </row>
    <row r="856" spans="45:57" x14ac:dyDescent="0.3">
      <c r="AY856" s="99"/>
      <c r="AZ856" s="163"/>
      <c r="BB856" s="163"/>
    </row>
    <row r="857" spans="45:57" x14ac:dyDescent="0.3">
      <c r="AY857" s="99"/>
      <c r="AZ857" s="163"/>
      <c r="BB857" s="163"/>
    </row>
    <row r="858" spans="45:57" x14ac:dyDescent="0.3">
      <c r="AZ858" s="163"/>
      <c r="BB858" s="163"/>
      <c r="BD858" s="99"/>
    </row>
    <row r="859" spans="45:57" x14ac:dyDescent="0.3">
      <c r="AZ859" s="163"/>
      <c r="BB859" s="163"/>
      <c r="BD859" s="99"/>
    </row>
    <row r="860" spans="45:57" x14ac:dyDescent="0.3">
      <c r="AS860" s="99"/>
      <c r="AZ860" s="163"/>
      <c r="BB860" s="163"/>
      <c r="BD860" s="99"/>
    </row>
    <row r="861" spans="45:57" x14ac:dyDescent="0.3">
      <c r="AZ861" s="163"/>
      <c r="BB861" s="163"/>
    </row>
    <row r="862" spans="45:57" x14ac:dyDescent="0.3">
      <c r="AS862" s="101"/>
      <c r="AT862" s="101"/>
      <c r="AU862" s="101"/>
      <c r="AV862" s="101"/>
      <c r="AW862" s="101"/>
      <c r="AX862" s="101"/>
      <c r="AY862" s="101"/>
      <c r="AZ862" s="212"/>
      <c r="BA862" s="101"/>
      <c r="BB862" s="212"/>
      <c r="BC862" s="101"/>
      <c r="BD862" s="101"/>
      <c r="BE862" s="101"/>
    </row>
    <row r="863" spans="45:57" x14ac:dyDescent="0.3">
      <c r="AX863" s="99"/>
      <c r="AZ863" s="163"/>
      <c r="BB863" s="163"/>
    </row>
    <row r="864" spans="45:57" x14ac:dyDescent="0.3">
      <c r="AX864" s="101"/>
      <c r="AY864" s="101"/>
      <c r="AZ864" s="212"/>
      <c r="BA864" s="101"/>
      <c r="BB864" s="163"/>
      <c r="BC864" s="102"/>
      <c r="BD864" s="102"/>
    </row>
    <row r="865" spans="45:57" x14ac:dyDescent="0.3">
      <c r="AV865" s="102"/>
      <c r="AW865" s="102"/>
      <c r="AZ865" s="213"/>
      <c r="BA865" s="102"/>
      <c r="BB865" s="163"/>
      <c r="BC865" s="102"/>
      <c r="BD865" s="102"/>
      <c r="BE865" s="102"/>
    </row>
    <row r="866" spans="45:57" x14ac:dyDescent="0.3">
      <c r="AV866" s="102"/>
      <c r="AW866" s="102"/>
      <c r="AX866" s="102"/>
      <c r="AY866" s="102"/>
      <c r="AZ866" s="213"/>
      <c r="BA866" s="102"/>
      <c r="BB866" s="213"/>
      <c r="BC866" s="102"/>
      <c r="BD866" s="102"/>
      <c r="BE866" s="102"/>
    </row>
    <row r="867" spans="45:57" x14ac:dyDescent="0.3">
      <c r="AS867" s="102"/>
      <c r="AU867" s="99"/>
      <c r="AV867" s="102"/>
      <c r="AW867" s="102"/>
      <c r="AX867" s="102"/>
      <c r="AY867" s="102"/>
      <c r="AZ867" s="213"/>
      <c r="BA867" s="102"/>
      <c r="BB867" s="213"/>
      <c r="BC867" s="102"/>
      <c r="BD867" s="102"/>
      <c r="BE867" s="102"/>
    </row>
    <row r="868" spans="45:57" x14ac:dyDescent="0.3">
      <c r="AS868" s="102"/>
      <c r="AU868" s="99"/>
      <c r="AV868" s="102"/>
      <c r="AW868" s="102"/>
      <c r="AX868" s="102"/>
      <c r="AY868" s="102"/>
      <c r="AZ868" s="213"/>
      <c r="BA868" s="102"/>
      <c r="BB868" s="213"/>
      <c r="BC868" s="102"/>
      <c r="BD868" s="102"/>
      <c r="BE868" s="102"/>
    </row>
    <row r="869" spans="45:57" x14ac:dyDescent="0.3">
      <c r="AS869" s="101"/>
      <c r="AT869" s="101"/>
      <c r="AU869" s="101"/>
      <c r="AV869" s="101"/>
      <c r="AW869" s="101"/>
      <c r="AX869" s="101"/>
      <c r="AY869" s="101"/>
      <c r="AZ869" s="212"/>
      <c r="BA869" s="101"/>
      <c r="BB869" s="212"/>
      <c r="BC869" s="101"/>
      <c r="BD869" s="101"/>
      <c r="BE869" s="101"/>
    </row>
    <row r="870" spans="45:57" x14ac:dyDescent="0.3">
      <c r="AV870" s="102"/>
      <c r="AW870" s="102"/>
      <c r="AX870" s="102"/>
      <c r="AY870" s="102"/>
      <c r="AZ870" s="213"/>
      <c r="BA870" s="102"/>
      <c r="BB870" s="213"/>
      <c r="BC870" s="102"/>
      <c r="BD870" s="102"/>
      <c r="BE870" s="102"/>
    </row>
    <row r="871" spans="45:57" x14ac:dyDescent="0.3">
      <c r="AT871" s="99"/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</row>
    <row r="872" spans="45:57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</row>
    <row r="873" spans="45:57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</row>
    <row r="874" spans="45:57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</row>
    <row r="875" spans="45:57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</row>
    <row r="876" spans="45:57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</row>
    <row r="877" spans="45:57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</row>
    <row r="878" spans="45:57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</row>
    <row r="879" spans="45:57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</row>
    <row r="880" spans="45:57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</row>
    <row r="881" spans="45:57" x14ac:dyDescent="0.3">
      <c r="AV881" s="110"/>
      <c r="AW881" s="110"/>
      <c r="BB881" s="163"/>
    </row>
    <row r="882" spans="45:57" x14ac:dyDescent="0.3">
      <c r="AT882" s="99"/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</row>
    <row r="883" spans="45:57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</row>
    <row r="884" spans="45:57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</row>
    <row r="885" spans="45:57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5:57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5:57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5:57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</row>
    <row r="889" spans="45:57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5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5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3" spans="45:57" x14ac:dyDescent="0.3">
      <c r="AU893" s="99"/>
    </row>
    <row r="894" spans="45:57" x14ac:dyDescent="0.3">
      <c r="AU894" s="99"/>
    </row>
    <row r="895" spans="45:57" x14ac:dyDescent="0.3">
      <c r="AU895" s="99"/>
    </row>
    <row r="896" spans="45:57" x14ac:dyDescent="0.3">
      <c r="AS896" s="99"/>
    </row>
    <row r="917" spans="52:71" x14ac:dyDescent="0.3">
      <c r="AZ917" s="163"/>
      <c r="BB917" s="163"/>
      <c r="BC917" s="163"/>
      <c r="BD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</row>
    <row r="918" spans="52:71" x14ac:dyDescent="0.3">
      <c r="AZ918" s="163"/>
      <c r="BB918" s="163"/>
      <c r="BC918" s="163"/>
      <c r="BD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</row>
    <row r="919" spans="52:71" x14ac:dyDescent="0.3">
      <c r="AZ919" s="163"/>
      <c r="BB919" s="163"/>
      <c r="BC919" s="163"/>
      <c r="BD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</row>
    <row r="920" spans="52:71" x14ac:dyDescent="0.3">
      <c r="AZ920" s="163"/>
      <c r="BB920" s="163"/>
      <c r="BC920" s="163"/>
      <c r="BD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</row>
    <row r="921" spans="52:71" x14ac:dyDescent="0.3">
      <c r="AZ921" s="163"/>
      <c r="BB921" s="163"/>
      <c r="BC921" s="163"/>
      <c r="BD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</row>
    <row r="922" spans="52:71" x14ac:dyDescent="0.3">
      <c r="AZ922" s="163"/>
      <c r="BB922" s="163"/>
      <c r="BC922" s="163"/>
      <c r="BD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</row>
    <row r="923" spans="52:71" x14ac:dyDescent="0.3">
      <c r="AZ923" s="163"/>
      <c r="BB923" s="163"/>
      <c r="BC923" s="163"/>
      <c r="BD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</row>
    <row r="924" spans="52:71" x14ac:dyDescent="0.3">
      <c r="AZ924" s="163"/>
      <c r="BB924" s="163"/>
      <c r="BC924" s="163"/>
      <c r="BD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</row>
    <row r="925" spans="52:71" x14ac:dyDescent="0.3">
      <c r="AZ925" s="163"/>
      <c r="BB925" s="163"/>
      <c r="BC925" s="163"/>
      <c r="BD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</row>
    <row r="926" spans="52:71" x14ac:dyDescent="0.3">
      <c r="AZ926" s="163"/>
      <c r="BB926" s="163"/>
      <c r="BC926" s="163"/>
      <c r="BD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</row>
    <row r="927" spans="52:71" x14ac:dyDescent="0.3">
      <c r="AZ927" s="163"/>
      <c r="BB927" s="163"/>
      <c r="BC927" s="163"/>
      <c r="BD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</row>
    <row r="928" spans="52:71" x14ac:dyDescent="0.3">
      <c r="AZ928" s="163"/>
      <c r="BB928" s="163"/>
      <c r="BC928" s="163"/>
      <c r="BD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</row>
    <row r="929" spans="52:71" x14ac:dyDescent="0.3">
      <c r="AZ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</row>
    <row r="930" spans="52:71" x14ac:dyDescent="0.3">
      <c r="AZ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</row>
    <row r="931" spans="52:71" x14ac:dyDescent="0.3">
      <c r="AZ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</row>
    <row r="932" spans="52:71" x14ac:dyDescent="0.3">
      <c r="AZ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</row>
    <row r="933" spans="52:71" x14ac:dyDescent="0.3">
      <c r="AZ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</row>
    <row r="934" spans="52:71" x14ac:dyDescent="0.3">
      <c r="AZ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</row>
    <row r="935" spans="52:71" x14ac:dyDescent="0.3">
      <c r="AZ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</row>
    <row r="936" spans="52:71" x14ac:dyDescent="0.3">
      <c r="AZ936" s="163"/>
    </row>
    <row r="937" spans="52:71" x14ac:dyDescent="0.3">
      <c r="AZ937" s="163"/>
    </row>
    <row r="951" spans="1:28" x14ac:dyDescent="0.3">
      <c r="A951" s="99"/>
    </row>
    <row r="954" spans="1:28" x14ac:dyDescent="0.3">
      <c r="Y954" s="99"/>
    </row>
    <row r="955" spans="1:28" x14ac:dyDescent="0.3">
      <c r="A955" s="99"/>
      <c r="H955" s="99"/>
      <c r="I955" s="99"/>
    </row>
    <row r="956" spans="1:28" x14ac:dyDescent="0.3">
      <c r="A956" s="99"/>
      <c r="V956" s="102"/>
      <c r="AA956" s="102"/>
      <c r="AB956" s="102"/>
    </row>
    <row r="957" spans="1:28" x14ac:dyDescent="0.3">
      <c r="A957" s="99"/>
      <c r="V957" s="101"/>
      <c r="AA957" s="101"/>
      <c r="AB957" s="101"/>
    </row>
    <row r="958" spans="1:28" x14ac:dyDescent="0.3">
      <c r="A958" s="99"/>
      <c r="U958" s="99"/>
      <c r="AA958" s="102"/>
      <c r="AB958" s="102"/>
    </row>
    <row r="959" spans="1:28" x14ac:dyDescent="0.3">
      <c r="A959" s="99"/>
    </row>
    <row r="960" spans="1:28" x14ac:dyDescent="0.3">
      <c r="A960" s="99"/>
      <c r="U960" s="99"/>
      <c r="AA960" s="102"/>
      <c r="AB960" s="102"/>
    </row>
    <row r="961" spans="1:28" x14ac:dyDescent="0.3">
      <c r="A961" s="99"/>
    </row>
    <row r="962" spans="1:28" x14ac:dyDescent="0.3">
      <c r="A962" s="99"/>
      <c r="U962" s="99"/>
      <c r="V962" s="231"/>
      <c r="AA962" s="102"/>
      <c r="AB962" s="102"/>
    </row>
    <row r="963" spans="1:28" x14ac:dyDescent="0.3">
      <c r="A963" s="99"/>
    </row>
    <row r="964" spans="1:28" x14ac:dyDescent="0.3">
      <c r="A964" s="99"/>
      <c r="U964" s="99"/>
      <c r="AA964" s="102"/>
      <c r="AB964" s="102"/>
    </row>
    <row r="965" spans="1:28" x14ac:dyDescent="0.3">
      <c r="A965" s="99"/>
    </row>
    <row r="966" spans="1:28" x14ac:dyDescent="0.3">
      <c r="A966" s="99"/>
      <c r="U966" s="99"/>
      <c r="AA966" s="102"/>
      <c r="AB966" s="102"/>
    </row>
    <row r="967" spans="1:28" x14ac:dyDescent="0.3">
      <c r="A967" s="99"/>
    </row>
    <row r="968" spans="1:28" x14ac:dyDescent="0.3">
      <c r="A968" s="99"/>
    </row>
    <row r="969" spans="1:28" x14ac:dyDescent="0.3">
      <c r="A969" s="99"/>
    </row>
    <row r="970" spans="1:28" x14ac:dyDescent="0.3">
      <c r="A970" s="99"/>
    </row>
    <row r="971" spans="1:28" x14ac:dyDescent="0.3">
      <c r="A971" s="99"/>
    </row>
    <row r="972" spans="1:28" x14ac:dyDescent="0.3">
      <c r="A972" s="99"/>
    </row>
    <row r="973" spans="1:28" x14ac:dyDescent="0.3">
      <c r="A973" s="99"/>
    </row>
    <row r="974" spans="1:28" x14ac:dyDescent="0.3">
      <c r="A974" s="99"/>
    </row>
    <row r="975" spans="1:28" x14ac:dyDescent="0.3">
      <c r="A975" s="99"/>
    </row>
    <row r="976" spans="1:28" x14ac:dyDescent="0.3">
      <c r="A976" s="99"/>
    </row>
    <row r="977" spans="1:9" x14ac:dyDescent="0.3">
      <c r="A977" s="99"/>
      <c r="H977" s="99"/>
      <c r="I977" s="99"/>
    </row>
    <row r="980" spans="1:9" x14ac:dyDescent="0.3">
      <c r="A980" s="99"/>
    </row>
    <row r="983" spans="1:9" x14ac:dyDescent="0.3">
      <c r="A983" s="99"/>
    </row>
    <row r="986" spans="1:9" x14ac:dyDescent="0.3">
      <c r="A986" s="99"/>
    </row>
    <row r="987" spans="1:9" x14ac:dyDescent="0.3">
      <c r="A987" s="99"/>
    </row>
    <row r="988" spans="1:9" x14ac:dyDescent="0.3">
      <c r="A988" s="99"/>
    </row>
    <row r="989" spans="1:9" x14ac:dyDescent="0.3">
      <c r="A989" s="99"/>
    </row>
    <row r="990" spans="1:9" x14ac:dyDescent="0.3">
      <c r="A990" s="99"/>
    </row>
    <row r="991" spans="1:9" x14ac:dyDescent="0.3">
      <c r="A991" s="99"/>
    </row>
    <row r="992" spans="1:9" x14ac:dyDescent="0.3">
      <c r="A992" s="99"/>
    </row>
    <row r="993" spans="1:1" x14ac:dyDescent="0.3">
      <c r="A993" s="99"/>
    </row>
    <row r="994" spans="1:1" x14ac:dyDescent="0.3">
      <c r="A994" s="99"/>
    </row>
    <row r="995" spans="1:1" x14ac:dyDescent="0.3">
      <c r="A995" s="99"/>
    </row>
    <row r="996" spans="1:1" x14ac:dyDescent="0.3">
      <c r="A996" s="99"/>
    </row>
    <row r="997" spans="1:1" x14ac:dyDescent="0.3">
      <c r="A997" s="99"/>
    </row>
    <row r="998" spans="1:1" x14ac:dyDescent="0.3">
      <c r="A998" s="99"/>
    </row>
    <row r="999" spans="1:1" x14ac:dyDescent="0.3">
      <c r="A999" s="99"/>
    </row>
    <row r="1000" spans="1:1" x14ac:dyDescent="0.3">
      <c r="A1000" s="99"/>
    </row>
    <row r="1001" spans="1:1" x14ac:dyDescent="0.3">
      <c r="A1001" s="99"/>
    </row>
    <row r="1002" spans="1:1" x14ac:dyDescent="0.3">
      <c r="A1002" s="99"/>
    </row>
    <row r="1003" spans="1:1" x14ac:dyDescent="0.3">
      <c r="A1003" s="99"/>
    </row>
    <row r="1004" spans="1:1" x14ac:dyDescent="0.3">
      <c r="A1004" s="99"/>
    </row>
    <row r="1005" spans="1:1" x14ac:dyDescent="0.3">
      <c r="A1005" s="99"/>
    </row>
    <row r="1006" spans="1:1" x14ac:dyDescent="0.3">
      <c r="A1006" s="99"/>
    </row>
    <row r="1007" spans="1:1" x14ac:dyDescent="0.3">
      <c r="A1007" s="99"/>
    </row>
    <row r="1008" spans="1:1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5" spans="1:1" x14ac:dyDescent="0.3">
      <c r="A1025" s="99"/>
    </row>
    <row r="1026" spans="1:1" x14ac:dyDescent="0.3">
      <c r="A1026" s="99"/>
    </row>
    <row r="1029" spans="1:1" x14ac:dyDescent="0.3">
      <c r="A1029" s="99"/>
    </row>
    <row r="1031" spans="1:1" x14ac:dyDescent="0.3">
      <c r="A1031" s="99"/>
    </row>
    <row r="1033" spans="1:1" x14ac:dyDescent="0.3">
      <c r="A1033" s="99"/>
    </row>
    <row r="1035" spans="1:1" x14ac:dyDescent="0.3">
      <c r="A1035" s="99"/>
    </row>
    <row r="1038" spans="1:1" x14ac:dyDescent="0.3">
      <c r="A1038" s="99"/>
    </row>
    <row r="1039" spans="1:1" x14ac:dyDescent="0.3">
      <c r="A1039" s="99"/>
    </row>
    <row r="1040" spans="1:1" x14ac:dyDescent="0.3">
      <c r="A1040" s="99"/>
    </row>
    <row r="1041" spans="1:1" x14ac:dyDescent="0.3">
      <c r="A1041" s="99"/>
    </row>
    <row r="1042" spans="1:1" x14ac:dyDescent="0.3">
      <c r="A1042" s="99"/>
    </row>
    <row r="1043" spans="1:1" x14ac:dyDescent="0.3">
      <c r="A1043" s="99"/>
    </row>
    <row r="1044" spans="1:1" x14ac:dyDescent="0.3">
      <c r="A1044" s="99"/>
    </row>
    <row r="1045" spans="1:1" x14ac:dyDescent="0.3">
      <c r="A1045" s="99"/>
    </row>
  </sheetData>
  <pageMargins left="0.5" right="0.5" top="1" bottom="0" header="0" footer="0"/>
  <pageSetup scale="64" orientation="landscape" r:id="rId1"/>
  <headerFooter alignWithMargins="0"/>
  <rowBreaks count="16" manualBreakCount="16">
    <brk id="124" max="65535" man="1"/>
    <brk id="167" max="65535" man="1"/>
    <brk id="209" max="65535" man="1"/>
    <brk id="248" max="65535" man="1"/>
    <brk id="304" max="65535" man="1"/>
    <brk id="350" max="65535" man="1"/>
    <brk id="432" max="65535" man="1"/>
    <brk id="470" max="65535" man="1"/>
    <brk id="507" max="65535" man="1"/>
    <brk id="555" max="65535" man="1"/>
    <brk id="616" max="65535" man="1"/>
    <brk id="675" max="65535" man="1"/>
    <brk id="782" max="65535" man="1"/>
    <brk id="829" max="65535" man="1"/>
    <brk id="888" max="65535" man="1"/>
    <brk id="931" max="65535" man="1"/>
  </rowBreaks>
  <colBreaks count="1" manualBreakCount="1">
    <brk id="44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syncVertical="1" syncRef="A1" transitionEvaluation="1" transitionEntry="1" codeName="Sheet24">
    <pageSetUpPr fitToPage="1"/>
  </sheetPr>
  <dimension ref="A1:BX1111"/>
  <sheetViews>
    <sheetView zoomScale="75" workbookViewId="0"/>
  </sheetViews>
  <sheetFormatPr defaultColWidth="9.75" defaultRowHeight="15.6" x14ac:dyDescent="0.3"/>
  <cols>
    <col min="1" max="1" width="4.9140625" style="98" customWidth="1"/>
    <col min="2" max="2" width="0.6640625" style="98" customWidth="1"/>
    <col min="3" max="3" width="7.6640625" style="98" customWidth="1"/>
    <col min="4" max="4" width="43.9140625" style="98" customWidth="1"/>
    <col min="5" max="5" width="0.66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.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7.6640625" style="98" customWidth="1"/>
    <col min="23" max="23" width="43.6640625" style="98" customWidth="1"/>
    <col min="24" max="24" width="0.582031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332031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10 OF "&amp;TEXT(Page_Num_2.3,"00")</f>
        <v>PAGE 10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49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364</v>
      </c>
      <c r="D20" s="124" t="s">
        <v>362</v>
      </c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99"/>
      <c r="U20" s="99"/>
    </row>
    <row r="21" spans="1:40" x14ac:dyDescent="0.3">
      <c r="A21" s="98">
        <v>2</v>
      </c>
      <c r="C21" s="134"/>
      <c r="D21" s="124" t="s">
        <v>132</v>
      </c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ht="19.5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98">
        <v>3</v>
      </c>
      <c r="C23" s="124" t="s">
        <v>133</v>
      </c>
      <c r="F23" s="147"/>
      <c r="G23" s="1"/>
      <c r="H23" s="147"/>
      <c r="I23" s="147"/>
      <c r="J23" s="180"/>
      <c r="K23" s="180"/>
      <c r="L23" s="106"/>
      <c r="M23" s="106"/>
      <c r="N23" s="175"/>
      <c r="O23" s="175"/>
      <c r="P23" s="1"/>
      <c r="Q23" s="1"/>
      <c r="R23" s="106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99" t="s">
        <v>311</v>
      </c>
      <c r="F24" s="172">
        <f>'[5]Forecast BILLS'!$G$71</f>
        <v>12</v>
      </c>
      <c r="G24" s="1"/>
      <c r="H24" s="147"/>
      <c r="I24" s="147"/>
      <c r="J24" s="181">
        <f>INPUT!D154</f>
        <v>183</v>
      </c>
      <c r="K24" s="180"/>
      <c r="L24" s="106">
        <f>ROUND(F24*J24,0)</f>
        <v>2196</v>
      </c>
      <c r="M24" s="106"/>
      <c r="N24" s="236">
        <f>ROUND((L24/$L$39)*100,1)</f>
        <v>2.4</v>
      </c>
      <c r="O24" s="175"/>
      <c r="P24" s="1"/>
      <c r="Q24" s="1"/>
      <c r="R24" s="106">
        <f>L24+P24</f>
        <v>2196</v>
      </c>
      <c r="S24" s="110"/>
      <c r="V24" s="192"/>
      <c r="Y24" s="110"/>
      <c r="Z24" s="172"/>
      <c r="AA24" s="110"/>
      <c r="AB24" s="110"/>
      <c r="AC24" s="141"/>
      <c r="AD24" s="141"/>
      <c r="AE24" s="110"/>
      <c r="AF24" s="110"/>
      <c r="AI24" s="110"/>
      <c r="AJ24" s="110"/>
      <c r="AL24" s="110"/>
    </row>
    <row r="25" spans="1:40" ht="20.100000000000001" customHeight="1" x14ac:dyDescent="0.3">
      <c r="A25" s="98">
        <v>5</v>
      </c>
      <c r="C25" s="124" t="s">
        <v>136</v>
      </c>
      <c r="F25" s="106"/>
      <c r="G25" s="1"/>
      <c r="H25" s="106"/>
      <c r="I25" s="106"/>
      <c r="J25" s="217"/>
      <c r="K25" s="171"/>
      <c r="L25" s="112">
        <f>SUM(L24)</f>
        <v>2196</v>
      </c>
      <c r="M25" s="106"/>
      <c r="N25" s="236">
        <f>ROUND((L25/$L$39)*100,1)</f>
        <v>2.4</v>
      </c>
      <c r="O25" s="175"/>
      <c r="P25" s="112"/>
      <c r="Q25" s="106"/>
      <c r="R25" s="112">
        <f>SUM(R24)</f>
        <v>2196</v>
      </c>
      <c r="S25" s="110"/>
      <c r="T25" s="99"/>
      <c r="V25" s="110"/>
      <c r="Y25" s="110"/>
      <c r="Z25" s="216"/>
      <c r="AA25" s="110"/>
      <c r="AB25" s="110"/>
      <c r="AC25" s="141"/>
      <c r="AD25" s="141"/>
      <c r="AE25" s="110"/>
      <c r="AF25" s="110"/>
      <c r="AH25" s="141"/>
      <c r="AI25" s="110"/>
      <c r="AJ25" s="110"/>
      <c r="AL25" s="110"/>
      <c r="AM25" s="141"/>
      <c r="AN25" s="141"/>
    </row>
    <row r="26" spans="1:40" ht="24" customHeight="1" x14ac:dyDescent="0.3">
      <c r="F26" s="106"/>
      <c r="G26" s="1"/>
      <c r="H26" s="106"/>
      <c r="I26" s="106"/>
      <c r="J26" s="217"/>
      <c r="K26" s="171"/>
      <c r="L26" s="106"/>
      <c r="M26" s="106"/>
      <c r="N26" s="106"/>
      <c r="O26" s="106"/>
      <c r="P26" s="106"/>
      <c r="Q26" s="106"/>
      <c r="R26" s="106"/>
      <c r="S26" s="110"/>
      <c r="V26" s="192"/>
      <c r="Y26" s="192"/>
      <c r="Z26" s="217"/>
      <c r="AA26" s="192"/>
      <c r="AB26" s="192"/>
      <c r="AC26" s="192"/>
      <c r="AD26" s="192"/>
      <c r="AE26" s="192"/>
      <c r="AF26" s="192"/>
      <c r="AI26" s="192"/>
      <c r="AJ26" s="192"/>
      <c r="AK26" s="194"/>
      <c r="AL26" s="192"/>
      <c r="AM26" s="141"/>
      <c r="AN26" s="141"/>
    </row>
    <row r="27" spans="1:40" x14ac:dyDescent="0.3">
      <c r="A27" s="98">
        <v>6</v>
      </c>
      <c r="C27" s="124" t="s">
        <v>67</v>
      </c>
      <c r="F27" s="147"/>
      <c r="G27" s="1"/>
      <c r="H27" s="147"/>
      <c r="I27" s="147"/>
      <c r="J27" s="222"/>
      <c r="K27" s="185"/>
      <c r="L27" s="106"/>
      <c r="M27" s="106"/>
      <c r="N27" s="175"/>
      <c r="O27" s="175"/>
      <c r="P27" s="147"/>
      <c r="Q27" s="147"/>
      <c r="R27" s="106"/>
      <c r="S27" s="110"/>
      <c r="T27" s="99"/>
      <c r="V27" s="110"/>
      <c r="Y27" s="110"/>
      <c r="Z27" s="217"/>
      <c r="AA27" s="110"/>
      <c r="AB27" s="110"/>
      <c r="AC27" s="141"/>
      <c r="AD27" s="141"/>
      <c r="AE27" s="110"/>
      <c r="AF27" s="110"/>
      <c r="AH27" s="141"/>
      <c r="AI27" s="110"/>
      <c r="AJ27" s="110"/>
      <c r="AL27" s="110"/>
      <c r="AM27" s="141"/>
      <c r="AN27" s="141"/>
    </row>
    <row r="28" spans="1:40" x14ac:dyDescent="0.3">
      <c r="A28" s="98">
        <v>7</v>
      </c>
      <c r="C28" s="99" t="s">
        <v>381</v>
      </c>
      <c r="F28" s="147"/>
      <c r="G28" s="1"/>
      <c r="H28" s="172">
        <f>'[5]Forecast KWH'!$J$68</f>
        <v>1119296</v>
      </c>
      <c r="I28" s="147"/>
      <c r="J28" s="189">
        <f>INPUT!D156</f>
        <v>3.3517999999999999E-2</v>
      </c>
      <c r="K28" s="185"/>
      <c r="L28" s="106">
        <f>ROUND((H28*J28),0)</f>
        <v>37517</v>
      </c>
      <c r="M28" s="106"/>
      <c r="N28" s="175">
        <f>ROUND((L28/$L$39)*100,1)</f>
        <v>41.2</v>
      </c>
      <c r="O28" s="175"/>
      <c r="P28" s="106"/>
      <c r="Q28" s="147"/>
      <c r="R28" s="106">
        <f>L28+P28</f>
        <v>37517</v>
      </c>
      <c r="S28" s="110"/>
      <c r="T28" s="99"/>
      <c r="Z28" s="217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x14ac:dyDescent="0.3">
      <c r="A29" s="98">
        <v>8</v>
      </c>
      <c r="C29" s="99" t="s">
        <v>370</v>
      </c>
      <c r="F29" s="147"/>
      <c r="G29" s="1"/>
      <c r="H29" s="147">
        <f>H28</f>
        <v>1119296</v>
      </c>
      <c r="I29" s="147"/>
      <c r="J29" s="189">
        <f>INPUT!D161</f>
        <v>3.9684999999999998E-2</v>
      </c>
      <c r="K29" s="185"/>
      <c r="L29" s="106">
        <f>ROUND((H29*J29),0)</f>
        <v>44419</v>
      </c>
      <c r="M29" s="106"/>
      <c r="N29" s="236">
        <f>ROUND((L29/$L$39)*100,1)</f>
        <v>48.8</v>
      </c>
      <c r="O29" s="175"/>
      <c r="P29" s="243">
        <v>0</v>
      </c>
      <c r="Q29" s="147"/>
      <c r="R29" s="106">
        <f>L29+P29</f>
        <v>44419</v>
      </c>
      <c r="S29" s="110"/>
      <c r="T29" s="99"/>
      <c r="Z29" s="217"/>
      <c r="AA29" s="110"/>
      <c r="AB29" s="110"/>
      <c r="AC29" s="141"/>
      <c r="AD29" s="141"/>
      <c r="AE29" s="110"/>
      <c r="AF29" s="110"/>
      <c r="AH29" s="141"/>
      <c r="AI29" s="110"/>
      <c r="AJ29" s="110"/>
      <c r="AL29" s="110"/>
      <c r="AM29" s="141"/>
      <c r="AN29" s="141"/>
    </row>
    <row r="30" spans="1:40" ht="20.100000000000001" customHeight="1" x14ac:dyDescent="0.3">
      <c r="A30" s="98">
        <v>9</v>
      </c>
      <c r="C30" s="124" t="s">
        <v>142</v>
      </c>
      <c r="F30" s="117"/>
      <c r="G30" s="1"/>
      <c r="H30" s="112">
        <f>H28</f>
        <v>1119296</v>
      </c>
      <c r="I30" s="106"/>
      <c r="J30" s="196"/>
      <c r="K30" s="136"/>
      <c r="L30" s="112">
        <f>SUM(L28:L29)</f>
        <v>81936</v>
      </c>
      <c r="M30" s="106"/>
      <c r="N30" s="236">
        <f>ROUND((L30/$L$39)*100,1)</f>
        <v>89.9</v>
      </c>
      <c r="O30" s="175"/>
      <c r="P30" s="117">
        <f>P29</f>
        <v>0</v>
      </c>
      <c r="Q30" s="106"/>
      <c r="R30" s="112">
        <f>SUM(R28:R29)</f>
        <v>81936</v>
      </c>
      <c r="S30" s="110"/>
      <c r="T30" s="99"/>
      <c r="AA30" s="110"/>
      <c r="AB30" s="110"/>
      <c r="AC30" s="110"/>
      <c r="AD30" s="110"/>
      <c r="AI30" s="110"/>
      <c r="AJ30" s="110"/>
      <c r="AL30" s="110"/>
    </row>
    <row r="31" spans="1:40" ht="20.100000000000001" customHeight="1" x14ac:dyDescent="0.3">
      <c r="A31" s="98">
        <v>10</v>
      </c>
      <c r="C31" s="169" t="s">
        <v>454</v>
      </c>
      <c r="F31" s="112">
        <f>F24</f>
        <v>12</v>
      </c>
      <c r="G31" s="1"/>
      <c r="H31" s="112">
        <f>H30</f>
        <v>1119296</v>
      </c>
      <c r="I31" s="106"/>
      <c r="J31" s="196"/>
      <c r="K31" s="136"/>
      <c r="L31" s="112">
        <f>L30+L25</f>
        <v>84132</v>
      </c>
      <c r="M31" s="106"/>
      <c r="N31" s="193">
        <f>ROUND((L31/$L$39)*100,1)</f>
        <v>92.3</v>
      </c>
      <c r="O31" s="175"/>
      <c r="P31" s="112">
        <f>P30+P25</f>
        <v>0</v>
      </c>
      <c r="Q31" s="106"/>
      <c r="R31" s="112">
        <f>R30+R25</f>
        <v>84132</v>
      </c>
      <c r="S31" s="110"/>
      <c r="T31" s="99"/>
      <c r="AA31" s="110"/>
      <c r="AB31" s="110"/>
      <c r="AC31" s="110"/>
      <c r="AD31" s="110"/>
      <c r="AI31" s="110"/>
      <c r="AJ31" s="110"/>
      <c r="AL31" s="110"/>
    </row>
    <row r="32" spans="1:40" ht="15.75" customHeight="1" x14ac:dyDescent="0.3">
      <c r="C32" s="99"/>
      <c r="F32" s="106"/>
      <c r="G32" s="1"/>
      <c r="H32" s="106"/>
      <c r="I32" s="106"/>
      <c r="J32" s="196"/>
      <c r="K32" s="136"/>
      <c r="L32" s="106"/>
      <c r="M32" s="106"/>
      <c r="N32" s="175"/>
      <c r="O32" s="175"/>
      <c r="P32" s="106"/>
      <c r="Q32" s="106"/>
      <c r="R32" s="106"/>
      <c r="S32" s="110"/>
      <c r="T32" s="99"/>
      <c r="AA32" s="110"/>
      <c r="AB32" s="110"/>
      <c r="AC32" s="110"/>
      <c r="AD32" s="110"/>
      <c r="AI32" s="110"/>
      <c r="AJ32" s="110"/>
      <c r="AL32" s="110"/>
    </row>
    <row r="33" spans="1:43" ht="15.75" customHeight="1" x14ac:dyDescent="0.3">
      <c r="A33" s="98">
        <v>11</v>
      </c>
      <c r="C33" s="124" t="s">
        <v>428</v>
      </c>
      <c r="F33" s="106"/>
      <c r="G33" s="1"/>
      <c r="H33" s="106"/>
      <c r="I33" s="106"/>
      <c r="J33" s="196"/>
      <c r="K33" s="136"/>
      <c r="L33" s="106"/>
      <c r="M33" s="106"/>
      <c r="N33" s="175"/>
      <c r="O33" s="175"/>
      <c r="P33" s="106"/>
      <c r="Q33" s="106"/>
      <c r="R33" s="106"/>
      <c r="S33" s="110"/>
      <c r="T33" s="99"/>
      <c r="AA33" s="110"/>
      <c r="AB33" s="110"/>
      <c r="AC33" s="110"/>
      <c r="AD33" s="110"/>
      <c r="AI33" s="110"/>
      <c r="AJ33" s="110"/>
      <c r="AL33" s="110"/>
    </row>
    <row r="34" spans="1:43" ht="15.75" customHeight="1" x14ac:dyDescent="0.3">
      <c r="A34" s="98">
        <v>12</v>
      </c>
      <c r="C34" s="176" t="str">
        <f>DSMR_Name</f>
        <v>DEMAND SIDE MANAGEMENT RIDER (DSMR)</v>
      </c>
      <c r="F34" s="106"/>
      <c r="G34" s="1"/>
      <c r="H34" s="106"/>
      <c r="I34" s="106"/>
      <c r="J34" s="189">
        <f>PRO_DSM_DIST</f>
        <v>3.503E-3</v>
      </c>
      <c r="K34" s="136"/>
      <c r="L34" s="106">
        <f>ROUND(H31*PRO_DSM_DIST,0)</f>
        <v>3921</v>
      </c>
      <c r="M34" s="154">
        <f>ROUND((K34/$L$39)*100,1)</f>
        <v>0</v>
      </c>
      <c r="N34" s="175">
        <f>ROUND((L34/$L$39)*100,1)</f>
        <v>4.3</v>
      </c>
      <c r="O34" s="106"/>
      <c r="P34" s="106"/>
      <c r="Q34" s="106">
        <f>K34+O34</f>
        <v>0</v>
      </c>
      <c r="R34" s="106">
        <f>L34+P34</f>
        <v>3921</v>
      </c>
      <c r="S34" s="110"/>
      <c r="T34" s="99"/>
      <c r="AA34" s="110"/>
      <c r="AB34" s="110"/>
      <c r="AC34" s="110"/>
      <c r="AD34" s="110"/>
      <c r="AI34" s="110"/>
      <c r="AJ34" s="110"/>
      <c r="AL34" s="110"/>
    </row>
    <row r="35" spans="1:43" ht="15.75" customHeight="1" x14ac:dyDescent="0.3">
      <c r="A35" s="98">
        <v>13</v>
      </c>
      <c r="C35" s="176" t="str">
        <f>ESM_Name</f>
        <v>ENVIRONMENTAL SURCHARGE MECHANISM RIDER (ESM)</v>
      </c>
      <c r="F35" s="106"/>
      <c r="G35" s="1"/>
      <c r="H35" s="106"/>
      <c r="I35" s="106"/>
      <c r="J35" s="184">
        <f>PRO_ESM_NONRES</f>
        <v>5.3681872802409589E-3</v>
      </c>
      <c r="K35" s="136"/>
      <c r="L35" s="106">
        <f>ROUND((R31-(PRO_BASE_FUEL*H31)+R34+R36)*J35,0)</f>
        <v>285</v>
      </c>
      <c r="M35" s="106"/>
      <c r="N35" s="154">
        <f>ROUND((L35/$L$39)*100,1)</f>
        <v>0.3</v>
      </c>
      <c r="O35" s="175"/>
      <c r="P35" s="106"/>
      <c r="Q35" s="106"/>
      <c r="R35" s="106">
        <f>L35+P35</f>
        <v>285</v>
      </c>
      <c r="S35" s="110"/>
      <c r="T35" s="99"/>
      <c r="AA35" s="110"/>
      <c r="AB35" s="110"/>
      <c r="AC35" s="110"/>
      <c r="AD35" s="110"/>
      <c r="AI35" s="110"/>
      <c r="AJ35" s="110"/>
      <c r="AL35" s="110"/>
    </row>
    <row r="36" spans="1:43" ht="15.75" customHeight="1" x14ac:dyDescent="0.3">
      <c r="A36" s="98">
        <v>14</v>
      </c>
      <c r="C36" s="176" t="str">
        <f>PSM_Name</f>
        <v>PROFIT SHARING MECHANISM (PSM)</v>
      </c>
      <c r="F36" s="106"/>
      <c r="G36" s="1"/>
      <c r="H36" s="106"/>
      <c r="I36" s="106"/>
      <c r="J36" s="189">
        <f>PRO_PSM</f>
        <v>2.4750000000000002E-3</v>
      </c>
      <c r="K36" s="136"/>
      <c r="L36" s="106">
        <f>ROUND(H31*PRO_PSM,0)</f>
        <v>2770</v>
      </c>
      <c r="M36" s="106"/>
      <c r="N36" s="156">
        <f>ROUND((L36/$L$39)*100,1)</f>
        <v>3</v>
      </c>
      <c r="O36" s="175"/>
      <c r="P36" s="117"/>
      <c r="Q36" s="106"/>
      <c r="R36" s="117">
        <f>L36+P36</f>
        <v>2770</v>
      </c>
      <c r="S36" s="110"/>
      <c r="T36" s="99"/>
      <c r="AA36" s="110"/>
      <c r="AB36" s="110"/>
      <c r="AC36" s="110"/>
      <c r="AD36" s="110"/>
      <c r="AI36" s="110"/>
      <c r="AJ36" s="110"/>
      <c r="AL36" s="110"/>
    </row>
    <row r="37" spans="1:43" ht="20.100000000000001" customHeight="1" x14ac:dyDescent="0.3">
      <c r="A37" s="98">
        <v>15</v>
      </c>
      <c r="C37" s="124" t="s">
        <v>433</v>
      </c>
      <c r="F37" s="117"/>
      <c r="G37" s="1"/>
      <c r="H37" s="117"/>
      <c r="I37" s="106"/>
      <c r="J37" s="136"/>
      <c r="K37" s="136"/>
      <c r="L37" s="112">
        <f>SUM(L34:L36)</f>
        <v>6976</v>
      </c>
      <c r="M37" s="106"/>
      <c r="N37" s="158">
        <f>ROUND((L37/$L$39)*100,1)</f>
        <v>7.7</v>
      </c>
      <c r="O37" s="175"/>
      <c r="P37" s="112">
        <f>SUM(P34:P36)</f>
        <v>0</v>
      </c>
      <c r="Q37" s="106"/>
      <c r="R37" s="112">
        <f>SUM(R34:R36)</f>
        <v>6976</v>
      </c>
      <c r="S37" s="110"/>
      <c r="T37" s="99"/>
      <c r="AA37" s="110"/>
      <c r="AB37" s="110"/>
      <c r="AC37" s="110"/>
      <c r="AD37" s="110"/>
      <c r="AI37" s="110"/>
      <c r="AJ37" s="110"/>
      <c r="AL37" s="110"/>
    </row>
    <row r="38" spans="1:43" ht="15.75" customHeight="1" x14ac:dyDescent="0.3">
      <c r="C38" s="124"/>
      <c r="F38" s="106"/>
      <c r="G38" s="1"/>
      <c r="H38" s="106"/>
      <c r="I38" s="106"/>
      <c r="J38" s="136"/>
      <c r="K38" s="136"/>
      <c r="L38" s="106"/>
      <c r="M38" s="106"/>
      <c r="N38" s="175"/>
      <c r="O38" s="175"/>
      <c r="P38" s="106"/>
      <c r="Q38" s="106"/>
      <c r="R38" s="106"/>
      <c r="S38" s="110"/>
      <c r="T38" s="99"/>
      <c r="AA38" s="110"/>
      <c r="AB38" s="110"/>
      <c r="AC38" s="110"/>
      <c r="AD38" s="110"/>
      <c r="AI38" s="110"/>
      <c r="AJ38" s="110"/>
      <c r="AL38" s="110"/>
    </row>
    <row r="39" spans="1:43" ht="20.100000000000001" customHeight="1" thickBot="1" x14ac:dyDescent="0.35">
      <c r="A39" s="98">
        <v>16</v>
      </c>
      <c r="C39" s="169" t="s">
        <v>455</v>
      </c>
      <c r="F39" s="120">
        <f>F31</f>
        <v>12</v>
      </c>
      <c r="G39" s="1"/>
      <c r="H39" s="120">
        <f>H31</f>
        <v>1119296</v>
      </c>
      <c r="I39" s="106"/>
      <c r="J39" s="136"/>
      <c r="K39" s="136"/>
      <c r="L39" s="120">
        <f>L37+L31</f>
        <v>91108</v>
      </c>
      <c r="M39" s="106"/>
      <c r="N39" s="197">
        <v>100</v>
      </c>
      <c r="O39" s="175"/>
      <c r="P39" s="120">
        <f>P37+P31</f>
        <v>0</v>
      </c>
      <c r="Q39" s="106"/>
      <c r="R39" s="120">
        <f>R37+R31</f>
        <v>91108</v>
      </c>
      <c r="Y39" s="99"/>
    </row>
    <row r="40" spans="1:43" ht="16.2" thickTop="1" x14ac:dyDescent="0.3">
      <c r="F40" s="106"/>
      <c r="G40" s="1"/>
      <c r="H40" s="106"/>
      <c r="I40" s="106"/>
      <c r="J40" s="136"/>
      <c r="K40" s="136"/>
      <c r="L40" s="106"/>
      <c r="M40" s="106"/>
      <c r="N40" s="106"/>
      <c r="O40" s="106"/>
      <c r="P40" s="106"/>
      <c r="Q40" s="106"/>
      <c r="R40" s="106"/>
      <c r="AA40" s="99"/>
      <c r="AB40" s="99"/>
    </row>
    <row r="41" spans="1:43" x14ac:dyDescent="0.3">
      <c r="C41" s="178" t="s">
        <v>59</v>
      </c>
      <c r="F41" s="110"/>
      <c r="H41" s="110"/>
      <c r="I41" s="110"/>
      <c r="J41" s="198"/>
      <c r="K41" s="198"/>
      <c r="L41" s="110"/>
      <c r="M41" s="110"/>
      <c r="N41" s="110"/>
      <c r="O41" s="110"/>
      <c r="P41" s="110"/>
      <c r="Q41" s="110"/>
      <c r="R41" s="110"/>
      <c r="AK41" s="190"/>
      <c r="AL41" s="99"/>
    </row>
    <row r="42" spans="1:43" x14ac:dyDescent="0.3">
      <c r="C42" s="99"/>
      <c r="H42" s="110"/>
      <c r="R42" s="99"/>
    </row>
    <row r="43" spans="1:43" x14ac:dyDescent="0.3">
      <c r="A43" s="99"/>
      <c r="R43" s="99"/>
    </row>
    <row r="44" spans="1:43" x14ac:dyDescent="0.3">
      <c r="L44" s="99"/>
      <c r="M44" s="99"/>
    </row>
    <row r="45" spans="1:43" x14ac:dyDescent="0.3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T45" s="97" t="str">
        <f>NAME</f>
        <v>DUKE ENERGY KENTUCKY, INC.</v>
      </c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149"/>
      <c r="AH45" s="97"/>
      <c r="AI45" s="97"/>
      <c r="AJ45" s="97"/>
      <c r="AK45" s="149"/>
      <c r="AL45" s="97"/>
      <c r="AM45" s="97"/>
      <c r="AN45" s="97"/>
      <c r="AO45" s="97"/>
      <c r="AP45" s="97"/>
      <c r="AQ45" s="149"/>
    </row>
    <row r="46" spans="1:43" x14ac:dyDescent="0.3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T46" s="97" t="str">
        <f>CASE_NO</f>
        <v>CASE NO.   2024-00354</v>
      </c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149"/>
      <c r="AH46" s="97"/>
      <c r="AI46" s="97"/>
      <c r="AJ46" s="97"/>
      <c r="AK46" s="149"/>
      <c r="AL46" s="97"/>
      <c r="AM46" s="97"/>
      <c r="AN46" s="97"/>
      <c r="AO46" s="97"/>
      <c r="AP46" s="97"/>
      <c r="AQ46" s="149"/>
    </row>
    <row r="47" spans="1:43" x14ac:dyDescent="0.3">
      <c r="L47" s="102"/>
      <c r="M47" s="102"/>
      <c r="N47" s="102"/>
      <c r="O47" s="102"/>
      <c r="R47" s="102"/>
      <c r="T47" s="97" t="str">
        <f>TITLE</f>
        <v>ANNUALIZED BASE YEAR REVENUES AT PROPOSED VS. MOST CURRENT RATES</v>
      </c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149"/>
      <c r="AH47" s="97"/>
      <c r="AI47" s="97"/>
      <c r="AJ47" s="97"/>
      <c r="AK47" s="149"/>
      <c r="AL47" s="97"/>
      <c r="AM47" s="97"/>
      <c r="AN47" s="97"/>
      <c r="AO47" s="97"/>
      <c r="AP47" s="97"/>
      <c r="AQ47" s="149"/>
    </row>
    <row r="48" spans="1:43" x14ac:dyDescent="0.3">
      <c r="L48" s="102"/>
      <c r="M48" s="102"/>
      <c r="N48" s="102"/>
      <c r="O48" s="102"/>
      <c r="R48" s="102"/>
      <c r="T48" s="97" t="str">
        <f>DATE</f>
        <v>FOR THE TWELVE MONTHS ENDED February 28, 2025</v>
      </c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149"/>
      <c r="AH48" s="97"/>
      <c r="AI48" s="97"/>
      <c r="AJ48" s="97"/>
      <c r="AK48" s="149"/>
      <c r="AL48" s="97"/>
      <c r="AM48" s="97"/>
      <c r="AN48" s="97"/>
      <c r="AO48" s="97"/>
      <c r="AP48" s="97"/>
      <c r="AQ48" s="149"/>
    </row>
    <row r="49" spans="1:47" x14ac:dyDescent="0.3">
      <c r="A49" s="102"/>
      <c r="C49" s="102"/>
      <c r="D49" s="102"/>
      <c r="E49" s="102"/>
      <c r="F49" s="102"/>
      <c r="J49" s="102"/>
      <c r="K49" s="102"/>
      <c r="L49" s="102"/>
      <c r="M49" s="102"/>
      <c r="N49" s="102"/>
      <c r="O49" s="102"/>
      <c r="P49" s="102"/>
      <c r="Q49" s="102"/>
      <c r="R49" s="102"/>
      <c r="T49" s="97" t="str">
        <f>SERVICE</f>
        <v>(ELECTRIC SERVICE)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L49" s="97"/>
      <c r="AM49" s="97"/>
      <c r="AN49" s="97"/>
      <c r="AO49" s="97"/>
      <c r="AP49" s="97"/>
      <c r="AQ49" s="149"/>
    </row>
    <row r="50" spans="1:47" x14ac:dyDescent="0.3">
      <c r="A50" s="102"/>
      <c r="C50" s="102"/>
      <c r="D50" s="102"/>
      <c r="E50" s="102"/>
      <c r="F50" s="102"/>
      <c r="J50" s="102"/>
      <c r="K50" s="102"/>
      <c r="L50" s="102"/>
      <c r="M50" s="102"/>
      <c r="N50" s="102"/>
      <c r="O50" s="102"/>
      <c r="P50" s="102"/>
      <c r="Q50" s="102"/>
      <c r="R50" s="102"/>
      <c r="T50" s="98" t="str">
        <f>DATA_PERIOD</f>
        <v>DATA: __X__ BASE PERIOD   ____FORECASTED PERIOD</v>
      </c>
      <c r="AO50" s="99" t="s">
        <v>157</v>
      </c>
      <c r="AP50" s="99"/>
    </row>
    <row r="51" spans="1:47" x14ac:dyDescent="0.3">
      <c r="A51" s="102"/>
      <c r="C51" s="102"/>
      <c r="D51" s="102"/>
      <c r="E51" s="102"/>
      <c r="F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T51" s="98" t="str">
        <f>TYPE</f>
        <v>TYPE OF FILING: _X_ ORIGINAL   ___UPDATED  ___ REVISED</v>
      </c>
      <c r="AO51" s="116" t="str">
        <f>"PAGE 10 OF "&amp;TEXT(Page_Num_2.2,"00")</f>
        <v>PAGE 10 OF 24</v>
      </c>
      <c r="AP51" s="99"/>
    </row>
    <row r="52" spans="1:47" x14ac:dyDescent="0.3">
      <c r="C52" s="102"/>
      <c r="D52" s="102"/>
      <c r="E52" s="102"/>
      <c r="F52" s="102"/>
      <c r="H52" s="102"/>
      <c r="I52" s="102"/>
      <c r="J52" s="102"/>
      <c r="K52" s="102"/>
      <c r="L52" s="102"/>
      <c r="M52" s="102"/>
      <c r="N52" s="102"/>
      <c r="O52" s="102"/>
      <c r="P52" s="102"/>
      <c r="Q52" s="102"/>
      <c r="R52" s="102"/>
      <c r="T52" s="99" t="s">
        <v>170</v>
      </c>
      <c r="AO52" s="99" t="s">
        <v>3</v>
      </c>
      <c r="AP52" s="99"/>
    </row>
    <row r="53" spans="1:47" x14ac:dyDescent="0.3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T53" s="124" t="str">
        <f>TIME</f>
        <v>6 Months Actual and 6 Months Projected with Riders</v>
      </c>
      <c r="AO53" s="98" t="str">
        <f>WIT</f>
        <v>B. L. Sailers</v>
      </c>
    </row>
    <row r="54" spans="1:47" x14ac:dyDescent="0.3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T54" s="124" t="str">
        <f>INPUT!B5</f>
        <v>6 Months Actual Ending August 31, 2024</v>
      </c>
    </row>
    <row r="55" spans="1:47" x14ac:dyDescent="0.3"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T55" s="97" t="s">
        <v>130</v>
      </c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149"/>
      <c r="AH55" s="97"/>
      <c r="AI55" s="97"/>
      <c r="AJ55" s="97"/>
      <c r="AK55" s="149"/>
      <c r="AL55" s="97"/>
      <c r="AM55" s="97"/>
      <c r="AN55" s="97"/>
      <c r="AO55" s="97"/>
      <c r="AP55" s="97"/>
      <c r="AQ55" s="149"/>
    </row>
    <row r="56" spans="1:47" x14ac:dyDescent="0.3">
      <c r="C56" s="99"/>
      <c r="D56" s="99"/>
      <c r="E56" s="99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50"/>
      <c r="AH56" s="100"/>
      <c r="AI56" s="100"/>
      <c r="AJ56" s="100"/>
      <c r="AK56" s="150"/>
      <c r="AL56" s="100"/>
      <c r="AM56" s="100"/>
      <c r="AN56" s="100"/>
      <c r="AO56" s="100"/>
      <c r="AP56" s="100"/>
      <c r="AQ56" s="150"/>
    </row>
    <row r="57" spans="1:47" ht="18" customHeight="1" x14ac:dyDescent="0.3">
      <c r="D57" s="99"/>
      <c r="E57" s="99"/>
      <c r="AE57" s="102" t="s">
        <v>8</v>
      </c>
      <c r="AF57" s="102"/>
      <c r="AG57" s="151" t="s">
        <v>7</v>
      </c>
      <c r="AH57" s="102"/>
      <c r="AI57" s="102" t="s">
        <v>9</v>
      </c>
      <c r="AJ57" s="102"/>
      <c r="AK57" s="151" t="s">
        <v>10</v>
      </c>
      <c r="AL57" s="102"/>
      <c r="AO57" s="102" t="s">
        <v>8</v>
      </c>
      <c r="AP57" s="102"/>
      <c r="AQ57" s="151" t="s">
        <v>11</v>
      </c>
    </row>
    <row r="58" spans="1:47" x14ac:dyDescent="0.3">
      <c r="AC58" s="102" t="s">
        <v>14</v>
      </c>
      <c r="AD58" s="102"/>
      <c r="AE58" s="102" t="s">
        <v>12</v>
      </c>
      <c r="AF58" s="102"/>
      <c r="AG58" s="151" t="s">
        <v>13</v>
      </c>
      <c r="AH58" s="102"/>
      <c r="AI58" s="102" t="s">
        <v>15</v>
      </c>
      <c r="AJ58" s="102"/>
      <c r="AK58" s="151" t="s">
        <v>16</v>
      </c>
      <c r="AL58" s="102"/>
      <c r="AO58" s="102" t="s">
        <v>11</v>
      </c>
      <c r="AP58" s="102"/>
      <c r="AQ58" s="151" t="s">
        <v>9</v>
      </c>
    </row>
    <row r="59" spans="1:47" x14ac:dyDescent="0.3">
      <c r="C59" s="99"/>
      <c r="T59" s="102" t="s">
        <v>17</v>
      </c>
      <c r="V59" s="102" t="s">
        <v>18</v>
      </c>
      <c r="W59" s="102" t="s">
        <v>19</v>
      </c>
      <c r="X59" s="102"/>
      <c r="Y59" s="102" t="s">
        <v>20</v>
      </c>
      <c r="AC59" s="102" t="s">
        <v>8</v>
      </c>
      <c r="AD59" s="102"/>
      <c r="AE59" s="102" t="s">
        <v>593</v>
      </c>
      <c r="AF59" s="102"/>
      <c r="AG59" s="151" t="s">
        <v>593</v>
      </c>
      <c r="AH59" s="102"/>
      <c r="AI59" s="103" t="s">
        <v>708</v>
      </c>
      <c r="AJ59" s="102"/>
      <c r="AK59" s="152" t="s">
        <v>708</v>
      </c>
      <c r="AL59" s="102"/>
      <c r="AM59" s="102" t="s">
        <v>593</v>
      </c>
      <c r="AN59" s="102"/>
      <c r="AO59" s="102" t="s">
        <v>9</v>
      </c>
      <c r="AP59" s="102"/>
      <c r="AQ59" s="151" t="s">
        <v>21</v>
      </c>
    </row>
    <row r="60" spans="1:47" x14ac:dyDescent="0.3">
      <c r="C60" s="99"/>
      <c r="F60" s="172"/>
      <c r="H60" s="172"/>
      <c r="I60" s="172"/>
      <c r="J60" s="181"/>
      <c r="K60" s="181"/>
      <c r="L60" s="110"/>
      <c r="M60" s="110"/>
      <c r="N60" s="141"/>
      <c r="O60" s="141"/>
      <c r="R60" s="110"/>
      <c r="T60" s="102" t="s">
        <v>22</v>
      </c>
      <c r="V60" s="102" t="s">
        <v>23</v>
      </c>
      <c r="W60" s="102" t="s">
        <v>24</v>
      </c>
      <c r="X60" s="102"/>
      <c r="Y60" s="102" t="s">
        <v>25</v>
      </c>
      <c r="AA60" s="102" t="s">
        <v>26</v>
      </c>
      <c r="AB60" s="102"/>
      <c r="AC60" s="102" t="s">
        <v>27</v>
      </c>
      <c r="AD60" s="102"/>
      <c r="AE60" s="102" t="s">
        <v>9</v>
      </c>
      <c r="AF60" s="102"/>
      <c r="AG60" s="151" t="s">
        <v>9</v>
      </c>
      <c r="AH60" s="102"/>
      <c r="AI60" s="131" t="s">
        <v>29</v>
      </c>
      <c r="AJ60" s="131"/>
      <c r="AK60" s="165" t="s">
        <v>30</v>
      </c>
      <c r="AL60" s="102"/>
      <c r="AM60" s="102" t="s">
        <v>365</v>
      </c>
      <c r="AN60" s="102"/>
      <c r="AO60" s="131" t="s">
        <v>31</v>
      </c>
      <c r="AP60" s="131"/>
      <c r="AQ60" s="165" t="s">
        <v>32</v>
      </c>
    </row>
    <row r="61" spans="1:47" x14ac:dyDescent="0.3">
      <c r="C61" s="99"/>
      <c r="F61" s="172"/>
      <c r="H61" s="172"/>
      <c r="I61" s="172"/>
      <c r="J61" s="181"/>
      <c r="K61" s="181"/>
      <c r="L61" s="110"/>
      <c r="M61" s="110"/>
      <c r="N61" s="141"/>
      <c r="O61" s="141"/>
      <c r="R61" s="110"/>
      <c r="V61" s="131" t="s">
        <v>33</v>
      </c>
      <c r="W61" s="131" t="s">
        <v>34</v>
      </c>
      <c r="X61" s="131"/>
      <c r="Y61" s="131" t="s">
        <v>35</v>
      </c>
      <c r="Z61" s="134"/>
      <c r="AA61" s="131" t="s">
        <v>36</v>
      </c>
      <c r="AB61" s="131"/>
      <c r="AC61" s="131" t="s">
        <v>42</v>
      </c>
      <c r="AD61" s="131"/>
      <c r="AE61" s="131" t="s">
        <v>43</v>
      </c>
      <c r="AF61" s="131"/>
      <c r="AG61" s="165" t="s">
        <v>44</v>
      </c>
      <c r="AH61" s="131"/>
      <c r="AI61" s="131" t="s">
        <v>45</v>
      </c>
      <c r="AJ61" s="131"/>
      <c r="AK61" s="165" t="s">
        <v>46</v>
      </c>
      <c r="AL61" s="131"/>
      <c r="AM61" s="131" t="s">
        <v>40</v>
      </c>
      <c r="AN61" s="131"/>
      <c r="AO61" s="131" t="s">
        <v>47</v>
      </c>
      <c r="AP61" s="131"/>
      <c r="AQ61" s="165" t="s">
        <v>48</v>
      </c>
    </row>
    <row r="62" spans="1:47" x14ac:dyDescent="0.3">
      <c r="F62" s="192"/>
      <c r="H62" s="110"/>
      <c r="I62" s="110"/>
      <c r="J62" s="217"/>
      <c r="K62" s="217"/>
      <c r="L62" s="192"/>
      <c r="M62" s="192"/>
      <c r="N62" s="192"/>
      <c r="O62" s="192"/>
      <c r="P62" s="192"/>
      <c r="Q62" s="192"/>
      <c r="R62" s="192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50"/>
      <c r="AH62" s="100"/>
      <c r="AI62" s="100"/>
      <c r="AJ62" s="100"/>
      <c r="AK62" s="150"/>
      <c r="AL62" s="100"/>
      <c r="AM62" s="100"/>
      <c r="AN62" s="100"/>
      <c r="AO62" s="100"/>
      <c r="AP62" s="100"/>
      <c r="AQ62" s="150"/>
    </row>
    <row r="63" spans="1:47" ht="17.100000000000001" customHeight="1" x14ac:dyDescent="0.3">
      <c r="C63" s="99"/>
      <c r="F63" s="110"/>
      <c r="H63" s="110"/>
      <c r="I63" s="110"/>
      <c r="J63" s="217"/>
      <c r="K63" s="217"/>
      <c r="L63" s="110"/>
      <c r="M63" s="110"/>
      <c r="N63" s="141"/>
      <c r="O63" s="141"/>
      <c r="P63" s="110"/>
      <c r="Q63" s="110"/>
      <c r="R63" s="110"/>
      <c r="AA63" s="167" t="s">
        <v>49</v>
      </c>
      <c r="AB63" s="166"/>
      <c r="AC63" s="167" t="s">
        <v>312</v>
      </c>
      <c r="AD63" s="166"/>
      <c r="AE63" s="166" t="s">
        <v>50</v>
      </c>
      <c r="AF63" s="166"/>
      <c r="AG63" s="168" t="s">
        <v>51</v>
      </c>
      <c r="AH63" s="166"/>
      <c r="AI63" s="166" t="s">
        <v>50</v>
      </c>
      <c r="AJ63" s="166"/>
      <c r="AK63" s="168" t="s">
        <v>51</v>
      </c>
      <c r="AL63" s="166"/>
      <c r="AM63" s="166" t="s">
        <v>50</v>
      </c>
      <c r="AN63" s="166"/>
      <c r="AO63" s="166" t="s">
        <v>50</v>
      </c>
      <c r="AP63" s="166"/>
      <c r="AQ63" s="168" t="s">
        <v>51</v>
      </c>
    </row>
    <row r="64" spans="1:47" x14ac:dyDescent="0.3">
      <c r="F64" s="192"/>
      <c r="H64" s="110"/>
      <c r="I64" s="110"/>
      <c r="J64" s="217"/>
      <c r="K64" s="217"/>
      <c r="L64" s="192"/>
      <c r="M64" s="192"/>
      <c r="N64" s="192"/>
      <c r="O64" s="192"/>
      <c r="P64" s="192"/>
      <c r="Q64" s="192"/>
      <c r="R64" s="192"/>
      <c r="T64" s="98">
        <f t="shared" ref="T64:T75" si="0">A20</f>
        <v>1</v>
      </c>
      <c r="V64" s="124" t="s">
        <v>306</v>
      </c>
      <c r="W64" s="124" t="s">
        <v>362</v>
      </c>
      <c r="X64" s="99"/>
      <c r="Y64" s="1"/>
      <c r="Z64" s="1"/>
      <c r="AA64" s="1"/>
      <c r="AB64" s="1"/>
      <c r="AC64" s="1"/>
      <c r="AD64" s="1"/>
      <c r="AE64" s="1"/>
      <c r="AF64" s="1"/>
      <c r="AG64" s="154"/>
      <c r="AH64" s="1"/>
      <c r="AI64" s="1"/>
      <c r="AJ64" s="1"/>
      <c r="AK64" s="154"/>
      <c r="AL64" s="1"/>
      <c r="AM64" s="1"/>
      <c r="AN64" s="1"/>
      <c r="AO64" s="1"/>
      <c r="AP64" s="1"/>
      <c r="AQ64" s="154"/>
      <c r="AU64" s="226"/>
    </row>
    <row r="65" spans="1:76" x14ac:dyDescent="0.3">
      <c r="F65" s="110"/>
      <c r="H65" s="110"/>
      <c r="I65" s="110"/>
      <c r="J65" s="217"/>
      <c r="K65" s="217"/>
      <c r="L65" s="110"/>
      <c r="M65" s="110"/>
      <c r="N65" s="141"/>
      <c r="O65" s="141"/>
      <c r="P65" s="110"/>
      <c r="Q65" s="110"/>
      <c r="R65" s="110"/>
      <c r="T65" s="98">
        <f t="shared" si="0"/>
        <v>2</v>
      </c>
      <c r="V65" s="134"/>
      <c r="W65" s="124" t="s">
        <v>132</v>
      </c>
      <c r="X65" s="99"/>
      <c r="Y65" s="1"/>
      <c r="Z65" s="1"/>
      <c r="AA65" s="1"/>
      <c r="AB65" s="1"/>
      <c r="AC65" s="1"/>
      <c r="AD65" s="1"/>
      <c r="AE65" s="1"/>
      <c r="AF65" s="1"/>
      <c r="AG65" s="154"/>
      <c r="AH65" s="1"/>
      <c r="AI65" s="1"/>
      <c r="AJ65" s="1"/>
      <c r="AK65" s="154"/>
      <c r="AL65" s="1"/>
      <c r="AM65" s="1"/>
      <c r="AN65" s="1"/>
      <c r="AO65" s="1"/>
      <c r="AP65" s="1"/>
      <c r="AQ65" s="154"/>
      <c r="AU65" s="141"/>
      <c r="BX65" s="220"/>
    </row>
    <row r="66" spans="1:76" ht="21.75" customHeight="1" x14ac:dyDescent="0.3">
      <c r="C66" s="99"/>
      <c r="F66" s="172"/>
      <c r="H66" s="172"/>
      <c r="I66" s="172"/>
      <c r="J66" s="181"/>
      <c r="K66" s="181"/>
      <c r="L66" s="110"/>
      <c r="M66" s="110"/>
      <c r="N66" s="141"/>
      <c r="O66" s="141"/>
      <c r="P66" s="110"/>
      <c r="Q66" s="110"/>
      <c r="R66" s="110"/>
      <c r="Y66" s="1"/>
      <c r="Z66" s="1"/>
      <c r="AA66" s="1"/>
      <c r="AB66" s="1"/>
      <c r="AC66" s="1"/>
      <c r="AD66" s="1"/>
      <c r="AE66" s="1"/>
      <c r="AF66" s="1"/>
      <c r="AG66" s="154"/>
      <c r="AH66" s="1"/>
      <c r="AI66" s="1"/>
      <c r="AJ66" s="1"/>
      <c r="AK66" s="154"/>
      <c r="AL66" s="1"/>
      <c r="AM66" s="1"/>
      <c r="AN66" s="1"/>
      <c r="AO66" s="1"/>
      <c r="AP66" s="1"/>
      <c r="AQ66" s="154"/>
      <c r="AU66" s="141"/>
    </row>
    <row r="67" spans="1:76" x14ac:dyDescent="0.3">
      <c r="F67" s="110"/>
      <c r="H67" s="192"/>
      <c r="I67" s="192"/>
      <c r="J67" s="217"/>
      <c r="K67" s="217"/>
      <c r="L67" s="192"/>
      <c r="M67" s="192"/>
      <c r="N67" s="192"/>
      <c r="O67" s="192"/>
      <c r="P67" s="192"/>
      <c r="Q67" s="192"/>
      <c r="R67" s="192"/>
      <c r="T67" s="98">
        <f t="shared" si="0"/>
        <v>3</v>
      </c>
      <c r="V67" s="124" t="s">
        <v>133</v>
      </c>
      <c r="Y67" s="106"/>
      <c r="Z67" s="1"/>
      <c r="AA67" s="147"/>
      <c r="AB67" s="147"/>
      <c r="AC67" s="180"/>
      <c r="AD67" s="180"/>
      <c r="AE67" s="106"/>
      <c r="AF67" s="106"/>
      <c r="AG67" s="154"/>
      <c r="AH67" s="175"/>
      <c r="AI67" s="106"/>
      <c r="AJ67" s="106"/>
      <c r="AK67" s="202"/>
      <c r="AL67" s="221"/>
      <c r="AM67" s="1"/>
      <c r="AN67" s="1"/>
      <c r="AO67" s="106"/>
      <c r="AP67" s="106"/>
      <c r="AQ67" s="202"/>
      <c r="AS67" s="110"/>
      <c r="AT67" s="110"/>
      <c r="AU67" s="141"/>
    </row>
    <row r="68" spans="1:76" x14ac:dyDescent="0.3">
      <c r="C68" s="99"/>
      <c r="F68" s="110"/>
      <c r="H68" s="110"/>
      <c r="I68" s="110"/>
      <c r="J68" s="198"/>
      <c r="K68" s="198"/>
      <c r="L68" s="110"/>
      <c r="M68" s="110"/>
      <c r="N68" s="141"/>
      <c r="O68" s="141"/>
      <c r="P68" s="110"/>
      <c r="Q68" s="110"/>
      <c r="R68" s="110"/>
      <c r="T68" s="98">
        <f t="shared" si="0"/>
        <v>4</v>
      </c>
      <c r="V68" s="99" t="s">
        <v>311</v>
      </c>
      <c r="Y68" s="106">
        <f>F24</f>
        <v>12</v>
      </c>
      <c r="Z68" s="1"/>
      <c r="AA68" s="147"/>
      <c r="AB68" s="147"/>
      <c r="AC68" s="181">
        <f>INPUT!C154</f>
        <v>183</v>
      </c>
      <c r="AD68" s="180"/>
      <c r="AE68" s="106">
        <f>ROUND(Y68*AC68,0)</f>
        <v>2196</v>
      </c>
      <c r="AF68" s="106"/>
      <c r="AG68" s="156">
        <f>ROUND((AE68/$AE$83)*100,1)</f>
        <v>2.9</v>
      </c>
      <c r="AH68" s="175"/>
      <c r="AI68" s="106">
        <f>L24-AE68</f>
        <v>0</v>
      </c>
      <c r="AJ68" s="106"/>
      <c r="AK68" s="156">
        <f>ROUND((AI68/AE68)*100,1)</f>
        <v>0</v>
      </c>
      <c r="AL68" s="138"/>
      <c r="AM68" s="106"/>
      <c r="AN68" s="1"/>
      <c r="AO68" s="106">
        <f>AE68+AM68</f>
        <v>2196</v>
      </c>
      <c r="AP68" s="106"/>
      <c r="AQ68" s="154">
        <f>ROUND((AI68/AO68)*100,1)</f>
        <v>0</v>
      </c>
      <c r="AS68" s="110"/>
      <c r="AT68" s="110"/>
      <c r="AU68" s="226"/>
    </row>
    <row r="69" spans="1:76" ht="20.100000000000001" customHeight="1" x14ac:dyDescent="0.3">
      <c r="C69" s="99"/>
      <c r="F69" s="172"/>
      <c r="H69" s="172"/>
      <c r="I69" s="172"/>
      <c r="J69" s="222"/>
      <c r="K69" s="222"/>
      <c r="L69" s="110"/>
      <c r="M69" s="110"/>
      <c r="N69" s="141"/>
      <c r="O69" s="141"/>
      <c r="P69" s="172"/>
      <c r="Q69" s="172"/>
      <c r="R69" s="110"/>
      <c r="T69" s="98">
        <f t="shared" si="0"/>
        <v>5</v>
      </c>
      <c r="V69" s="124" t="s">
        <v>136</v>
      </c>
      <c r="Y69" s="106"/>
      <c r="Z69" s="1"/>
      <c r="AA69" s="106"/>
      <c r="AB69" s="106"/>
      <c r="AC69" s="198"/>
      <c r="AD69" s="136"/>
      <c r="AE69" s="112">
        <f>SUM(AE68)</f>
        <v>2196</v>
      </c>
      <c r="AF69" s="106"/>
      <c r="AG69" s="156">
        <f>ROUND((AE69/$AE$83)*100,1)</f>
        <v>2.9</v>
      </c>
      <c r="AH69" s="175"/>
      <c r="AI69" s="112">
        <f>SUM(AI68)</f>
        <v>0</v>
      </c>
      <c r="AJ69" s="106"/>
      <c r="AK69" s="158">
        <f>ROUND((AI69/AE69)*100,1)</f>
        <v>0</v>
      </c>
      <c r="AL69" s="138"/>
      <c r="AM69" s="112"/>
      <c r="AN69" s="106"/>
      <c r="AO69" s="112">
        <f>SUM(AO68)</f>
        <v>2196</v>
      </c>
      <c r="AP69" s="106"/>
      <c r="AQ69" s="154">
        <f>ROUND((AI69/AO69)*100,1)</f>
        <v>0</v>
      </c>
      <c r="AR69" s="110"/>
      <c r="AS69" s="110"/>
      <c r="AT69" s="110"/>
      <c r="AU69" s="141"/>
    </row>
    <row r="70" spans="1:76" ht="18.75" customHeight="1" x14ac:dyDescent="0.3">
      <c r="C70" s="99"/>
      <c r="F70" s="110"/>
      <c r="H70" s="110"/>
      <c r="I70" s="110"/>
      <c r="J70" s="198"/>
      <c r="K70" s="198"/>
      <c r="L70" s="110"/>
      <c r="M70" s="110"/>
      <c r="N70" s="141"/>
      <c r="O70" s="141"/>
      <c r="P70" s="110"/>
      <c r="Q70" s="110"/>
      <c r="R70" s="110"/>
      <c r="Y70" s="106"/>
      <c r="Z70" s="1"/>
      <c r="AA70" s="106"/>
      <c r="AB70" s="106"/>
      <c r="AC70" s="217"/>
      <c r="AD70" s="171"/>
      <c r="AE70" s="106"/>
      <c r="AF70" s="106"/>
      <c r="AG70" s="154"/>
      <c r="AH70" s="106"/>
      <c r="AI70" s="106"/>
      <c r="AJ70" s="106"/>
      <c r="AK70" s="154"/>
      <c r="AL70" s="138"/>
      <c r="AM70" s="106"/>
      <c r="AN70" s="106"/>
      <c r="AO70" s="106"/>
      <c r="AP70" s="106"/>
      <c r="AQ70" s="154"/>
      <c r="AR70" s="110"/>
      <c r="AS70" s="110"/>
      <c r="AT70" s="110"/>
      <c r="AU70" s="141"/>
    </row>
    <row r="71" spans="1:76" x14ac:dyDescent="0.3">
      <c r="A71" s="99"/>
      <c r="F71" s="110"/>
      <c r="H71" s="110"/>
      <c r="I71" s="110"/>
      <c r="J71" s="198"/>
      <c r="K71" s="198"/>
      <c r="L71" s="110"/>
      <c r="M71" s="110"/>
      <c r="N71" s="110"/>
      <c r="O71" s="110"/>
      <c r="P71" s="110"/>
      <c r="Q71" s="110"/>
      <c r="R71" s="110"/>
      <c r="T71" s="98">
        <f t="shared" si="0"/>
        <v>6</v>
      </c>
      <c r="V71" s="124" t="s">
        <v>67</v>
      </c>
      <c r="Y71" s="147"/>
      <c r="Z71" s="1"/>
      <c r="AA71" s="147"/>
      <c r="AB71" s="147"/>
      <c r="AC71" s="227"/>
      <c r="AD71" s="240"/>
      <c r="AE71" s="106"/>
      <c r="AF71" s="106"/>
      <c r="AG71" s="154"/>
      <c r="AH71" s="175"/>
      <c r="AI71" s="106"/>
      <c r="AJ71" s="106"/>
      <c r="AK71" s="154"/>
      <c r="AL71" s="138"/>
      <c r="AM71" s="147"/>
      <c r="AN71" s="147"/>
      <c r="AO71" s="106"/>
      <c r="AP71" s="106"/>
      <c r="AQ71" s="154"/>
      <c r="AR71" s="172"/>
      <c r="AS71" s="110"/>
      <c r="AT71" s="110"/>
      <c r="AU71" s="141"/>
    </row>
    <row r="72" spans="1:76" x14ac:dyDescent="0.3">
      <c r="T72" s="98">
        <f t="shared" si="0"/>
        <v>7</v>
      </c>
      <c r="V72" s="99" t="s">
        <v>381</v>
      </c>
      <c r="Y72" s="147"/>
      <c r="Z72" s="1"/>
      <c r="AA72" s="106">
        <f>H28</f>
        <v>1119296</v>
      </c>
      <c r="AB72" s="106"/>
      <c r="AC72" s="189">
        <f>INPUT!C156</f>
        <v>2.0034E-2</v>
      </c>
      <c r="AD72" s="188"/>
      <c r="AE72" s="106">
        <f>ROUND((AA72*AC72),0)</f>
        <v>22424</v>
      </c>
      <c r="AF72" s="106"/>
      <c r="AG72" s="154">
        <f>ROUND((AE72/$AE$83)*100,1)</f>
        <v>29.6</v>
      </c>
      <c r="AH72" s="175"/>
      <c r="AI72" s="106">
        <f>L28-AE72</f>
        <v>15093</v>
      </c>
      <c r="AJ72" s="106"/>
      <c r="AK72" s="154">
        <f>ROUND((AI72/AE72)*100,1)</f>
        <v>67.3</v>
      </c>
      <c r="AL72" s="138"/>
      <c r="AM72" s="147"/>
      <c r="AN72" s="147"/>
      <c r="AO72" s="106">
        <f>AE72+AM72</f>
        <v>22424</v>
      </c>
      <c r="AP72" s="106"/>
      <c r="AQ72" s="154">
        <f>ROUND((AI72/AO72)*100,1)</f>
        <v>67.3</v>
      </c>
      <c r="AR72" s="172"/>
      <c r="AS72" s="110"/>
      <c r="AT72" s="110"/>
      <c r="AU72" s="141"/>
    </row>
    <row r="73" spans="1:76" x14ac:dyDescent="0.3">
      <c r="L73" s="110"/>
      <c r="M73" s="110"/>
      <c r="N73" s="110"/>
      <c r="O73" s="110"/>
      <c r="P73" s="110"/>
      <c r="Q73" s="110"/>
      <c r="R73" s="110"/>
      <c r="T73" s="98">
        <f t="shared" si="0"/>
        <v>8</v>
      </c>
      <c r="V73" s="99" t="s">
        <v>370</v>
      </c>
      <c r="Y73" s="147"/>
      <c r="Z73" s="1"/>
      <c r="AA73" s="106">
        <f>H29</f>
        <v>1119296</v>
      </c>
      <c r="AB73" s="106"/>
      <c r="AC73" s="189">
        <f>INPUT!C161</f>
        <v>3.9684999999999998E-2</v>
      </c>
      <c r="AD73" s="188"/>
      <c r="AE73" s="106">
        <f>ROUND((AA73*AC73),0)</f>
        <v>44419</v>
      </c>
      <c r="AF73" s="106"/>
      <c r="AG73" s="156">
        <f>ROUND((AE73/$AE$83)*100,1)</f>
        <v>58.6</v>
      </c>
      <c r="AH73" s="175"/>
      <c r="AI73" s="106">
        <f>L29-AE73</f>
        <v>0</v>
      </c>
      <c r="AJ73" s="106"/>
      <c r="AK73" s="156">
        <f>ROUND((AI73/AE73)*100,1)</f>
        <v>0</v>
      </c>
      <c r="AL73" s="138"/>
      <c r="AM73" s="243">
        <v>0</v>
      </c>
      <c r="AN73" s="147"/>
      <c r="AO73" s="106">
        <f>AE73+AM73</f>
        <v>44419</v>
      </c>
      <c r="AP73" s="106"/>
      <c r="AQ73" s="154">
        <f>ROUND((AI73/AO73)*100,1)</f>
        <v>0</v>
      </c>
      <c r="AR73" s="172"/>
      <c r="AS73" s="110"/>
      <c r="AT73" s="110"/>
      <c r="AU73" s="141"/>
    </row>
    <row r="74" spans="1:76" ht="20.100000000000001" customHeight="1" x14ac:dyDescent="0.3">
      <c r="T74" s="98">
        <f t="shared" si="0"/>
        <v>9</v>
      </c>
      <c r="V74" s="124" t="s">
        <v>142</v>
      </c>
      <c r="Y74" s="117"/>
      <c r="Z74" s="1"/>
      <c r="AA74" s="112">
        <f>H30</f>
        <v>1119296</v>
      </c>
      <c r="AB74" s="106"/>
      <c r="AC74" s="196"/>
      <c r="AD74" s="136"/>
      <c r="AE74" s="112">
        <f>SUM(AE72:AE73)</f>
        <v>66843</v>
      </c>
      <c r="AF74" s="106"/>
      <c r="AG74" s="156">
        <f>ROUND((AE74/$AE$83)*100,1)</f>
        <v>88.2</v>
      </c>
      <c r="AH74" s="175"/>
      <c r="AI74" s="112">
        <f>SUM(AI72:AI73)</f>
        <v>15093</v>
      </c>
      <c r="AJ74" s="106"/>
      <c r="AK74" s="158">
        <f>ROUND((AI74/AE74)*100,1)</f>
        <v>22.6</v>
      </c>
      <c r="AL74" s="138"/>
      <c r="AM74" s="112">
        <f>AM73</f>
        <v>0</v>
      </c>
      <c r="AN74" s="106"/>
      <c r="AO74" s="112">
        <f>SUM(AO72:AO73)</f>
        <v>66843</v>
      </c>
      <c r="AP74" s="106"/>
      <c r="AQ74" s="154">
        <f>ROUND((AI74/AO74)*100,1)</f>
        <v>22.6</v>
      </c>
      <c r="AR74" s="110"/>
      <c r="AS74" s="110"/>
      <c r="AT74" s="110"/>
    </row>
    <row r="75" spans="1:76" ht="20.100000000000001" customHeight="1" x14ac:dyDescent="0.3">
      <c r="T75" s="98">
        <f t="shared" si="0"/>
        <v>10</v>
      </c>
      <c r="V75" s="169" t="s">
        <v>454</v>
      </c>
      <c r="Y75" s="112">
        <f>Y68</f>
        <v>12</v>
      </c>
      <c r="Z75" s="1"/>
      <c r="AA75" s="112">
        <f>AA74</f>
        <v>1119296</v>
      </c>
      <c r="AB75" s="106"/>
      <c r="AC75" s="196"/>
      <c r="AD75" s="136"/>
      <c r="AE75" s="112">
        <f>AE74+AE69</f>
        <v>69039</v>
      </c>
      <c r="AF75" s="106"/>
      <c r="AG75" s="156">
        <f>ROUND((AE75/$AE$83)*100,1)</f>
        <v>91.1</v>
      </c>
      <c r="AH75" s="175"/>
      <c r="AI75" s="112">
        <f>AI74+AI69</f>
        <v>15093</v>
      </c>
      <c r="AJ75" s="106"/>
      <c r="AK75" s="158">
        <f>ROUND((AI75/AE75)*100,1)</f>
        <v>21.9</v>
      </c>
      <c r="AL75" s="138"/>
      <c r="AM75" s="112">
        <f>AM74+AM69</f>
        <v>0</v>
      </c>
      <c r="AN75" s="106"/>
      <c r="AO75" s="112">
        <f>AO74+AO69</f>
        <v>69039</v>
      </c>
      <c r="AP75" s="106"/>
      <c r="AQ75" s="154">
        <f>ROUND((AI75/AO75)*100,1)</f>
        <v>21.9</v>
      </c>
      <c r="AR75" s="110"/>
      <c r="AS75" s="110"/>
      <c r="AT75" s="110"/>
    </row>
    <row r="76" spans="1:76" ht="15.75" customHeight="1" x14ac:dyDescent="0.3">
      <c r="V76" s="99"/>
      <c r="Y76" s="106"/>
      <c r="Z76" s="1"/>
      <c r="AA76" s="106"/>
      <c r="AB76" s="106"/>
      <c r="AC76" s="196"/>
      <c r="AD76" s="136"/>
      <c r="AE76" s="106"/>
      <c r="AF76" s="106"/>
      <c r="AG76" s="154"/>
      <c r="AH76" s="175"/>
      <c r="AI76" s="106"/>
      <c r="AJ76" s="106"/>
      <c r="AK76" s="154"/>
      <c r="AL76" s="138"/>
      <c r="AM76" s="106"/>
      <c r="AN76" s="106"/>
      <c r="AO76" s="106"/>
      <c r="AP76" s="106"/>
      <c r="AQ76" s="154"/>
      <c r="AR76" s="110"/>
      <c r="AS76" s="110"/>
      <c r="AT76" s="110"/>
    </row>
    <row r="77" spans="1:76" ht="15.75" customHeight="1" x14ac:dyDescent="0.3">
      <c r="T77" s="98">
        <f>A33</f>
        <v>11</v>
      </c>
      <c r="V77" s="124" t="s">
        <v>428</v>
      </c>
      <c r="Y77" s="106"/>
      <c r="Z77" s="1"/>
      <c r="AA77" s="106"/>
      <c r="AB77" s="106"/>
      <c r="AC77" s="196"/>
      <c r="AD77" s="136"/>
      <c r="AE77" s="106"/>
      <c r="AF77" s="106"/>
      <c r="AG77" s="154"/>
      <c r="AH77" s="175"/>
      <c r="AI77" s="106"/>
      <c r="AJ77" s="106"/>
      <c r="AK77" s="154"/>
      <c r="AL77" s="138"/>
      <c r="AM77" s="106"/>
      <c r="AN77" s="106"/>
      <c r="AO77" s="106"/>
      <c r="AP77" s="106"/>
      <c r="AQ77" s="154"/>
      <c r="AR77" s="110"/>
      <c r="AS77" s="110"/>
      <c r="AT77" s="110"/>
    </row>
    <row r="78" spans="1:76" ht="15.75" customHeight="1" x14ac:dyDescent="0.3">
      <c r="T78" s="98">
        <f>A34</f>
        <v>12</v>
      </c>
      <c r="V78" s="176" t="str">
        <f>C34</f>
        <v>DEMAND SIDE MANAGEMENT RIDER (DSMR)</v>
      </c>
      <c r="Y78" s="106"/>
      <c r="Z78" s="1"/>
      <c r="AA78" s="106"/>
      <c r="AB78" s="106"/>
      <c r="AC78" s="218">
        <f>DSM_DIST</f>
        <v>3.503E-3</v>
      </c>
      <c r="AD78" s="171"/>
      <c r="AE78" s="106">
        <f>ROUND(AA75*DSM_DIST,0)</f>
        <v>3921</v>
      </c>
      <c r="AF78" s="106"/>
      <c r="AG78" s="154">
        <f>ROUND((AE78/$AE$83)*100,1)</f>
        <v>5.2</v>
      </c>
      <c r="AH78" s="175"/>
      <c r="AI78" s="106">
        <f>L34-AE78</f>
        <v>0</v>
      </c>
      <c r="AJ78" s="106"/>
      <c r="AK78" s="154">
        <f>ROUND((AI78/AE78)*100,1)</f>
        <v>0</v>
      </c>
      <c r="AL78" s="138"/>
      <c r="AM78" s="106"/>
      <c r="AN78" s="106"/>
      <c r="AO78" s="106">
        <f>AE78+AM78</f>
        <v>3921</v>
      </c>
      <c r="AP78" s="106"/>
      <c r="AQ78" s="154">
        <f>ROUND((AI78/AO78)*100,1)</f>
        <v>0</v>
      </c>
      <c r="AR78" s="110"/>
      <c r="AS78" s="110"/>
      <c r="AT78" s="110"/>
    </row>
    <row r="79" spans="1:76" ht="15.75" customHeight="1" x14ac:dyDescent="0.3">
      <c r="T79" s="98">
        <f>A35</f>
        <v>13</v>
      </c>
      <c r="V79" s="176" t="str">
        <f>C35</f>
        <v>ENVIRONMENTAL SURCHARGE MECHANISM RIDER (ESM)</v>
      </c>
      <c r="Y79" s="106"/>
      <c r="Z79" s="1"/>
      <c r="AA79" s="106"/>
      <c r="AB79" s="106"/>
      <c r="AC79" s="223">
        <f>CUR_ESM_NonRes</f>
        <v>6.3863133253205971E-3</v>
      </c>
      <c r="AD79" s="171"/>
      <c r="AE79" s="106">
        <f>ROUND(AO69*AC79,0)</f>
        <v>14</v>
      </c>
      <c r="AF79" s="106"/>
      <c r="AG79" s="154">
        <f>ROUND((AE79/$AE$83)*100,1)</f>
        <v>0</v>
      </c>
      <c r="AH79" s="175"/>
      <c r="AI79" s="106">
        <f>L35-AE79</f>
        <v>271</v>
      </c>
      <c r="AJ79" s="106"/>
      <c r="AK79" s="154">
        <f>IF(AE79=0,0,ROUND((AI79/AE79)*100,1))</f>
        <v>1935.7</v>
      </c>
      <c r="AL79" s="138"/>
      <c r="AM79" s="106"/>
      <c r="AN79" s="106"/>
      <c r="AO79" s="106">
        <f>AE79+AM79</f>
        <v>14</v>
      </c>
      <c r="AP79" s="106"/>
      <c r="AQ79" s="154">
        <f>IF(AO79=0,0,ROUND((AI79/AO79)*100,1))</f>
        <v>1935.7</v>
      </c>
      <c r="AR79" s="110"/>
      <c r="AS79" s="110"/>
      <c r="AT79" s="110"/>
    </row>
    <row r="80" spans="1:76" ht="15.75" customHeight="1" x14ac:dyDescent="0.3">
      <c r="T80" s="98">
        <f>A36</f>
        <v>14</v>
      </c>
      <c r="V80" s="176" t="str">
        <f>C36</f>
        <v>PROFIT SHARING MECHANISM (PSM)</v>
      </c>
      <c r="Y80" s="106"/>
      <c r="Z80" s="1"/>
      <c r="AA80" s="106"/>
      <c r="AB80" s="106"/>
      <c r="AC80" s="218">
        <f>RS_PSM</f>
        <v>2.4750000000000002E-3</v>
      </c>
      <c r="AD80" s="171"/>
      <c r="AE80" s="117">
        <f>ROUND(AA75*RS_PSM,0)</f>
        <v>2770</v>
      </c>
      <c r="AF80" s="106"/>
      <c r="AG80" s="156">
        <f>ROUND((AE80/$AE$83)*100,1)</f>
        <v>3.7</v>
      </c>
      <c r="AH80" s="175"/>
      <c r="AI80" s="117">
        <f>L36-AE80</f>
        <v>0</v>
      </c>
      <c r="AJ80" s="106"/>
      <c r="AK80" s="156">
        <f>ROUND((AI80/AE80)*100,1)</f>
        <v>0</v>
      </c>
      <c r="AL80" s="138"/>
      <c r="AM80" s="117"/>
      <c r="AN80" s="106"/>
      <c r="AO80" s="117">
        <f>AE80+AM80</f>
        <v>2770</v>
      </c>
      <c r="AP80" s="106"/>
      <c r="AQ80" s="154">
        <f>ROUND((AI80/AO80)*100,1)</f>
        <v>0</v>
      </c>
      <c r="AR80" s="110"/>
      <c r="AS80" s="110"/>
      <c r="AT80" s="110"/>
    </row>
    <row r="81" spans="1:46" ht="20.100000000000001" customHeight="1" x14ac:dyDescent="0.3">
      <c r="T81" s="98">
        <f>A37</f>
        <v>15</v>
      </c>
      <c r="V81" s="124" t="s">
        <v>433</v>
      </c>
      <c r="Y81" s="117"/>
      <c r="Z81" s="1"/>
      <c r="AA81" s="117"/>
      <c r="AB81" s="106"/>
      <c r="AC81" s="136"/>
      <c r="AD81" s="136"/>
      <c r="AE81" s="112">
        <f>SUM(AE78:AE80)</f>
        <v>6705</v>
      </c>
      <c r="AF81" s="106"/>
      <c r="AG81" s="158">
        <f>ROUND((AE81/$AE$83)*100,1)</f>
        <v>8.9</v>
      </c>
      <c r="AH81" s="175"/>
      <c r="AI81" s="112">
        <f>SUM(AI78:AI80)</f>
        <v>271</v>
      </c>
      <c r="AJ81" s="106"/>
      <c r="AK81" s="158">
        <f>ROUND((AI81/AE81)*100,1)</f>
        <v>4</v>
      </c>
      <c r="AL81" s="138"/>
      <c r="AM81" s="112">
        <f>SUM(AM78:AM80)</f>
        <v>0</v>
      </c>
      <c r="AN81" s="106"/>
      <c r="AO81" s="112">
        <f>SUM(AO78:AO80)</f>
        <v>6705</v>
      </c>
      <c r="AP81" s="106"/>
      <c r="AQ81" s="154">
        <f>ROUND((AI81/AO81)*100,1)</f>
        <v>4</v>
      </c>
      <c r="AR81" s="110"/>
      <c r="AS81" s="110"/>
      <c r="AT81" s="110"/>
    </row>
    <row r="82" spans="1:46" ht="15.75" customHeight="1" x14ac:dyDescent="0.3">
      <c r="V82" s="124"/>
      <c r="Y82" s="106"/>
      <c r="Z82" s="1"/>
      <c r="AA82" s="106"/>
      <c r="AB82" s="106"/>
      <c r="AC82" s="136"/>
      <c r="AD82" s="136"/>
      <c r="AE82" s="106"/>
      <c r="AF82" s="106"/>
      <c r="AG82" s="154"/>
      <c r="AH82" s="175"/>
      <c r="AI82" s="106"/>
      <c r="AJ82" s="106"/>
      <c r="AK82" s="154"/>
      <c r="AL82" s="138"/>
      <c r="AM82" s="106"/>
      <c r="AN82" s="106"/>
      <c r="AO82" s="106"/>
      <c r="AP82" s="106"/>
      <c r="AQ82" s="154"/>
      <c r="AR82" s="110"/>
      <c r="AS82" s="110"/>
      <c r="AT82" s="110"/>
    </row>
    <row r="83" spans="1:46" ht="20.100000000000001" customHeight="1" thickBot="1" x14ac:dyDescent="0.35">
      <c r="T83" s="98">
        <f>A39</f>
        <v>16</v>
      </c>
      <c r="V83" s="169" t="s">
        <v>456</v>
      </c>
      <c r="Y83" s="120">
        <f>F39</f>
        <v>12</v>
      </c>
      <c r="Z83" s="1"/>
      <c r="AA83" s="120">
        <f>H39</f>
        <v>1119296</v>
      </c>
      <c r="AB83" s="106"/>
      <c r="AC83" s="136"/>
      <c r="AD83" s="136"/>
      <c r="AE83" s="120">
        <f>AE81+AE75</f>
        <v>75744</v>
      </c>
      <c r="AF83" s="106"/>
      <c r="AG83" s="162">
        <v>100</v>
      </c>
      <c r="AH83" s="175"/>
      <c r="AI83" s="120">
        <f>AI81+AI75</f>
        <v>15364</v>
      </c>
      <c r="AJ83" s="106"/>
      <c r="AK83" s="162">
        <f>ROUND((AI83/AE83)*100,1)</f>
        <v>20.3</v>
      </c>
      <c r="AL83" s="138"/>
      <c r="AM83" s="120">
        <f>AM81+AM75</f>
        <v>0</v>
      </c>
      <c r="AN83" s="106"/>
      <c r="AO83" s="120">
        <f>AO81+AO75</f>
        <v>75744</v>
      </c>
      <c r="AP83" s="106"/>
      <c r="AQ83" s="154">
        <f>ROUND((AI83/AO83)*100,1)</f>
        <v>20.3</v>
      </c>
      <c r="AR83" s="110"/>
      <c r="AS83" s="110"/>
      <c r="AT83" s="110"/>
    </row>
    <row r="84" spans="1:46" ht="16.2" thickTop="1" x14ac:dyDescent="0.3">
      <c r="L84" s="99"/>
      <c r="M84" s="99"/>
      <c r="Y84" s="106"/>
      <c r="Z84" s="1"/>
      <c r="AA84" s="106"/>
      <c r="AB84" s="106"/>
      <c r="AC84" s="136"/>
      <c r="AD84" s="136"/>
      <c r="AE84" s="106"/>
      <c r="AF84" s="106"/>
      <c r="AG84" s="154"/>
      <c r="AH84" s="106"/>
      <c r="AI84" s="1"/>
      <c r="AJ84" s="1"/>
      <c r="AK84" s="154"/>
      <c r="AL84" s="1"/>
      <c r="AM84" s="1"/>
      <c r="AN84" s="1"/>
      <c r="AO84" s="1"/>
      <c r="AP84" s="1"/>
      <c r="AQ84" s="154"/>
    </row>
    <row r="85" spans="1:46" x14ac:dyDescent="0.3">
      <c r="R85" s="99"/>
      <c r="V85" s="178" t="s">
        <v>59</v>
      </c>
      <c r="Y85" s="110"/>
      <c r="AA85" s="110"/>
      <c r="AB85" s="110"/>
      <c r="AC85" s="198"/>
      <c r="AD85" s="198"/>
      <c r="AE85" s="110"/>
      <c r="AF85" s="110"/>
      <c r="AH85" s="110"/>
    </row>
    <row r="86" spans="1:46" x14ac:dyDescent="0.3">
      <c r="R86" s="99"/>
      <c r="V86" s="99"/>
    </row>
    <row r="87" spans="1:46" x14ac:dyDescent="0.3">
      <c r="A87" s="99"/>
      <c r="R87" s="99"/>
      <c r="AA87" s="99"/>
      <c r="AB87" s="99"/>
    </row>
    <row r="88" spans="1:46" x14ac:dyDescent="0.3">
      <c r="L88" s="99"/>
      <c r="M88" s="99"/>
      <c r="AK88" s="190"/>
      <c r="AL88" s="99"/>
    </row>
    <row r="89" spans="1:46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AK89" s="190"/>
      <c r="AL89" s="99"/>
    </row>
    <row r="90" spans="1:46" x14ac:dyDescent="0.3">
      <c r="L90" s="102"/>
      <c r="M90" s="102"/>
      <c r="N90" s="102"/>
      <c r="O90" s="102"/>
      <c r="R90" s="102"/>
      <c r="AK90" s="190"/>
      <c r="AL90" s="99"/>
    </row>
    <row r="91" spans="1:46" x14ac:dyDescent="0.3">
      <c r="L91" s="102"/>
      <c r="M91" s="102"/>
      <c r="N91" s="102"/>
      <c r="O91" s="102"/>
      <c r="R91" s="102"/>
      <c r="AA91" s="99"/>
      <c r="AB91" s="99"/>
    </row>
    <row r="92" spans="1:46" x14ac:dyDescent="0.3">
      <c r="A92" s="102"/>
      <c r="C92" s="102"/>
      <c r="D92" s="102"/>
      <c r="E92" s="102"/>
      <c r="F92" s="102"/>
      <c r="J92" s="102"/>
      <c r="K92" s="102"/>
      <c r="L92" s="102"/>
      <c r="M92" s="102"/>
      <c r="N92" s="102"/>
      <c r="O92" s="102"/>
      <c r="P92" s="102"/>
      <c r="Q92" s="102"/>
      <c r="R92" s="102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91"/>
      <c r="AH92" s="101"/>
      <c r="AI92" s="101"/>
      <c r="AJ92" s="101"/>
      <c r="AK92" s="191"/>
      <c r="AL92" s="101"/>
      <c r="AM92" s="101"/>
      <c r="AN92" s="101"/>
    </row>
    <row r="93" spans="1:46" x14ac:dyDescent="0.3">
      <c r="A93" s="102"/>
      <c r="C93" s="102"/>
      <c r="D93" s="102"/>
      <c r="E93" s="102"/>
      <c r="F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AA93" s="102"/>
      <c r="AB93" s="102"/>
      <c r="AC93" s="102"/>
      <c r="AD93" s="102"/>
      <c r="AE93" s="102"/>
      <c r="AF93" s="102"/>
      <c r="AG93" s="151"/>
      <c r="AH93" s="102"/>
      <c r="AK93" s="151"/>
      <c r="AL93" s="102"/>
      <c r="AM93" s="102"/>
      <c r="AN93" s="102"/>
    </row>
    <row r="94" spans="1:46" x14ac:dyDescent="0.3">
      <c r="C94" s="102"/>
      <c r="D94" s="102"/>
      <c r="E94" s="102"/>
      <c r="F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Z94" s="102"/>
      <c r="AA94" s="102"/>
      <c r="AB94" s="102"/>
      <c r="AC94" s="102"/>
      <c r="AD94" s="102"/>
      <c r="AE94" s="102"/>
      <c r="AF94" s="102"/>
      <c r="AG94" s="151"/>
      <c r="AH94" s="102"/>
      <c r="AK94" s="151"/>
      <c r="AL94" s="102"/>
      <c r="AM94" s="102"/>
      <c r="AN94" s="102"/>
    </row>
    <row r="95" spans="1:46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T95" s="102"/>
      <c r="U95" s="102"/>
      <c r="V95" s="102"/>
      <c r="Z95" s="102"/>
      <c r="AA95" s="102"/>
      <c r="AB95" s="102"/>
      <c r="AC95" s="102"/>
      <c r="AD95" s="102"/>
      <c r="AE95" s="102"/>
      <c r="AF95" s="102"/>
      <c r="AG95" s="151"/>
      <c r="AH95" s="102"/>
      <c r="AI95" s="102"/>
      <c r="AJ95" s="102"/>
      <c r="AK95" s="151"/>
      <c r="AL95" s="102"/>
      <c r="AM95" s="102"/>
      <c r="AN95" s="102"/>
    </row>
    <row r="96" spans="1:46" x14ac:dyDescent="0.3"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T96" s="102"/>
      <c r="U96" s="102"/>
      <c r="V96" s="102"/>
      <c r="Y96" s="102"/>
      <c r="Z96" s="102"/>
      <c r="AA96" s="102"/>
      <c r="AB96" s="102"/>
      <c r="AC96" s="102"/>
      <c r="AD96" s="102"/>
      <c r="AE96" s="102"/>
      <c r="AF96" s="102"/>
      <c r="AG96" s="151"/>
      <c r="AH96" s="102"/>
      <c r="AI96" s="102"/>
      <c r="AJ96" s="102"/>
      <c r="AK96" s="151"/>
      <c r="AL96" s="102"/>
      <c r="AM96" s="102"/>
      <c r="AN96" s="102"/>
    </row>
    <row r="97" spans="3:40" x14ac:dyDescent="0.3">
      <c r="C97" s="99"/>
      <c r="D97" s="99"/>
      <c r="E97" s="99"/>
      <c r="T97" s="102"/>
      <c r="U97" s="102"/>
      <c r="V97" s="102"/>
      <c r="Y97" s="102"/>
      <c r="Z97" s="102"/>
      <c r="AA97" s="102"/>
      <c r="AB97" s="102"/>
      <c r="AC97" s="102"/>
      <c r="AD97" s="102"/>
      <c r="AE97" s="102"/>
      <c r="AF97" s="102"/>
      <c r="AG97" s="151"/>
      <c r="AH97" s="102"/>
      <c r="AI97" s="102"/>
      <c r="AJ97" s="102"/>
      <c r="AK97" s="151"/>
      <c r="AL97" s="102"/>
      <c r="AM97" s="102"/>
      <c r="AN97" s="102"/>
    </row>
    <row r="98" spans="3:40" x14ac:dyDescent="0.3">
      <c r="C98" s="99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91"/>
      <c r="AH98" s="101"/>
      <c r="AI98" s="101"/>
      <c r="AJ98" s="101"/>
      <c r="AK98" s="191"/>
      <c r="AL98" s="101"/>
      <c r="AM98" s="101"/>
      <c r="AN98" s="101"/>
    </row>
    <row r="99" spans="3:40" x14ac:dyDescent="0.3">
      <c r="Y99" s="102"/>
      <c r="Z99" s="102"/>
      <c r="AA99" s="102"/>
      <c r="AB99" s="102"/>
      <c r="AC99" s="102"/>
      <c r="AD99" s="102"/>
      <c r="AE99" s="102"/>
      <c r="AF99" s="102"/>
      <c r="AG99" s="151"/>
      <c r="AH99" s="102"/>
      <c r="AI99" s="102"/>
      <c r="AJ99" s="102"/>
      <c r="AK99" s="151"/>
      <c r="AL99" s="102"/>
      <c r="AM99" s="102"/>
      <c r="AN99" s="102"/>
    </row>
    <row r="100" spans="3:40" x14ac:dyDescent="0.3">
      <c r="C100" s="99"/>
      <c r="T100" s="99"/>
      <c r="U100" s="99"/>
    </row>
    <row r="101" spans="3:40" x14ac:dyDescent="0.3">
      <c r="C101" s="99"/>
      <c r="F101" s="172"/>
      <c r="H101" s="172"/>
      <c r="I101" s="172"/>
      <c r="J101" s="181"/>
      <c r="K101" s="181"/>
      <c r="L101" s="110"/>
      <c r="M101" s="110"/>
      <c r="N101" s="141"/>
      <c r="O101" s="141"/>
      <c r="R101" s="110"/>
      <c r="T101" s="99"/>
    </row>
    <row r="102" spans="3:40" x14ac:dyDescent="0.3">
      <c r="C102" s="99"/>
      <c r="F102" s="172"/>
      <c r="H102" s="172"/>
      <c r="I102" s="172"/>
      <c r="J102" s="181"/>
      <c r="K102" s="181"/>
      <c r="L102" s="110"/>
      <c r="M102" s="110"/>
      <c r="N102" s="141"/>
      <c r="O102" s="141"/>
      <c r="R102" s="110"/>
    </row>
    <row r="103" spans="3:40" x14ac:dyDescent="0.3">
      <c r="C103" s="99"/>
      <c r="F103" s="172"/>
      <c r="H103" s="172"/>
      <c r="I103" s="172"/>
      <c r="J103" s="181"/>
      <c r="K103" s="181"/>
      <c r="L103" s="110"/>
      <c r="M103" s="110"/>
      <c r="N103" s="141"/>
      <c r="O103" s="141"/>
      <c r="R103" s="110"/>
      <c r="T103" s="99"/>
    </row>
    <row r="104" spans="3:40" x14ac:dyDescent="0.3">
      <c r="F104" s="192"/>
      <c r="H104" s="110"/>
      <c r="I104" s="110"/>
      <c r="J104" s="217"/>
      <c r="K104" s="217"/>
      <c r="L104" s="192"/>
      <c r="M104" s="192"/>
      <c r="N104" s="192"/>
      <c r="O104" s="192"/>
      <c r="P104" s="192"/>
      <c r="Q104" s="192"/>
      <c r="R104" s="192"/>
      <c r="T104" s="99"/>
      <c r="V104" s="110"/>
      <c r="Y104" s="172"/>
      <c r="Z104" s="181"/>
      <c r="AA104" s="110"/>
      <c r="AB104" s="110"/>
      <c r="AC104" s="141"/>
      <c r="AD104" s="141"/>
      <c r="AE104" s="110"/>
      <c r="AF104" s="110"/>
      <c r="AG104" s="224"/>
      <c r="AH104" s="225"/>
      <c r="AL104" s="110"/>
      <c r="AM104" s="226"/>
      <c r="AN104" s="226"/>
    </row>
    <row r="105" spans="3:40" x14ac:dyDescent="0.3">
      <c r="C105" s="99"/>
      <c r="F105" s="110"/>
      <c r="H105" s="110"/>
      <c r="I105" s="110"/>
      <c r="J105" s="217"/>
      <c r="K105" s="217"/>
      <c r="L105" s="110"/>
      <c r="M105" s="110"/>
      <c r="N105" s="141"/>
      <c r="O105" s="141"/>
      <c r="P105" s="110"/>
      <c r="Q105" s="110"/>
      <c r="R105" s="110"/>
      <c r="T105" s="99"/>
      <c r="V105" s="110"/>
      <c r="Y105" s="172"/>
      <c r="Z105" s="181"/>
      <c r="AA105" s="110"/>
      <c r="AB105" s="110"/>
      <c r="AC105" s="141"/>
      <c r="AD105" s="141"/>
      <c r="AE105" s="110"/>
      <c r="AF105" s="110"/>
      <c r="AH105" s="207"/>
      <c r="AL105" s="110"/>
      <c r="AM105" s="141"/>
      <c r="AN105" s="141"/>
    </row>
    <row r="106" spans="3:40" x14ac:dyDescent="0.3">
      <c r="F106" s="192"/>
      <c r="H106" s="110"/>
      <c r="I106" s="110"/>
      <c r="J106" s="217"/>
      <c r="K106" s="217"/>
      <c r="L106" s="192"/>
      <c r="M106" s="192"/>
      <c r="N106" s="192"/>
      <c r="O106" s="192"/>
      <c r="P106" s="192"/>
      <c r="Q106" s="192"/>
      <c r="R106" s="192"/>
      <c r="T106" s="99"/>
      <c r="V106" s="110"/>
      <c r="Y106" s="172"/>
      <c r="Z106" s="181"/>
      <c r="AA106" s="110"/>
      <c r="AB106" s="110"/>
      <c r="AC106" s="141"/>
      <c r="AD106" s="141"/>
      <c r="AE106" s="110"/>
      <c r="AF106" s="110"/>
      <c r="AH106" s="207"/>
      <c r="AL106" s="110"/>
      <c r="AM106" s="141"/>
      <c r="AN106" s="141"/>
    </row>
    <row r="107" spans="3:40" x14ac:dyDescent="0.3">
      <c r="C107" s="99"/>
      <c r="F107" s="172"/>
      <c r="H107" s="172"/>
      <c r="I107" s="172"/>
      <c r="J107" s="227"/>
      <c r="K107" s="227"/>
      <c r="L107" s="110"/>
      <c r="M107" s="110"/>
      <c r="N107" s="141"/>
      <c r="O107" s="141"/>
      <c r="P107" s="110"/>
      <c r="Q107" s="110"/>
      <c r="R107" s="110"/>
      <c r="S107" s="110"/>
      <c r="V107" s="192"/>
      <c r="Y107" s="110"/>
      <c r="Z107" s="217"/>
      <c r="AA107" s="192"/>
      <c r="AB107" s="192"/>
      <c r="AC107" s="192"/>
      <c r="AD107" s="192"/>
      <c r="AE107" s="192"/>
      <c r="AF107" s="192"/>
      <c r="AI107" s="192"/>
      <c r="AJ107" s="192"/>
      <c r="AK107" s="194"/>
      <c r="AL107" s="192"/>
      <c r="AM107" s="141"/>
      <c r="AN107" s="141"/>
    </row>
    <row r="108" spans="3:40" x14ac:dyDescent="0.3">
      <c r="C108" s="99"/>
      <c r="F108" s="172"/>
      <c r="H108" s="172"/>
      <c r="I108" s="172"/>
      <c r="J108" s="181"/>
      <c r="K108" s="181"/>
      <c r="L108" s="110"/>
      <c r="M108" s="110"/>
      <c r="N108" s="141"/>
      <c r="O108" s="141"/>
      <c r="P108" s="110"/>
      <c r="Q108" s="110"/>
      <c r="R108" s="110"/>
      <c r="T108" s="99"/>
      <c r="V108" s="110"/>
      <c r="Y108" s="110"/>
      <c r="Z108" s="198"/>
      <c r="AA108" s="110"/>
      <c r="AB108" s="110"/>
      <c r="AC108" s="141"/>
      <c r="AD108" s="141"/>
      <c r="AE108" s="110"/>
      <c r="AF108" s="110"/>
      <c r="AH108" s="207"/>
      <c r="AI108" s="110"/>
      <c r="AJ108" s="110"/>
      <c r="AL108" s="110"/>
      <c r="AM108" s="141"/>
      <c r="AN108" s="141"/>
    </row>
    <row r="109" spans="3:40" x14ac:dyDescent="0.3">
      <c r="C109" s="99"/>
      <c r="F109" s="172"/>
      <c r="H109" s="172"/>
      <c r="I109" s="172"/>
      <c r="J109" s="181"/>
      <c r="K109" s="181"/>
      <c r="L109" s="110"/>
      <c r="M109" s="110"/>
      <c r="N109" s="141"/>
      <c r="O109" s="141"/>
      <c r="P109" s="110"/>
      <c r="Q109" s="110"/>
      <c r="R109" s="110"/>
      <c r="V109" s="192"/>
      <c r="Y109" s="110"/>
      <c r="Z109" s="217"/>
      <c r="AA109" s="192"/>
      <c r="AB109" s="192"/>
      <c r="AC109" s="192"/>
      <c r="AD109" s="192"/>
      <c r="AE109" s="192"/>
      <c r="AF109" s="192"/>
      <c r="AI109" s="192"/>
      <c r="AJ109" s="192"/>
      <c r="AK109" s="194"/>
      <c r="AL109" s="192"/>
      <c r="AM109" s="141"/>
      <c r="AN109" s="141"/>
    </row>
    <row r="110" spans="3:40" x14ac:dyDescent="0.3">
      <c r="F110" s="110"/>
      <c r="H110" s="192"/>
      <c r="I110" s="192"/>
      <c r="J110" s="217"/>
      <c r="K110" s="217"/>
      <c r="L110" s="192"/>
      <c r="M110" s="192"/>
      <c r="N110" s="192"/>
      <c r="O110" s="192"/>
      <c r="P110" s="192"/>
      <c r="Q110" s="192"/>
      <c r="R110" s="192"/>
      <c r="T110" s="99"/>
      <c r="V110" s="172"/>
      <c r="Y110" s="172"/>
      <c r="Z110" s="227"/>
      <c r="AA110" s="110"/>
      <c r="AB110" s="110"/>
      <c r="AC110" s="141"/>
      <c r="AD110" s="141"/>
      <c r="AE110" s="110"/>
      <c r="AF110" s="110"/>
      <c r="AH110" s="141"/>
      <c r="AI110" s="110"/>
      <c r="AJ110" s="110"/>
      <c r="AL110" s="110"/>
      <c r="AM110" s="141"/>
      <c r="AN110" s="141"/>
    </row>
    <row r="111" spans="3:40" x14ac:dyDescent="0.3">
      <c r="C111" s="99"/>
      <c r="F111" s="110"/>
      <c r="H111" s="110"/>
      <c r="I111" s="110"/>
      <c r="J111" s="217"/>
      <c r="K111" s="217"/>
      <c r="L111" s="110"/>
      <c r="M111" s="110"/>
      <c r="N111" s="141"/>
      <c r="O111" s="141"/>
      <c r="P111" s="110"/>
      <c r="Q111" s="110"/>
      <c r="R111" s="110"/>
      <c r="T111" s="99"/>
      <c r="V111" s="172"/>
      <c r="Y111" s="110"/>
      <c r="Z111" s="181"/>
      <c r="AA111" s="110"/>
      <c r="AB111" s="110"/>
      <c r="AC111" s="141"/>
      <c r="AD111" s="141"/>
      <c r="AE111" s="110"/>
      <c r="AF111" s="110"/>
      <c r="AH111" s="207"/>
      <c r="AI111" s="110"/>
      <c r="AJ111" s="110"/>
      <c r="AL111" s="110"/>
      <c r="AM111" s="141"/>
      <c r="AN111" s="141"/>
    </row>
    <row r="112" spans="3:40" x14ac:dyDescent="0.3">
      <c r="F112" s="110"/>
      <c r="H112" s="192"/>
      <c r="I112" s="192"/>
      <c r="J112" s="217"/>
      <c r="K112" s="217"/>
      <c r="L112" s="192"/>
      <c r="M112" s="192"/>
      <c r="N112" s="192"/>
      <c r="O112" s="192"/>
      <c r="P112" s="192"/>
      <c r="Q112" s="192"/>
      <c r="R112" s="192"/>
      <c r="T112" s="99"/>
      <c r="V112" s="172"/>
      <c r="Y112" s="110"/>
      <c r="Z112" s="181"/>
      <c r="AA112" s="110"/>
      <c r="AB112" s="110"/>
      <c r="AC112" s="141"/>
      <c r="AD112" s="141"/>
      <c r="AE112" s="110"/>
      <c r="AF112" s="110"/>
      <c r="AH112" s="207"/>
      <c r="AI112" s="110"/>
      <c r="AJ112" s="110"/>
      <c r="AL112" s="110"/>
      <c r="AM112" s="141"/>
      <c r="AN112" s="141"/>
    </row>
    <row r="113" spans="3:40" x14ac:dyDescent="0.3">
      <c r="C113" s="99"/>
      <c r="F113" s="110"/>
      <c r="H113" s="110"/>
      <c r="I113" s="110"/>
      <c r="J113" s="217"/>
      <c r="K113" s="217"/>
      <c r="L113" s="110"/>
      <c r="M113" s="110"/>
      <c r="N113" s="110"/>
      <c r="O113" s="110"/>
      <c r="P113" s="110"/>
      <c r="Q113" s="110"/>
      <c r="R113" s="110"/>
      <c r="V113" s="110"/>
      <c r="Y113" s="192"/>
      <c r="Z113" s="217"/>
      <c r="AA113" s="192"/>
      <c r="AB113" s="192"/>
      <c r="AC113" s="192"/>
      <c r="AD113" s="192"/>
      <c r="AE113" s="192"/>
      <c r="AF113" s="192"/>
      <c r="AI113" s="192"/>
      <c r="AJ113" s="192"/>
      <c r="AK113" s="194"/>
      <c r="AL113" s="192"/>
      <c r="AM113" s="141"/>
      <c r="AN113" s="141"/>
    </row>
    <row r="114" spans="3:40" x14ac:dyDescent="0.3">
      <c r="C114" s="99"/>
      <c r="F114" s="110"/>
      <c r="H114" s="172"/>
      <c r="I114" s="172"/>
      <c r="J114" s="228"/>
      <c r="K114" s="228"/>
      <c r="L114" s="110"/>
      <c r="M114" s="110"/>
      <c r="N114" s="141"/>
      <c r="O114" s="141"/>
      <c r="P114" s="110"/>
      <c r="Q114" s="110"/>
      <c r="R114" s="110"/>
      <c r="T114" s="99"/>
      <c r="V114" s="110"/>
      <c r="Y114" s="110"/>
      <c r="Z114" s="217"/>
      <c r="AA114" s="110"/>
      <c r="AB114" s="110"/>
      <c r="AC114" s="141"/>
      <c r="AD114" s="141"/>
      <c r="AE114" s="110"/>
      <c r="AF114" s="110"/>
      <c r="AH114" s="207"/>
      <c r="AI114" s="110"/>
      <c r="AJ114" s="110"/>
      <c r="AL114" s="110"/>
      <c r="AM114" s="141"/>
      <c r="AN114" s="141"/>
    </row>
    <row r="115" spans="3:40" x14ac:dyDescent="0.3">
      <c r="C115" s="99"/>
      <c r="H115" s="172"/>
      <c r="I115" s="172"/>
      <c r="J115" s="228"/>
      <c r="K115" s="228"/>
      <c r="L115" s="110"/>
      <c r="M115" s="110"/>
      <c r="N115" s="141"/>
      <c r="O115" s="141"/>
      <c r="P115" s="110"/>
      <c r="Q115" s="110"/>
      <c r="R115" s="110"/>
      <c r="V115" s="110"/>
      <c r="Y115" s="192"/>
      <c r="Z115" s="217"/>
      <c r="AA115" s="192"/>
      <c r="AB115" s="192"/>
      <c r="AC115" s="192"/>
      <c r="AD115" s="192"/>
      <c r="AE115" s="192"/>
      <c r="AF115" s="192"/>
      <c r="AI115" s="192"/>
      <c r="AJ115" s="192"/>
      <c r="AK115" s="194"/>
      <c r="AL115" s="192"/>
      <c r="AM115" s="141"/>
      <c r="AN115" s="141"/>
    </row>
    <row r="116" spans="3:40" x14ac:dyDescent="0.3">
      <c r="F116" s="110"/>
      <c r="H116" s="110"/>
      <c r="I116" s="110"/>
      <c r="J116" s="217"/>
      <c r="K116" s="217"/>
      <c r="L116" s="192"/>
      <c r="M116" s="192"/>
      <c r="N116" s="192"/>
      <c r="O116" s="192"/>
      <c r="P116" s="192"/>
      <c r="Q116" s="192"/>
      <c r="R116" s="192"/>
      <c r="T116" s="99"/>
      <c r="V116" s="110"/>
      <c r="Y116" s="110"/>
      <c r="Z116" s="217"/>
      <c r="AA116" s="110"/>
      <c r="AB116" s="110"/>
      <c r="AC116" s="110"/>
      <c r="AD116" s="110"/>
      <c r="AE116" s="110"/>
      <c r="AF116" s="110"/>
      <c r="AH116" s="207"/>
      <c r="AI116" s="110"/>
      <c r="AJ116" s="110"/>
      <c r="AL116" s="110"/>
      <c r="AM116" s="141"/>
      <c r="AN116" s="141"/>
    </row>
    <row r="117" spans="3:40" x14ac:dyDescent="0.3">
      <c r="C117" s="99"/>
      <c r="F117" s="110"/>
      <c r="H117" s="110"/>
      <c r="I117" s="110"/>
      <c r="J117" s="198"/>
      <c r="K117" s="198"/>
      <c r="L117" s="110"/>
      <c r="M117" s="110"/>
      <c r="N117" s="141"/>
      <c r="O117" s="141"/>
      <c r="P117" s="110"/>
      <c r="Q117" s="110"/>
      <c r="R117" s="110"/>
      <c r="T117" s="99"/>
      <c r="V117" s="110"/>
      <c r="Y117" s="110"/>
      <c r="Z117" s="228"/>
      <c r="AA117" s="110"/>
      <c r="AB117" s="110"/>
      <c r="AC117" s="141"/>
      <c r="AD117" s="141"/>
      <c r="AE117" s="110"/>
      <c r="AF117" s="110"/>
      <c r="AH117" s="207"/>
      <c r="AI117" s="110"/>
      <c r="AJ117" s="110"/>
      <c r="AL117" s="110"/>
      <c r="AM117" s="141"/>
      <c r="AN117" s="141"/>
    </row>
    <row r="118" spans="3:40" x14ac:dyDescent="0.3">
      <c r="F118" s="110"/>
      <c r="H118" s="110"/>
      <c r="I118" s="110"/>
      <c r="J118" s="217"/>
      <c r="K118" s="217"/>
      <c r="L118" s="192"/>
      <c r="M118" s="192"/>
      <c r="N118" s="192"/>
      <c r="O118" s="192"/>
      <c r="P118" s="192"/>
      <c r="Q118" s="192"/>
      <c r="R118" s="192"/>
      <c r="T118" s="99"/>
      <c r="Y118" s="110"/>
      <c r="Z118" s="228"/>
      <c r="AA118" s="110"/>
      <c r="AB118" s="110"/>
      <c r="AC118" s="141"/>
      <c r="AD118" s="141"/>
      <c r="AE118" s="110"/>
      <c r="AF118" s="110"/>
      <c r="AH118" s="207"/>
      <c r="AI118" s="110"/>
      <c r="AJ118" s="110"/>
      <c r="AL118" s="110"/>
      <c r="AM118" s="141"/>
      <c r="AN118" s="141"/>
    </row>
    <row r="119" spans="3:40" x14ac:dyDescent="0.3">
      <c r="C119" s="99"/>
      <c r="F119" s="110"/>
      <c r="H119" s="110"/>
      <c r="I119" s="110"/>
      <c r="J119" s="198"/>
      <c r="K119" s="198"/>
      <c r="L119" s="110"/>
      <c r="M119" s="110"/>
      <c r="N119" s="141"/>
      <c r="O119" s="141"/>
      <c r="P119" s="110"/>
      <c r="Q119" s="110"/>
      <c r="R119" s="110"/>
      <c r="V119" s="110"/>
      <c r="Y119" s="110"/>
      <c r="Z119" s="217"/>
      <c r="AA119" s="192"/>
      <c r="AB119" s="192"/>
      <c r="AC119" s="192"/>
      <c r="AD119" s="192"/>
      <c r="AE119" s="192"/>
      <c r="AF119" s="192"/>
      <c r="AI119" s="192"/>
      <c r="AJ119" s="192"/>
      <c r="AK119" s="194"/>
      <c r="AL119" s="192"/>
      <c r="AM119" s="141"/>
      <c r="AN119" s="141"/>
    </row>
    <row r="120" spans="3:40" x14ac:dyDescent="0.3">
      <c r="C120" s="99"/>
      <c r="F120" s="110"/>
      <c r="H120" s="172"/>
      <c r="I120" s="172"/>
      <c r="J120" s="222"/>
      <c r="K120" s="222"/>
      <c r="L120" s="110"/>
      <c r="M120" s="110"/>
      <c r="N120" s="141"/>
      <c r="O120" s="141"/>
      <c r="P120" s="110"/>
      <c r="Q120" s="110"/>
      <c r="R120" s="110"/>
      <c r="T120" s="99"/>
      <c r="V120" s="110"/>
      <c r="Y120" s="110"/>
      <c r="Z120" s="198"/>
      <c r="AA120" s="110"/>
      <c r="AB120" s="110"/>
      <c r="AC120" s="141"/>
      <c r="AD120" s="141"/>
      <c r="AE120" s="110"/>
      <c r="AF120" s="110"/>
      <c r="AH120" s="207"/>
      <c r="AI120" s="110"/>
      <c r="AJ120" s="110"/>
      <c r="AL120" s="110"/>
      <c r="AM120" s="141"/>
      <c r="AN120" s="141"/>
    </row>
    <row r="121" spans="3:40" x14ac:dyDescent="0.3">
      <c r="F121" s="192"/>
      <c r="H121" s="192"/>
      <c r="I121" s="192"/>
      <c r="J121" s="217"/>
      <c r="K121" s="217"/>
      <c r="L121" s="192"/>
      <c r="M121" s="192"/>
      <c r="N121" s="192"/>
      <c r="O121" s="192"/>
      <c r="P121" s="192"/>
      <c r="Q121" s="192"/>
      <c r="R121" s="192"/>
      <c r="V121" s="110"/>
      <c r="Y121" s="110"/>
      <c r="Z121" s="217"/>
      <c r="AA121" s="192"/>
      <c r="AB121" s="192"/>
      <c r="AC121" s="192"/>
      <c r="AD121" s="192"/>
      <c r="AE121" s="192"/>
      <c r="AF121" s="192"/>
      <c r="AI121" s="192"/>
      <c r="AJ121" s="192"/>
      <c r="AK121" s="194"/>
      <c r="AL121" s="192"/>
      <c r="AM121" s="141"/>
      <c r="AN121" s="141"/>
    </row>
    <row r="122" spans="3:40" x14ac:dyDescent="0.3">
      <c r="C122" s="99"/>
      <c r="F122" s="110"/>
      <c r="H122" s="110"/>
      <c r="I122" s="110"/>
      <c r="J122" s="217"/>
      <c r="K122" s="217"/>
      <c r="L122" s="110"/>
      <c r="M122" s="110"/>
      <c r="N122" s="141"/>
      <c r="O122" s="141"/>
      <c r="P122" s="110"/>
      <c r="Q122" s="110"/>
      <c r="R122" s="110"/>
      <c r="S122" s="110"/>
      <c r="T122" s="99"/>
      <c r="V122" s="110"/>
      <c r="Y122" s="110"/>
      <c r="Z122" s="198"/>
      <c r="AA122" s="110"/>
      <c r="AB122" s="110"/>
      <c r="AC122" s="141"/>
      <c r="AD122" s="141"/>
      <c r="AE122" s="110"/>
      <c r="AF122" s="110"/>
      <c r="AH122" s="207"/>
      <c r="AI122" s="110"/>
      <c r="AJ122" s="110"/>
      <c r="AL122" s="110"/>
      <c r="AM122" s="141"/>
      <c r="AN122" s="141"/>
    </row>
    <row r="123" spans="3:40" x14ac:dyDescent="0.3">
      <c r="F123" s="192"/>
      <c r="H123" s="192"/>
      <c r="I123" s="192"/>
      <c r="J123" s="217"/>
      <c r="K123" s="217"/>
      <c r="L123" s="192"/>
      <c r="M123" s="192"/>
      <c r="N123" s="192"/>
      <c r="O123" s="192"/>
      <c r="P123" s="192"/>
      <c r="Q123" s="192"/>
      <c r="R123" s="192"/>
      <c r="S123" s="110"/>
      <c r="T123" s="99"/>
      <c r="V123" s="172"/>
      <c r="Y123" s="110"/>
      <c r="Z123" s="222"/>
      <c r="AA123" s="110"/>
      <c r="AB123" s="110"/>
      <c r="AC123" s="141"/>
      <c r="AD123" s="141"/>
      <c r="AE123" s="110"/>
      <c r="AF123" s="110"/>
      <c r="AH123" s="207"/>
      <c r="AI123" s="110"/>
      <c r="AJ123" s="110"/>
      <c r="AL123" s="110"/>
      <c r="AM123" s="141"/>
      <c r="AN123" s="141"/>
    </row>
    <row r="124" spans="3:40" x14ac:dyDescent="0.3">
      <c r="C124" s="99"/>
      <c r="F124" s="172"/>
      <c r="H124" s="229"/>
      <c r="I124" s="229"/>
      <c r="J124" s="217"/>
      <c r="K124" s="217"/>
      <c r="L124" s="110"/>
      <c r="M124" s="110"/>
      <c r="N124" s="141"/>
      <c r="O124" s="141"/>
      <c r="P124" s="110"/>
      <c r="Q124" s="110"/>
      <c r="R124" s="110"/>
      <c r="S124" s="110"/>
      <c r="V124" s="192"/>
      <c r="Y124" s="192"/>
      <c r="Z124" s="217"/>
      <c r="AA124" s="192"/>
      <c r="AB124" s="192"/>
      <c r="AC124" s="192"/>
      <c r="AD124" s="192"/>
      <c r="AE124" s="192"/>
      <c r="AF124" s="192"/>
      <c r="AI124" s="192"/>
      <c r="AJ124" s="192"/>
      <c r="AK124" s="194"/>
      <c r="AL124" s="192"/>
      <c r="AM124" s="141"/>
      <c r="AN124" s="141"/>
    </row>
    <row r="125" spans="3:40" x14ac:dyDescent="0.3">
      <c r="T125" s="99"/>
      <c r="V125" s="110"/>
      <c r="Y125" s="110"/>
      <c r="Z125" s="217"/>
      <c r="AA125" s="110"/>
      <c r="AB125" s="110"/>
      <c r="AC125" s="141"/>
      <c r="AD125" s="141"/>
      <c r="AE125" s="110"/>
      <c r="AF125" s="110"/>
      <c r="AH125" s="141"/>
      <c r="AI125" s="110"/>
      <c r="AJ125" s="110"/>
      <c r="AL125" s="110"/>
      <c r="AM125" s="141"/>
      <c r="AN125" s="141"/>
    </row>
    <row r="126" spans="3:40" x14ac:dyDescent="0.3">
      <c r="C126" s="99"/>
      <c r="V126" s="192"/>
      <c r="Y126" s="192"/>
      <c r="Z126" s="217"/>
      <c r="AA126" s="192"/>
      <c r="AB126" s="192"/>
      <c r="AC126" s="192"/>
      <c r="AD126" s="192"/>
      <c r="AE126" s="192"/>
      <c r="AF126" s="192"/>
      <c r="AI126" s="192"/>
      <c r="AJ126" s="192"/>
      <c r="AK126" s="194"/>
      <c r="AL126" s="192"/>
      <c r="AM126" s="141"/>
      <c r="AN126" s="141"/>
    </row>
    <row r="127" spans="3:40" x14ac:dyDescent="0.3">
      <c r="C127" s="99"/>
      <c r="F127" s="172"/>
      <c r="H127" s="172"/>
      <c r="I127" s="172"/>
      <c r="J127" s="181"/>
      <c r="K127" s="181"/>
      <c r="L127" s="110"/>
      <c r="M127" s="110"/>
      <c r="N127" s="141"/>
      <c r="O127" s="141"/>
      <c r="R127" s="110"/>
      <c r="T127" s="99"/>
      <c r="V127" s="172"/>
      <c r="Y127" s="172"/>
      <c r="Z127" s="217"/>
      <c r="AA127" s="110"/>
      <c r="AB127" s="110"/>
      <c r="AC127" s="141"/>
      <c r="AD127" s="141"/>
      <c r="AE127" s="110"/>
      <c r="AF127" s="110"/>
      <c r="AI127" s="110"/>
      <c r="AJ127" s="110"/>
      <c r="AL127" s="110"/>
      <c r="AM127" s="141"/>
      <c r="AN127" s="141"/>
    </row>
    <row r="128" spans="3:40" x14ac:dyDescent="0.3">
      <c r="C128" s="99"/>
      <c r="F128" s="172"/>
      <c r="H128" s="172"/>
      <c r="I128" s="172"/>
      <c r="J128" s="181"/>
      <c r="K128" s="181"/>
      <c r="L128" s="110"/>
      <c r="M128" s="110"/>
      <c r="N128" s="141"/>
      <c r="O128" s="141"/>
      <c r="R128" s="110"/>
    </row>
    <row r="129" spans="3:40" x14ac:dyDescent="0.3">
      <c r="C129" s="99"/>
      <c r="F129" s="172"/>
      <c r="H129" s="172"/>
      <c r="I129" s="172"/>
      <c r="J129" s="181"/>
      <c r="K129" s="181"/>
      <c r="L129" s="110"/>
      <c r="M129" s="110"/>
      <c r="N129" s="141"/>
      <c r="O129" s="141"/>
      <c r="R129" s="110"/>
      <c r="T129" s="99"/>
    </row>
    <row r="130" spans="3:40" x14ac:dyDescent="0.3">
      <c r="F130" s="192"/>
      <c r="H130" s="110"/>
      <c r="I130" s="110"/>
      <c r="J130" s="217"/>
      <c r="K130" s="217"/>
      <c r="L130" s="192"/>
      <c r="M130" s="192"/>
      <c r="N130" s="192"/>
      <c r="O130" s="192"/>
      <c r="P130" s="192"/>
      <c r="Q130" s="192"/>
      <c r="R130" s="192"/>
      <c r="T130" s="99"/>
      <c r="V130" s="110"/>
      <c r="Y130" s="172"/>
      <c r="Z130" s="181"/>
      <c r="AA130" s="110"/>
      <c r="AB130" s="110"/>
      <c r="AC130" s="141"/>
      <c r="AD130" s="141"/>
      <c r="AE130" s="110"/>
      <c r="AF130" s="110"/>
      <c r="AG130" s="224"/>
      <c r="AH130" s="225"/>
      <c r="AL130" s="110"/>
      <c r="AM130" s="226"/>
      <c r="AN130" s="226"/>
    </row>
    <row r="131" spans="3:40" x14ac:dyDescent="0.3">
      <c r="C131" s="99"/>
      <c r="F131" s="110"/>
      <c r="H131" s="110"/>
      <c r="I131" s="110"/>
      <c r="J131" s="217"/>
      <c r="K131" s="217"/>
      <c r="L131" s="110"/>
      <c r="M131" s="110"/>
      <c r="N131" s="141"/>
      <c r="O131" s="141"/>
      <c r="P131" s="110"/>
      <c r="Q131" s="110"/>
      <c r="R131" s="110"/>
      <c r="T131" s="99"/>
      <c r="V131" s="110"/>
      <c r="Y131" s="172"/>
      <c r="Z131" s="181"/>
      <c r="AA131" s="110"/>
      <c r="AB131" s="110"/>
      <c r="AC131" s="141"/>
      <c r="AD131" s="141"/>
      <c r="AE131" s="110"/>
      <c r="AF131" s="110"/>
      <c r="AH131" s="207"/>
      <c r="AL131" s="110"/>
      <c r="AM131" s="141"/>
      <c r="AN131" s="141"/>
    </row>
    <row r="132" spans="3:40" x14ac:dyDescent="0.3">
      <c r="F132" s="192"/>
      <c r="H132" s="110"/>
      <c r="I132" s="110"/>
      <c r="J132" s="217"/>
      <c r="K132" s="217"/>
      <c r="L132" s="192"/>
      <c r="M132" s="192"/>
      <c r="N132" s="192"/>
      <c r="O132" s="192"/>
      <c r="P132" s="192"/>
      <c r="Q132" s="192"/>
      <c r="R132" s="192"/>
      <c r="T132" s="99"/>
      <c r="V132" s="110"/>
      <c r="Y132" s="172"/>
      <c r="Z132" s="181"/>
      <c r="AA132" s="110"/>
      <c r="AB132" s="110"/>
      <c r="AC132" s="141"/>
      <c r="AD132" s="141"/>
      <c r="AE132" s="110"/>
      <c r="AF132" s="110"/>
      <c r="AH132" s="207"/>
      <c r="AL132" s="110"/>
      <c r="AM132" s="141"/>
      <c r="AN132" s="141"/>
    </row>
    <row r="133" spans="3:40" x14ac:dyDescent="0.3">
      <c r="C133" s="99"/>
      <c r="F133" s="172"/>
      <c r="H133" s="172"/>
      <c r="I133" s="172"/>
      <c r="J133" s="227"/>
      <c r="K133" s="227"/>
      <c r="L133" s="110"/>
      <c r="M133" s="110"/>
      <c r="N133" s="141"/>
      <c r="O133" s="141"/>
      <c r="P133" s="110"/>
      <c r="Q133" s="110"/>
      <c r="R133" s="110"/>
      <c r="S133" s="110"/>
      <c r="V133" s="192"/>
      <c r="Y133" s="110"/>
      <c r="Z133" s="217"/>
      <c r="AA133" s="192"/>
      <c r="AB133" s="192"/>
      <c r="AC133" s="192"/>
      <c r="AD133" s="192"/>
      <c r="AE133" s="192"/>
      <c r="AF133" s="192"/>
      <c r="AI133" s="192"/>
      <c r="AJ133" s="192"/>
      <c r="AK133" s="194"/>
      <c r="AL133" s="192"/>
      <c r="AM133" s="141"/>
      <c r="AN133" s="141"/>
    </row>
    <row r="134" spans="3:40" x14ac:dyDescent="0.3">
      <c r="C134" s="99"/>
      <c r="F134" s="172"/>
      <c r="H134" s="172"/>
      <c r="I134" s="172"/>
      <c r="J134" s="181"/>
      <c r="K134" s="181"/>
      <c r="L134" s="110"/>
      <c r="M134" s="110"/>
      <c r="N134" s="141"/>
      <c r="O134" s="141"/>
      <c r="P134" s="110"/>
      <c r="Q134" s="110"/>
      <c r="R134" s="110"/>
      <c r="T134" s="99"/>
      <c r="V134" s="110"/>
      <c r="Y134" s="110"/>
      <c r="Z134" s="217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C135" s="99"/>
      <c r="F135" s="172"/>
      <c r="H135" s="172"/>
      <c r="I135" s="172"/>
      <c r="J135" s="181"/>
      <c r="K135" s="181"/>
      <c r="L135" s="110"/>
      <c r="M135" s="110"/>
      <c r="N135" s="141"/>
      <c r="O135" s="141"/>
      <c r="P135" s="110"/>
      <c r="Q135" s="110"/>
      <c r="R135" s="110"/>
      <c r="V135" s="192"/>
      <c r="Y135" s="110"/>
      <c r="Z135" s="217"/>
      <c r="AA135" s="192"/>
      <c r="AB135" s="192"/>
      <c r="AC135" s="192"/>
      <c r="AD135" s="192"/>
      <c r="AE135" s="192"/>
      <c r="AF135" s="192"/>
      <c r="AI135" s="192"/>
      <c r="AJ135" s="192"/>
      <c r="AK135" s="194"/>
      <c r="AL135" s="192"/>
      <c r="AM135" s="141"/>
      <c r="AN135" s="141"/>
    </row>
    <row r="136" spans="3:40" x14ac:dyDescent="0.3">
      <c r="F136" s="110"/>
      <c r="H136" s="192"/>
      <c r="I136" s="192"/>
      <c r="J136" s="217"/>
      <c r="K136" s="217"/>
      <c r="L136" s="192"/>
      <c r="M136" s="192"/>
      <c r="N136" s="192"/>
      <c r="O136" s="192"/>
      <c r="P136" s="192"/>
      <c r="Q136" s="192"/>
      <c r="R136" s="192"/>
      <c r="T136" s="99"/>
      <c r="V136" s="172"/>
      <c r="Y136" s="172"/>
      <c r="Z136" s="227"/>
      <c r="AA136" s="110"/>
      <c r="AB136" s="110"/>
      <c r="AC136" s="141"/>
      <c r="AD136" s="141"/>
      <c r="AE136" s="110"/>
      <c r="AF136" s="110"/>
      <c r="AH136" s="141"/>
      <c r="AI136" s="110"/>
      <c r="AJ136" s="110"/>
      <c r="AL136" s="110"/>
      <c r="AM136" s="141"/>
      <c r="AN136" s="141"/>
    </row>
    <row r="137" spans="3:40" x14ac:dyDescent="0.3">
      <c r="C137" s="99"/>
      <c r="F137" s="110"/>
      <c r="H137" s="110"/>
      <c r="I137" s="110"/>
      <c r="J137" s="217"/>
      <c r="K137" s="217"/>
      <c r="L137" s="110"/>
      <c r="M137" s="110"/>
      <c r="N137" s="141"/>
      <c r="O137" s="141"/>
      <c r="P137" s="110"/>
      <c r="Q137" s="110"/>
      <c r="R137" s="110"/>
      <c r="T137" s="99"/>
      <c r="V137" s="172"/>
      <c r="Y137" s="110"/>
      <c r="Z137" s="181"/>
      <c r="AA137" s="110"/>
      <c r="AB137" s="110"/>
      <c r="AC137" s="141"/>
      <c r="AD137" s="141"/>
      <c r="AE137" s="110"/>
      <c r="AF137" s="110"/>
      <c r="AH137" s="207"/>
      <c r="AI137" s="110"/>
      <c r="AJ137" s="110"/>
      <c r="AL137" s="110"/>
      <c r="AM137" s="141"/>
      <c r="AN137" s="141"/>
    </row>
    <row r="138" spans="3:40" x14ac:dyDescent="0.3">
      <c r="F138" s="110"/>
      <c r="H138" s="192"/>
      <c r="I138" s="192"/>
      <c r="J138" s="217"/>
      <c r="K138" s="217"/>
      <c r="L138" s="192"/>
      <c r="M138" s="192"/>
      <c r="N138" s="192"/>
      <c r="O138" s="192"/>
      <c r="P138" s="192"/>
      <c r="Q138" s="192"/>
      <c r="R138" s="192"/>
      <c r="T138" s="99"/>
      <c r="V138" s="172"/>
      <c r="Y138" s="110"/>
      <c r="Z138" s="181"/>
      <c r="AA138" s="110"/>
      <c r="AB138" s="110"/>
      <c r="AC138" s="141"/>
      <c r="AD138" s="141"/>
      <c r="AE138" s="110"/>
      <c r="AF138" s="110"/>
      <c r="AH138" s="207"/>
      <c r="AI138" s="110"/>
      <c r="AJ138" s="110"/>
      <c r="AL138" s="110"/>
      <c r="AM138" s="141"/>
      <c r="AN138" s="141"/>
    </row>
    <row r="139" spans="3:40" x14ac:dyDescent="0.3">
      <c r="C139" s="99"/>
      <c r="F139" s="110"/>
      <c r="H139" s="110"/>
      <c r="I139" s="110"/>
      <c r="J139" s="217"/>
      <c r="K139" s="217"/>
      <c r="L139" s="110"/>
      <c r="M139" s="110"/>
      <c r="N139" s="110"/>
      <c r="O139" s="110"/>
      <c r="P139" s="110"/>
      <c r="Q139" s="110"/>
      <c r="R139" s="110"/>
      <c r="V139" s="110"/>
      <c r="Y139" s="192"/>
      <c r="Z139" s="217"/>
      <c r="AA139" s="192"/>
      <c r="AB139" s="192"/>
      <c r="AC139" s="192"/>
      <c r="AD139" s="192"/>
      <c r="AE139" s="192"/>
      <c r="AF139" s="192"/>
      <c r="AI139" s="192"/>
      <c r="AJ139" s="192"/>
      <c r="AK139" s="194"/>
      <c r="AL139" s="192"/>
      <c r="AM139" s="141"/>
      <c r="AN139" s="141"/>
    </row>
    <row r="140" spans="3:40" x14ac:dyDescent="0.3">
      <c r="C140" s="99"/>
      <c r="F140" s="110"/>
      <c r="H140" s="172"/>
      <c r="I140" s="172"/>
      <c r="J140" s="228"/>
      <c r="K140" s="228"/>
      <c r="L140" s="110"/>
      <c r="M140" s="110"/>
      <c r="N140" s="141"/>
      <c r="O140" s="141"/>
      <c r="P140" s="110"/>
      <c r="Q140" s="110"/>
      <c r="R140" s="110"/>
      <c r="T140" s="99"/>
      <c r="V140" s="110"/>
      <c r="Y140" s="110"/>
      <c r="Z140" s="217"/>
      <c r="AA140" s="110"/>
      <c r="AB140" s="110"/>
      <c r="AC140" s="141"/>
      <c r="AD140" s="141"/>
      <c r="AE140" s="110"/>
      <c r="AF140" s="110"/>
      <c r="AH140" s="207"/>
      <c r="AI140" s="110"/>
      <c r="AJ140" s="110"/>
      <c r="AL140" s="110"/>
      <c r="AM140" s="141"/>
      <c r="AN140" s="141"/>
    </row>
    <row r="141" spans="3:40" x14ac:dyDescent="0.3">
      <c r="C141" s="99"/>
      <c r="H141" s="172"/>
      <c r="I141" s="172"/>
      <c r="J141" s="228"/>
      <c r="K141" s="228"/>
      <c r="L141" s="110"/>
      <c r="M141" s="110"/>
      <c r="N141" s="141"/>
      <c r="O141" s="141"/>
      <c r="P141" s="110"/>
      <c r="Q141" s="110"/>
      <c r="R141" s="110"/>
      <c r="V141" s="110"/>
      <c r="Y141" s="192"/>
      <c r="Z141" s="217"/>
      <c r="AA141" s="192"/>
      <c r="AB141" s="192"/>
      <c r="AC141" s="192"/>
      <c r="AD141" s="192"/>
      <c r="AE141" s="192"/>
      <c r="AF141" s="192"/>
      <c r="AI141" s="192"/>
      <c r="AJ141" s="192"/>
      <c r="AK141" s="194"/>
      <c r="AL141" s="192"/>
      <c r="AM141" s="141"/>
      <c r="AN141" s="141"/>
    </row>
    <row r="142" spans="3:40" x14ac:dyDescent="0.3">
      <c r="F142" s="110"/>
      <c r="H142" s="110"/>
      <c r="I142" s="110"/>
      <c r="J142" s="217"/>
      <c r="K142" s="217"/>
      <c r="L142" s="192"/>
      <c r="M142" s="192"/>
      <c r="N142" s="192"/>
      <c r="O142" s="192"/>
      <c r="P142" s="192"/>
      <c r="Q142" s="192"/>
      <c r="R142" s="192"/>
      <c r="T142" s="99"/>
      <c r="V142" s="110"/>
      <c r="Y142" s="110"/>
      <c r="Z142" s="217"/>
      <c r="AA142" s="110"/>
      <c r="AB142" s="110"/>
      <c r="AC142" s="110"/>
      <c r="AD142" s="110"/>
      <c r="AE142" s="110"/>
      <c r="AF142" s="110"/>
      <c r="AH142" s="207"/>
      <c r="AI142" s="110"/>
      <c r="AJ142" s="110"/>
      <c r="AL142" s="110"/>
      <c r="AM142" s="141"/>
      <c r="AN142" s="141"/>
    </row>
    <row r="143" spans="3:40" x14ac:dyDescent="0.3">
      <c r="C143" s="99"/>
      <c r="F143" s="110"/>
      <c r="H143" s="110"/>
      <c r="I143" s="110"/>
      <c r="J143" s="198"/>
      <c r="K143" s="198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228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F144" s="110"/>
      <c r="H144" s="110"/>
      <c r="I144" s="110"/>
      <c r="J144" s="217"/>
      <c r="K144" s="217"/>
      <c r="L144" s="192"/>
      <c r="M144" s="192"/>
      <c r="N144" s="192"/>
      <c r="O144" s="192"/>
      <c r="P144" s="192"/>
      <c r="Q144" s="192"/>
      <c r="R144" s="192"/>
      <c r="T144" s="99"/>
      <c r="Y144" s="110"/>
      <c r="Z144" s="228"/>
      <c r="AA144" s="110"/>
      <c r="AB144" s="110"/>
      <c r="AC144" s="141"/>
      <c r="AD144" s="141"/>
      <c r="AE144" s="110"/>
      <c r="AF144" s="110"/>
      <c r="AH144" s="207"/>
      <c r="AI144" s="110"/>
      <c r="AJ144" s="110"/>
      <c r="AL144" s="110"/>
      <c r="AM144" s="141"/>
      <c r="AN144" s="141"/>
    </row>
    <row r="145" spans="1:40" x14ac:dyDescent="0.3">
      <c r="C145" s="99"/>
      <c r="F145" s="110"/>
      <c r="H145" s="110"/>
      <c r="I145" s="110"/>
      <c r="J145" s="198"/>
      <c r="K145" s="198"/>
      <c r="L145" s="110"/>
      <c r="M145" s="110"/>
      <c r="N145" s="141"/>
      <c r="O145" s="141"/>
      <c r="P145" s="110"/>
      <c r="Q145" s="110"/>
      <c r="R145" s="110"/>
      <c r="V145" s="110"/>
      <c r="Y145" s="110"/>
      <c r="Z145" s="217"/>
      <c r="AA145" s="192"/>
      <c r="AB145" s="192"/>
      <c r="AC145" s="192"/>
      <c r="AD145" s="192"/>
      <c r="AE145" s="192"/>
      <c r="AF145" s="192"/>
      <c r="AI145" s="192"/>
      <c r="AJ145" s="192"/>
      <c r="AK145" s="194"/>
      <c r="AL145" s="192"/>
      <c r="AM145" s="141"/>
      <c r="AN145" s="141"/>
    </row>
    <row r="146" spans="1:40" x14ac:dyDescent="0.3">
      <c r="C146" s="99"/>
      <c r="F146" s="172"/>
      <c r="H146" s="172"/>
      <c r="I146" s="172"/>
      <c r="J146" s="222"/>
      <c r="K146" s="222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19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1:40" x14ac:dyDescent="0.3">
      <c r="F147" s="192"/>
      <c r="H147" s="192"/>
      <c r="I147" s="192"/>
      <c r="J147" s="217"/>
      <c r="K147" s="217"/>
      <c r="L147" s="192"/>
      <c r="M147" s="192"/>
      <c r="N147" s="192"/>
      <c r="O147" s="192"/>
      <c r="P147" s="192"/>
      <c r="Q147" s="192"/>
      <c r="R147" s="192"/>
      <c r="V147" s="110"/>
      <c r="Y147" s="110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41"/>
      <c r="AN147" s="141"/>
    </row>
    <row r="148" spans="1:40" x14ac:dyDescent="0.3">
      <c r="C148" s="99"/>
      <c r="F148" s="110"/>
      <c r="H148" s="110"/>
      <c r="I148" s="110"/>
      <c r="J148" s="217"/>
      <c r="K148" s="217"/>
      <c r="L148" s="110"/>
      <c r="M148" s="110"/>
      <c r="N148" s="141"/>
      <c r="O148" s="141"/>
      <c r="P148" s="110"/>
      <c r="Q148" s="110"/>
      <c r="R148" s="110"/>
      <c r="S148" s="110"/>
      <c r="T148" s="99"/>
      <c r="V148" s="110"/>
      <c r="Y148" s="110"/>
      <c r="Z148" s="198"/>
      <c r="AA148" s="110"/>
      <c r="AB148" s="110"/>
      <c r="AC148" s="141"/>
      <c r="AD148" s="141"/>
      <c r="AE148" s="110"/>
      <c r="AF148" s="110"/>
      <c r="AH148" s="207"/>
      <c r="AI148" s="110"/>
      <c r="AJ148" s="110"/>
      <c r="AL148" s="110"/>
      <c r="AM148" s="141"/>
      <c r="AN148" s="141"/>
    </row>
    <row r="149" spans="1:40" x14ac:dyDescent="0.3">
      <c r="F149" s="192"/>
      <c r="H149" s="192"/>
      <c r="I149" s="192"/>
      <c r="J149" s="217"/>
      <c r="K149" s="217"/>
      <c r="L149" s="192"/>
      <c r="M149" s="192"/>
      <c r="N149" s="192"/>
      <c r="O149" s="192"/>
      <c r="P149" s="192"/>
      <c r="Q149" s="192"/>
      <c r="R149" s="192"/>
      <c r="S149" s="110"/>
      <c r="T149" s="99"/>
      <c r="V149" s="172"/>
      <c r="Y149" s="110"/>
      <c r="Z149" s="222"/>
      <c r="AA149" s="110"/>
      <c r="AB149" s="110"/>
      <c r="AC149" s="141"/>
      <c r="AD149" s="141"/>
      <c r="AE149" s="110"/>
      <c r="AF149" s="110"/>
      <c r="AH149" s="207"/>
      <c r="AI149" s="110"/>
      <c r="AJ149" s="110"/>
      <c r="AL149" s="110"/>
      <c r="AM149" s="141"/>
      <c r="AN149" s="141"/>
    </row>
    <row r="150" spans="1:40" x14ac:dyDescent="0.3">
      <c r="C150" s="99"/>
      <c r="V150" s="192"/>
      <c r="Y150" s="192"/>
      <c r="Z150" s="217"/>
      <c r="AA150" s="192"/>
      <c r="AB150" s="192"/>
      <c r="AC150" s="192"/>
      <c r="AD150" s="192"/>
      <c r="AE150" s="192"/>
      <c r="AF150" s="192"/>
      <c r="AI150" s="192"/>
      <c r="AJ150" s="192"/>
      <c r="AK150" s="194"/>
      <c r="AL150" s="192"/>
      <c r="AM150" s="141"/>
      <c r="AN150" s="141"/>
    </row>
    <row r="151" spans="1:40" x14ac:dyDescent="0.3">
      <c r="C151" s="99"/>
      <c r="F151" s="110"/>
      <c r="H151" s="110"/>
      <c r="I151" s="110"/>
      <c r="L151" s="110"/>
      <c r="M151" s="110"/>
      <c r="N151" s="141"/>
      <c r="O151" s="141"/>
      <c r="P151" s="172"/>
      <c r="Q151" s="172"/>
      <c r="R151" s="110"/>
      <c r="T151" s="99"/>
      <c r="V151" s="110"/>
      <c r="Y151" s="110"/>
      <c r="Z151" s="217"/>
      <c r="AA151" s="110"/>
      <c r="AB151" s="110"/>
      <c r="AC151" s="141"/>
      <c r="AD151" s="141"/>
      <c r="AE151" s="110"/>
      <c r="AF151" s="110"/>
      <c r="AH151" s="141"/>
      <c r="AI151" s="110"/>
      <c r="AJ151" s="110"/>
      <c r="AL151" s="110"/>
      <c r="AM151" s="141"/>
      <c r="AN151" s="141"/>
    </row>
    <row r="152" spans="1:40" x14ac:dyDescent="0.3">
      <c r="F152" s="192"/>
      <c r="H152" s="192"/>
      <c r="I152" s="192"/>
      <c r="J152" s="217"/>
      <c r="K152" s="217"/>
      <c r="L152" s="192"/>
      <c r="M152" s="192"/>
      <c r="N152" s="192"/>
      <c r="O152" s="192"/>
      <c r="P152" s="192"/>
      <c r="Q152" s="192"/>
      <c r="R152" s="192"/>
      <c r="V152" s="192"/>
      <c r="Y152" s="192"/>
      <c r="Z152" s="217"/>
      <c r="AA152" s="192"/>
      <c r="AB152" s="192"/>
      <c r="AC152" s="192"/>
      <c r="AD152" s="192"/>
      <c r="AE152" s="192"/>
      <c r="AF152" s="192"/>
      <c r="AI152" s="192"/>
      <c r="AJ152" s="192"/>
      <c r="AK152" s="194"/>
      <c r="AL152" s="192"/>
      <c r="AM152" s="141"/>
      <c r="AN152" s="141"/>
    </row>
    <row r="153" spans="1:40" x14ac:dyDescent="0.3">
      <c r="T153" s="99"/>
    </row>
    <row r="154" spans="1:40" x14ac:dyDescent="0.3">
      <c r="C154" s="99"/>
      <c r="L154" s="110"/>
      <c r="M154" s="110"/>
      <c r="N154" s="110"/>
      <c r="O154" s="110"/>
      <c r="P154" s="110"/>
      <c r="Q154" s="110"/>
      <c r="R154" s="110"/>
      <c r="S154" s="110"/>
      <c r="T154" s="99"/>
      <c r="V154" s="110"/>
      <c r="Y154" s="110"/>
      <c r="AA154" s="110"/>
      <c r="AB154" s="110"/>
      <c r="AC154" s="141"/>
      <c r="AD154" s="141"/>
      <c r="AE154" s="110"/>
      <c r="AF154" s="110"/>
      <c r="AH154" s="141"/>
      <c r="AI154" s="172"/>
      <c r="AJ154" s="172"/>
      <c r="AL154" s="110"/>
      <c r="AM154" s="141"/>
      <c r="AN154" s="141"/>
    </row>
    <row r="155" spans="1:40" x14ac:dyDescent="0.3">
      <c r="A155" s="99"/>
      <c r="V155" s="192"/>
      <c r="Y155" s="192"/>
      <c r="Z155" s="217"/>
      <c r="AA155" s="192"/>
      <c r="AB155" s="192"/>
      <c r="AC155" s="192"/>
      <c r="AD155" s="192"/>
      <c r="AE155" s="192"/>
      <c r="AF155" s="192"/>
      <c r="AI155" s="192"/>
      <c r="AJ155" s="192"/>
      <c r="AK155" s="194"/>
      <c r="AL155" s="192"/>
    </row>
    <row r="157" spans="1:40" x14ac:dyDescent="0.3">
      <c r="H157" s="99"/>
      <c r="I157" s="99"/>
      <c r="T157" s="99"/>
      <c r="AA157" s="110"/>
      <c r="AB157" s="110"/>
      <c r="AC157" s="110"/>
      <c r="AD157" s="110"/>
      <c r="AI157" s="110"/>
      <c r="AJ157" s="110"/>
      <c r="AL157" s="110"/>
    </row>
    <row r="159" spans="1:40" x14ac:dyDescent="0.3">
      <c r="L159" s="99"/>
      <c r="M159" s="99"/>
    </row>
    <row r="160" spans="1:40" x14ac:dyDescent="0.3">
      <c r="R160" s="99"/>
      <c r="Y160" s="99"/>
    </row>
    <row r="161" spans="1:40" x14ac:dyDescent="0.3">
      <c r="R161" s="99"/>
    </row>
    <row r="162" spans="1:40" x14ac:dyDescent="0.3">
      <c r="A162" s="99"/>
      <c r="R162" s="99"/>
      <c r="AK162" s="190"/>
      <c r="AL162" s="99"/>
    </row>
    <row r="163" spans="1:40" x14ac:dyDescent="0.3">
      <c r="L163" s="99"/>
      <c r="M163" s="99"/>
      <c r="AA163" s="99"/>
      <c r="AB163" s="99"/>
    </row>
    <row r="164" spans="1:40" x14ac:dyDescent="0.3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91"/>
      <c r="AH164" s="101"/>
      <c r="AI164" s="101"/>
      <c r="AJ164" s="101"/>
      <c r="AK164" s="191"/>
      <c r="AL164" s="101"/>
      <c r="AM164" s="101"/>
      <c r="AN164" s="101"/>
    </row>
    <row r="165" spans="1:40" x14ac:dyDescent="0.3">
      <c r="L165" s="102"/>
      <c r="M165" s="102"/>
      <c r="N165" s="102"/>
      <c r="O165" s="102"/>
      <c r="R165" s="102"/>
      <c r="AA165" s="102"/>
      <c r="AB165" s="102"/>
      <c r="AC165" s="102"/>
      <c r="AD165" s="102"/>
      <c r="AE165" s="102"/>
      <c r="AF165" s="102"/>
      <c r="AG165" s="151"/>
      <c r="AH165" s="102"/>
      <c r="AK165" s="151"/>
      <c r="AL165" s="102"/>
      <c r="AM165" s="102"/>
      <c r="AN165" s="102"/>
    </row>
    <row r="166" spans="1:40" x14ac:dyDescent="0.3">
      <c r="L166" s="102"/>
      <c r="M166" s="102"/>
      <c r="N166" s="102"/>
      <c r="O166" s="102"/>
      <c r="R166" s="102"/>
      <c r="Z166" s="102"/>
      <c r="AA166" s="102"/>
      <c r="AB166" s="102"/>
      <c r="AC166" s="102"/>
      <c r="AD166" s="102"/>
      <c r="AE166" s="102"/>
      <c r="AF166" s="102"/>
      <c r="AG166" s="151"/>
      <c r="AH166" s="102"/>
      <c r="AK166" s="151"/>
      <c r="AL166" s="102"/>
      <c r="AM166" s="102"/>
      <c r="AN166" s="102"/>
    </row>
    <row r="167" spans="1:40" x14ac:dyDescent="0.3">
      <c r="A167" s="102"/>
      <c r="C167" s="102"/>
      <c r="D167" s="102"/>
      <c r="E167" s="102"/>
      <c r="F167" s="102"/>
      <c r="J167" s="102"/>
      <c r="K167" s="102"/>
      <c r="L167" s="102"/>
      <c r="M167" s="102"/>
      <c r="N167" s="102"/>
      <c r="O167" s="102"/>
      <c r="P167" s="102"/>
      <c r="Q167" s="102"/>
      <c r="R167" s="102"/>
      <c r="T167" s="102"/>
      <c r="U167" s="102"/>
      <c r="V167" s="102"/>
      <c r="Z167" s="102"/>
      <c r="AA167" s="102"/>
      <c r="AB167" s="102"/>
      <c r="AC167" s="102"/>
      <c r="AD167" s="102"/>
      <c r="AE167" s="102"/>
      <c r="AF167" s="102"/>
      <c r="AG167" s="151"/>
      <c r="AH167" s="102"/>
      <c r="AI167" s="102"/>
      <c r="AJ167" s="102"/>
      <c r="AK167" s="151"/>
      <c r="AL167" s="102"/>
      <c r="AM167" s="102"/>
      <c r="AN167" s="102"/>
    </row>
    <row r="168" spans="1:40" x14ac:dyDescent="0.3">
      <c r="A168" s="102"/>
      <c r="C168" s="102"/>
      <c r="D168" s="102"/>
      <c r="E168" s="102"/>
      <c r="F168" s="102"/>
      <c r="H168" s="102"/>
      <c r="I168" s="102"/>
      <c r="J168" s="102"/>
      <c r="K168" s="102"/>
      <c r="L168" s="102"/>
      <c r="M168" s="102"/>
      <c r="N168" s="102"/>
      <c r="O168" s="102"/>
      <c r="P168" s="102"/>
      <c r="Q168" s="102"/>
      <c r="R168" s="102"/>
      <c r="T168" s="102"/>
      <c r="U168" s="102"/>
      <c r="V168" s="102"/>
      <c r="Y168" s="102"/>
      <c r="Z168" s="102"/>
      <c r="AA168" s="102"/>
      <c r="AB168" s="102"/>
      <c r="AC168" s="102"/>
      <c r="AD168" s="102"/>
      <c r="AE168" s="102"/>
      <c r="AF168" s="102"/>
      <c r="AG168" s="151"/>
      <c r="AH168" s="102"/>
      <c r="AI168" s="102"/>
      <c r="AJ168" s="102"/>
      <c r="AK168" s="151"/>
      <c r="AL168" s="102"/>
      <c r="AM168" s="102"/>
      <c r="AN168" s="102"/>
    </row>
    <row r="169" spans="1:40" x14ac:dyDescent="0.3">
      <c r="C169" s="102"/>
      <c r="D169" s="102"/>
      <c r="E169" s="102"/>
      <c r="F169" s="102"/>
      <c r="H169" s="102"/>
      <c r="I169" s="102"/>
      <c r="J169" s="102"/>
      <c r="K169" s="102"/>
      <c r="L169" s="102"/>
      <c r="M169" s="102"/>
      <c r="N169" s="102"/>
      <c r="O169" s="102"/>
      <c r="P169" s="102"/>
      <c r="Q169" s="102"/>
      <c r="R169" s="102"/>
      <c r="T169" s="102"/>
      <c r="U169" s="102"/>
      <c r="V169" s="102"/>
      <c r="Y169" s="102"/>
      <c r="Z169" s="102"/>
      <c r="AA169" s="102"/>
      <c r="AB169" s="102"/>
      <c r="AC169" s="102"/>
      <c r="AD169" s="102"/>
      <c r="AE169" s="102"/>
      <c r="AF169" s="102"/>
      <c r="AG169" s="151"/>
      <c r="AH169" s="102"/>
      <c r="AI169" s="102"/>
      <c r="AJ169" s="102"/>
      <c r="AK169" s="151"/>
      <c r="AL169" s="102"/>
      <c r="AM169" s="102"/>
      <c r="AN169" s="102"/>
    </row>
    <row r="170" spans="1:4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91"/>
      <c r="AH170" s="101"/>
      <c r="AI170" s="101"/>
      <c r="AJ170" s="101"/>
      <c r="AK170" s="191"/>
      <c r="AL170" s="101"/>
      <c r="AM170" s="101"/>
      <c r="AN170" s="101"/>
    </row>
    <row r="171" spans="1:40" x14ac:dyDescent="0.3">
      <c r="H171" s="102"/>
      <c r="I171" s="102"/>
      <c r="J171" s="102"/>
      <c r="K171" s="102"/>
      <c r="L171" s="102"/>
      <c r="M171" s="102"/>
      <c r="N171" s="102"/>
      <c r="O171" s="102"/>
      <c r="P171" s="102"/>
      <c r="Q171" s="102"/>
      <c r="R171" s="102"/>
      <c r="Y171" s="102"/>
      <c r="Z171" s="102"/>
      <c r="AA171" s="102"/>
      <c r="AB171" s="102"/>
      <c r="AC171" s="102"/>
      <c r="AD171" s="102"/>
      <c r="AE171" s="102"/>
      <c r="AF171" s="102"/>
      <c r="AG171" s="151"/>
      <c r="AH171" s="102"/>
      <c r="AI171" s="102"/>
      <c r="AJ171" s="102"/>
      <c r="AK171" s="151"/>
      <c r="AL171" s="102"/>
      <c r="AM171" s="102"/>
      <c r="AN171" s="102"/>
    </row>
    <row r="172" spans="1:40" x14ac:dyDescent="0.3">
      <c r="C172" s="99"/>
      <c r="D172" s="99"/>
      <c r="E172" s="99"/>
      <c r="T172" s="99"/>
      <c r="U172" s="99"/>
    </row>
    <row r="173" spans="1:40" x14ac:dyDescent="0.3">
      <c r="D173" s="99"/>
      <c r="E173" s="99"/>
      <c r="U173" s="99"/>
    </row>
    <row r="175" spans="1:40" x14ac:dyDescent="0.3">
      <c r="C175" s="99"/>
      <c r="F175" s="172"/>
      <c r="H175" s="172"/>
      <c r="I175" s="172"/>
      <c r="J175" s="181"/>
      <c r="K175" s="181"/>
      <c r="L175" s="110"/>
      <c r="M175" s="110"/>
      <c r="N175" s="141"/>
      <c r="O175" s="141"/>
      <c r="R175" s="110"/>
      <c r="T175" s="99"/>
      <c r="V175" s="110"/>
      <c r="Y175" s="172"/>
      <c r="Z175" s="181"/>
      <c r="AA175" s="110"/>
      <c r="AB175" s="110"/>
      <c r="AC175" s="141"/>
      <c r="AD175" s="141"/>
      <c r="AE175" s="110"/>
      <c r="AF175" s="110"/>
      <c r="AG175" s="224"/>
      <c r="AH175" s="225"/>
      <c r="AL175" s="110"/>
      <c r="AM175" s="226"/>
      <c r="AN175" s="226"/>
    </row>
    <row r="176" spans="1:40" x14ac:dyDescent="0.3">
      <c r="C176" s="99"/>
      <c r="F176" s="172"/>
      <c r="H176" s="172"/>
      <c r="I176" s="172"/>
      <c r="J176" s="181"/>
      <c r="K176" s="181"/>
      <c r="L176" s="110"/>
      <c r="M176" s="110"/>
      <c r="N176" s="141"/>
      <c r="O176" s="141"/>
      <c r="R176" s="110"/>
      <c r="T176" s="99"/>
      <c r="V176" s="110"/>
      <c r="Y176" s="172"/>
      <c r="Z176" s="181"/>
      <c r="AA176" s="110"/>
      <c r="AB176" s="110"/>
      <c r="AC176" s="141"/>
      <c r="AD176" s="141"/>
      <c r="AE176" s="110"/>
      <c r="AF176" s="110"/>
      <c r="AH176" s="207"/>
      <c r="AL176" s="110"/>
      <c r="AM176" s="141"/>
      <c r="AN176" s="141"/>
    </row>
    <row r="177" spans="3:40" x14ac:dyDescent="0.3">
      <c r="F177" s="192"/>
      <c r="H177" s="110"/>
      <c r="I177" s="110"/>
      <c r="J177" s="217"/>
      <c r="K177" s="217"/>
      <c r="L177" s="192"/>
      <c r="M177" s="192"/>
      <c r="N177" s="192"/>
      <c r="O177" s="192"/>
      <c r="P177" s="192"/>
      <c r="Q177" s="192"/>
      <c r="R177" s="192"/>
      <c r="V177" s="192"/>
      <c r="Y177" s="110"/>
      <c r="Z177" s="217"/>
      <c r="AA177" s="192"/>
      <c r="AB177" s="192"/>
      <c r="AC177" s="192"/>
      <c r="AD177" s="192"/>
      <c r="AE177" s="192"/>
      <c r="AF177" s="192"/>
      <c r="AI177" s="192"/>
      <c r="AJ177" s="192"/>
      <c r="AK177" s="194"/>
      <c r="AL177" s="192"/>
      <c r="AM177" s="141"/>
      <c r="AN177" s="141"/>
    </row>
    <row r="178" spans="3:40" x14ac:dyDescent="0.3">
      <c r="C178" s="99"/>
      <c r="F178" s="110"/>
      <c r="H178" s="110"/>
      <c r="I178" s="110"/>
      <c r="J178" s="217"/>
      <c r="K178" s="217"/>
      <c r="L178" s="110"/>
      <c r="M178" s="110"/>
      <c r="N178" s="141"/>
      <c r="O178" s="141"/>
      <c r="P178" s="110"/>
      <c r="Q178" s="110"/>
      <c r="R178" s="110"/>
      <c r="T178" s="99"/>
      <c r="V178" s="110"/>
      <c r="Y178" s="110"/>
      <c r="Z178" s="198"/>
      <c r="AA178" s="110"/>
      <c r="AB178" s="110"/>
      <c r="AC178" s="141"/>
      <c r="AD178" s="141"/>
      <c r="AE178" s="110"/>
      <c r="AF178" s="110"/>
      <c r="AH178" s="207"/>
      <c r="AI178" s="110"/>
      <c r="AJ178" s="110"/>
      <c r="AL178" s="110"/>
      <c r="AM178" s="141"/>
      <c r="AN178" s="141"/>
    </row>
    <row r="179" spans="3:40" x14ac:dyDescent="0.3">
      <c r="F179" s="192"/>
      <c r="H179" s="110"/>
      <c r="I179" s="110"/>
      <c r="J179" s="217"/>
      <c r="K179" s="217"/>
      <c r="L179" s="192"/>
      <c r="M179" s="192"/>
      <c r="N179" s="192"/>
      <c r="O179" s="192"/>
      <c r="P179" s="192"/>
      <c r="Q179" s="192"/>
      <c r="R179" s="192"/>
      <c r="V179" s="192"/>
      <c r="Y179" s="110"/>
      <c r="Z179" s="217"/>
      <c r="AA179" s="192"/>
      <c r="AB179" s="192"/>
      <c r="AC179" s="192"/>
      <c r="AD179" s="192"/>
      <c r="AE179" s="192"/>
      <c r="AF179" s="192"/>
      <c r="AI179" s="192"/>
      <c r="AJ179" s="192"/>
      <c r="AK179" s="194"/>
      <c r="AL179" s="192"/>
      <c r="AM179" s="141"/>
      <c r="AN179" s="141"/>
    </row>
    <row r="180" spans="3:40" x14ac:dyDescent="0.3">
      <c r="F180" s="110"/>
      <c r="H180" s="110"/>
      <c r="I180" s="110"/>
      <c r="J180" s="217"/>
      <c r="K180" s="217"/>
      <c r="L180" s="110"/>
      <c r="M180" s="110"/>
      <c r="N180" s="141"/>
      <c r="O180" s="141"/>
      <c r="P180" s="110"/>
      <c r="Q180" s="110"/>
      <c r="R180" s="110"/>
      <c r="V180" s="110"/>
      <c r="Y180" s="110"/>
      <c r="Z180" s="198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3:40" x14ac:dyDescent="0.3">
      <c r="C181" s="99"/>
      <c r="F181" s="172"/>
      <c r="H181" s="172"/>
      <c r="I181" s="172"/>
      <c r="J181" s="181"/>
      <c r="K181" s="181"/>
      <c r="L181" s="110"/>
      <c r="M181" s="110"/>
      <c r="N181" s="141"/>
      <c r="O181" s="141"/>
      <c r="P181" s="110"/>
      <c r="Q181" s="110"/>
      <c r="R181" s="110"/>
      <c r="T181" s="99"/>
      <c r="V181" s="172"/>
      <c r="Y181" s="110"/>
      <c r="Z181" s="181"/>
      <c r="AA181" s="110"/>
      <c r="AB181" s="110"/>
      <c r="AC181" s="141"/>
      <c r="AD181" s="141"/>
      <c r="AE181" s="110"/>
      <c r="AF181" s="110"/>
      <c r="AG181" s="224"/>
      <c r="AH181" s="225"/>
      <c r="AI181" s="110"/>
      <c r="AJ181" s="110"/>
      <c r="AL181" s="110"/>
      <c r="AM181" s="226"/>
      <c r="AN181" s="226"/>
    </row>
    <row r="182" spans="3:40" x14ac:dyDescent="0.3">
      <c r="C182" s="99"/>
      <c r="F182" s="172"/>
      <c r="H182" s="172"/>
      <c r="I182" s="172"/>
      <c r="J182" s="181"/>
      <c r="K182" s="181"/>
      <c r="L182" s="110"/>
      <c r="M182" s="110"/>
      <c r="N182" s="141"/>
      <c r="O182" s="141"/>
      <c r="P182" s="110"/>
      <c r="Q182" s="110"/>
      <c r="R182" s="110"/>
      <c r="T182" s="99"/>
      <c r="V182" s="172"/>
      <c r="Y182" s="110"/>
      <c r="Z182" s="181"/>
      <c r="AA182" s="110"/>
      <c r="AB182" s="110"/>
      <c r="AC182" s="141"/>
      <c r="AD182" s="141"/>
      <c r="AE182" s="110"/>
      <c r="AF182" s="110"/>
      <c r="AH182" s="207"/>
      <c r="AI182" s="110"/>
      <c r="AJ182" s="110"/>
      <c r="AL182" s="110"/>
      <c r="AM182" s="141"/>
      <c r="AN182" s="141"/>
    </row>
    <row r="183" spans="3:40" x14ac:dyDescent="0.3">
      <c r="F183" s="110"/>
      <c r="H183" s="192"/>
      <c r="I183" s="192"/>
      <c r="J183" s="217"/>
      <c r="K183" s="217"/>
      <c r="L183" s="192"/>
      <c r="M183" s="192"/>
      <c r="N183" s="192"/>
      <c r="O183" s="192"/>
      <c r="P183" s="192"/>
      <c r="Q183" s="192"/>
      <c r="R183" s="192"/>
      <c r="V183" s="110"/>
      <c r="Y183" s="192"/>
      <c r="Z183" s="217"/>
      <c r="AA183" s="192"/>
      <c r="AB183" s="192"/>
      <c r="AC183" s="192"/>
      <c r="AD183" s="192"/>
      <c r="AE183" s="192"/>
      <c r="AF183" s="192"/>
      <c r="AI183" s="192"/>
      <c r="AJ183" s="192"/>
      <c r="AK183" s="194"/>
      <c r="AL183" s="192"/>
      <c r="AM183" s="141"/>
      <c r="AN183" s="141"/>
    </row>
    <row r="184" spans="3:40" x14ac:dyDescent="0.3">
      <c r="C184" s="99"/>
      <c r="F184" s="110"/>
      <c r="H184" s="110"/>
      <c r="I184" s="110"/>
      <c r="J184" s="217"/>
      <c r="K184" s="217"/>
      <c r="L184" s="110"/>
      <c r="M184" s="110"/>
      <c r="N184" s="141"/>
      <c r="O184" s="141"/>
      <c r="P184" s="110"/>
      <c r="Q184" s="110"/>
      <c r="R184" s="110"/>
      <c r="T184" s="99"/>
      <c r="V184" s="110"/>
      <c r="Y184" s="110"/>
      <c r="Z184" s="217"/>
      <c r="AA184" s="110"/>
      <c r="AB184" s="110"/>
      <c r="AC184" s="141"/>
      <c r="AD184" s="141"/>
      <c r="AE184" s="110"/>
      <c r="AF184" s="110"/>
      <c r="AH184" s="207"/>
      <c r="AI184" s="110"/>
      <c r="AJ184" s="110"/>
      <c r="AL184" s="110"/>
      <c r="AM184" s="141"/>
      <c r="AN184" s="141"/>
    </row>
    <row r="185" spans="3:40" x14ac:dyDescent="0.3">
      <c r="F185" s="110"/>
      <c r="H185" s="192"/>
      <c r="I185" s="192"/>
      <c r="J185" s="217"/>
      <c r="K185" s="217"/>
      <c r="L185" s="192"/>
      <c r="M185" s="192"/>
      <c r="N185" s="192"/>
      <c r="O185" s="192"/>
      <c r="P185" s="192"/>
      <c r="Q185" s="192"/>
      <c r="R185" s="192"/>
      <c r="V185" s="110"/>
      <c r="Y185" s="192"/>
      <c r="Z185" s="217"/>
      <c r="AA185" s="192"/>
      <c r="AB185" s="192"/>
      <c r="AC185" s="192"/>
      <c r="AD185" s="192"/>
      <c r="AE185" s="192"/>
      <c r="AF185" s="192"/>
      <c r="AI185" s="192"/>
      <c r="AJ185" s="192"/>
      <c r="AK185" s="194"/>
      <c r="AL185" s="192"/>
      <c r="AM185" s="141"/>
      <c r="AN185" s="141"/>
    </row>
    <row r="186" spans="3:40" x14ac:dyDescent="0.3">
      <c r="F186" s="110"/>
      <c r="H186" s="110"/>
      <c r="I186" s="110"/>
      <c r="J186" s="217"/>
      <c r="K186" s="217"/>
      <c r="L186" s="110"/>
      <c r="M186" s="110"/>
      <c r="N186" s="110"/>
      <c r="O186" s="110"/>
      <c r="P186" s="110"/>
      <c r="Q186" s="110"/>
      <c r="R186" s="110"/>
      <c r="V186" s="110"/>
      <c r="Y186" s="110"/>
      <c r="Z186" s="217"/>
      <c r="AA186" s="110"/>
      <c r="AB186" s="110"/>
      <c r="AC186" s="110"/>
      <c r="AD186" s="110"/>
      <c r="AE186" s="110"/>
      <c r="AF186" s="110"/>
      <c r="AH186" s="207"/>
      <c r="AI186" s="110"/>
      <c r="AJ186" s="110"/>
      <c r="AL186" s="110"/>
      <c r="AM186" s="141"/>
      <c r="AN186" s="141"/>
    </row>
    <row r="187" spans="3:40" x14ac:dyDescent="0.3">
      <c r="C187" s="99"/>
      <c r="F187" s="172"/>
      <c r="H187" s="172"/>
      <c r="I187" s="172"/>
      <c r="J187" s="222"/>
      <c r="K187" s="222"/>
      <c r="L187" s="110"/>
      <c r="M187" s="110"/>
      <c r="N187" s="141"/>
      <c r="O187" s="141"/>
      <c r="P187" s="172"/>
      <c r="Q187" s="172"/>
      <c r="R187" s="110"/>
      <c r="T187" s="99"/>
      <c r="V187" s="172"/>
      <c r="Y187" s="172"/>
      <c r="Z187" s="227"/>
      <c r="AA187" s="110"/>
      <c r="AB187" s="110"/>
      <c r="AC187" s="141"/>
      <c r="AD187" s="141"/>
      <c r="AE187" s="110"/>
      <c r="AF187" s="110"/>
      <c r="AH187" s="207"/>
      <c r="AI187" s="172"/>
      <c r="AJ187" s="172"/>
      <c r="AL187" s="110"/>
      <c r="AM187" s="141"/>
      <c r="AN187" s="141"/>
    </row>
    <row r="188" spans="3:40" x14ac:dyDescent="0.3">
      <c r="C188" s="99"/>
      <c r="F188" s="172"/>
      <c r="H188" s="172"/>
      <c r="I188" s="172"/>
      <c r="J188" s="222"/>
      <c r="K188" s="222"/>
      <c r="L188" s="110"/>
      <c r="M188" s="110"/>
      <c r="N188" s="141"/>
      <c r="O188" s="141"/>
      <c r="P188" s="172"/>
      <c r="Q188" s="172"/>
      <c r="R188" s="110"/>
      <c r="T188" s="99"/>
      <c r="V188" s="172"/>
      <c r="Y188" s="110"/>
      <c r="Z188" s="216"/>
      <c r="AA188" s="110"/>
      <c r="AB188" s="110"/>
      <c r="AC188" s="141"/>
      <c r="AD188" s="141"/>
      <c r="AE188" s="110"/>
      <c r="AF188" s="110"/>
      <c r="AH188" s="207"/>
      <c r="AI188" s="172"/>
      <c r="AJ188" s="172"/>
      <c r="AL188" s="110"/>
      <c r="AM188" s="141"/>
      <c r="AN188" s="141"/>
    </row>
    <row r="189" spans="3:40" x14ac:dyDescent="0.3">
      <c r="C189" s="99"/>
      <c r="F189" s="172"/>
      <c r="H189" s="172"/>
      <c r="I189" s="172"/>
      <c r="J189" s="222"/>
      <c r="K189" s="222"/>
      <c r="L189" s="110"/>
      <c r="M189" s="110"/>
      <c r="N189" s="141"/>
      <c r="O189" s="141"/>
      <c r="P189" s="172"/>
      <c r="Q189" s="172"/>
      <c r="R189" s="110"/>
      <c r="T189" s="99"/>
      <c r="V189" s="172"/>
      <c r="Y189" s="110"/>
      <c r="Z189" s="216"/>
      <c r="AA189" s="110"/>
      <c r="AB189" s="110"/>
      <c r="AC189" s="141"/>
      <c r="AD189" s="141"/>
      <c r="AE189" s="110"/>
      <c r="AF189" s="110"/>
      <c r="AH189" s="207"/>
      <c r="AI189" s="172"/>
      <c r="AJ189" s="172"/>
      <c r="AL189" s="110"/>
      <c r="AM189" s="141"/>
      <c r="AN189" s="141"/>
    </row>
    <row r="190" spans="3:40" x14ac:dyDescent="0.3">
      <c r="F190" s="192"/>
      <c r="H190" s="192"/>
      <c r="I190" s="192"/>
      <c r="J190" s="217"/>
      <c r="K190" s="217"/>
      <c r="L190" s="192"/>
      <c r="M190" s="192"/>
      <c r="N190" s="192"/>
      <c r="O190" s="192"/>
      <c r="P190" s="192"/>
      <c r="Q190" s="192"/>
      <c r="R190" s="192"/>
      <c r="V190" s="192"/>
      <c r="Y190" s="192"/>
      <c r="Z190" s="217"/>
      <c r="AA190" s="192"/>
      <c r="AB190" s="192"/>
      <c r="AC190" s="192"/>
      <c r="AD190" s="192"/>
      <c r="AE190" s="192"/>
      <c r="AF190" s="192"/>
      <c r="AI190" s="192"/>
      <c r="AJ190" s="192"/>
      <c r="AK190" s="194"/>
      <c r="AL190" s="192"/>
      <c r="AM190" s="141"/>
      <c r="AN190" s="141"/>
    </row>
    <row r="191" spans="3:40" x14ac:dyDescent="0.3">
      <c r="C191" s="99"/>
      <c r="F191" s="110"/>
      <c r="H191" s="110"/>
      <c r="I191" s="110"/>
      <c r="J191" s="198"/>
      <c r="K191" s="198"/>
      <c r="L191" s="110"/>
      <c r="M191" s="110"/>
      <c r="N191" s="141"/>
      <c r="O191" s="141"/>
      <c r="P191" s="110"/>
      <c r="Q191" s="110"/>
      <c r="R191" s="110"/>
      <c r="T191" s="99"/>
      <c r="V191" s="110"/>
      <c r="Y191" s="110"/>
      <c r="Z191" s="198"/>
      <c r="AA191" s="110"/>
      <c r="AB191" s="110"/>
      <c r="AC191" s="141"/>
      <c r="AD191" s="141"/>
      <c r="AE191" s="110"/>
      <c r="AF191" s="110"/>
      <c r="AH191" s="207"/>
      <c r="AI191" s="110"/>
      <c r="AJ191" s="110"/>
      <c r="AL191" s="110"/>
      <c r="AM191" s="141"/>
      <c r="AN191" s="141"/>
    </row>
    <row r="192" spans="3:40" x14ac:dyDescent="0.3">
      <c r="F192" s="192"/>
      <c r="H192" s="192"/>
      <c r="I192" s="192"/>
      <c r="J192" s="217"/>
      <c r="K192" s="217"/>
      <c r="L192" s="192"/>
      <c r="M192" s="192"/>
      <c r="N192" s="192"/>
      <c r="O192" s="192"/>
      <c r="P192" s="192"/>
      <c r="Q192" s="192"/>
      <c r="R192" s="192"/>
      <c r="V192" s="192"/>
      <c r="Y192" s="192"/>
      <c r="Z192" s="217"/>
      <c r="AA192" s="192"/>
      <c r="AB192" s="192"/>
      <c r="AC192" s="192"/>
      <c r="AD192" s="192"/>
      <c r="AE192" s="192"/>
      <c r="AF192" s="192"/>
      <c r="AI192" s="192"/>
      <c r="AJ192" s="192"/>
      <c r="AK192" s="194"/>
      <c r="AL192" s="192"/>
      <c r="AM192" s="141"/>
      <c r="AN192" s="141"/>
    </row>
    <row r="193" spans="1:40" x14ac:dyDescent="0.3">
      <c r="C193" s="99"/>
      <c r="F193" s="110"/>
      <c r="H193" s="110"/>
      <c r="I193" s="110"/>
      <c r="J193" s="198"/>
      <c r="K193" s="198"/>
      <c r="L193" s="110"/>
      <c r="M193" s="110"/>
      <c r="N193" s="141"/>
      <c r="O193" s="141"/>
      <c r="P193" s="110"/>
      <c r="Q193" s="110"/>
      <c r="R193" s="110"/>
      <c r="T193" s="99"/>
      <c r="V193" s="110"/>
      <c r="Y193" s="110"/>
      <c r="Z193" s="198"/>
      <c r="AA193" s="110"/>
      <c r="AB193" s="110"/>
      <c r="AC193" s="141"/>
      <c r="AD193" s="141"/>
      <c r="AE193" s="110"/>
      <c r="AF193" s="110"/>
      <c r="AH193" s="207"/>
      <c r="AI193" s="110"/>
      <c r="AJ193" s="110"/>
      <c r="AL193" s="110"/>
      <c r="AM193" s="141"/>
      <c r="AN193" s="141"/>
    </row>
    <row r="194" spans="1:40" x14ac:dyDescent="0.3">
      <c r="C194" s="99"/>
      <c r="F194" s="110"/>
      <c r="H194" s="110"/>
      <c r="I194" s="110"/>
      <c r="J194" s="198"/>
      <c r="K194" s="198"/>
      <c r="L194" s="110"/>
      <c r="M194" s="110"/>
      <c r="N194" s="141"/>
      <c r="O194" s="141"/>
      <c r="P194" s="110"/>
      <c r="Q194" s="110"/>
      <c r="R194" s="110"/>
      <c r="T194" s="99"/>
      <c r="V194" s="110"/>
      <c r="Y194" s="110"/>
      <c r="Z194" s="198"/>
      <c r="AA194" s="110"/>
      <c r="AB194" s="110"/>
      <c r="AC194" s="141"/>
      <c r="AD194" s="141"/>
      <c r="AE194" s="110"/>
      <c r="AF194" s="110"/>
      <c r="AH194" s="207"/>
      <c r="AI194" s="110"/>
      <c r="AJ194" s="110"/>
      <c r="AL194" s="110"/>
      <c r="AM194" s="141"/>
      <c r="AN194" s="141"/>
    </row>
    <row r="195" spans="1:40" x14ac:dyDescent="0.3">
      <c r="F195" s="192"/>
      <c r="H195" s="192"/>
      <c r="I195" s="192"/>
      <c r="J195" s="217"/>
      <c r="K195" s="217"/>
      <c r="L195" s="192"/>
      <c r="M195" s="192"/>
      <c r="N195" s="192"/>
      <c r="O195" s="192"/>
      <c r="P195" s="192"/>
      <c r="Q195" s="192"/>
      <c r="R195" s="192"/>
      <c r="V195" s="192"/>
      <c r="Y195" s="192"/>
      <c r="Z195" s="217"/>
      <c r="AA195" s="192"/>
      <c r="AB195" s="192"/>
      <c r="AC195" s="192"/>
      <c r="AD195" s="192"/>
      <c r="AE195" s="192"/>
      <c r="AF195" s="192"/>
      <c r="AI195" s="192"/>
      <c r="AJ195" s="192"/>
      <c r="AK195" s="194"/>
      <c r="AL195" s="192"/>
      <c r="AM195" s="110"/>
      <c r="AN195" s="110"/>
    </row>
    <row r="196" spans="1:40" x14ac:dyDescent="0.3">
      <c r="F196" s="110"/>
      <c r="H196" s="110"/>
      <c r="I196" s="110"/>
      <c r="J196" s="198"/>
      <c r="K196" s="198"/>
      <c r="L196" s="110"/>
      <c r="M196" s="110"/>
      <c r="N196" s="110"/>
      <c r="O196" s="110"/>
      <c r="P196" s="110"/>
      <c r="Q196" s="110"/>
      <c r="R196" s="110"/>
      <c r="V196" s="110"/>
      <c r="Y196" s="110"/>
      <c r="Z196" s="198"/>
      <c r="AA196" s="110"/>
      <c r="AB196" s="110"/>
      <c r="AC196" s="110"/>
      <c r="AD196" s="110"/>
    </row>
    <row r="197" spans="1:40" x14ac:dyDescent="0.3">
      <c r="C197" s="99"/>
      <c r="F197" s="110"/>
      <c r="H197" s="110"/>
      <c r="I197" s="110"/>
      <c r="J197" s="198"/>
      <c r="K197" s="198"/>
      <c r="L197" s="110"/>
      <c r="M197" s="110"/>
      <c r="N197" s="110"/>
      <c r="O197" s="110"/>
      <c r="P197" s="110"/>
      <c r="Q197" s="110"/>
      <c r="R197" s="110"/>
      <c r="T197" s="99"/>
      <c r="V197" s="110"/>
      <c r="Y197" s="110"/>
      <c r="Z197" s="198"/>
      <c r="AA197" s="110"/>
      <c r="AB197" s="110"/>
      <c r="AC197" s="110"/>
      <c r="AD197" s="110"/>
    </row>
    <row r="198" spans="1:40" x14ac:dyDescent="0.3">
      <c r="A198" s="99"/>
    </row>
    <row r="200" spans="1:40" x14ac:dyDescent="0.3">
      <c r="H200" s="99"/>
      <c r="I200" s="99"/>
      <c r="Y200" s="99"/>
    </row>
    <row r="202" spans="1:40" x14ac:dyDescent="0.3">
      <c r="L202" s="99"/>
      <c r="M202" s="99"/>
      <c r="AA202" s="99"/>
      <c r="AB202" s="99"/>
    </row>
    <row r="203" spans="1:40" x14ac:dyDescent="0.3">
      <c r="R203" s="99"/>
      <c r="AK203" s="190"/>
      <c r="AL203" s="99"/>
    </row>
    <row r="204" spans="1:40" x14ac:dyDescent="0.3">
      <c r="R204" s="99"/>
      <c r="AK204" s="190"/>
      <c r="AL204" s="99"/>
    </row>
    <row r="205" spans="1:40" x14ac:dyDescent="0.3">
      <c r="A205" s="99"/>
      <c r="R205" s="99"/>
      <c r="AK205" s="190"/>
      <c r="AL205" s="99"/>
    </row>
    <row r="206" spans="1:40" x14ac:dyDescent="0.3">
      <c r="L206" s="99"/>
      <c r="M206" s="99"/>
      <c r="AA206" s="99"/>
      <c r="AB206" s="99"/>
    </row>
    <row r="207" spans="1:40" x14ac:dyDescent="0.3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91"/>
      <c r="AH207" s="101"/>
      <c r="AI207" s="101"/>
      <c r="AJ207" s="101"/>
      <c r="AK207" s="191"/>
      <c r="AL207" s="101"/>
      <c r="AM207" s="101"/>
      <c r="AN207" s="101"/>
    </row>
    <row r="208" spans="1:40" x14ac:dyDescent="0.3">
      <c r="L208" s="102"/>
      <c r="M208" s="102"/>
      <c r="N208" s="102"/>
      <c r="O208" s="102"/>
      <c r="R208" s="102"/>
      <c r="AA208" s="102"/>
      <c r="AB208" s="102"/>
      <c r="AC208" s="102"/>
      <c r="AD208" s="102"/>
      <c r="AE208" s="102"/>
      <c r="AF208" s="102"/>
      <c r="AG208" s="151"/>
      <c r="AH208" s="102"/>
      <c r="AK208" s="151"/>
      <c r="AL208" s="102"/>
      <c r="AM208" s="102"/>
      <c r="AN208" s="102"/>
    </row>
    <row r="209" spans="1:40" x14ac:dyDescent="0.3">
      <c r="L209" s="102"/>
      <c r="M209" s="102"/>
      <c r="N209" s="102"/>
      <c r="O209" s="102"/>
      <c r="R209" s="102"/>
      <c r="Z209" s="102"/>
      <c r="AA209" s="102"/>
      <c r="AB209" s="102"/>
      <c r="AC209" s="102"/>
      <c r="AD209" s="102"/>
      <c r="AE209" s="102"/>
      <c r="AF209" s="102"/>
      <c r="AG209" s="151"/>
      <c r="AH209" s="102"/>
      <c r="AK209" s="151"/>
      <c r="AL209" s="102"/>
      <c r="AM209" s="102"/>
      <c r="AN209" s="102"/>
    </row>
    <row r="210" spans="1:40" x14ac:dyDescent="0.3">
      <c r="A210" s="102"/>
      <c r="C210" s="102"/>
      <c r="D210" s="102"/>
      <c r="E210" s="102"/>
      <c r="F210" s="102"/>
      <c r="J210" s="102"/>
      <c r="K210" s="102"/>
      <c r="L210" s="102"/>
      <c r="M210" s="102"/>
      <c r="N210" s="102"/>
      <c r="O210" s="102"/>
      <c r="P210" s="102"/>
      <c r="Q210" s="102"/>
      <c r="R210" s="102"/>
      <c r="T210" s="102"/>
      <c r="U210" s="102"/>
      <c r="V210" s="102"/>
      <c r="Z210" s="102"/>
      <c r="AA210" s="102"/>
      <c r="AB210" s="102"/>
      <c r="AC210" s="102"/>
      <c r="AD210" s="102"/>
      <c r="AE210" s="102"/>
      <c r="AF210" s="102"/>
      <c r="AG210" s="151"/>
      <c r="AH210" s="102"/>
      <c r="AI210" s="102"/>
      <c r="AJ210" s="102"/>
      <c r="AK210" s="151"/>
      <c r="AL210" s="102"/>
      <c r="AM210" s="102"/>
      <c r="AN210" s="102"/>
    </row>
    <row r="211" spans="1:40" x14ac:dyDescent="0.3">
      <c r="A211" s="102"/>
      <c r="C211" s="102"/>
      <c r="D211" s="102"/>
      <c r="E211" s="102"/>
      <c r="F211" s="102"/>
      <c r="H211" s="102"/>
      <c r="I211" s="102"/>
      <c r="J211" s="102"/>
      <c r="K211" s="102"/>
      <c r="L211" s="102"/>
      <c r="M211" s="102"/>
      <c r="N211" s="102"/>
      <c r="O211" s="102"/>
      <c r="P211" s="102"/>
      <c r="Q211" s="102"/>
      <c r="R211" s="102"/>
      <c r="T211" s="102"/>
      <c r="U211" s="102"/>
      <c r="V211" s="102"/>
      <c r="Y211" s="102"/>
      <c r="Z211" s="102"/>
      <c r="AA211" s="102"/>
      <c r="AB211" s="102"/>
      <c r="AC211" s="102"/>
      <c r="AD211" s="102"/>
      <c r="AE211" s="102"/>
      <c r="AF211" s="102"/>
      <c r="AG211" s="151"/>
      <c r="AH211" s="102"/>
      <c r="AI211" s="102"/>
      <c r="AJ211" s="102"/>
      <c r="AK211" s="151"/>
      <c r="AL211" s="102"/>
      <c r="AM211" s="102"/>
      <c r="AN211" s="102"/>
    </row>
    <row r="212" spans="1:40" x14ac:dyDescent="0.3">
      <c r="C212" s="102"/>
      <c r="D212" s="102"/>
      <c r="E212" s="102"/>
      <c r="F212" s="102"/>
      <c r="H212" s="102"/>
      <c r="I212" s="102"/>
      <c r="J212" s="102"/>
      <c r="K212" s="102"/>
      <c r="L212" s="102"/>
      <c r="M212" s="102"/>
      <c r="N212" s="102"/>
      <c r="O212" s="102"/>
      <c r="P212" s="102"/>
      <c r="Q212" s="102"/>
      <c r="R212" s="102"/>
      <c r="T212" s="102"/>
      <c r="U212" s="102"/>
      <c r="V212" s="102"/>
      <c r="Y212" s="102"/>
      <c r="Z212" s="102"/>
      <c r="AA212" s="102"/>
      <c r="AB212" s="102"/>
      <c r="AC212" s="102"/>
      <c r="AD212" s="102"/>
      <c r="AE212" s="102"/>
      <c r="AF212" s="102"/>
      <c r="AG212" s="151"/>
      <c r="AH212" s="102"/>
      <c r="AI212" s="102"/>
      <c r="AJ212" s="102"/>
      <c r="AK212" s="151"/>
      <c r="AL212" s="102"/>
      <c r="AM212" s="102"/>
      <c r="AN212" s="102"/>
    </row>
    <row r="213" spans="1:40" x14ac:dyDescent="0.3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91"/>
      <c r="AH213" s="101"/>
      <c r="AI213" s="101"/>
      <c r="AJ213" s="101"/>
      <c r="AK213" s="191"/>
      <c r="AL213" s="101"/>
      <c r="AM213" s="101"/>
      <c r="AN213" s="101"/>
    </row>
    <row r="214" spans="1:40" x14ac:dyDescent="0.3">
      <c r="H214" s="102"/>
      <c r="I214" s="102"/>
      <c r="J214" s="102"/>
      <c r="K214" s="102"/>
      <c r="L214" s="102"/>
      <c r="M214" s="102"/>
      <c r="N214" s="102"/>
      <c r="O214" s="102"/>
      <c r="P214" s="102"/>
      <c r="Q214" s="102"/>
      <c r="R214" s="102"/>
      <c r="Y214" s="102"/>
      <c r="Z214" s="102"/>
      <c r="AA214" s="102"/>
      <c r="AB214" s="102"/>
      <c r="AC214" s="102"/>
      <c r="AD214" s="102"/>
      <c r="AE214" s="102"/>
      <c r="AF214" s="102"/>
      <c r="AG214" s="151"/>
      <c r="AH214" s="102"/>
      <c r="AI214" s="102"/>
      <c r="AJ214" s="102"/>
      <c r="AK214" s="151"/>
      <c r="AL214" s="102"/>
      <c r="AM214" s="102"/>
      <c r="AN214" s="102"/>
    </row>
    <row r="215" spans="1:40" x14ac:dyDescent="0.3">
      <c r="C215" s="99"/>
      <c r="D215" s="99"/>
      <c r="E215" s="99"/>
      <c r="T215" s="99"/>
      <c r="U215" s="99"/>
    </row>
    <row r="217" spans="1:40" x14ac:dyDescent="0.3">
      <c r="C217" s="99"/>
      <c r="F217" s="172"/>
      <c r="H217" s="220"/>
      <c r="I217" s="220"/>
      <c r="J217" s="181"/>
      <c r="K217" s="181"/>
      <c r="L217" s="110"/>
      <c r="M217" s="110"/>
      <c r="R217" s="110"/>
      <c r="T217" s="99"/>
      <c r="V217" s="110"/>
      <c r="Z217" s="181"/>
      <c r="AA217" s="110"/>
      <c r="AB217" s="110"/>
      <c r="AE217" s="110"/>
      <c r="AF217" s="110"/>
      <c r="AG217" s="224"/>
      <c r="AH217" s="225"/>
      <c r="AI217" s="110"/>
      <c r="AJ217" s="110"/>
      <c r="AL217" s="110"/>
      <c r="AM217" s="226"/>
      <c r="AN217" s="226"/>
    </row>
    <row r="218" spans="1:40" x14ac:dyDescent="0.3">
      <c r="F218" s="172"/>
      <c r="H218" s="220"/>
      <c r="I218" s="220"/>
      <c r="J218" s="220"/>
      <c r="K218" s="220"/>
      <c r="R218" s="110"/>
      <c r="V218" s="110"/>
      <c r="Z218" s="220"/>
    </row>
    <row r="219" spans="1:40" x14ac:dyDescent="0.3">
      <c r="C219" s="99"/>
      <c r="F219" s="172"/>
      <c r="H219" s="172"/>
      <c r="I219" s="172"/>
      <c r="J219" s="222"/>
      <c r="K219" s="222"/>
      <c r="L219" s="110"/>
      <c r="M219" s="110"/>
      <c r="N219" s="141"/>
      <c r="O219" s="141"/>
      <c r="P219" s="172"/>
      <c r="Q219" s="172"/>
      <c r="R219" s="110"/>
      <c r="T219" s="99"/>
      <c r="V219" s="110"/>
      <c r="Y219" s="110"/>
      <c r="Z219" s="216"/>
      <c r="AA219" s="110"/>
      <c r="AB219" s="110"/>
      <c r="AC219" s="141"/>
      <c r="AD219" s="141"/>
      <c r="AE219" s="110"/>
      <c r="AF219" s="110"/>
      <c r="AH219" s="207"/>
      <c r="AI219" s="172"/>
      <c r="AJ219" s="172"/>
      <c r="AL219" s="110"/>
      <c r="AM219" s="141"/>
      <c r="AN219" s="141"/>
    </row>
    <row r="220" spans="1:40" x14ac:dyDescent="0.3">
      <c r="F220" s="192"/>
      <c r="H220" s="192"/>
      <c r="I220" s="192"/>
      <c r="J220" s="217"/>
      <c r="K220" s="217"/>
      <c r="L220" s="192"/>
      <c r="M220" s="192"/>
      <c r="N220" s="192"/>
      <c r="O220" s="192"/>
      <c r="P220" s="192"/>
      <c r="Q220" s="192"/>
      <c r="R220" s="192"/>
      <c r="V220" s="192"/>
      <c r="Y220" s="192"/>
      <c r="Z220" s="217"/>
      <c r="AA220" s="192"/>
      <c r="AB220" s="192"/>
      <c r="AC220" s="192"/>
      <c r="AD220" s="192"/>
      <c r="AE220" s="192"/>
      <c r="AF220" s="192"/>
      <c r="AI220" s="192"/>
      <c r="AJ220" s="192"/>
      <c r="AK220" s="194"/>
      <c r="AL220" s="192"/>
    </row>
    <row r="221" spans="1:40" x14ac:dyDescent="0.3">
      <c r="D221" s="99"/>
      <c r="E221" s="99"/>
      <c r="F221" s="110"/>
      <c r="H221" s="110"/>
      <c r="I221" s="110"/>
      <c r="J221" s="198"/>
      <c r="K221" s="198"/>
      <c r="L221" s="110"/>
      <c r="M221" s="110"/>
      <c r="N221" s="141"/>
      <c r="O221" s="141"/>
      <c r="P221" s="110"/>
      <c r="Q221" s="110"/>
      <c r="R221" s="110"/>
      <c r="U221" s="99"/>
      <c r="V221" s="110"/>
      <c r="Y221" s="110"/>
      <c r="Z221" s="198"/>
      <c r="AA221" s="110"/>
      <c r="AB221" s="110"/>
      <c r="AC221" s="141"/>
      <c r="AD221" s="141"/>
      <c r="AE221" s="110"/>
      <c r="AF221" s="110"/>
      <c r="AH221" s="207"/>
      <c r="AI221" s="110"/>
      <c r="AJ221" s="110"/>
      <c r="AL221" s="110"/>
      <c r="AM221" s="141"/>
      <c r="AN221" s="141"/>
    </row>
    <row r="222" spans="1:40" x14ac:dyDescent="0.3">
      <c r="F222" s="192"/>
      <c r="H222" s="192"/>
      <c r="I222" s="192"/>
      <c r="J222" s="217"/>
      <c r="K222" s="217"/>
      <c r="L222" s="192"/>
      <c r="M222" s="192"/>
      <c r="N222" s="192"/>
      <c r="O222" s="192"/>
      <c r="P222" s="192"/>
      <c r="Q222" s="192"/>
      <c r="R222" s="192"/>
      <c r="V222" s="192"/>
      <c r="Y222" s="192"/>
      <c r="Z222" s="217"/>
      <c r="AA222" s="192"/>
      <c r="AB222" s="192"/>
      <c r="AC222" s="192"/>
      <c r="AD222" s="192"/>
      <c r="AE222" s="192"/>
      <c r="AF222" s="192"/>
      <c r="AI222" s="192"/>
      <c r="AJ222" s="192"/>
      <c r="AK222" s="194"/>
      <c r="AL222" s="192"/>
    </row>
    <row r="223" spans="1:40" x14ac:dyDescent="0.3">
      <c r="R223" s="110"/>
    </row>
    <row r="224" spans="1:40" x14ac:dyDescent="0.3">
      <c r="R224" s="110"/>
    </row>
    <row r="225" spans="1:40" x14ac:dyDescent="0.3">
      <c r="R225" s="110"/>
    </row>
    <row r="226" spans="1:40" x14ac:dyDescent="0.3">
      <c r="C226" s="99"/>
      <c r="D226" s="99"/>
      <c r="E226" s="99"/>
      <c r="H226" s="110"/>
      <c r="I226" s="110"/>
      <c r="J226" s="198"/>
      <c r="K226" s="198"/>
      <c r="L226" s="110"/>
      <c r="M226" s="110"/>
      <c r="N226" s="141"/>
      <c r="O226" s="141"/>
      <c r="P226" s="110"/>
      <c r="Q226" s="110"/>
      <c r="R226" s="110"/>
      <c r="T226" s="99"/>
      <c r="U226" s="99"/>
      <c r="Y226" s="110"/>
      <c r="Z226" s="198"/>
      <c r="AA226" s="110"/>
      <c r="AB226" s="110"/>
      <c r="AC226" s="141"/>
      <c r="AD226" s="141"/>
    </row>
    <row r="227" spans="1:40" x14ac:dyDescent="0.3">
      <c r="H227" s="110"/>
      <c r="I227" s="110"/>
      <c r="J227" s="198"/>
      <c r="K227" s="198"/>
      <c r="L227" s="110"/>
      <c r="M227" s="110"/>
      <c r="N227" s="141"/>
      <c r="O227" s="141"/>
      <c r="P227" s="110"/>
      <c r="Q227" s="110"/>
      <c r="R227" s="110"/>
      <c r="Y227" s="110"/>
      <c r="Z227" s="198"/>
      <c r="AA227" s="110"/>
      <c r="AB227" s="110"/>
      <c r="AC227" s="141"/>
      <c r="AD227" s="141"/>
    </row>
    <row r="228" spans="1:40" x14ac:dyDescent="0.3">
      <c r="C228" s="99"/>
      <c r="F228" s="172"/>
      <c r="H228" s="172"/>
      <c r="I228" s="172"/>
      <c r="J228" s="208"/>
      <c r="K228" s="208"/>
      <c r="L228" s="172"/>
      <c r="M228" s="172"/>
      <c r="N228" s="141"/>
      <c r="O228" s="141"/>
      <c r="P228" s="110"/>
      <c r="Q228" s="110"/>
      <c r="R228" s="110"/>
      <c r="T228" s="99"/>
      <c r="V228" s="110"/>
      <c r="Y228" s="110"/>
      <c r="Z228" s="208"/>
      <c r="AA228" s="110"/>
      <c r="AB228" s="110"/>
      <c r="AC228" s="141"/>
      <c r="AD228" s="141"/>
      <c r="AE228" s="110"/>
      <c r="AF228" s="110"/>
      <c r="AH228" s="207"/>
      <c r="AI228" s="110"/>
      <c r="AJ228" s="110"/>
      <c r="AL228" s="110"/>
      <c r="AM228" s="141"/>
      <c r="AN228" s="141"/>
    </row>
    <row r="229" spans="1:40" x14ac:dyDescent="0.3">
      <c r="F229" s="172"/>
      <c r="H229" s="220"/>
      <c r="I229" s="220"/>
      <c r="J229" s="220"/>
      <c r="K229" s="220"/>
      <c r="R229" s="110"/>
      <c r="V229" s="110"/>
      <c r="Z229" s="220"/>
    </row>
    <row r="230" spans="1:40" x14ac:dyDescent="0.3">
      <c r="C230" s="99"/>
      <c r="F230" s="172"/>
      <c r="H230" s="172"/>
      <c r="I230" s="172"/>
      <c r="J230" s="181"/>
      <c r="K230" s="181"/>
      <c r="L230" s="110"/>
      <c r="M230" s="110"/>
      <c r="N230" s="141"/>
      <c r="O230" s="141"/>
      <c r="P230" s="110"/>
      <c r="Q230" s="110"/>
      <c r="R230" s="110"/>
      <c r="T230" s="99"/>
      <c r="V230" s="110"/>
      <c r="Y230" s="110"/>
      <c r="Z230" s="181"/>
      <c r="AA230" s="110"/>
      <c r="AB230" s="110"/>
      <c r="AC230" s="141"/>
      <c r="AD230" s="141"/>
      <c r="AE230" s="110"/>
      <c r="AF230" s="110"/>
      <c r="AH230" s="207"/>
      <c r="AI230" s="110"/>
      <c r="AJ230" s="110"/>
      <c r="AL230" s="110"/>
      <c r="AM230" s="141"/>
      <c r="AN230" s="141"/>
    </row>
    <row r="231" spans="1:40" x14ac:dyDescent="0.3">
      <c r="F231" s="172"/>
      <c r="H231" s="220"/>
      <c r="I231" s="220"/>
      <c r="J231" s="220"/>
      <c r="K231" s="220"/>
      <c r="R231" s="110"/>
      <c r="V231" s="110"/>
      <c r="Z231" s="220"/>
    </row>
    <row r="232" spans="1:40" x14ac:dyDescent="0.3">
      <c r="C232" s="99"/>
      <c r="F232" s="172"/>
      <c r="H232" s="172"/>
      <c r="I232" s="172"/>
      <c r="J232" s="222"/>
      <c r="K232" s="222"/>
      <c r="L232" s="110"/>
      <c r="M232" s="110"/>
      <c r="N232" s="141"/>
      <c r="O232" s="141"/>
      <c r="P232" s="110"/>
      <c r="Q232" s="110"/>
      <c r="R232" s="110"/>
      <c r="T232" s="99"/>
      <c r="V232" s="110"/>
      <c r="Y232" s="110"/>
      <c r="Z232" s="216"/>
      <c r="AA232" s="110"/>
      <c r="AB232" s="110"/>
      <c r="AC232" s="141"/>
      <c r="AD232" s="141"/>
      <c r="AE232" s="110"/>
      <c r="AF232" s="110"/>
      <c r="AH232" s="207"/>
      <c r="AI232" s="110"/>
      <c r="AJ232" s="110"/>
      <c r="AL232" s="110"/>
      <c r="AM232" s="141"/>
      <c r="AN232" s="141"/>
    </row>
    <row r="233" spans="1:40" x14ac:dyDescent="0.3">
      <c r="F233" s="192"/>
      <c r="H233" s="192"/>
      <c r="I233" s="192"/>
      <c r="J233" s="217"/>
      <c r="K233" s="217"/>
      <c r="L233" s="192"/>
      <c r="M233" s="192"/>
      <c r="N233" s="192"/>
      <c r="O233" s="192"/>
      <c r="P233" s="192"/>
      <c r="Q233" s="192"/>
      <c r="R233" s="192"/>
      <c r="S233" s="110"/>
      <c r="V233" s="192"/>
      <c r="Y233" s="192"/>
      <c r="Z233" s="217"/>
      <c r="AA233" s="192"/>
      <c r="AB233" s="192"/>
      <c r="AC233" s="192"/>
      <c r="AD233" s="192"/>
      <c r="AE233" s="192"/>
      <c r="AF233" s="192"/>
      <c r="AI233" s="192"/>
      <c r="AJ233" s="192"/>
      <c r="AK233" s="194"/>
      <c r="AL233" s="192"/>
    </row>
    <row r="234" spans="1:40" x14ac:dyDescent="0.3">
      <c r="D234" s="99"/>
      <c r="E234" s="99"/>
      <c r="F234" s="110"/>
      <c r="H234" s="110"/>
      <c r="I234" s="110"/>
      <c r="J234" s="198"/>
      <c r="K234" s="198"/>
      <c r="L234" s="110"/>
      <c r="M234" s="110"/>
      <c r="N234" s="141"/>
      <c r="O234" s="141"/>
      <c r="P234" s="172"/>
      <c r="Q234" s="172"/>
      <c r="R234" s="110"/>
      <c r="S234" s="110"/>
      <c r="U234" s="99"/>
      <c r="V234" s="110"/>
      <c r="Y234" s="110"/>
      <c r="Z234" s="198"/>
      <c r="AA234" s="110"/>
      <c r="AB234" s="110"/>
      <c r="AC234" s="141"/>
      <c r="AD234" s="141"/>
      <c r="AE234" s="110"/>
      <c r="AF234" s="110"/>
      <c r="AH234" s="207"/>
      <c r="AI234" s="172"/>
      <c r="AJ234" s="172"/>
      <c r="AL234" s="110"/>
      <c r="AM234" s="141"/>
      <c r="AN234" s="141"/>
    </row>
    <row r="235" spans="1:40" x14ac:dyDescent="0.3">
      <c r="F235" s="192"/>
      <c r="H235" s="192"/>
      <c r="I235" s="192"/>
      <c r="J235" s="217"/>
      <c r="K235" s="217"/>
      <c r="L235" s="192"/>
      <c r="M235" s="192"/>
      <c r="N235" s="192"/>
      <c r="O235" s="192"/>
      <c r="P235" s="192"/>
      <c r="Q235" s="192"/>
      <c r="R235" s="192"/>
      <c r="S235" s="110"/>
      <c r="V235" s="192"/>
      <c r="Y235" s="192"/>
      <c r="Z235" s="217"/>
      <c r="AA235" s="192"/>
      <c r="AB235" s="192"/>
      <c r="AC235" s="192"/>
      <c r="AD235" s="192"/>
      <c r="AE235" s="192"/>
      <c r="AF235" s="192"/>
      <c r="AI235" s="192"/>
      <c r="AJ235" s="192"/>
      <c r="AK235" s="194"/>
      <c r="AL235" s="192"/>
    </row>
    <row r="236" spans="1:40" x14ac:dyDescent="0.3">
      <c r="R236" s="110"/>
    </row>
    <row r="237" spans="1:40" x14ac:dyDescent="0.3">
      <c r="F237" s="110"/>
      <c r="H237" s="110"/>
      <c r="I237" s="110"/>
      <c r="J237" s="198"/>
      <c r="K237" s="198"/>
      <c r="L237" s="110"/>
      <c r="M237" s="110"/>
      <c r="N237" s="110"/>
      <c r="O237" s="110"/>
      <c r="P237" s="110"/>
      <c r="Q237" s="110"/>
      <c r="R237" s="110"/>
      <c r="V237" s="110"/>
      <c r="Y237" s="110"/>
      <c r="Z237" s="198"/>
      <c r="AA237" s="110"/>
      <c r="AB237" s="110"/>
      <c r="AC237" s="110"/>
      <c r="AD237" s="110"/>
    </row>
    <row r="238" spans="1:40" x14ac:dyDescent="0.3">
      <c r="C238" s="99"/>
      <c r="F238" s="110"/>
      <c r="H238" s="110"/>
      <c r="I238" s="110"/>
      <c r="J238" s="198"/>
      <c r="K238" s="198"/>
      <c r="L238" s="110"/>
      <c r="M238" s="110"/>
      <c r="N238" s="110"/>
      <c r="O238" s="110"/>
      <c r="P238" s="110"/>
      <c r="Q238" s="110"/>
      <c r="R238" s="110"/>
      <c r="T238" s="99"/>
      <c r="V238" s="110"/>
      <c r="Y238" s="110"/>
      <c r="Z238" s="198"/>
      <c r="AA238" s="110"/>
      <c r="AB238" s="110"/>
      <c r="AC238" s="110"/>
      <c r="AD238" s="110"/>
    </row>
    <row r="239" spans="1:40" x14ac:dyDescent="0.3">
      <c r="C239" s="99"/>
      <c r="T239" s="99"/>
    </row>
    <row r="240" spans="1:40" x14ac:dyDescent="0.3">
      <c r="A240" s="99"/>
    </row>
    <row r="243" spans="1:40" x14ac:dyDescent="0.3">
      <c r="H243" s="99"/>
      <c r="I243" s="99"/>
      <c r="Y243" s="99"/>
    </row>
    <row r="245" spans="1:40" x14ac:dyDescent="0.3">
      <c r="L245" s="99"/>
      <c r="M245" s="99"/>
      <c r="AA245" s="99"/>
      <c r="AB245" s="99"/>
    </row>
    <row r="246" spans="1:40" x14ac:dyDescent="0.3">
      <c r="R246" s="99"/>
      <c r="AK246" s="190"/>
      <c r="AL246" s="99"/>
    </row>
    <row r="247" spans="1:40" x14ac:dyDescent="0.3">
      <c r="R247" s="99"/>
      <c r="AK247" s="190"/>
      <c r="AL247" s="99"/>
    </row>
    <row r="248" spans="1:40" x14ac:dyDescent="0.3">
      <c r="A248" s="99"/>
      <c r="R248" s="99"/>
      <c r="AK248" s="190"/>
      <c r="AL248" s="99"/>
    </row>
    <row r="249" spans="1:40" x14ac:dyDescent="0.3">
      <c r="L249" s="99"/>
      <c r="M249" s="99"/>
      <c r="AA249" s="99"/>
      <c r="AB249" s="99"/>
    </row>
    <row r="250" spans="1:40" x14ac:dyDescent="0.3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91"/>
      <c r="AH250" s="101"/>
      <c r="AI250" s="101"/>
      <c r="AJ250" s="101"/>
      <c r="AK250" s="191"/>
      <c r="AL250" s="101"/>
      <c r="AM250" s="101"/>
      <c r="AN250" s="101"/>
    </row>
    <row r="251" spans="1:40" x14ac:dyDescent="0.3">
      <c r="L251" s="102"/>
      <c r="M251" s="102"/>
      <c r="N251" s="102"/>
      <c r="O251" s="102"/>
      <c r="R251" s="102"/>
      <c r="AA251" s="102"/>
      <c r="AB251" s="102"/>
      <c r="AC251" s="102"/>
      <c r="AD251" s="102"/>
      <c r="AE251" s="102"/>
      <c r="AF251" s="102"/>
      <c r="AG251" s="151"/>
      <c r="AH251" s="102"/>
      <c r="AK251" s="151"/>
      <c r="AL251" s="102"/>
      <c r="AM251" s="102"/>
      <c r="AN251" s="102"/>
    </row>
    <row r="252" spans="1:40" x14ac:dyDescent="0.3">
      <c r="L252" s="102"/>
      <c r="M252" s="102"/>
      <c r="N252" s="102"/>
      <c r="O252" s="102"/>
      <c r="R252" s="102"/>
      <c r="Z252" s="102"/>
      <c r="AA252" s="102"/>
      <c r="AB252" s="102"/>
      <c r="AC252" s="102"/>
      <c r="AD252" s="102"/>
      <c r="AE252" s="102"/>
      <c r="AF252" s="102"/>
      <c r="AG252" s="151"/>
      <c r="AH252" s="102"/>
      <c r="AK252" s="151"/>
      <c r="AL252" s="102"/>
      <c r="AM252" s="102"/>
      <c r="AN252" s="102"/>
    </row>
    <row r="253" spans="1:40" x14ac:dyDescent="0.3">
      <c r="A253" s="102"/>
      <c r="C253" s="102"/>
      <c r="D253" s="102"/>
      <c r="E253" s="102"/>
      <c r="F253" s="102"/>
      <c r="J253" s="102"/>
      <c r="K253" s="102"/>
      <c r="L253" s="102"/>
      <c r="M253" s="102"/>
      <c r="N253" s="102"/>
      <c r="O253" s="102"/>
      <c r="P253" s="102"/>
      <c r="Q253" s="102"/>
      <c r="R253" s="102"/>
      <c r="T253" s="102"/>
      <c r="U253" s="102"/>
      <c r="V253" s="102"/>
      <c r="Z253" s="102"/>
      <c r="AA253" s="102"/>
      <c r="AB253" s="102"/>
      <c r="AC253" s="102"/>
      <c r="AD253" s="102"/>
      <c r="AE253" s="102"/>
      <c r="AF253" s="102"/>
      <c r="AG253" s="151"/>
      <c r="AH253" s="102"/>
      <c r="AI253" s="102"/>
      <c r="AJ253" s="102"/>
      <c r="AK253" s="151"/>
      <c r="AL253" s="102"/>
      <c r="AM253" s="102"/>
      <c r="AN253" s="102"/>
    </row>
    <row r="254" spans="1:40" x14ac:dyDescent="0.3">
      <c r="A254" s="102"/>
      <c r="C254" s="102"/>
      <c r="D254" s="102"/>
      <c r="E254" s="102"/>
      <c r="F254" s="102"/>
      <c r="H254" s="102"/>
      <c r="I254" s="102"/>
      <c r="J254" s="102"/>
      <c r="K254" s="102"/>
      <c r="L254" s="102"/>
      <c r="M254" s="102"/>
      <c r="N254" s="102"/>
      <c r="O254" s="102"/>
      <c r="P254" s="102"/>
      <c r="Q254" s="102"/>
      <c r="R254" s="102"/>
      <c r="T254" s="102"/>
      <c r="U254" s="102"/>
      <c r="V254" s="102"/>
      <c r="Y254" s="102"/>
      <c r="Z254" s="102"/>
      <c r="AA254" s="102"/>
      <c r="AB254" s="102"/>
      <c r="AC254" s="102"/>
      <c r="AD254" s="102"/>
      <c r="AE254" s="102"/>
      <c r="AF254" s="102"/>
      <c r="AG254" s="151"/>
      <c r="AH254" s="102"/>
      <c r="AI254" s="102"/>
      <c r="AJ254" s="102"/>
      <c r="AK254" s="151"/>
      <c r="AL254" s="102"/>
      <c r="AM254" s="102"/>
      <c r="AN254" s="102"/>
    </row>
    <row r="255" spans="1:40" x14ac:dyDescent="0.3">
      <c r="C255" s="102"/>
      <c r="D255" s="102"/>
      <c r="E255" s="102"/>
      <c r="F255" s="102"/>
      <c r="H255" s="102"/>
      <c r="I255" s="102"/>
      <c r="J255" s="102"/>
      <c r="K255" s="102"/>
      <c r="L255" s="102"/>
      <c r="M255" s="102"/>
      <c r="N255" s="102"/>
      <c r="O255" s="102"/>
      <c r="P255" s="102"/>
      <c r="Q255" s="102"/>
      <c r="R255" s="102"/>
      <c r="T255" s="102"/>
      <c r="U255" s="102"/>
      <c r="V255" s="102"/>
      <c r="Y255" s="102"/>
      <c r="Z255" s="102"/>
      <c r="AA255" s="102"/>
      <c r="AB255" s="102"/>
      <c r="AC255" s="102"/>
      <c r="AD255" s="102"/>
      <c r="AE255" s="102"/>
      <c r="AF255" s="102"/>
      <c r="AG255" s="151"/>
      <c r="AH255" s="102"/>
      <c r="AI255" s="102"/>
      <c r="AJ255" s="102"/>
      <c r="AK255" s="151"/>
      <c r="AL255" s="102"/>
      <c r="AM255" s="102"/>
      <c r="AN255" s="102"/>
    </row>
    <row r="256" spans="1:40" x14ac:dyDescent="0.3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91"/>
      <c r="AH256" s="101"/>
      <c r="AI256" s="101"/>
      <c r="AJ256" s="101"/>
      <c r="AK256" s="191"/>
      <c r="AL256" s="101"/>
      <c r="AM256" s="101"/>
      <c r="AN256" s="101"/>
    </row>
    <row r="257" spans="3:40" x14ac:dyDescent="0.3">
      <c r="H257" s="102"/>
      <c r="I257" s="102"/>
      <c r="J257" s="102"/>
      <c r="K257" s="102"/>
      <c r="L257" s="102"/>
      <c r="M257" s="102"/>
      <c r="N257" s="102"/>
      <c r="O257" s="102"/>
      <c r="P257" s="102"/>
      <c r="Q257" s="102"/>
      <c r="R257" s="102"/>
      <c r="Y257" s="102"/>
      <c r="Z257" s="102"/>
      <c r="AA257" s="102"/>
      <c r="AB257" s="102"/>
      <c r="AC257" s="102"/>
      <c r="AD257" s="102"/>
      <c r="AE257" s="102"/>
      <c r="AF257" s="102"/>
      <c r="AG257" s="151"/>
      <c r="AH257" s="102"/>
      <c r="AI257" s="102"/>
      <c r="AJ257" s="102"/>
      <c r="AK257" s="151"/>
      <c r="AL257" s="102"/>
      <c r="AM257" s="102"/>
      <c r="AN257" s="102"/>
    </row>
    <row r="258" spans="3:40" x14ac:dyDescent="0.3">
      <c r="C258" s="99"/>
      <c r="D258" s="99"/>
      <c r="E258" s="99"/>
      <c r="T258" s="99"/>
      <c r="U258" s="99"/>
    </row>
    <row r="259" spans="3:40" x14ac:dyDescent="0.3">
      <c r="D259" s="99"/>
      <c r="E259" s="99"/>
      <c r="U259" s="99"/>
    </row>
    <row r="261" spans="3:40" x14ac:dyDescent="0.3">
      <c r="C261" s="99"/>
      <c r="F261" s="110"/>
      <c r="J261" s="209"/>
      <c r="K261" s="209"/>
      <c r="L261" s="110"/>
      <c r="M261" s="110"/>
      <c r="R261" s="110"/>
      <c r="T261" s="99"/>
      <c r="V261" s="110"/>
      <c r="Z261" s="209"/>
      <c r="AA261" s="110"/>
      <c r="AB261" s="110"/>
      <c r="AL261" s="110"/>
    </row>
    <row r="262" spans="3:40" x14ac:dyDescent="0.3">
      <c r="F262" s="110"/>
      <c r="R262" s="110"/>
      <c r="V262" s="110"/>
      <c r="AL262" s="110"/>
    </row>
    <row r="263" spans="3:40" x14ac:dyDescent="0.3">
      <c r="C263" s="99"/>
      <c r="F263" s="172"/>
      <c r="H263" s="172"/>
      <c r="I263" s="172"/>
      <c r="J263" s="181"/>
      <c r="K263" s="181"/>
      <c r="L263" s="110"/>
      <c r="M263" s="110"/>
      <c r="N263" s="141"/>
      <c r="O263" s="141"/>
      <c r="P263" s="110"/>
      <c r="Q263" s="110"/>
      <c r="R263" s="110"/>
      <c r="T263" s="99"/>
      <c r="V263" s="110"/>
      <c r="Y263" s="110"/>
      <c r="Z263" s="181"/>
      <c r="AA263" s="110"/>
      <c r="AB263" s="110"/>
      <c r="AC263" s="141"/>
      <c r="AD263" s="141"/>
      <c r="AE263" s="110"/>
      <c r="AF263" s="110"/>
      <c r="AH263" s="207"/>
      <c r="AI263" s="110"/>
      <c r="AJ263" s="110"/>
      <c r="AL263" s="110"/>
      <c r="AM263" s="141"/>
      <c r="AN263" s="141"/>
    </row>
    <row r="264" spans="3:40" x14ac:dyDescent="0.3">
      <c r="C264" s="99"/>
      <c r="F264" s="172"/>
      <c r="H264" s="220"/>
      <c r="I264" s="220"/>
      <c r="J264" s="181"/>
      <c r="K264" s="181"/>
      <c r="L264" s="110"/>
      <c r="M264" s="110"/>
      <c r="N264" s="141"/>
      <c r="O264" s="141"/>
      <c r="P264" s="110"/>
      <c r="Q264" s="110"/>
      <c r="R264" s="110"/>
      <c r="T264" s="99"/>
      <c r="V264" s="110"/>
      <c r="Y264" s="110"/>
      <c r="Z264" s="181"/>
      <c r="AA264" s="110"/>
      <c r="AB264" s="110"/>
      <c r="AC264" s="141"/>
      <c r="AD264" s="141"/>
      <c r="AE264" s="110"/>
      <c r="AF264" s="110"/>
      <c r="AH264" s="207"/>
      <c r="AI264" s="110"/>
      <c r="AJ264" s="110"/>
      <c r="AL264" s="110"/>
      <c r="AM264" s="141"/>
      <c r="AN264" s="141"/>
    </row>
    <row r="265" spans="3:40" x14ac:dyDescent="0.3">
      <c r="F265" s="192"/>
      <c r="H265" s="110"/>
      <c r="I265" s="110"/>
      <c r="J265" s="217"/>
      <c r="K265" s="217"/>
      <c r="L265" s="192"/>
      <c r="M265" s="192"/>
      <c r="N265" s="192"/>
      <c r="O265" s="192"/>
      <c r="P265" s="192"/>
      <c r="Q265" s="192"/>
      <c r="R265" s="192"/>
      <c r="V265" s="192"/>
      <c r="Y265" s="110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</row>
    <row r="266" spans="3:40" x14ac:dyDescent="0.3">
      <c r="C266" s="99"/>
      <c r="F266" s="110"/>
      <c r="H266" s="110"/>
      <c r="I266" s="110"/>
      <c r="J266" s="198"/>
      <c r="K266" s="198"/>
      <c r="L266" s="110"/>
      <c r="M266" s="110"/>
      <c r="N266" s="141"/>
      <c r="O266" s="141"/>
      <c r="P266" s="110"/>
      <c r="Q266" s="110"/>
      <c r="R266" s="110"/>
      <c r="T266" s="99"/>
      <c r="V266" s="110"/>
      <c r="Y266" s="110"/>
      <c r="Z266" s="198"/>
      <c r="AA266" s="110"/>
      <c r="AB266" s="110"/>
      <c r="AC266" s="141"/>
      <c r="AD266" s="141"/>
      <c r="AE266" s="110"/>
      <c r="AF266" s="110"/>
      <c r="AH266" s="207"/>
      <c r="AI266" s="110"/>
      <c r="AJ266" s="110"/>
      <c r="AL266" s="110"/>
      <c r="AM266" s="141"/>
      <c r="AN266" s="141"/>
    </row>
    <row r="267" spans="3:40" x14ac:dyDescent="0.3">
      <c r="F267" s="192"/>
      <c r="H267" s="110"/>
      <c r="I267" s="110"/>
      <c r="J267" s="217"/>
      <c r="K267" s="217"/>
      <c r="L267" s="192"/>
      <c r="M267" s="192"/>
      <c r="N267" s="192"/>
      <c r="O267" s="192"/>
      <c r="P267" s="192"/>
      <c r="Q267" s="192"/>
      <c r="R267" s="192"/>
      <c r="V267" s="192"/>
      <c r="Y267" s="110"/>
      <c r="Z267" s="217"/>
      <c r="AA267" s="192"/>
      <c r="AB267" s="192"/>
      <c r="AC267" s="192"/>
      <c r="AD267" s="192"/>
      <c r="AE267" s="192"/>
      <c r="AF267" s="192"/>
      <c r="AI267" s="192"/>
      <c r="AJ267" s="192"/>
      <c r="AK267" s="194"/>
      <c r="AL267" s="192"/>
    </row>
    <row r="268" spans="3:40" x14ac:dyDescent="0.3">
      <c r="F268" s="110"/>
      <c r="R268" s="110"/>
      <c r="V268" s="110"/>
      <c r="AL268" s="110"/>
    </row>
    <row r="269" spans="3:40" x14ac:dyDescent="0.3">
      <c r="C269" s="99"/>
      <c r="F269" s="110"/>
      <c r="R269" s="110"/>
      <c r="T269" s="99"/>
      <c r="V269" s="110"/>
      <c r="AL269" s="110"/>
    </row>
    <row r="270" spans="3:40" x14ac:dyDescent="0.3">
      <c r="F270" s="110"/>
      <c r="R270" s="110"/>
      <c r="V270" s="110"/>
      <c r="AL270" s="110"/>
    </row>
    <row r="271" spans="3:40" x14ac:dyDescent="0.3">
      <c r="C271" s="99"/>
      <c r="F271" s="110"/>
      <c r="H271" s="172"/>
      <c r="I271" s="172"/>
      <c r="J271" s="222"/>
      <c r="K271" s="222"/>
      <c r="L271" s="110"/>
      <c r="M271" s="110"/>
      <c r="N271" s="141"/>
      <c r="O271" s="141"/>
      <c r="P271" s="172"/>
      <c r="Q271" s="172"/>
      <c r="R271" s="110"/>
      <c r="T271" s="99"/>
      <c r="V271" s="110"/>
      <c r="Y271" s="110"/>
      <c r="Z271" s="216"/>
      <c r="AA271" s="110"/>
      <c r="AB271" s="110"/>
      <c r="AC271" s="141"/>
      <c r="AD271" s="141"/>
      <c r="AE271" s="110"/>
      <c r="AF271" s="110"/>
      <c r="AH271" s="207"/>
      <c r="AI271" s="172"/>
      <c r="AJ271" s="172"/>
      <c r="AL271" s="110"/>
      <c r="AM271" s="141"/>
      <c r="AN271" s="141"/>
    </row>
    <row r="272" spans="3:40" x14ac:dyDescent="0.3">
      <c r="F272" s="192"/>
      <c r="H272" s="192"/>
      <c r="I272" s="192"/>
      <c r="J272" s="217"/>
      <c r="K272" s="217"/>
      <c r="L272" s="192"/>
      <c r="M272" s="192"/>
      <c r="N272" s="192"/>
      <c r="O272" s="192"/>
      <c r="P272" s="192"/>
      <c r="Q272" s="192"/>
      <c r="R272" s="192"/>
      <c r="V272" s="192"/>
      <c r="Y272" s="192"/>
      <c r="Z272" s="217"/>
      <c r="AA272" s="192"/>
      <c r="AB272" s="192"/>
      <c r="AC272" s="192"/>
      <c r="AD272" s="192"/>
      <c r="AE272" s="192"/>
      <c r="AF272" s="192"/>
      <c r="AI272" s="192"/>
      <c r="AJ272" s="192"/>
      <c r="AK272" s="194"/>
      <c r="AL272" s="192"/>
    </row>
    <row r="274" spans="1:40" x14ac:dyDescent="0.3">
      <c r="C274" s="99"/>
      <c r="F274" s="110"/>
      <c r="H274" s="110"/>
      <c r="I274" s="110"/>
      <c r="J274" s="209"/>
      <c r="K274" s="209"/>
      <c r="L274" s="110"/>
      <c r="M274" s="110"/>
      <c r="N274" s="141"/>
      <c r="O274" s="141"/>
      <c r="P274" s="110"/>
      <c r="Q274" s="110"/>
      <c r="R274" s="110"/>
      <c r="T274" s="99"/>
      <c r="V274" s="110"/>
      <c r="Y274" s="110"/>
      <c r="Z274" s="209"/>
      <c r="AA274" s="110"/>
      <c r="AB274" s="110"/>
      <c r="AC274" s="141"/>
      <c r="AD274" s="141"/>
      <c r="AE274" s="110"/>
      <c r="AF274" s="110"/>
      <c r="AH274" s="207"/>
      <c r="AI274" s="110"/>
      <c r="AJ274" s="110"/>
      <c r="AL274" s="110"/>
      <c r="AM274" s="141"/>
      <c r="AN274" s="141"/>
    </row>
    <row r="275" spans="1:40" x14ac:dyDescent="0.3">
      <c r="F275" s="192"/>
      <c r="H275" s="192"/>
      <c r="I275" s="192"/>
      <c r="J275" s="217"/>
      <c r="K275" s="217"/>
      <c r="L275" s="192"/>
      <c r="M275" s="192"/>
      <c r="N275" s="192"/>
      <c r="O275" s="192"/>
      <c r="P275" s="192"/>
      <c r="Q275" s="192"/>
      <c r="R275" s="192"/>
      <c r="V275" s="192"/>
      <c r="Y275" s="192"/>
      <c r="Z275" s="217"/>
      <c r="AA275" s="192"/>
      <c r="AB275" s="192"/>
      <c r="AC275" s="192"/>
      <c r="AD275" s="192"/>
      <c r="AE275" s="192"/>
      <c r="AF275" s="192"/>
      <c r="AI275" s="192"/>
      <c r="AJ275" s="192"/>
      <c r="AK275" s="194"/>
      <c r="AL275" s="192"/>
    </row>
    <row r="276" spans="1:40" x14ac:dyDescent="0.3">
      <c r="R276" s="110"/>
      <c r="AH276" s="110"/>
    </row>
    <row r="277" spans="1:40" x14ac:dyDescent="0.3">
      <c r="F277" s="110"/>
      <c r="H277" s="110"/>
      <c r="I277" s="110"/>
      <c r="J277" s="198"/>
      <c r="K277" s="198"/>
      <c r="L277" s="110"/>
      <c r="M277" s="110"/>
      <c r="N277" s="110"/>
      <c r="O277" s="110"/>
      <c r="P277" s="110"/>
      <c r="Q277" s="110"/>
      <c r="R277" s="110"/>
      <c r="V277" s="110"/>
      <c r="Y277" s="110"/>
      <c r="Z277" s="198"/>
      <c r="AA277" s="110"/>
      <c r="AB277" s="110"/>
      <c r="AC277" s="110"/>
      <c r="AD277" s="110"/>
      <c r="AE277" s="110"/>
      <c r="AF277" s="110"/>
      <c r="AH277" s="110"/>
    </row>
    <row r="278" spans="1:40" x14ac:dyDescent="0.3">
      <c r="C278" s="99"/>
      <c r="F278" s="110"/>
      <c r="H278" s="110"/>
      <c r="I278" s="110"/>
      <c r="J278" s="198"/>
      <c r="K278" s="198"/>
      <c r="L278" s="110"/>
      <c r="M278" s="110"/>
      <c r="N278" s="110"/>
      <c r="O278" s="110"/>
      <c r="P278" s="110"/>
      <c r="Q278" s="110"/>
      <c r="R278" s="110"/>
      <c r="T278" s="99"/>
      <c r="V278" s="110"/>
      <c r="Y278" s="110"/>
      <c r="Z278" s="198"/>
      <c r="AA278" s="110"/>
      <c r="AB278" s="110"/>
      <c r="AC278" s="110"/>
      <c r="AD278" s="110"/>
      <c r="AE278" s="110"/>
      <c r="AF278" s="110"/>
      <c r="AH278" s="110"/>
    </row>
    <row r="279" spans="1:40" x14ac:dyDescent="0.3">
      <c r="A279" s="99"/>
    </row>
    <row r="282" spans="1:40" x14ac:dyDescent="0.3">
      <c r="H282" s="99"/>
      <c r="I282" s="99"/>
      <c r="Y282" s="99"/>
    </row>
    <row r="284" spans="1:40" x14ac:dyDescent="0.3">
      <c r="L284" s="99"/>
      <c r="M284" s="99"/>
      <c r="AA284" s="99"/>
      <c r="AB284" s="99"/>
    </row>
    <row r="285" spans="1:40" x14ac:dyDescent="0.3">
      <c r="R285" s="99"/>
      <c r="AK285" s="190"/>
      <c r="AL285" s="99"/>
    </row>
    <row r="286" spans="1:40" x14ac:dyDescent="0.3">
      <c r="R286" s="99"/>
      <c r="AK286" s="190"/>
      <c r="AL286" s="99"/>
    </row>
    <row r="287" spans="1:40" x14ac:dyDescent="0.3">
      <c r="A287" s="99"/>
      <c r="R287" s="99"/>
      <c r="AK287" s="190"/>
      <c r="AL287" s="99"/>
    </row>
    <row r="288" spans="1:40" x14ac:dyDescent="0.3">
      <c r="L288" s="99"/>
      <c r="M288" s="99"/>
      <c r="AA288" s="99"/>
      <c r="AB288" s="99"/>
    </row>
    <row r="289" spans="1:40" x14ac:dyDescent="0.3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91"/>
      <c r="AH289" s="101"/>
      <c r="AI289" s="101"/>
      <c r="AJ289" s="101"/>
      <c r="AK289" s="191"/>
      <c r="AL289" s="101"/>
      <c r="AM289" s="101"/>
      <c r="AN289" s="101"/>
    </row>
    <row r="290" spans="1:40" x14ac:dyDescent="0.3">
      <c r="L290" s="102"/>
      <c r="M290" s="102"/>
      <c r="N290" s="102"/>
      <c r="O290" s="102"/>
      <c r="R290" s="102"/>
      <c r="AA290" s="102"/>
      <c r="AB290" s="102"/>
      <c r="AC290" s="102"/>
      <c r="AD290" s="102"/>
      <c r="AE290" s="102"/>
      <c r="AF290" s="102"/>
      <c r="AG290" s="151"/>
      <c r="AH290" s="102"/>
      <c r="AK290" s="151"/>
      <c r="AL290" s="102"/>
      <c r="AM290" s="102"/>
      <c r="AN290" s="102"/>
    </row>
    <row r="291" spans="1:40" x14ac:dyDescent="0.3">
      <c r="L291" s="102"/>
      <c r="M291" s="102"/>
      <c r="N291" s="102"/>
      <c r="O291" s="102"/>
      <c r="R291" s="102"/>
      <c r="Z291" s="102"/>
      <c r="AA291" s="102"/>
      <c r="AB291" s="102"/>
      <c r="AC291" s="102"/>
      <c r="AD291" s="102"/>
      <c r="AE291" s="102"/>
      <c r="AF291" s="102"/>
      <c r="AG291" s="151"/>
      <c r="AH291" s="102"/>
      <c r="AK291" s="151"/>
      <c r="AL291" s="102"/>
      <c r="AM291" s="102"/>
      <c r="AN291" s="102"/>
    </row>
    <row r="292" spans="1:40" x14ac:dyDescent="0.3">
      <c r="A292" s="102"/>
      <c r="C292" s="102"/>
      <c r="D292" s="102"/>
      <c r="E292" s="102"/>
      <c r="F292" s="102"/>
      <c r="J292" s="102"/>
      <c r="K292" s="102"/>
      <c r="L292" s="102"/>
      <c r="M292" s="102"/>
      <c r="N292" s="102"/>
      <c r="O292" s="102"/>
      <c r="P292" s="102"/>
      <c r="Q292" s="102"/>
      <c r="R292" s="102"/>
      <c r="T292" s="102"/>
      <c r="U292" s="102"/>
      <c r="V292" s="102"/>
      <c r="Z292" s="102"/>
      <c r="AA292" s="102"/>
      <c r="AB292" s="102"/>
      <c r="AC292" s="102"/>
      <c r="AD292" s="102"/>
      <c r="AE292" s="102"/>
      <c r="AF292" s="102"/>
      <c r="AG292" s="151"/>
      <c r="AH292" s="102"/>
      <c r="AI292" s="102"/>
      <c r="AJ292" s="102"/>
      <c r="AK292" s="151"/>
      <c r="AL292" s="102"/>
      <c r="AM292" s="102"/>
      <c r="AN292" s="102"/>
    </row>
    <row r="293" spans="1:40" x14ac:dyDescent="0.3">
      <c r="A293" s="102"/>
      <c r="C293" s="102"/>
      <c r="D293" s="102"/>
      <c r="E293" s="102"/>
      <c r="F293" s="102"/>
      <c r="H293" s="102"/>
      <c r="I293" s="102"/>
      <c r="J293" s="102"/>
      <c r="K293" s="102"/>
      <c r="L293" s="102"/>
      <c r="M293" s="102"/>
      <c r="N293" s="102"/>
      <c r="O293" s="102"/>
      <c r="P293" s="102"/>
      <c r="Q293" s="102"/>
      <c r="R293" s="102"/>
      <c r="T293" s="102"/>
      <c r="U293" s="102"/>
      <c r="V293" s="102"/>
      <c r="Y293" s="102"/>
      <c r="Z293" s="102"/>
      <c r="AA293" s="102"/>
      <c r="AB293" s="102"/>
      <c r="AC293" s="102"/>
      <c r="AD293" s="102"/>
      <c r="AE293" s="102"/>
      <c r="AF293" s="102"/>
      <c r="AG293" s="151"/>
      <c r="AH293" s="102"/>
      <c r="AI293" s="102"/>
      <c r="AJ293" s="102"/>
      <c r="AK293" s="151"/>
      <c r="AL293" s="102"/>
      <c r="AM293" s="102"/>
      <c r="AN293" s="102"/>
    </row>
    <row r="294" spans="1:40" x14ac:dyDescent="0.3">
      <c r="C294" s="102"/>
      <c r="D294" s="102"/>
      <c r="E294" s="102"/>
      <c r="F294" s="102"/>
      <c r="H294" s="102"/>
      <c r="I294" s="102"/>
      <c r="J294" s="102"/>
      <c r="K294" s="102"/>
      <c r="L294" s="102"/>
      <c r="M294" s="102"/>
      <c r="N294" s="102"/>
      <c r="O294" s="102"/>
      <c r="P294" s="102"/>
      <c r="Q294" s="102"/>
      <c r="R294" s="102"/>
      <c r="T294" s="102"/>
      <c r="U294" s="102"/>
      <c r="V294" s="102"/>
      <c r="Y294" s="102"/>
      <c r="Z294" s="102"/>
      <c r="AA294" s="102"/>
      <c r="AB294" s="102"/>
      <c r="AC294" s="102"/>
      <c r="AD294" s="102"/>
      <c r="AE294" s="102"/>
      <c r="AF294" s="102"/>
      <c r="AG294" s="151"/>
      <c r="AH294" s="102"/>
      <c r="AI294" s="102"/>
      <c r="AJ294" s="102"/>
      <c r="AK294" s="151"/>
      <c r="AL294" s="102"/>
      <c r="AM294" s="102"/>
      <c r="AN294" s="102"/>
    </row>
    <row r="295" spans="1:40" x14ac:dyDescent="0.3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91"/>
      <c r="AH295" s="101"/>
      <c r="AI295" s="101"/>
      <c r="AJ295" s="101"/>
      <c r="AK295" s="191"/>
      <c r="AL295" s="101"/>
      <c r="AM295" s="101"/>
      <c r="AN295" s="101"/>
    </row>
    <row r="296" spans="1:40" x14ac:dyDescent="0.3"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Y296" s="102"/>
      <c r="Z296" s="102"/>
      <c r="AA296" s="102"/>
      <c r="AB296" s="102"/>
      <c r="AC296" s="102"/>
      <c r="AD296" s="102"/>
      <c r="AE296" s="102"/>
      <c r="AF296" s="102"/>
      <c r="AG296" s="151"/>
      <c r="AH296" s="102"/>
      <c r="AI296" s="102"/>
      <c r="AJ296" s="102"/>
      <c r="AK296" s="151"/>
      <c r="AL296" s="102"/>
      <c r="AM296" s="102"/>
      <c r="AN296" s="102"/>
    </row>
    <row r="297" spans="1:40" x14ac:dyDescent="0.3">
      <c r="C297" s="99"/>
      <c r="D297" s="99"/>
      <c r="E297" s="99"/>
      <c r="T297" s="99"/>
      <c r="U297" s="99"/>
    </row>
    <row r="298" spans="1:40" x14ac:dyDescent="0.3">
      <c r="C298" s="99"/>
      <c r="T298" s="99"/>
    </row>
    <row r="300" spans="1:40" x14ac:dyDescent="0.3">
      <c r="C300" s="99"/>
      <c r="F300" s="172"/>
      <c r="H300" s="172"/>
      <c r="I300" s="172"/>
      <c r="J300" s="181"/>
      <c r="K300" s="181"/>
      <c r="L300" s="110"/>
      <c r="M300" s="110"/>
      <c r="N300" s="141"/>
      <c r="O300" s="141"/>
      <c r="R300" s="110"/>
      <c r="T300" s="99"/>
      <c r="V300" s="110"/>
      <c r="Y300" s="172"/>
      <c r="Z300" s="181"/>
      <c r="AA300" s="110"/>
      <c r="AB300" s="110"/>
      <c r="AC300" s="141"/>
      <c r="AD300" s="141"/>
      <c r="AE300" s="110"/>
      <c r="AF300" s="110"/>
      <c r="AH300" s="207"/>
      <c r="AL300" s="110"/>
      <c r="AM300" s="141"/>
      <c r="AN300" s="141"/>
    </row>
    <row r="301" spans="1:40" x14ac:dyDescent="0.3">
      <c r="F301" s="192"/>
      <c r="H301" s="110"/>
      <c r="I301" s="110"/>
      <c r="J301" s="217"/>
      <c r="K301" s="217"/>
      <c r="L301" s="192"/>
      <c r="M301" s="192"/>
      <c r="N301" s="192"/>
      <c r="O301" s="192"/>
      <c r="P301" s="192"/>
      <c r="Q301" s="192"/>
      <c r="R301" s="192"/>
      <c r="V301" s="192"/>
      <c r="Y301" s="110"/>
      <c r="Z301" s="217"/>
      <c r="AA301" s="192"/>
      <c r="AB301" s="192"/>
      <c r="AC301" s="192"/>
      <c r="AD301" s="192"/>
      <c r="AE301" s="192"/>
      <c r="AF301" s="192"/>
      <c r="AI301" s="192"/>
      <c r="AJ301" s="192"/>
      <c r="AK301" s="194"/>
      <c r="AL301" s="192"/>
      <c r="AM301" s="141"/>
      <c r="AN301" s="141"/>
    </row>
    <row r="302" spans="1:40" x14ac:dyDescent="0.3">
      <c r="C302" s="99"/>
      <c r="F302" s="172"/>
      <c r="H302" s="172"/>
      <c r="I302" s="172"/>
      <c r="J302" s="227"/>
      <c r="K302" s="227"/>
      <c r="L302" s="110"/>
      <c r="M302" s="110"/>
      <c r="N302" s="141"/>
      <c r="O302" s="141"/>
      <c r="P302" s="110"/>
      <c r="Q302" s="110"/>
      <c r="R302" s="110"/>
      <c r="S302" s="110"/>
      <c r="T302" s="99"/>
      <c r="V302" s="172"/>
      <c r="Y302" s="172"/>
      <c r="Z302" s="227"/>
      <c r="AA302" s="110"/>
      <c r="AB302" s="110"/>
      <c r="AC302" s="141"/>
      <c r="AD302" s="141"/>
      <c r="AE302" s="110"/>
      <c r="AF302" s="110"/>
      <c r="AH302" s="141"/>
      <c r="AI302" s="110"/>
      <c r="AJ302" s="110"/>
      <c r="AL302" s="110"/>
      <c r="AM302" s="141"/>
      <c r="AN302" s="141"/>
    </row>
    <row r="303" spans="1:40" x14ac:dyDescent="0.3">
      <c r="C303" s="99"/>
      <c r="F303" s="172"/>
      <c r="H303" s="172"/>
      <c r="I303" s="172"/>
      <c r="J303" s="181"/>
      <c r="K303" s="181"/>
      <c r="L303" s="110"/>
      <c r="M303" s="110"/>
      <c r="N303" s="141"/>
      <c r="O303" s="141"/>
      <c r="P303" s="110"/>
      <c r="Q303" s="110"/>
      <c r="R303" s="110"/>
      <c r="T303" s="99"/>
      <c r="V303" s="172"/>
      <c r="Y303" s="110"/>
      <c r="Z303" s="181"/>
      <c r="AA303" s="110"/>
      <c r="AB303" s="110"/>
      <c r="AC303" s="141"/>
      <c r="AD303" s="141"/>
      <c r="AE303" s="110"/>
      <c r="AF303" s="110"/>
      <c r="AH303" s="207"/>
      <c r="AI303" s="110"/>
      <c r="AJ303" s="110"/>
      <c r="AL303" s="110"/>
      <c r="AM303" s="141"/>
      <c r="AN303" s="141"/>
    </row>
    <row r="304" spans="1:40" x14ac:dyDescent="0.3">
      <c r="C304" s="99"/>
      <c r="F304" s="172"/>
      <c r="H304" s="172"/>
      <c r="I304" s="172"/>
      <c r="J304" s="181"/>
      <c r="K304" s="181"/>
      <c r="L304" s="110"/>
      <c r="M304" s="110"/>
      <c r="N304" s="141"/>
      <c r="O304" s="141"/>
      <c r="P304" s="110"/>
      <c r="Q304" s="110"/>
      <c r="R304" s="110"/>
      <c r="T304" s="99"/>
      <c r="V304" s="172"/>
      <c r="Y304" s="110"/>
      <c r="Z304" s="181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3:40" x14ac:dyDescent="0.3">
      <c r="F305" s="192"/>
      <c r="H305" s="192"/>
      <c r="I305" s="192"/>
      <c r="J305" s="217"/>
      <c r="K305" s="217"/>
      <c r="L305" s="192"/>
      <c r="M305" s="192"/>
      <c r="N305" s="192"/>
      <c r="O305" s="192"/>
      <c r="P305" s="192"/>
      <c r="Q305" s="192"/>
      <c r="R305" s="192"/>
      <c r="V305" s="192"/>
      <c r="Y305" s="192"/>
      <c r="Z305" s="217"/>
      <c r="AA305" s="192"/>
      <c r="AB305" s="192"/>
      <c r="AC305" s="192"/>
      <c r="AD305" s="192"/>
      <c r="AE305" s="192"/>
      <c r="AF305" s="192"/>
      <c r="AI305" s="192"/>
      <c r="AJ305" s="192"/>
      <c r="AK305" s="194"/>
      <c r="AL305" s="192"/>
      <c r="AM305" s="141"/>
      <c r="AN305" s="141"/>
    </row>
    <row r="306" spans="3:40" x14ac:dyDescent="0.3">
      <c r="C306" s="99"/>
      <c r="F306" s="110"/>
      <c r="H306" s="110"/>
      <c r="I306" s="110"/>
      <c r="J306" s="198"/>
      <c r="K306" s="198"/>
      <c r="L306" s="110"/>
      <c r="M306" s="110"/>
      <c r="N306" s="141"/>
      <c r="O306" s="141"/>
      <c r="P306" s="110"/>
      <c r="Q306" s="110"/>
      <c r="R306" s="110"/>
      <c r="T306" s="99"/>
      <c r="V306" s="110"/>
      <c r="Y306" s="110"/>
      <c r="Z306" s="198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3:40" x14ac:dyDescent="0.3">
      <c r="F307" s="192"/>
      <c r="H307" s="192"/>
      <c r="I307" s="192"/>
      <c r="J307" s="217"/>
      <c r="K307" s="217"/>
      <c r="L307" s="192"/>
      <c r="M307" s="192"/>
      <c r="N307" s="192"/>
      <c r="O307" s="192"/>
      <c r="P307" s="192"/>
      <c r="Q307" s="192"/>
      <c r="R307" s="192"/>
      <c r="V307" s="192"/>
      <c r="Y307" s="192"/>
      <c r="Z307" s="217"/>
      <c r="AA307" s="192"/>
      <c r="AB307" s="192"/>
      <c r="AC307" s="192"/>
      <c r="AD307" s="192"/>
      <c r="AE307" s="192"/>
      <c r="AF307" s="192"/>
      <c r="AI307" s="192"/>
      <c r="AJ307" s="192"/>
      <c r="AK307" s="194"/>
      <c r="AL307" s="192"/>
      <c r="AM307" s="141"/>
      <c r="AN307" s="141"/>
    </row>
    <row r="308" spans="3:40" x14ac:dyDescent="0.3">
      <c r="C308" s="99"/>
      <c r="F308" s="110"/>
      <c r="H308" s="110"/>
      <c r="I308" s="110"/>
      <c r="J308" s="198"/>
      <c r="K308" s="198"/>
      <c r="L308" s="110"/>
      <c r="M308" s="110"/>
      <c r="N308" s="141"/>
      <c r="O308" s="141"/>
      <c r="P308" s="110"/>
      <c r="Q308" s="110"/>
      <c r="R308" s="110"/>
      <c r="T308" s="99"/>
      <c r="V308" s="110"/>
      <c r="Y308" s="110"/>
      <c r="Z308" s="19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3:40" x14ac:dyDescent="0.3">
      <c r="C309" s="99"/>
      <c r="F309" s="110"/>
      <c r="H309" s="172"/>
      <c r="I309" s="172"/>
      <c r="J309" s="222"/>
      <c r="K309" s="222"/>
      <c r="L309" s="110"/>
      <c r="M309" s="110"/>
      <c r="N309" s="141"/>
      <c r="O309" s="141"/>
      <c r="P309" s="110"/>
      <c r="Q309" s="110"/>
      <c r="R309" s="110"/>
      <c r="T309" s="99"/>
      <c r="V309" s="110"/>
      <c r="Y309" s="110"/>
      <c r="Z309" s="216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F310" s="192"/>
      <c r="H310" s="192"/>
      <c r="I310" s="192"/>
      <c r="J310" s="217"/>
      <c r="K310" s="217"/>
      <c r="L310" s="192"/>
      <c r="M310" s="192"/>
      <c r="N310" s="192"/>
      <c r="O310" s="192"/>
      <c r="P310" s="192"/>
      <c r="Q310" s="192"/>
      <c r="R310" s="192"/>
      <c r="V310" s="192"/>
      <c r="Y310" s="192"/>
      <c r="Z310" s="217"/>
      <c r="AA310" s="192"/>
      <c r="AB310" s="192"/>
      <c r="AC310" s="192"/>
      <c r="AD310" s="192"/>
      <c r="AE310" s="192"/>
      <c r="AF310" s="192"/>
      <c r="AI310" s="192"/>
      <c r="AJ310" s="192"/>
      <c r="AK310" s="194"/>
      <c r="AL310" s="192"/>
      <c r="AM310" s="141"/>
      <c r="AN310" s="141"/>
    </row>
    <row r="312" spans="3:40" x14ac:dyDescent="0.3">
      <c r="C312" s="99"/>
      <c r="F312" s="110"/>
      <c r="H312" s="110"/>
      <c r="I312" s="110"/>
      <c r="J312" s="217"/>
      <c r="K312" s="217"/>
      <c r="L312" s="110"/>
      <c r="M312" s="110"/>
      <c r="N312" s="141"/>
      <c r="O312" s="141"/>
      <c r="P312" s="110"/>
      <c r="Q312" s="110"/>
      <c r="R312" s="110"/>
      <c r="S312" s="110"/>
      <c r="T312" s="99"/>
      <c r="V312" s="110"/>
      <c r="Y312" s="110"/>
      <c r="Z312" s="217"/>
      <c r="AA312" s="110"/>
      <c r="AB312" s="110"/>
      <c r="AC312" s="141"/>
      <c r="AD312" s="141"/>
      <c r="AE312" s="110"/>
      <c r="AF312" s="110"/>
      <c r="AH312" s="141"/>
      <c r="AI312" s="110"/>
      <c r="AJ312" s="110"/>
      <c r="AL312" s="110"/>
      <c r="AM312" s="141"/>
      <c r="AN312" s="141"/>
    </row>
    <row r="313" spans="3:40" x14ac:dyDescent="0.3">
      <c r="F313" s="192"/>
      <c r="H313" s="192"/>
      <c r="I313" s="192"/>
      <c r="J313" s="217"/>
      <c r="K313" s="217"/>
      <c r="L313" s="192"/>
      <c r="M313" s="192"/>
      <c r="N313" s="192"/>
      <c r="O313" s="192"/>
      <c r="P313" s="192"/>
      <c r="Q313" s="192"/>
      <c r="R313" s="192"/>
      <c r="S313" s="110"/>
      <c r="V313" s="192"/>
      <c r="Y313" s="192"/>
      <c r="Z313" s="217"/>
      <c r="AA313" s="192"/>
      <c r="AB313" s="192"/>
      <c r="AC313" s="192"/>
      <c r="AD313" s="192"/>
      <c r="AE313" s="192"/>
      <c r="AF313" s="192"/>
      <c r="AI313" s="192"/>
      <c r="AJ313" s="192"/>
      <c r="AK313" s="194"/>
      <c r="AL313" s="192"/>
      <c r="AM313" s="141"/>
      <c r="AN313" s="141"/>
    </row>
    <row r="314" spans="3:40" x14ac:dyDescent="0.3">
      <c r="C314" s="99"/>
      <c r="F314" s="172"/>
      <c r="H314" s="172"/>
      <c r="I314" s="172"/>
      <c r="J314" s="217"/>
      <c r="K314" s="217"/>
      <c r="L314" s="110"/>
      <c r="M314" s="110"/>
      <c r="N314" s="141"/>
      <c r="O314" s="141"/>
      <c r="P314" s="110"/>
      <c r="Q314" s="110"/>
      <c r="R314" s="110"/>
      <c r="S314" s="110"/>
      <c r="T314" s="99"/>
      <c r="V314" s="172"/>
      <c r="Y314" s="172"/>
      <c r="Z314" s="217"/>
      <c r="AA314" s="110"/>
      <c r="AB314" s="110"/>
      <c r="AC314" s="141"/>
      <c r="AD314" s="141"/>
      <c r="AE314" s="110"/>
      <c r="AF314" s="110"/>
      <c r="AI314" s="110"/>
      <c r="AJ314" s="110"/>
      <c r="AL314" s="110"/>
      <c r="AM314" s="141"/>
      <c r="AN314" s="141"/>
    </row>
    <row r="316" spans="3:40" x14ac:dyDescent="0.3">
      <c r="C316" s="99"/>
      <c r="F316" s="172"/>
      <c r="H316" s="172"/>
      <c r="I316" s="172"/>
      <c r="J316" s="181"/>
      <c r="K316" s="181"/>
      <c r="L316" s="110"/>
      <c r="M316" s="110"/>
      <c r="N316" s="141"/>
      <c r="O316" s="141"/>
      <c r="R316" s="110"/>
      <c r="T316" s="99"/>
      <c r="V316" s="110"/>
      <c r="Y316" s="172"/>
      <c r="Z316" s="181"/>
      <c r="AA316" s="110"/>
      <c r="AB316" s="110"/>
      <c r="AC316" s="141"/>
      <c r="AD316" s="141"/>
      <c r="AE316" s="110"/>
      <c r="AF316" s="110"/>
      <c r="AH316" s="207"/>
      <c r="AL316" s="110"/>
      <c r="AM316" s="141"/>
      <c r="AN316" s="141"/>
    </row>
    <row r="317" spans="3:40" x14ac:dyDescent="0.3">
      <c r="F317" s="192"/>
      <c r="H317" s="110"/>
      <c r="I317" s="110"/>
      <c r="J317" s="217"/>
      <c r="K317" s="217"/>
      <c r="L317" s="192"/>
      <c r="M317" s="192"/>
      <c r="N317" s="192"/>
      <c r="O317" s="192"/>
      <c r="P317" s="192"/>
      <c r="Q317" s="192"/>
      <c r="R317" s="192"/>
      <c r="V317" s="192"/>
      <c r="Y317" s="110"/>
      <c r="Z317" s="217"/>
      <c r="AA317" s="192"/>
      <c r="AB317" s="192"/>
      <c r="AC317" s="192"/>
      <c r="AD317" s="192"/>
      <c r="AE317" s="192"/>
      <c r="AF317" s="192"/>
      <c r="AI317" s="192"/>
      <c r="AJ317" s="192"/>
      <c r="AK317" s="194"/>
      <c r="AL317" s="192"/>
      <c r="AM317" s="141"/>
      <c r="AN317" s="141"/>
    </row>
    <row r="318" spans="3:40" x14ac:dyDescent="0.3">
      <c r="C318" s="99"/>
      <c r="F318" s="172"/>
      <c r="H318" s="172"/>
      <c r="I318" s="172"/>
      <c r="J318" s="227"/>
      <c r="K318" s="227"/>
      <c r="L318" s="110"/>
      <c r="M318" s="110"/>
      <c r="N318" s="141"/>
      <c r="O318" s="141"/>
      <c r="P318" s="110"/>
      <c r="Q318" s="110"/>
      <c r="R318" s="110"/>
      <c r="S318" s="110"/>
      <c r="T318" s="99"/>
      <c r="V318" s="172"/>
      <c r="Y318" s="172"/>
      <c r="Z318" s="227"/>
      <c r="AA318" s="110"/>
      <c r="AB318" s="110"/>
      <c r="AC318" s="141"/>
      <c r="AD318" s="141"/>
      <c r="AE318" s="110"/>
      <c r="AF318" s="110"/>
      <c r="AH318" s="141"/>
      <c r="AI318" s="110"/>
      <c r="AJ318" s="110"/>
      <c r="AL318" s="110"/>
      <c r="AM318" s="141"/>
      <c r="AN318" s="141"/>
    </row>
    <row r="319" spans="3:40" x14ac:dyDescent="0.3">
      <c r="C319" s="99"/>
      <c r="F319" s="172"/>
      <c r="H319" s="172"/>
      <c r="I319" s="172"/>
      <c r="J319" s="181"/>
      <c r="K319" s="181"/>
      <c r="L319" s="110"/>
      <c r="M319" s="110"/>
      <c r="N319" s="141"/>
      <c r="O319" s="141"/>
      <c r="P319" s="110"/>
      <c r="Q319" s="110"/>
      <c r="R319" s="110"/>
      <c r="T319" s="99"/>
      <c r="V319" s="172"/>
      <c r="Y319" s="110"/>
      <c r="Z319" s="181"/>
      <c r="AA319" s="110"/>
      <c r="AB319" s="110"/>
      <c r="AC319" s="141"/>
      <c r="AD319" s="141"/>
      <c r="AE319" s="110"/>
      <c r="AF319" s="110"/>
      <c r="AH319" s="207"/>
      <c r="AI319" s="110"/>
      <c r="AJ319" s="110"/>
      <c r="AL319" s="110"/>
      <c r="AM319" s="141"/>
      <c r="AN319" s="141"/>
    </row>
    <row r="320" spans="3:40" x14ac:dyDescent="0.3">
      <c r="C320" s="99"/>
      <c r="F320" s="172"/>
      <c r="H320" s="172"/>
      <c r="I320" s="172"/>
      <c r="J320" s="181"/>
      <c r="K320" s="181"/>
      <c r="L320" s="110"/>
      <c r="M320" s="110"/>
      <c r="N320" s="141"/>
      <c r="O320" s="141"/>
      <c r="P320" s="110"/>
      <c r="Q320" s="110"/>
      <c r="R320" s="110"/>
      <c r="T320" s="99"/>
      <c r="V320" s="172"/>
      <c r="Y320" s="110"/>
      <c r="Z320" s="181"/>
      <c r="AA320" s="110"/>
      <c r="AB320" s="110"/>
      <c r="AC320" s="141"/>
      <c r="AD320" s="141"/>
      <c r="AE320" s="110"/>
      <c r="AF320" s="110"/>
      <c r="AH320" s="207"/>
      <c r="AI320" s="110"/>
      <c r="AJ320" s="110"/>
      <c r="AL320" s="110"/>
      <c r="AM320" s="141"/>
      <c r="AN320" s="141"/>
    </row>
    <row r="321" spans="1:40" x14ac:dyDescent="0.3">
      <c r="F321" s="192"/>
      <c r="H321" s="192"/>
      <c r="I321" s="192"/>
      <c r="J321" s="217"/>
      <c r="K321" s="217"/>
      <c r="L321" s="192"/>
      <c r="M321" s="192"/>
      <c r="N321" s="192"/>
      <c r="O321" s="192"/>
      <c r="P321" s="192"/>
      <c r="Q321" s="192"/>
      <c r="R321" s="192"/>
      <c r="V321" s="192"/>
      <c r="Y321" s="192"/>
      <c r="Z321" s="217"/>
      <c r="AA321" s="192"/>
      <c r="AB321" s="192"/>
      <c r="AC321" s="192"/>
      <c r="AD321" s="192"/>
      <c r="AE321" s="192"/>
      <c r="AF321" s="192"/>
      <c r="AI321" s="192"/>
      <c r="AJ321" s="192"/>
      <c r="AK321" s="194"/>
      <c r="AL321" s="192"/>
      <c r="AM321" s="141"/>
      <c r="AN321" s="141"/>
    </row>
    <row r="322" spans="1:40" x14ac:dyDescent="0.3">
      <c r="C322" s="99"/>
      <c r="F322" s="110"/>
      <c r="H322" s="110"/>
      <c r="I322" s="110"/>
      <c r="J322" s="198"/>
      <c r="K322" s="198"/>
      <c r="L322" s="110"/>
      <c r="M322" s="110"/>
      <c r="N322" s="141"/>
      <c r="O322" s="141"/>
      <c r="P322" s="110"/>
      <c r="Q322" s="110"/>
      <c r="R322" s="110"/>
      <c r="T322" s="99"/>
      <c r="V322" s="110"/>
      <c r="Y322" s="110"/>
      <c r="Z322" s="198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1:40" x14ac:dyDescent="0.3">
      <c r="F323" s="192"/>
      <c r="H323" s="192"/>
      <c r="I323" s="192"/>
      <c r="J323" s="217"/>
      <c r="K323" s="217"/>
      <c r="L323" s="192"/>
      <c r="M323" s="192"/>
      <c r="N323" s="192"/>
      <c r="O323" s="192"/>
      <c r="P323" s="192"/>
      <c r="Q323" s="192"/>
      <c r="R323" s="192"/>
      <c r="V323" s="192"/>
      <c r="Y323" s="192"/>
      <c r="Z323" s="217"/>
      <c r="AA323" s="192"/>
      <c r="AB323" s="192"/>
      <c r="AC323" s="192"/>
      <c r="AD323" s="192"/>
      <c r="AE323" s="192"/>
      <c r="AF323" s="192"/>
      <c r="AI323" s="192"/>
      <c r="AJ323" s="192"/>
      <c r="AK323" s="194"/>
      <c r="AL323" s="192"/>
      <c r="AM323" s="141"/>
      <c r="AN323" s="141"/>
    </row>
    <row r="324" spans="1:40" x14ac:dyDescent="0.3">
      <c r="C324" s="99"/>
      <c r="F324" s="110"/>
      <c r="H324" s="110"/>
      <c r="I324" s="110"/>
      <c r="J324" s="198"/>
      <c r="K324" s="198"/>
      <c r="L324" s="110"/>
      <c r="M324" s="110"/>
      <c r="N324" s="141"/>
      <c r="O324" s="141"/>
      <c r="P324" s="110"/>
      <c r="Q324" s="110"/>
      <c r="R324" s="110"/>
      <c r="T324" s="99"/>
      <c r="V324" s="110"/>
      <c r="Y324" s="110"/>
      <c r="Z324" s="198"/>
      <c r="AA324" s="110"/>
      <c r="AB324" s="110"/>
      <c r="AC324" s="141"/>
      <c r="AD324" s="141"/>
      <c r="AE324" s="110"/>
      <c r="AF324" s="110"/>
      <c r="AH324" s="207"/>
      <c r="AI324" s="110"/>
      <c r="AJ324" s="110"/>
      <c r="AL324" s="110"/>
      <c r="AM324" s="141"/>
      <c r="AN324" s="141"/>
    </row>
    <row r="325" spans="1:40" x14ac:dyDescent="0.3">
      <c r="C325" s="99"/>
      <c r="F325" s="110"/>
      <c r="H325" s="172"/>
      <c r="I325" s="172"/>
      <c r="J325" s="222"/>
      <c r="K325" s="222"/>
      <c r="L325" s="110"/>
      <c r="M325" s="110"/>
      <c r="N325" s="141"/>
      <c r="O325" s="141"/>
      <c r="P325" s="110"/>
      <c r="Q325" s="110"/>
      <c r="R325" s="110"/>
      <c r="T325" s="99"/>
      <c r="V325" s="110"/>
      <c r="Y325" s="110"/>
      <c r="Z325" s="216"/>
      <c r="AA325" s="110"/>
      <c r="AB325" s="110"/>
      <c r="AC325" s="141"/>
      <c r="AD325" s="141"/>
      <c r="AE325" s="110"/>
      <c r="AF325" s="110"/>
      <c r="AH325" s="207"/>
      <c r="AI325" s="110"/>
      <c r="AJ325" s="110"/>
      <c r="AL325" s="110"/>
      <c r="AM325" s="141"/>
      <c r="AN325" s="141"/>
    </row>
    <row r="326" spans="1:40" x14ac:dyDescent="0.3">
      <c r="F326" s="192"/>
      <c r="H326" s="192"/>
      <c r="I326" s="192"/>
      <c r="J326" s="217"/>
      <c r="K326" s="217"/>
      <c r="L326" s="192"/>
      <c r="M326" s="192"/>
      <c r="N326" s="192"/>
      <c r="O326" s="192"/>
      <c r="P326" s="192"/>
      <c r="Q326" s="192"/>
      <c r="R326" s="192"/>
      <c r="V326" s="192"/>
      <c r="Y326" s="192"/>
      <c r="Z326" s="217"/>
      <c r="AA326" s="192"/>
      <c r="AB326" s="192"/>
      <c r="AC326" s="192"/>
      <c r="AD326" s="192"/>
      <c r="AE326" s="192"/>
      <c r="AF326" s="192"/>
      <c r="AI326" s="192"/>
      <c r="AJ326" s="192"/>
      <c r="AK326" s="194"/>
      <c r="AL326" s="192"/>
      <c r="AM326" s="141"/>
      <c r="AN326" s="141"/>
    </row>
    <row r="328" spans="1:40" x14ac:dyDescent="0.3">
      <c r="C328" s="99"/>
      <c r="F328" s="110"/>
      <c r="H328" s="110"/>
      <c r="I328" s="110"/>
      <c r="J328" s="217"/>
      <c r="K328" s="217"/>
      <c r="L328" s="110"/>
      <c r="M328" s="110"/>
      <c r="N328" s="141"/>
      <c r="O328" s="141"/>
      <c r="P328" s="110"/>
      <c r="Q328" s="110"/>
      <c r="R328" s="110"/>
      <c r="S328" s="110"/>
      <c r="T328" s="99"/>
      <c r="V328" s="110"/>
      <c r="Y328" s="110"/>
      <c r="Z328" s="217"/>
      <c r="AA328" s="110"/>
      <c r="AB328" s="110"/>
      <c r="AC328" s="141"/>
      <c r="AD328" s="141"/>
      <c r="AE328" s="110"/>
      <c r="AF328" s="110"/>
      <c r="AH328" s="141"/>
      <c r="AI328" s="110"/>
      <c r="AJ328" s="110"/>
      <c r="AL328" s="110"/>
      <c r="AM328" s="141"/>
      <c r="AN328" s="141"/>
    </row>
    <row r="329" spans="1:40" x14ac:dyDescent="0.3">
      <c r="F329" s="192"/>
      <c r="H329" s="192"/>
      <c r="I329" s="192"/>
      <c r="J329" s="217"/>
      <c r="K329" s="217"/>
      <c r="L329" s="192"/>
      <c r="M329" s="192"/>
      <c r="N329" s="192"/>
      <c r="O329" s="192"/>
      <c r="P329" s="192"/>
      <c r="Q329" s="192"/>
      <c r="R329" s="192"/>
      <c r="S329" s="110"/>
      <c r="V329" s="192"/>
      <c r="Y329" s="192"/>
      <c r="Z329" s="217"/>
      <c r="AA329" s="192"/>
      <c r="AB329" s="192"/>
      <c r="AC329" s="192"/>
      <c r="AD329" s="192"/>
      <c r="AE329" s="192"/>
      <c r="AF329" s="192"/>
      <c r="AI329" s="192"/>
      <c r="AJ329" s="192"/>
      <c r="AK329" s="194"/>
      <c r="AL329" s="192"/>
      <c r="AM329" s="141"/>
      <c r="AN329" s="141"/>
    </row>
    <row r="330" spans="1:40" x14ac:dyDescent="0.3">
      <c r="C330" s="99"/>
      <c r="T330" s="99"/>
    </row>
    <row r="331" spans="1:40" x14ac:dyDescent="0.3">
      <c r="C331" s="99"/>
      <c r="F331" s="110"/>
      <c r="H331" s="110"/>
      <c r="I331" s="110"/>
      <c r="L331" s="110"/>
      <c r="M331" s="110"/>
      <c r="N331" s="141"/>
      <c r="O331" s="141"/>
      <c r="P331" s="172"/>
      <c r="Q331" s="172"/>
      <c r="R331" s="110"/>
      <c r="T331" s="99"/>
      <c r="V331" s="110"/>
      <c r="Y331" s="110"/>
      <c r="AA331" s="110"/>
      <c r="AB331" s="110"/>
      <c r="AC331" s="141"/>
      <c r="AD331" s="141"/>
      <c r="AE331" s="110"/>
      <c r="AF331" s="110"/>
      <c r="AH331" s="141"/>
      <c r="AI331" s="172"/>
      <c r="AJ331" s="172"/>
      <c r="AL331" s="110"/>
      <c r="AM331" s="141"/>
      <c r="AN331" s="141"/>
    </row>
    <row r="332" spans="1:40" x14ac:dyDescent="0.3">
      <c r="F332" s="192"/>
      <c r="H332" s="192"/>
      <c r="I332" s="192"/>
      <c r="J332" s="217"/>
      <c r="K332" s="217"/>
      <c r="L332" s="192"/>
      <c r="M332" s="192"/>
      <c r="N332" s="192"/>
      <c r="O332" s="192"/>
      <c r="P332" s="192"/>
      <c r="Q332" s="192"/>
      <c r="R332" s="192"/>
      <c r="V332" s="192"/>
      <c r="Y332" s="192"/>
      <c r="Z332" s="217"/>
      <c r="AA332" s="192"/>
      <c r="AB332" s="192"/>
      <c r="AC332" s="192"/>
      <c r="AD332" s="192"/>
      <c r="AE332" s="192"/>
      <c r="AF332" s="192"/>
      <c r="AI332" s="192"/>
      <c r="AJ332" s="192"/>
      <c r="AK332" s="194"/>
      <c r="AL332" s="192"/>
    </row>
    <row r="334" spans="1:40" x14ac:dyDescent="0.3">
      <c r="C334" s="99"/>
      <c r="L334" s="110"/>
      <c r="M334" s="110"/>
      <c r="N334" s="110"/>
      <c r="O334" s="110"/>
      <c r="P334" s="110"/>
      <c r="Q334" s="110"/>
      <c r="R334" s="110"/>
      <c r="S334" s="110"/>
      <c r="T334" s="99"/>
      <c r="AA334" s="110"/>
      <c r="AB334" s="110"/>
      <c r="AC334" s="110"/>
      <c r="AD334" s="110"/>
      <c r="AI334" s="110"/>
      <c r="AJ334" s="110"/>
      <c r="AL334" s="110"/>
    </row>
    <row r="335" spans="1:40" x14ac:dyDescent="0.3">
      <c r="A335" s="99"/>
    </row>
    <row r="337" spans="1:40" x14ac:dyDescent="0.3">
      <c r="H337" s="99"/>
      <c r="I337" s="99"/>
      <c r="Y337" s="99"/>
    </row>
    <row r="339" spans="1:40" x14ac:dyDescent="0.3">
      <c r="L339" s="99"/>
      <c r="M339" s="99"/>
      <c r="AA339" s="99"/>
      <c r="AB339" s="99"/>
    </row>
    <row r="340" spans="1:40" x14ac:dyDescent="0.3">
      <c r="R340" s="99"/>
      <c r="AK340" s="190"/>
      <c r="AL340" s="99"/>
    </row>
    <row r="341" spans="1:40" x14ac:dyDescent="0.3">
      <c r="R341" s="99"/>
      <c r="AK341" s="190"/>
      <c r="AL341" s="99"/>
    </row>
    <row r="342" spans="1:40" x14ac:dyDescent="0.3">
      <c r="A342" s="99"/>
      <c r="R342" s="99"/>
      <c r="AK342" s="190"/>
      <c r="AL342" s="99"/>
    </row>
    <row r="343" spans="1:40" x14ac:dyDescent="0.3">
      <c r="L343" s="99"/>
      <c r="M343" s="99"/>
      <c r="AA343" s="99"/>
      <c r="AB343" s="99"/>
    </row>
    <row r="344" spans="1:40" x14ac:dyDescent="0.3">
      <c r="A344" s="101"/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T344" s="101"/>
      <c r="U344" s="101"/>
      <c r="V344" s="101"/>
      <c r="W344" s="101"/>
      <c r="X344" s="101"/>
      <c r="Y344" s="101"/>
      <c r="Z344" s="101"/>
      <c r="AA344" s="101"/>
      <c r="AB344" s="101"/>
      <c r="AC344" s="101"/>
      <c r="AD344" s="101"/>
      <c r="AE344" s="101"/>
      <c r="AF344" s="101"/>
      <c r="AG344" s="191"/>
      <c r="AH344" s="101"/>
      <c r="AI344" s="101"/>
      <c r="AJ344" s="101"/>
      <c r="AK344" s="191"/>
      <c r="AL344" s="101"/>
      <c r="AM344" s="101"/>
      <c r="AN344" s="101"/>
    </row>
    <row r="345" spans="1:40" x14ac:dyDescent="0.3">
      <c r="L345" s="102"/>
      <c r="M345" s="102"/>
      <c r="N345" s="102"/>
      <c r="O345" s="102"/>
      <c r="R345" s="102"/>
      <c r="AA345" s="102"/>
      <c r="AB345" s="102"/>
      <c r="AC345" s="102"/>
      <c r="AD345" s="102"/>
      <c r="AE345" s="102"/>
      <c r="AF345" s="102"/>
      <c r="AG345" s="151"/>
      <c r="AH345" s="102"/>
      <c r="AK345" s="151"/>
      <c r="AL345" s="102"/>
      <c r="AM345" s="102"/>
      <c r="AN345" s="102"/>
    </row>
    <row r="346" spans="1:40" x14ac:dyDescent="0.3">
      <c r="L346" s="102"/>
      <c r="M346" s="102"/>
      <c r="N346" s="102"/>
      <c r="O346" s="102"/>
      <c r="R346" s="102"/>
      <c r="Z346" s="102"/>
      <c r="AA346" s="102"/>
      <c r="AB346" s="102"/>
      <c r="AC346" s="102"/>
      <c r="AD346" s="102"/>
      <c r="AE346" s="102"/>
      <c r="AF346" s="102"/>
      <c r="AG346" s="151"/>
      <c r="AH346" s="102"/>
      <c r="AK346" s="151"/>
      <c r="AL346" s="102"/>
      <c r="AM346" s="102"/>
      <c r="AN346" s="102"/>
    </row>
    <row r="347" spans="1:40" x14ac:dyDescent="0.3">
      <c r="A347" s="102"/>
      <c r="C347" s="102"/>
      <c r="D347" s="102"/>
      <c r="E347" s="102"/>
      <c r="F347" s="102"/>
      <c r="J347" s="102"/>
      <c r="K347" s="102"/>
      <c r="L347" s="102"/>
      <c r="M347" s="102"/>
      <c r="N347" s="102"/>
      <c r="O347" s="102"/>
      <c r="P347" s="102"/>
      <c r="Q347" s="102"/>
      <c r="R347" s="102"/>
      <c r="T347" s="102"/>
      <c r="U347" s="102"/>
      <c r="V347" s="102"/>
      <c r="Z347" s="102"/>
      <c r="AA347" s="102"/>
      <c r="AB347" s="102"/>
      <c r="AC347" s="102"/>
      <c r="AD347" s="102"/>
      <c r="AE347" s="102"/>
      <c r="AF347" s="102"/>
      <c r="AG347" s="151"/>
      <c r="AH347" s="102"/>
      <c r="AI347" s="102"/>
      <c r="AJ347" s="102"/>
      <c r="AK347" s="151"/>
      <c r="AL347" s="102"/>
      <c r="AM347" s="102"/>
      <c r="AN347" s="102"/>
    </row>
    <row r="348" spans="1:40" x14ac:dyDescent="0.3">
      <c r="A348" s="102"/>
      <c r="C348" s="102"/>
      <c r="D348" s="102"/>
      <c r="E348" s="102"/>
      <c r="F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T348" s="102"/>
      <c r="U348" s="102"/>
      <c r="V348" s="102"/>
      <c r="Y348" s="102"/>
      <c r="Z348" s="102"/>
      <c r="AA348" s="102"/>
      <c r="AB348" s="102"/>
      <c r="AC348" s="102"/>
      <c r="AD348" s="102"/>
      <c r="AE348" s="102"/>
      <c r="AF348" s="102"/>
      <c r="AG348" s="151"/>
      <c r="AH348" s="102"/>
      <c r="AI348" s="102"/>
      <c r="AJ348" s="102"/>
      <c r="AK348" s="151"/>
      <c r="AL348" s="102"/>
      <c r="AM348" s="102"/>
      <c r="AN348" s="102"/>
    </row>
    <row r="349" spans="1:40" x14ac:dyDescent="0.3">
      <c r="C349" s="102"/>
      <c r="D349" s="102"/>
      <c r="E349" s="102"/>
      <c r="F349" s="102"/>
      <c r="H349" s="102"/>
      <c r="I349" s="102"/>
      <c r="J349" s="102"/>
      <c r="K349" s="102"/>
      <c r="L349" s="102"/>
      <c r="M349" s="102"/>
      <c r="N349" s="102"/>
      <c r="O349" s="102"/>
      <c r="P349" s="102"/>
      <c r="Q349" s="102"/>
      <c r="R349" s="102"/>
      <c r="T349" s="102"/>
      <c r="U349" s="102"/>
      <c r="V349" s="102"/>
      <c r="Y349" s="102"/>
      <c r="Z349" s="102"/>
      <c r="AA349" s="102"/>
      <c r="AB349" s="102"/>
      <c r="AC349" s="102"/>
      <c r="AD349" s="102"/>
      <c r="AE349" s="102"/>
      <c r="AF349" s="102"/>
      <c r="AG349" s="151"/>
      <c r="AH349" s="102"/>
      <c r="AI349" s="102"/>
      <c r="AJ349" s="102"/>
      <c r="AK349" s="151"/>
      <c r="AL349" s="102"/>
      <c r="AM349" s="102"/>
      <c r="AN349" s="102"/>
    </row>
    <row r="350" spans="1:40" x14ac:dyDescent="0.3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91"/>
      <c r="AH350" s="101"/>
      <c r="AI350" s="101"/>
      <c r="AJ350" s="101"/>
      <c r="AK350" s="191"/>
      <c r="AL350" s="101"/>
      <c r="AM350" s="101"/>
      <c r="AN350" s="101"/>
    </row>
    <row r="351" spans="1:40" x14ac:dyDescent="0.3"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Y351" s="102"/>
      <c r="Z351" s="102"/>
      <c r="AA351" s="102"/>
      <c r="AB351" s="102"/>
      <c r="AC351" s="102"/>
      <c r="AD351" s="102"/>
      <c r="AE351" s="102"/>
      <c r="AF351" s="102"/>
      <c r="AG351" s="151"/>
      <c r="AH351" s="102"/>
      <c r="AI351" s="102"/>
      <c r="AJ351" s="102"/>
      <c r="AK351" s="151"/>
      <c r="AL351" s="102"/>
      <c r="AM351" s="102"/>
      <c r="AN351" s="102"/>
    </row>
    <row r="352" spans="1:40" x14ac:dyDescent="0.3">
      <c r="C352" s="99"/>
      <c r="D352" s="99"/>
      <c r="E352" s="99"/>
      <c r="T352" s="99"/>
      <c r="U352" s="99"/>
    </row>
    <row r="353" spans="3:40" x14ac:dyDescent="0.3">
      <c r="D353" s="99"/>
      <c r="E353" s="99"/>
      <c r="U353" s="99"/>
    </row>
    <row r="355" spans="3:40" x14ac:dyDescent="0.3">
      <c r="C355" s="99"/>
      <c r="T355" s="99"/>
    </row>
    <row r="356" spans="3:40" x14ac:dyDescent="0.3">
      <c r="C356" s="99"/>
      <c r="F356" s="172"/>
      <c r="H356" s="172"/>
      <c r="I356" s="172"/>
      <c r="J356" s="228"/>
      <c r="K356" s="228"/>
      <c r="L356" s="110"/>
      <c r="M356" s="110"/>
      <c r="N356" s="141"/>
      <c r="O356" s="141"/>
      <c r="P356" s="110"/>
      <c r="Q356" s="110"/>
      <c r="R356" s="110"/>
      <c r="T356" s="99"/>
      <c r="V356" s="172"/>
      <c r="W356" s="110"/>
      <c r="X356" s="110"/>
      <c r="Y356" s="172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3:40" x14ac:dyDescent="0.3">
      <c r="C357" s="99"/>
      <c r="F357" s="110"/>
      <c r="H357" s="110"/>
      <c r="I357" s="110"/>
      <c r="J357" s="217"/>
      <c r="K357" s="217"/>
      <c r="L357" s="110"/>
      <c r="M357" s="110"/>
      <c r="N357" s="141"/>
      <c r="O357" s="141"/>
      <c r="P357" s="110"/>
      <c r="Q357" s="110"/>
      <c r="R357" s="110"/>
      <c r="T357" s="99"/>
      <c r="V357" s="172"/>
      <c r="W357" s="110"/>
      <c r="X357" s="110"/>
      <c r="Y357" s="172"/>
      <c r="Z357" s="217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72"/>
      <c r="W358" s="110"/>
      <c r="X358" s="110"/>
      <c r="Y358" s="172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72"/>
      <c r="W359" s="110"/>
      <c r="X359" s="110"/>
      <c r="Y359" s="172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F360" s="172"/>
      <c r="H360" s="172"/>
      <c r="I360" s="172"/>
      <c r="J360" s="228"/>
      <c r="K360" s="228"/>
      <c r="L360" s="110"/>
      <c r="M360" s="110"/>
      <c r="N360" s="141"/>
      <c r="O360" s="141"/>
      <c r="P360" s="110"/>
      <c r="Q360" s="110"/>
      <c r="R360" s="110"/>
      <c r="T360" s="99"/>
      <c r="V360" s="172"/>
      <c r="W360" s="110"/>
      <c r="X360" s="110"/>
      <c r="Y360" s="172"/>
      <c r="Z360" s="228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3:40" x14ac:dyDescent="0.3">
      <c r="C361" s="99"/>
      <c r="F361" s="110"/>
      <c r="H361" s="110"/>
      <c r="I361" s="110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72"/>
      <c r="W361" s="110"/>
      <c r="X361" s="110"/>
      <c r="Y361" s="172"/>
      <c r="Z361" s="228"/>
      <c r="AA361" s="110"/>
      <c r="AB361" s="110"/>
      <c r="AC361" s="141"/>
      <c r="AD361" s="141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C362" s="99"/>
      <c r="F362" s="110"/>
      <c r="H362" s="110"/>
      <c r="I362" s="110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72"/>
      <c r="W362" s="110"/>
      <c r="X362" s="110"/>
      <c r="Y362" s="172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F363" s="210"/>
      <c r="H363" s="230"/>
      <c r="I363" s="230"/>
      <c r="J363" s="228"/>
      <c r="K363" s="228"/>
      <c r="L363" s="210"/>
      <c r="M363" s="210"/>
      <c r="N363" s="192"/>
      <c r="O363" s="192"/>
      <c r="P363" s="210"/>
      <c r="Q363" s="210"/>
      <c r="R363" s="210"/>
      <c r="V363" s="210"/>
      <c r="W363" s="110"/>
      <c r="X363" s="110"/>
      <c r="Y363" s="210"/>
      <c r="Z363" s="228"/>
      <c r="AA363" s="210"/>
      <c r="AB363" s="210"/>
      <c r="AC363" s="211"/>
      <c r="AD363" s="211"/>
      <c r="AE363" s="210"/>
      <c r="AF363" s="210"/>
      <c r="AH363" s="207"/>
      <c r="AI363" s="210"/>
      <c r="AJ363" s="210"/>
      <c r="AK363" s="191"/>
      <c r="AL363" s="210"/>
      <c r="AM363" s="141"/>
      <c r="AN363" s="141"/>
    </row>
    <row r="364" spans="3:40" x14ac:dyDescent="0.3">
      <c r="C364" s="99"/>
      <c r="F364" s="110"/>
      <c r="H364" s="110"/>
      <c r="I364" s="110"/>
      <c r="J364" s="228"/>
      <c r="K364" s="228"/>
      <c r="L364" s="110"/>
      <c r="M364" s="110"/>
      <c r="N364" s="207"/>
      <c r="O364" s="207"/>
      <c r="P364" s="110"/>
      <c r="Q364" s="110"/>
      <c r="R364" s="110"/>
      <c r="T364" s="102"/>
      <c r="V364" s="110"/>
      <c r="W364" s="110"/>
      <c r="X364" s="110"/>
      <c r="Y364" s="110"/>
      <c r="Z364" s="228"/>
      <c r="AA364" s="110"/>
      <c r="AB364" s="110"/>
      <c r="AC364" s="207"/>
      <c r="AD364" s="207"/>
      <c r="AE364" s="110"/>
      <c r="AF364" s="110"/>
      <c r="AH364" s="207"/>
      <c r="AI364" s="110"/>
      <c r="AJ364" s="110"/>
      <c r="AL364" s="110"/>
      <c r="AM364" s="141"/>
      <c r="AN364" s="141"/>
    </row>
    <row r="365" spans="3:40" x14ac:dyDescent="0.3">
      <c r="F365" s="101"/>
      <c r="H365" s="101"/>
      <c r="I365" s="101"/>
      <c r="L365" s="101"/>
      <c r="M365" s="101"/>
      <c r="N365" s="211"/>
      <c r="O365" s="211"/>
      <c r="P365" s="210"/>
      <c r="Q365" s="210"/>
      <c r="R365" s="210"/>
      <c r="V365" s="210"/>
      <c r="Y365" s="210"/>
      <c r="Z365" s="217"/>
      <c r="AA365" s="210"/>
      <c r="AB365" s="210"/>
      <c r="AC365" s="210"/>
      <c r="AD365" s="210"/>
      <c r="AE365" s="210"/>
      <c r="AF365" s="210"/>
      <c r="AI365" s="210"/>
      <c r="AJ365" s="210"/>
      <c r="AK365" s="191"/>
      <c r="AL365" s="210"/>
      <c r="AM365" s="211"/>
      <c r="AN365" s="211"/>
    </row>
    <row r="370" spans="1:40" x14ac:dyDescent="0.3">
      <c r="N370" s="110"/>
      <c r="O370" s="110"/>
      <c r="P370" s="110"/>
      <c r="Q370" s="110"/>
      <c r="R370" s="110"/>
      <c r="V370" s="110"/>
      <c r="Y370" s="110"/>
      <c r="Z370" s="19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1:40" x14ac:dyDescent="0.3">
      <c r="C371" s="99"/>
      <c r="D371" s="99"/>
      <c r="E371" s="99"/>
      <c r="J371" s="163"/>
      <c r="K371" s="163"/>
      <c r="T371" s="99"/>
      <c r="U371" s="99"/>
      <c r="Z371" s="163"/>
      <c r="AE371" s="110"/>
      <c r="AF371" s="110"/>
      <c r="AI371" s="110"/>
      <c r="AJ371" s="110"/>
      <c r="AL371" s="110"/>
      <c r="AM371" s="141"/>
      <c r="AN371" s="141"/>
    </row>
    <row r="372" spans="1:40" x14ac:dyDescent="0.3">
      <c r="D372" s="99"/>
      <c r="E372" s="99"/>
      <c r="F372" s="110"/>
      <c r="H372" s="110"/>
      <c r="I372" s="110"/>
      <c r="J372" s="228"/>
      <c r="K372" s="228"/>
      <c r="L372" s="110"/>
      <c r="M372" s="110"/>
      <c r="N372" s="141"/>
      <c r="O372" s="141"/>
      <c r="P372" s="110"/>
      <c r="Q372" s="110"/>
      <c r="R372" s="110"/>
      <c r="U372" s="99"/>
      <c r="V372" s="110"/>
      <c r="Y372" s="110"/>
      <c r="Z372" s="228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1:40" x14ac:dyDescent="0.3">
      <c r="F373" s="110"/>
      <c r="H373" s="110"/>
      <c r="I373" s="110"/>
      <c r="J373" s="217"/>
      <c r="K373" s="217"/>
      <c r="L373" s="110"/>
      <c r="M373" s="110"/>
      <c r="N373" s="110"/>
      <c r="O373" s="110"/>
      <c r="P373" s="110"/>
      <c r="Q373" s="110"/>
      <c r="R373" s="110"/>
      <c r="V373" s="110"/>
      <c r="Y373" s="110"/>
      <c r="Z373" s="217"/>
      <c r="AA373" s="110"/>
      <c r="AB373" s="110"/>
      <c r="AC373" s="110"/>
      <c r="AD373" s="110"/>
      <c r="AE373" s="110"/>
      <c r="AF373" s="110"/>
      <c r="AH373" s="207"/>
      <c r="AI373" s="172"/>
      <c r="AJ373" s="172"/>
      <c r="AL373" s="110"/>
      <c r="AM373" s="141"/>
      <c r="AN373" s="141"/>
    </row>
    <row r="374" spans="1:40" x14ac:dyDescent="0.3">
      <c r="C374" s="99"/>
      <c r="F374" s="172"/>
      <c r="H374" s="172"/>
      <c r="I374" s="172"/>
      <c r="J374" s="216"/>
      <c r="K374" s="216"/>
      <c r="L374" s="110"/>
      <c r="M374" s="110"/>
      <c r="N374" s="141"/>
      <c r="O374" s="141"/>
      <c r="P374" s="110"/>
      <c r="Q374" s="110"/>
      <c r="R374" s="110"/>
      <c r="T374" s="99"/>
      <c r="V374" s="172"/>
      <c r="Y374" s="172"/>
      <c r="Z374" s="216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1:40" x14ac:dyDescent="0.3">
      <c r="F375" s="101"/>
      <c r="H375" s="101"/>
      <c r="I375" s="101"/>
      <c r="L375" s="101"/>
      <c r="M375" s="101"/>
      <c r="N375" s="101"/>
      <c r="O375" s="101"/>
      <c r="P375" s="101"/>
      <c r="Q375" s="101"/>
      <c r="R375" s="101"/>
      <c r="V375" s="101"/>
      <c r="Y375" s="101"/>
      <c r="AA375" s="101"/>
      <c r="AB375" s="101"/>
      <c r="AC375" s="101"/>
      <c r="AD375" s="101"/>
      <c r="AE375" s="101"/>
      <c r="AF375" s="101"/>
      <c r="AG375" s="191"/>
      <c r="AH375" s="101"/>
      <c r="AI375" s="101"/>
      <c r="AJ375" s="101"/>
      <c r="AK375" s="191"/>
      <c r="AL375" s="101"/>
      <c r="AM375" s="101"/>
      <c r="AN375" s="101"/>
    </row>
    <row r="376" spans="1:40" x14ac:dyDescent="0.3">
      <c r="C376" s="102"/>
      <c r="F376" s="172"/>
      <c r="H376" s="172"/>
      <c r="I376" s="172"/>
      <c r="J376" s="181"/>
      <c r="K376" s="181"/>
      <c r="L376" s="172"/>
      <c r="M376" s="172"/>
      <c r="N376" s="141"/>
      <c r="O376" s="141"/>
      <c r="P376" s="172"/>
      <c r="Q376" s="172"/>
      <c r="R376" s="172"/>
      <c r="T376" s="102"/>
      <c r="V376" s="110"/>
      <c r="Y376" s="110"/>
      <c r="Z376" s="198"/>
      <c r="AA376" s="110"/>
      <c r="AB376" s="110"/>
      <c r="AC376" s="141"/>
      <c r="AD376" s="141"/>
      <c r="AH376" s="207"/>
      <c r="AI376" s="110"/>
      <c r="AJ376" s="110"/>
      <c r="AL376" s="110"/>
      <c r="AM376" s="141"/>
      <c r="AN376" s="141"/>
    </row>
    <row r="377" spans="1:40" x14ac:dyDescent="0.3">
      <c r="F377" s="210"/>
      <c r="H377" s="210"/>
      <c r="I377" s="210"/>
      <c r="J377" s="217"/>
      <c r="K377" s="217"/>
      <c r="L377" s="210"/>
      <c r="M377" s="210"/>
      <c r="N377" s="210"/>
      <c r="O377" s="210"/>
      <c r="P377" s="210"/>
      <c r="Q377" s="210"/>
      <c r="R377" s="210"/>
      <c r="V377" s="101"/>
      <c r="Y377" s="101"/>
      <c r="AA377" s="101"/>
      <c r="AB377" s="101"/>
      <c r="AC377" s="101"/>
      <c r="AD377" s="101"/>
      <c r="AE377" s="101"/>
      <c r="AF377" s="101"/>
      <c r="AG377" s="191"/>
      <c r="AH377" s="101"/>
      <c r="AI377" s="101"/>
      <c r="AJ377" s="101"/>
      <c r="AK377" s="191"/>
      <c r="AL377" s="101"/>
      <c r="AM377" s="101"/>
      <c r="AN377" s="101"/>
    </row>
    <row r="378" spans="1:40" x14ac:dyDescent="0.3">
      <c r="F378" s="172"/>
      <c r="H378" s="172"/>
      <c r="I378" s="172"/>
      <c r="J378" s="227"/>
      <c r="K378" s="227"/>
      <c r="L378" s="110"/>
      <c r="M378" s="110"/>
      <c r="N378" s="141"/>
      <c r="O378" s="141"/>
      <c r="P378" s="110"/>
      <c r="Q378" s="110"/>
      <c r="R378" s="110"/>
    </row>
    <row r="379" spans="1:40" x14ac:dyDescent="0.3">
      <c r="A379" s="99"/>
      <c r="F379" s="172"/>
      <c r="H379" s="172"/>
      <c r="I379" s="172"/>
      <c r="J379" s="181"/>
      <c r="K379" s="181"/>
      <c r="L379" s="110"/>
      <c r="M379" s="110"/>
      <c r="N379" s="141"/>
      <c r="O379" s="141"/>
      <c r="P379" s="110"/>
      <c r="Q379" s="110"/>
      <c r="R379" s="110"/>
    </row>
    <row r="380" spans="1:40" x14ac:dyDescent="0.3">
      <c r="F380" s="172"/>
      <c r="H380" s="172"/>
      <c r="I380" s="172"/>
      <c r="J380" s="181"/>
      <c r="K380" s="181"/>
      <c r="L380" s="110"/>
      <c r="M380" s="110"/>
      <c r="N380" s="141"/>
      <c r="O380" s="141"/>
      <c r="P380" s="110"/>
      <c r="Q380" s="110"/>
      <c r="R380" s="110"/>
    </row>
    <row r="381" spans="1:40" x14ac:dyDescent="0.3">
      <c r="A381" s="99"/>
    </row>
    <row r="384" spans="1:40" x14ac:dyDescent="0.3">
      <c r="H384" s="99"/>
      <c r="I384" s="99"/>
      <c r="Y384" s="99"/>
    </row>
    <row r="386" spans="1:40" x14ac:dyDescent="0.3">
      <c r="L386" s="99"/>
      <c r="M386" s="99"/>
      <c r="AA386" s="99"/>
      <c r="AB386" s="99"/>
    </row>
    <row r="387" spans="1:40" x14ac:dyDescent="0.3">
      <c r="R387" s="99"/>
      <c r="AK387" s="190"/>
      <c r="AL387" s="99"/>
    </row>
    <row r="388" spans="1:40" x14ac:dyDescent="0.3">
      <c r="R388" s="99"/>
      <c r="AK388" s="190"/>
      <c r="AL388" s="99"/>
    </row>
    <row r="389" spans="1:40" x14ac:dyDescent="0.3">
      <c r="A389" s="99"/>
      <c r="R389" s="99"/>
      <c r="AK389" s="190"/>
      <c r="AL389" s="99"/>
    </row>
    <row r="390" spans="1:40" x14ac:dyDescent="0.3">
      <c r="L390" s="99"/>
      <c r="M390" s="99"/>
      <c r="AA390" s="99"/>
      <c r="AB390" s="99"/>
    </row>
    <row r="391" spans="1:40" x14ac:dyDescent="0.3">
      <c r="A391" s="101"/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T391" s="101"/>
      <c r="U391" s="101"/>
      <c r="V391" s="101"/>
      <c r="W391" s="101"/>
      <c r="X391" s="101"/>
      <c r="Y391" s="101"/>
      <c r="Z391" s="101"/>
      <c r="AA391" s="101"/>
      <c r="AB391" s="101"/>
      <c r="AC391" s="101"/>
      <c r="AD391" s="101"/>
      <c r="AE391" s="101"/>
      <c r="AF391" s="101"/>
      <c r="AG391" s="191"/>
      <c r="AH391" s="101"/>
      <c r="AI391" s="101"/>
      <c r="AJ391" s="101"/>
      <c r="AK391" s="191"/>
      <c r="AL391" s="101"/>
      <c r="AM391" s="101"/>
      <c r="AN391" s="101"/>
    </row>
    <row r="392" spans="1:40" x14ac:dyDescent="0.3">
      <c r="L392" s="102"/>
      <c r="M392" s="102"/>
      <c r="N392" s="102"/>
      <c r="O392" s="102"/>
      <c r="R392" s="102"/>
      <c r="AA392" s="102"/>
      <c r="AB392" s="102"/>
      <c r="AC392" s="102"/>
      <c r="AD392" s="102"/>
      <c r="AE392" s="102"/>
      <c r="AF392" s="102"/>
      <c r="AG392" s="151"/>
      <c r="AH392" s="102"/>
      <c r="AK392" s="151"/>
      <c r="AL392" s="102"/>
      <c r="AM392" s="102"/>
      <c r="AN392" s="102"/>
    </row>
    <row r="393" spans="1:40" x14ac:dyDescent="0.3">
      <c r="L393" s="102"/>
      <c r="M393" s="102"/>
      <c r="N393" s="102"/>
      <c r="O393" s="102"/>
      <c r="R393" s="102"/>
      <c r="Z393" s="102"/>
      <c r="AA393" s="102"/>
      <c r="AB393" s="102"/>
      <c r="AC393" s="102"/>
      <c r="AD393" s="102"/>
      <c r="AE393" s="102"/>
      <c r="AF393" s="102"/>
      <c r="AG393" s="151"/>
      <c r="AH393" s="102"/>
      <c r="AK393" s="151"/>
      <c r="AL393" s="102"/>
      <c r="AM393" s="102"/>
      <c r="AN393" s="102"/>
    </row>
    <row r="394" spans="1:40" x14ac:dyDescent="0.3">
      <c r="A394" s="102"/>
      <c r="C394" s="102"/>
      <c r="D394" s="102"/>
      <c r="E394" s="102"/>
      <c r="F394" s="102"/>
      <c r="J394" s="102"/>
      <c r="K394" s="102"/>
      <c r="L394" s="102"/>
      <c r="M394" s="102"/>
      <c r="N394" s="102"/>
      <c r="O394" s="102"/>
      <c r="P394" s="102"/>
      <c r="Q394" s="102"/>
      <c r="R394" s="102"/>
      <c r="T394" s="102"/>
      <c r="U394" s="102"/>
      <c r="V394" s="102"/>
      <c r="Z394" s="102"/>
      <c r="AA394" s="102"/>
      <c r="AB394" s="102"/>
      <c r="AC394" s="102"/>
      <c r="AD394" s="102"/>
      <c r="AE394" s="102"/>
      <c r="AF394" s="102"/>
      <c r="AG394" s="151"/>
      <c r="AH394" s="102"/>
      <c r="AI394" s="102"/>
      <c r="AJ394" s="102"/>
      <c r="AK394" s="151"/>
      <c r="AL394" s="102"/>
      <c r="AM394" s="102"/>
      <c r="AN394" s="102"/>
    </row>
    <row r="395" spans="1:40" x14ac:dyDescent="0.3">
      <c r="A395" s="102"/>
      <c r="C395" s="102"/>
      <c r="D395" s="102"/>
      <c r="E395" s="102"/>
      <c r="F395" s="102"/>
      <c r="H395" s="102"/>
      <c r="I395" s="102"/>
      <c r="J395" s="102"/>
      <c r="K395" s="102"/>
      <c r="L395" s="102"/>
      <c r="M395" s="102"/>
      <c r="N395" s="102"/>
      <c r="O395" s="102"/>
      <c r="P395" s="102"/>
      <c r="Q395" s="102"/>
      <c r="R395" s="102"/>
      <c r="T395" s="102"/>
      <c r="U395" s="102"/>
      <c r="V395" s="102"/>
      <c r="Y395" s="102"/>
      <c r="Z395" s="102"/>
      <c r="AA395" s="102"/>
      <c r="AB395" s="102"/>
      <c r="AC395" s="102"/>
      <c r="AD395" s="102"/>
      <c r="AE395" s="102"/>
      <c r="AF395" s="102"/>
      <c r="AG395" s="151"/>
      <c r="AH395" s="102"/>
      <c r="AI395" s="102"/>
      <c r="AJ395" s="102"/>
      <c r="AK395" s="151"/>
      <c r="AL395" s="102"/>
      <c r="AM395" s="102"/>
      <c r="AN395" s="102"/>
    </row>
    <row r="396" spans="1:40" x14ac:dyDescent="0.3">
      <c r="C396" s="102"/>
      <c r="D396" s="102"/>
      <c r="E396" s="102"/>
      <c r="F396" s="102"/>
      <c r="H396" s="102"/>
      <c r="I396" s="102"/>
      <c r="J396" s="102"/>
      <c r="K396" s="102"/>
      <c r="L396" s="102"/>
      <c r="M396" s="102"/>
      <c r="N396" s="102"/>
      <c r="O396" s="102"/>
      <c r="P396" s="102"/>
      <c r="Q396" s="102"/>
      <c r="R396" s="102"/>
      <c r="T396" s="102"/>
      <c r="U396" s="102"/>
      <c r="V396" s="102"/>
      <c r="Y396" s="102"/>
      <c r="Z396" s="102"/>
      <c r="AA396" s="102"/>
      <c r="AB396" s="102"/>
      <c r="AC396" s="102"/>
      <c r="AD396" s="102"/>
      <c r="AE396" s="102"/>
      <c r="AF396" s="102"/>
      <c r="AG396" s="151"/>
      <c r="AH396" s="102"/>
      <c r="AI396" s="102"/>
      <c r="AJ396" s="102"/>
      <c r="AK396" s="151"/>
      <c r="AL396" s="102"/>
      <c r="AM396" s="102"/>
      <c r="AN396" s="102"/>
    </row>
    <row r="397" spans="1:40" x14ac:dyDescent="0.3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91"/>
      <c r="AH397" s="101"/>
      <c r="AI397" s="101"/>
      <c r="AJ397" s="101"/>
      <c r="AK397" s="191"/>
      <c r="AL397" s="101"/>
      <c r="AM397" s="101"/>
      <c r="AN397" s="101"/>
    </row>
    <row r="398" spans="1:40" x14ac:dyDescent="0.3">
      <c r="H398" s="102"/>
      <c r="I398" s="102"/>
      <c r="J398" s="102"/>
      <c r="K398" s="102"/>
      <c r="L398" s="102"/>
      <c r="M398" s="102"/>
      <c r="N398" s="102"/>
      <c r="O398" s="102"/>
      <c r="P398" s="102"/>
      <c r="Q398" s="102"/>
      <c r="R398" s="102"/>
      <c r="Y398" s="102"/>
      <c r="Z398" s="102"/>
      <c r="AA398" s="102"/>
      <c r="AB398" s="102"/>
      <c r="AC398" s="102"/>
      <c r="AD398" s="102"/>
      <c r="AE398" s="102"/>
      <c r="AF398" s="102"/>
      <c r="AG398" s="151"/>
      <c r="AH398" s="102"/>
      <c r="AI398" s="102"/>
      <c r="AJ398" s="102"/>
      <c r="AK398" s="151"/>
      <c r="AL398" s="102"/>
      <c r="AM398" s="102"/>
      <c r="AN398" s="102"/>
    </row>
    <row r="399" spans="1:40" x14ac:dyDescent="0.3">
      <c r="C399" s="99"/>
      <c r="D399" s="99"/>
      <c r="E399" s="99"/>
      <c r="T399" s="99"/>
      <c r="U399" s="99"/>
    </row>
    <row r="401" spans="3:40" x14ac:dyDescent="0.3">
      <c r="C401" s="99"/>
      <c r="T401" s="99"/>
    </row>
    <row r="402" spans="3:40" x14ac:dyDescent="0.3">
      <c r="C402" s="99"/>
      <c r="F402" s="172"/>
      <c r="H402" s="172"/>
      <c r="I402" s="172"/>
      <c r="J402" s="217"/>
      <c r="K402" s="217"/>
      <c r="L402" s="110"/>
      <c r="M402" s="110"/>
      <c r="N402" s="141"/>
      <c r="O402" s="141"/>
      <c r="P402" s="110"/>
      <c r="Q402" s="110"/>
      <c r="R402" s="110"/>
      <c r="T402" s="99"/>
      <c r="V402" s="172"/>
      <c r="Y402" s="172"/>
      <c r="Z402" s="217"/>
      <c r="AA402" s="110"/>
      <c r="AB402" s="110"/>
      <c r="AC402" s="141"/>
      <c r="AD402" s="141"/>
      <c r="AE402" s="110"/>
      <c r="AF402" s="110"/>
      <c r="AH402" s="207"/>
      <c r="AI402" s="110"/>
      <c r="AJ402" s="110"/>
      <c r="AL402" s="110"/>
      <c r="AM402" s="141"/>
      <c r="AN402" s="141"/>
    </row>
    <row r="403" spans="3:40" x14ac:dyDescent="0.3">
      <c r="C403" s="99"/>
      <c r="T403" s="99"/>
    </row>
    <row r="404" spans="3:40" x14ac:dyDescent="0.3">
      <c r="C404" s="99"/>
      <c r="F404" s="172"/>
      <c r="H404" s="172"/>
      <c r="I404" s="172"/>
      <c r="J404" s="228"/>
      <c r="K404" s="228"/>
      <c r="L404" s="110"/>
      <c r="M404" s="110"/>
      <c r="N404" s="141"/>
      <c r="O404" s="141"/>
      <c r="P404" s="110"/>
      <c r="Q404" s="110"/>
      <c r="R404" s="110"/>
      <c r="T404" s="99"/>
      <c r="V404" s="110"/>
      <c r="Y404" s="110"/>
      <c r="Z404" s="228"/>
      <c r="AA404" s="110"/>
      <c r="AB404" s="110"/>
      <c r="AC404" s="141"/>
      <c r="AD404" s="141"/>
      <c r="AE404" s="110"/>
      <c r="AF404" s="110"/>
      <c r="AH404" s="207"/>
      <c r="AI404" s="110"/>
      <c r="AJ404" s="110"/>
      <c r="AL404" s="110"/>
      <c r="AM404" s="141"/>
      <c r="AN404" s="141"/>
    </row>
    <row r="405" spans="3:40" x14ac:dyDescent="0.3">
      <c r="C405" s="99"/>
      <c r="F405" s="172"/>
      <c r="H405" s="172"/>
      <c r="I405" s="172"/>
      <c r="J405" s="228"/>
      <c r="K405" s="228"/>
      <c r="L405" s="110"/>
      <c r="M405" s="110"/>
      <c r="N405" s="141"/>
      <c r="O405" s="141"/>
      <c r="P405" s="110"/>
      <c r="Q405" s="110"/>
      <c r="R405" s="110"/>
      <c r="T405" s="99"/>
      <c r="V405" s="110"/>
      <c r="Y405" s="110"/>
      <c r="Z405" s="228"/>
      <c r="AA405" s="110"/>
      <c r="AB405" s="110"/>
      <c r="AC405" s="141"/>
      <c r="AD405" s="141"/>
      <c r="AE405" s="110"/>
      <c r="AF405" s="110"/>
      <c r="AH405" s="207"/>
      <c r="AI405" s="110"/>
      <c r="AJ405" s="110"/>
      <c r="AL405" s="110"/>
      <c r="AM405" s="141"/>
      <c r="AN405" s="141"/>
    </row>
    <row r="406" spans="3:40" x14ac:dyDescent="0.3">
      <c r="C406" s="99"/>
      <c r="F406" s="172"/>
      <c r="H406" s="172"/>
      <c r="I406" s="172"/>
      <c r="J406" s="228"/>
      <c r="K406" s="228"/>
      <c r="L406" s="110"/>
      <c r="M406" s="110"/>
      <c r="N406" s="141"/>
      <c r="O406" s="141"/>
      <c r="P406" s="110"/>
      <c r="Q406" s="110"/>
      <c r="R406" s="110"/>
      <c r="T406" s="99"/>
      <c r="V406" s="110"/>
      <c r="Y406" s="110"/>
      <c r="Z406" s="228"/>
      <c r="AA406" s="110"/>
      <c r="AB406" s="110"/>
      <c r="AC406" s="141"/>
      <c r="AD406" s="141"/>
      <c r="AE406" s="110"/>
      <c r="AF406" s="110"/>
      <c r="AH406" s="207"/>
      <c r="AI406" s="110"/>
      <c r="AJ406" s="110"/>
      <c r="AL406" s="110"/>
      <c r="AM406" s="141"/>
      <c r="AN406" s="141"/>
    </row>
    <row r="407" spans="3:40" x14ac:dyDescent="0.3">
      <c r="C407" s="99"/>
      <c r="F407" s="172"/>
      <c r="H407" s="172"/>
      <c r="I407" s="172"/>
      <c r="J407" s="228"/>
      <c r="K407" s="228"/>
      <c r="L407" s="110"/>
      <c r="M407" s="110"/>
      <c r="N407" s="141"/>
      <c r="O407" s="141"/>
      <c r="P407" s="110"/>
      <c r="Q407" s="110"/>
      <c r="R407" s="110"/>
      <c r="T407" s="99"/>
      <c r="V407" s="110"/>
      <c r="Y407" s="110"/>
      <c r="Z407" s="228"/>
      <c r="AA407" s="110"/>
      <c r="AB407" s="110"/>
      <c r="AC407" s="141"/>
      <c r="AD407" s="141"/>
      <c r="AE407" s="110"/>
      <c r="AF407" s="110"/>
      <c r="AH407" s="207"/>
      <c r="AI407" s="110"/>
      <c r="AJ407" s="110"/>
      <c r="AL407" s="110"/>
      <c r="AM407" s="141"/>
      <c r="AN407" s="141"/>
    </row>
    <row r="408" spans="3:40" x14ac:dyDescent="0.3">
      <c r="C408" s="99"/>
      <c r="J408" s="163"/>
      <c r="K408" s="163"/>
      <c r="T408" s="99"/>
      <c r="Z408" s="163"/>
    </row>
    <row r="409" spans="3:40" x14ac:dyDescent="0.3">
      <c r="C409" s="99"/>
      <c r="F409" s="172"/>
      <c r="H409" s="172"/>
      <c r="I409" s="172"/>
      <c r="J409" s="228"/>
      <c r="K409" s="228"/>
      <c r="L409" s="110"/>
      <c r="M409" s="110"/>
      <c r="N409" s="141"/>
      <c r="O409" s="141"/>
      <c r="P409" s="110"/>
      <c r="Q409" s="110"/>
      <c r="R409" s="110"/>
      <c r="T409" s="99"/>
      <c r="V409" s="110"/>
      <c r="Y409" s="110"/>
      <c r="Z409" s="228"/>
      <c r="AA409" s="110"/>
      <c r="AB409" s="110"/>
      <c r="AC409" s="141"/>
      <c r="AD409" s="141"/>
      <c r="AE409" s="110"/>
      <c r="AF409" s="110"/>
      <c r="AH409" s="207"/>
      <c r="AI409" s="110"/>
      <c r="AJ409" s="110"/>
      <c r="AL409" s="110"/>
      <c r="AM409" s="141"/>
      <c r="AN409" s="141"/>
    </row>
    <row r="410" spans="3:40" x14ac:dyDescent="0.3">
      <c r="C410" s="99"/>
      <c r="F410" s="172"/>
      <c r="H410" s="172"/>
      <c r="I410" s="172"/>
      <c r="J410" s="228"/>
      <c r="K410" s="228"/>
      <c r="L410" s="110"/>
      <c r="M410" s="110"/>
      <c r="N410" s="141"/>
      <c r="O410" s="141"/>
      <c r="P410" s="110"/>
      <c r="Q410" s="110"/>
      <c r="R410" s="110"/>
      <c r="T410" s="99"/>
      <c r="V410" s="110"/>
      <c r="Y410" s="110"/>
      <c r="Z410" s="228"/>
      <c r="AA410" s="110"/>
      <c r="AB410" s="110"/>
      <c r="AC410" s="141"/>
      <c r="AD410" s="141"/>
      <c r="AE410" s="110"/>
      <c r="AF410" s="110"/>
      <c r="AH410" s="207"/>
      <c r="AI410" s="110"/>
      <c r="AJ410" s="110"/>
      <c r="AL410" s="110"/>
      <c r="AM410" s="141"/>
      <c r="AN410" s="141"/>
    </row>
    <row r="411" spans="3:40" x14ac:dyDescent="0.3">
      <c r="C411" s="99"/>
      <c r="F411" s="172"/>
      <c r="H411" s="172"/>
      <c r="I411" s="172"/>
      <c r="J411" s="228"/>
      <c r="K411" s="228"/>
      <c r="L411" s="110"/>
      <c r="M411" s="110"/>
      <c r="N411" s="141"/>
      <c r="O411" s="141"/>
      <c r="P411" s="110"/>
      <c r="Q411" s="110"/>
      <c r="R411" s="110"/>
      <c r="T411" s="99"/>
      <c r="V411" s="110"/>
      <c r="Y411" s="110"/>
      <c r="Z411" s="228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3:40" x14ac:dyDescent="0.3">
      <c r="C412" s="99"/>
      <c r="J412" s="163"/>
      <c r="K412" s="163"/>
      <c r="T412" s="99"/>
      <c r="Z412" s="163"/>
    </row>
    <row r="413" spans="3:40" x14ac:dyDescent="0.3">
      <c r="C413" s="99"/>
      <c r="F413" s="172"/>
      <c r="H413" s="172"/>
      <c r="I413" s="172"/>
      <c r="J413" s="228"/>
      <c r="K413" s="228"/>
      <c r="L413" s="110"/>
      <c r="M413" s="110"/>
      <c r="N413" s="141"/>
      <c r="O413" s="141"/>
      <c r="P413" s="110"/>
      <c r="Q413" s="110"/>
      <c r="R413" s="110"/>
      <c r="T413" s="99"/>
      <c r="V413" s="110"/>
      <c r="Y413" s="110"/>
      <c r="Z413" s="228"/>
      <c r="AA413" s="110"/>
      <c r="AB413" s="110"/>
      <c r="AC413" s="141"/>
      <c r="AD413" s="141"/>
      <c r="AE413" s="110"/>
      <c r="AF413" s="110"/>
      <c r="AH413" s="207"/>
      <c r="AI413" s="110"/>
      <c r="AJ413" s="110"/>
      <c r="AL413" s="110"/>
      <c r="AM413" s="141"/>
      <c r="AN413" s="141"/>
    </row>
    <row r="414" spans="3:40" x14ac:dyDescent="0.3">
      <c r="C414" s="99"/>
      <c r="F414" s="172"/>
      <c r="H414" s="172"/>
      <c r="I414" s="172"/>
      <c r="J414" s="228"/>
      <c r="K414" s="228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228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J415" s="163"/>
      <c r="K415" s="163"/>
      <c r="T415" s="99"/>
      <c r="Z415" s="163"/>
    </row>
    <row r="416" spans="3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C417" s="99"/>
      <c r="F417" s="172"/>
      <c r="H417" s="172"/>
      <c r="I417" s="172"/>
      <c r="J417" s="228"/>
      <c r="K417" s="228"/>
      <c r="L417" s="110"/>
      <c r="M417" s="110"/>
      <c r="N417" s="141"/>
      <c r="O417" s="141"/>
      <c r="P417" s="110"/>
      <c r="Q417" s="110"/>
      <c r="R417" s="110"/>
      <c r="T417" s="99"/>
      <c r="V417" s="110"/>
      <c r="Y417" s="110"/>
      <c r="Z417" s="228"/>
      <c r="AA417" s="110"/>
      <c r="AB417" s="110"/>
      <c r="AC417" s="141"/>
      <c r="AD417" s="141"/>
      <c r="AE417" s="110"/>
      <c r="AF417" s="110"/>
      <c r="AH417" s="207"/>
      <c r="AI417" s="110"/>
      <c r="AJ417" s="110"/>
      <c r="AL417" s="110"/>
      <c r="AM417" s="141"/>
      <c r="AN417" s="141"/>
    </row>
    <row r="418" spans="3:40" x14ac:dyDescent="0.3">
      <c r="C418" s="99"/>
      <c r="F418" s="172"/>
      <c r="H418" s="172"/>
      <c r="I418" s="172"/>
      <c r="J418" s="228"/>
      <c r="K418" s="228"/>
      <c r="L418" s="110"/>
      <c r="M418" s="110"/>
      <c r="N418" s="141"/>
      <c r="O418" s="141"/>
      <c r="P418" s="110"/>
      <c r="Q418" s="110"/>
      <c r="R418" s="110"/>
      <c r="T418" s="99"/>
      <c r="V418" s="110"/>
      <c r="Y418" s="110"/>
      <c r="Z418" s="228"/>
      <c r="AA418" s="110"/>
      <c r="AB418" s="110"/>
      <c r="AC418" s="141"/>
      <c r="AD418" s="141"/>
      <c r="AE418" s="110"/>
      <c r="AF418" s="110"/>
      <c r="AH418" s="207"/>
      <c r="AI418" s="110"/>
      <c r="AJ418" s="110"/>
      <c r="AL418" s="110"/>
      <c r="AM418" s="141"/>
      <c r="AN418" s="141"/>
    </row>
    <row r="419" spans="3:40" x14ac:dyDescent="0.3">
      <c r="F419" s="192"/>
      <c r="H419" s="192"/>
      <c r="I419" s="192"/>
      <c r="J419" s="228"/>
      <c r="K419" s="228"/>
      <c r="L419" s="192"/>
      <c r="M419" s="192"/>
      <c r="N419" s="192"/>
      <c r="O419" s="192"/>
      <c r="P419" s="192"/>
      <c r="Q419" s="192"/>
      <c r="R419" s="192"/>
      <c r="V419" s="192"/>
      <c r="Y419" s="192"/>
      <c r="Z419" s="228"/>
      <c r="AA419" s="192"/>
      <c r="AB419" s="192"/>
      <c r="AC419" s="192"/>
      <c r="AD419" s="192"/>
      <c r="AE419" s="192"/>
      <c r="AF419" s="192"/>
      <c r="AI419" s="192"/>
      <c r="AJ419" s="192"/>
      <c r="AK419" s="194"/>
      <c r="AL419" s="192"/>
    </row>
    <row r="420" spans="3:40" x14ac:dyDescent="0.3">
      <c r="C420" s="102"/>
      <c r="F420" s="110"/>
      <c r="H420" s="110"/>
      <c r="I420" s="110"/>
      <c r="J420" s="163"/>
      <c r="K420" s="163"/>
      <c r="L420" s="110"/>
      <c r="M420" s="110"/>
      <c r="N420" s="207"/>
      <c r="O420" s="207"/>
      <c r="P420" s="110"/>
      <c r="Q420" s="110"/>
      <c r="R420" s="110"/>
      <c r="T420" s="102"/>
      <c r="V420" s="110"/>
      <c r="Y420" s="110"/>
      <c r="Z420" s="163"/>
      <c r="AA420" s="110"/>
      <c r="AB420" s="110"/>
      <c r="AC420" s="110"/>
      <c r="AD420" s="110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F421" s="192"/>
      <c r="H421" s="192"/>
      <c r="I421" s="192"/>
      <c r="J421" s="228"/>
      <c r="K421" s="228"/>
      <c r="L421" s="192"/>
      <c r="M421" s="192"/>
      <c r="N421" s="192"/>
      <c r="O421" s="192"/>
      <c r="P421" s="192"/>
      <c r="Q421" s="192"/>
      <c r="R421" s="192"/>
      <c r="V421" s="192"/>
      <c r="Y421" s="192"/>
      <c r="Z421" s="228"/>
      <c r="AA421" s="192"/>
      <c r="AB421" s="192"/>
      <c r="AC421" s="192"/>
      <c r="AD421" s="192"/>
      <c r="AE421" s="192"/>
      <c r="AF421" s="192"/>
      <c r="AI421" s="192"/>
      <c r="AJ421" s="192"/>
      <c r="AK421" s="194"/>
      <c r="AL421" s="192"/>
    </row>
    <row r="422" spans="3:40" x14ac:dyDescent="0.3">
      <c r="C422" s="99"/>
      <c r="J422" s="163"/>
      <c r="K422" s="163"/>
      <c r="T422" s="99"/>
      <c r="Z422" s="163"/>
    </row>
    <row r="423" spans="3:40" x14ac:dyDescent="0.3">
      <c r="C423" s="99"/>
      <c r="J423" s="163"/>
      <c r="K423" s="163"/>
      <c r="T423" s="99"/>
      <c r="Z423" s="163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C425" s="99"/>
      <c r="F425" s="172"/>
      <c r="H425" s="172"/>
      <c r="I425" s="172"/>
      <c r="J425" s="228"/>
      <c r="K425" s="228"/>
      <c r="L425" s="110"/>
      <c r="M425" s="110"/>
      <c r="N425" s="141"/>
      <c r="O425" s="141"/>
      <c r="P425" s="110"/>
      <c r="Q425" s="110"/>
      <c r="R425" s="110"/>
      <c r="T425" s="99"/>
      <c r="V425" s="110"/>
      <c r="Y425" s="110"/>
      <c r="Z425" s="228"/>
      <c r="AA425" s="110"/>
      <c r="AB425" s="110"/>
      <c r="AC425" s="141"/>
      <c r="AD425" s="141"/>
      <c r="AE425" s="110"/>
      <c r="AF425" s="110"/>
      <c r="AH425" s="207"/>
      <c r="AI425" s="110"/>
      <c r="AJ425" s="110"/>
      <c r="AL425" s="110"/>
      <c r="AM425" s="141"/>
      <c r="AN425" s="141"/>
    </row>
    <row r="426" spans="3:40" x14ac:dyDescent="0.3">
      <c r="C426" s="99"/>
      <c r="F426" s="172"/>
      <c r="H426" s="172"/>
      <c r="I426" s="172"/>
      <c r="J426" s="228"/>
      <c r="K426" s="228"/>
      <c r="L426" s="110"/>
      <c r="M426" s="110"/>
      <c r="N426" s="141"/>
      <c r="O426" s="141"/>
      <c r="P426" s="110"/>
      <c r="Q426" s="110"/>
      <c r="R426" s="110"/>
      <c r="T426" s="99"/>
      <c r="V426" s="110"/>
      <c r="Y426" s="110"/>
      <c r="Z426" s="228"/>
      <c r="AA426" s="110"/>
      <c r="AB426" s="110"/>
      <c r="AC426" s="141"/>
      <c r="AD426" s="141"/>
      <c r="AE426" s="110"/>
      <c r="AF426" s="110"/>
      <c r="AH426" s="207"/>
      <c r="AI426" s="110"/>
      <c r="AJ426" s="110"/>
      <c r="AL426" s="110"/>
      <c r="AM426" s="141"/>
      <c r="AN426" s="141"/>
    </row>
    <row r="427" spans="3:40" x14ac:dyDescent="0.3">
      <c r="C427" s="99"/>
      <c r="F427" s="172"/>
      <c r="H427" s="172"/>
      <c r="I427" s="172"/>
      <c r="J427" s="228"/>
      <c r="K427" s="228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8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3:40" x14ac:dyDescent="0.3">
      <c r="C428" s="99"/>
      <c r="F428" s="172"/>
      <c r="H428" s="172"/>
      <c r="I428" s="172"/>
      <c r="J428" s="228"/>
      <c r="K428" s="228"/>
      <c r="L428" s="110"/>
      <c r="M428" s="110"/>
      <c r="N428" s="141"/>
      <c r="O428" s="141"/>
      <c r="P428" s="110"/>
      <c r="Q428" s="110"/>
      <c r="R428" s="110"/>
      <c r="T428" s="99"/>
      <c r="V428" s="110"/>
      <c r="Y428" s="110"/>
      <c r="Z428" s="228"/>
      <c r="AA428" s="110"/>
      <c r="AB428" s="110"/>
      <c r="AC428" s="141"/>
      <c r="AD428" s="141"/>
      <c r="AE428" s="110"/>
      <c r="AF428" s="110"/>
      <c r="AH428" s="207"/>
      <c r="AI428" s="110"/>
      <c r="AJ428" s="110"/>
      <c r="AL428" s="110"/>
      <c r="AM428" s="141"/>
      <c r="AN428" s="141"/>
    </row>
    <row r="429" spans="3:40" x14ac:dyDescent="0.3">
      <c r="C429" s="99"/>
      <c r="F429" s="172"/>
      <c r="H429" s="172"/>
      <c r="I429" s="172"/>
      <c r="J429" s="228"/>
      <c r="K429" s="228"/>
      <c r="L429" s="110"/>
      <c r="M429" s="110"/>
      <c r="N429" s="141"/>
      <c r="O429" s="141"/>
      <c r="P429" s="110"/>
      <c r="Q429" s="110"/>
      <c r="R429" s="110"/>
      <c r="T429" s="99"/>
      <c r="V429" s="110"/>
      <c r="Y429" s="110"/>
      <c r="Z429" s="228"/>
      <c r="AA429" s="110"/>
      <c r="AB429" s="110"/>
      <c r="AC429" s="141"/>
      <c r="AD429" s="141"/>
      <c r="AE429" s="110"/>
      <c r="AF429" s="110"/>
      <c r="AH429" s="207"/>
      <c r="AI429" s="110"/>
      <c r="AJ429" s="110"/>
      <c r="AL429" s="110"/>
      <c r="AM429" s="141"/>
      <c r="AN429" s="141"/>
    </row>
    <row r="430" spans="3:40" x14ac:dyDescent="0.3">
      <c r="C430" s="99"/>
      <c r="F430" s="172"/>
      <c r="H430" s="172"/>
      <c r="I430" s="172"/>
      <c r="J430" s="228"/>
      <c r="K430" s="228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228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J431" s="163"/>
      <c r="K431" s="163"/>
      <c r="T431" s="99"/>
      <c r="Z431" s="163"/>
    </row>
    <row r="432" spans="3:40" x14ac:dyDescent="0.3">
      <c r="C432" s="99"/>
      <c r="F432" s="172"/>
      <c r="H432" s="172"/>
      <c r="I432" s="172"/>
      <c r="J432" s="228"/>
      <c r="K432" s="228"/>
      <c r="L432" s="110"/>
      <c r="M432" s="110"/>
      <c r="N432" s="141"/>
      <c r="O432" s="141"/>
      <c r="P432" s="110"/>
      <c r="Q432" s="110"/>
      <c r="R432" s="110"/>
      <c r="T432" s="99"/>
      <c r="V432" s="110"/>
      <c r="Y432" s="110"/>
      <c r="Z432" s="228"/>
      <c r="AA432" s="110"/>
      <c r="AB432" s="110"/>
      <c r="AC432" s="141"/>
      <c r="AD432" s="141"/>
      <c r="AE432" s="110"/>
      <c r="AF432" s="110"/>
      <c r="AH432" s="207"/>
      <c r="AI432" s="110"/>
      <c r="AJ432" s="110"/>
      <c r="AL432" s="110"/>
      <c r="AM432" s="141"/>
      <c r="AN432" s="141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8"/>
      <c r="K434" s="228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8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C435" s="99"/>
      <c r="F435" s="172"/>
      <c r="H435" s="172"/>
      <c r="I435" s="172"/>
      <c r="J435" s="228"/>
      <c r="K435" s="228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8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3:40" x14ac:dyDescent="0.3">
      <c r="C436" s="99"/>
      <c r="J436" s="163"/>
      <c r="K436" s="163"/>
      <c r="T436" s="99"/>
      <c r="Z436" s="163"/>
    </row>
    <row r="437" spans="3:40" x14ac:dyDescent="0.3">
      <c r="C437" s="99"/>
      <c r="F437" s="172"/>
      <c r="H437" s="172"/>
      <c r="I437" s="172"/>
      <c r="J437" s="228"/>
      <c r="K437" s="228"/>
      <c r="L437" s="110"/>
      <c r="M437" s="110"/>
      <c r="N437" s="141"/>
      <c r="O437" s="141"/>
      <c r="P437" s="110"/>
      <c r="Q437" s="110"/>
      <c r="R437" s="110"/>
      <c r="T437" s="99"/>
      <c r="V437" s="110"/>
      <c r="Y437" s="110"/>
      <c r="Z437" s="228"/>
      <c r="AA437" s="110"/>
      <c r="AB437" s="110"/>
      <c r="AC437" s="141"/>
      <c r="AD437" s="141"/>
      <c r="AE437" s="110"/>
      <c r="AF437" s="110"/>
      <c r="AH437" s="207"/>
      <c r="AI437" s="110"/>
      <c r="AJ437" s="110"/>
      <c r="AL437" s="110"/>
      <c r="AM437" s="141"/>
      <c r="AN437" s="141"/>
    </row>
    <row r="438" spans="3:40" x14ac:dyDescent="0.3">
      <c r="C438" s="99"/>
      <c r="F438" s="172"/>
      <c r="H438" s="172"/>
      <c r="I438" s="172"/>
      <c r="J438" s="228"/>
      <c r="K438" s="228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8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C439" s="99"/>
      <c r="F439" s="172"/>
      <c r="H439" s="172"/>
      <c r="I439" s="172"/>
      <c r="J439" s="228"/>
      <c r="K439" s="228"/>
      <c r="L439" s="110"/>
      <c r="M439" s="110"/>
      <c r="N439" s="141"/>
      <c r="O439" s="141"/>
      <c r="P439" s="110"/>
      <c r="Q439" s="110"/>
      <c r="R439" s="110"/>
      <c r="T439" s="99"/>
      <c r="V439" s="110"/>
      <c r="Y439" s="110"/>
      <c r="Z439" s="228"/>
      <c r="AA439" s="110"/>
      <c r="AB439" s="110"/>
      <c r="AC439" s="141"/>
      <c r="AD439" s="141"/>
      <c r="AE439" s="110"/>
      <c r="AF439" s="110"/>
      <c r="AH439" s="207"/>
      <c r="AI439" s="110"/>
      <c r="AJ439" s="110"/>
      <c r="AL439" s="110"/>
      <c r="AM439" s="141"/>
      <c r="AN439" s="141"/>
    </row>
    <row r="440" spans="3:40" x14ac:dyDescent="0.3">
      <c r="C440" s="99"/>
      <c r="F440" s="172"/>
      <c r="H440" s="172"/>
      <c r="I440" s="172"/>
      <c r="J440" s="228"/>
      <c r="K440" s="228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Z440" s="228"/>
      <c r="AA440" s="110"/>
      <c r="AB440" s="110"/>
      <c r="AC440" s="141"/>
      <c r="AD440" s="141"/>
      <c r="AE440" s="110"/>
      <c r="AF440" s="110"/>
      <c r="AH440" s="207"/>
      <c r="AI440" s="110"/>
      <c r="AJ440" s="110"/>
      <c r="AL440" s="110"/>
      <c r="AM440" s="141"/>
      <c r="AN440" s="141"/>
    </row>
    <row r="441" spans="3:40" x14ac:dyDescent="0.3">
      <c r="C441" s="99"/>
      <c r="F441" s="172"/>
      <c r="H441" s="172"/>
      <c r="I441" s="172"/>
      <c r="J441" s="228"/>
      <c r="K441" s="228"/>
      <c r="L441" s="110"/>
      <c r="M441" s="110"/>
      <c r="N441" s="141"/>
      <c r="O441" s="141"/>
      <c r="P441" s="110"/>
      <c r="Q441" s="110"/>
      <c r="R441" s="110"/>
      <c r="T441" s="99"/>
      <c r="V441" s="110"/>
      <c r="Y441" s="110"/>
      <c r="Z441" s="228"/>
      <c r="AA441" s="110"/>
      <c r="AB441" s="110"/>
      <c r="AC441" s="141"/>
      <c r="AD441" s="141"/>
      <c r="AE441" s="110"/>
      <c r="AF441" s="110"/>
      <c r="AH441" s="207"/>
      <c r="AI441" s="110"/>
      <c r="AJ441" s="110"/>
      <c r="AL441" s="110"/>
      <c r="AM441" s="141"/>
      <c r="AN441" s="141"/>
    </row>
    <row r="442" spans="3:40" x14ac:dyDescent="0.3">
      <c r="F442" s="192"/>
      <c r="H442" s="192"/>
      <c r="I442" s="192"/>
      <c r="J442" s="217"/>
      <c r="K442" s="217"/>
      <c r="L442" s="192"/>
      <c r="M442" s="192"/>
      <c r="N442" s="192"/>
      <c r="O442" s="192"/>
      <c r="P442" s="192"/>
      <c r="Q442" s="192"/>
      <c r="R442" s="192"/>
      <c r="V442" s="192"/>
      <c r="Y442" s="192"/>
      <c r="Z442" s="228"/>
      <c r="AA442" s="192"/>
      <c r="AB442" s="192"/>
      <c r="AC442" s="192"/>
      <c r="AD442" s="192"/>
      <c r="AE442" s="192"/>
      <c r="AF442" s="192"/>
      <c r="AI442" s="192"/>
      <c r="AJ442" s="192"/>
      <c r="AK442" s="194"/>
      <c r="AL442" s="192"/>
    </row>
    <row r="443" spans="3:40" x14ac:dyDescent="0.3">
      <c r="C443" s="99"/>
      <c r="F443" s="110"/>
      <c r="H443" s="110"/>
      <c r="I443" s="110"/>
      <c r="L443" s="110"/>
      <c r="M443" s="110"/>
      <c r="N443" s="207"/>
      <c r="O443" s="207"/>
      <c r="P443" s="110"/>
      <c r="Q443" s="110"/>
      <c r="R443" s="110"/>
      <c r="T443" s="99"/>
      <c r="V443" s="110"/>
      <c r="Y443" s="110"/>
      <c r="AA443" s="110"/>
      <c r="AB443" s="110"/>
      <c r="AC443" s="141"/>
      <c r="AD443" s="141"/>
      <c r="AE443" s="110"/>
      <c r="AF443" s="110"/>
      <c r="AH443" s="207"/>
      <c r="AI443" s="110"/>
      <c r="AJ443" s="110"/>
      <c r="AL443" s="110"/>
      <c r="AM443" s="141"/>
      <c r="AN443" s="141"/>
    </row>
    <row r="444" spans="3:40" x14ac:dyDescent="0.3">
      <c r="F444" s="192"/>
      <c r="H444" s="192"/>
      <c r="I444" s="192"/>
      <c r="J444" s="217"/>
      <c r="K444" s="217"/>
      <c r="L444" s="192"/>
      <c r="M444" s="192"/>
      <c r="N444" s="192"/>
      <c r="O444" s="192"/>
      <c r="P444" s="192"/>
      <c r="Q444" s="192"/>
      <c r="R444" s="192"/>
      <c r="V444" s="192"/>
      <c r="Y444" s="192"/>
      <c r="Z444" s="217"/>
      <c r="AA444" s="192"/>
      <c r="AB444" s="192"/>
      <c r="AC444" s="192"/>
      <c r="AD444" s="192"/>
      <c r="AE444" s="192"/>
      <c r="AF444" s="192"/>
      <c r="AI444" s="192"/>
      <c r="AJ444" s="192"/>
      <c r="AK444" s="194"/>
      <c r="AL444" s="192"/>
    </row>
    <row r="445" spans="3:40" x14ac:dyDescent="0.3">
      <c r="C445" s="99"/>
      <c r="T445" s="99"/>
    </row>
    <row r="446" spans="3:40" x14ac:dyDescent="0.3">
      <c r="C446" s="99"/>
      <c r="F446" s="172"/>
      <c r="H446" s="172"/>
      <c r="I446" s="172"/>
      <c r="J446" s="181"/>
      <c r="K446" s="181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181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C447" s="99"/>
      <c r="F447" s="172"/>
      <c r="H447" s="172"/>
      <c r="I447" s="172"/>
      <c r="J447" s="181"/>
      <c r="K447" s="181"/>
      <c r="L447" s="110"/>
      <c r="M447" s="110"/>
      <c r="N447" s="141"/>
      <c r="O447" s="141"/>
      <c r="P447" s="110"/>
      <c r="Q447" s="110"/>
      <c r="R447" s="110"/>
      <c r="T447" s="99"/>
      <c r="V447" s="110"/>
      <c r="Y447" s="110"/>
      <c r="Z447" s="181"/>
      <c r="AA447" s="110"/>
      <c r="AB447" s="110"/>
      <c r="AC447" s="141"/>
      <c r="AD447" s="141"/>
      <c r="AE447" s="110"/>
      <c r="AF447" s="110"/>
      <c r="AH447" s="207"/>
      <c r="AI447" s="110"/>
      <c r="AJ447" s="110"/>
      <c r="AL447" s="110"/>
      <c r="AM447" s="141"/>
      <c r="AN447" s="141"/>
    </row>
    <row r="448" spans="3:40" x14ac:dyDescent="0.3">
      <c r="F448" s="192"/>
      <c r="H448" s="110"/>
      <c r="I448" s="110"/>
      <c r="J448" s="217"/>
      <c r="K448" s="217"/>
      <c r="L448" s="192"/>
      <c r="M448" s="192"/>
      <c r="N448" s="192"/>
      <c r="O448" s="192"/>
      <c r="P448" s="192"/>
      <c r="Q448" s="192"/>
      <c r="R448" s="192"/>
      <c r="V448" s="192"/>
      <c r="Y448" s="110"/>
      <c r="Z448" s="217"/>
      <c r="AA448" s="192"/>
      <c r="AB448" s="192"/>
      <c r="AC448" s="192"/>
      <c r="AD448" s="192"/>
      <c r="AE448" s="192"/>
      <c r="AF448" s="192"/>
      <c r="AI448" s="192"/>
      <c r="AJ448" s="192"/>
      <c r="AK448" s="194"/>
      <c r="AL448" s="192"/>
    </row>
    <row r="449" spans="1:40" x14ac:dyDescent="0.3">
      <c r="F449" s="110"/>
      <c r="H449" s="110"/>
      <c r="I449" s="110"/>
      <c r="J449" s="217"/>
      <c r="K449" s="217"/>
      <c r="L449" s="110"/>
      <c r="M449" s="110"/>
      <c r="N449" s="110"/>
      <c r="O449" s="110"/>
      <c r="P449" s="110"/>
      <c r="Q449" s="110"/>
      <c r="R449" s="110"/>
      <c r="V449" s="110"/>
      <c r="Y449" s="110"/>
      <c r="Z449" s="217"/>
      <c r="AA449" s="110"/>
      <c r="AB449" s="110"/>
      <c r="AC449" s="110"/>
      <c r="AD449" s="110"/>
      <c r="AE449" s="110"/>
      <c r="AF449" s="110"/>
      <c r="AI449" s="110"/>
      <c r="AJ449" s="110"/>
      <c r="AL449" s="110"/>
    </row>
    <row r="450" spans="1:40" x14ac:dyDescent="0.3">
      <c r="C450" s="99"/>
      <c r="F450" s="110"/>
      <c r="H450" s="110"/>
      <c r="I450" s="110"/>
      <c r="L450" s="110"/>
      <c r="M450" s="110"/>
      <c r="N450" s="141"/>
      <c r="O450" s="141"/>
      <c r="P450" s="110"/>
      <c r="Q450" s="110"/>
      <c r="R450" s="110"/>
      <c r="T450" s="99"/>
      <c r="V450" s="110"/>
      <c r="Y450" s="110"/>
      <c r="AA450" s="110"/>
      <c r="AB450" s="110"/>
      <c r="AC450" s="141"/>
      <c r="AD450" s="141"/>
      <c r="AE450" s="110"/>
      <c r="AF450" s="110"/>
      <c r="AH450" s="207"/>
      <c r="AI450" s="172"/>
      <c r="AJ450" s="172"/>
      <c r="AL450" s="110"/>
      <c r="AM450" s="141"/>
      <c r="AN450" s="141"/>
    </row>
    <row r="451" spans="1:40" x14ac:dyDescent="0.3">
      <c r="F451" s="192"/>
      <c r="H451" s="192"/>
      <c r="I451" s="192"/>
      <c r="J451" s="217"/>
      <c r="K451" s="217"/>
      <c r="L451" s="192"/>
      <c r="M451" s="192"/>
      <c r="N451" s="192"/>
      <c r="O451" s="192"/>
      <c r="P451" s="192"/>
      <c r="Q451" s="192"/>
      <c r="R451" s="192"/>
      <c r="V451" s="192"/>
      <c r="Y451" s="192"/>
      <c r="Z451" s="217"/>
      <c r="AA451" s="192"/>
      <c r="AB451" s="192"/>
      <c r="AC451" s="192"/>
      <c r="AD451" s="192"/>
      <c r="AE451" s="192"/>
      <c r="AF451" s="192"/>
      <c r="AI451" s="192"/>
      <c r="AJ451" s="192"/>
      <c r="AK451" s="194"/>
      <c r="AL451" s="192"/>
    </row>
    <row r="453" spans="1:40" x14ac:dyDescent="0.3">
      <c r="A453" s="99"/>
      <c r="T453" s="99"/>
    </row>
    <row r="454" spans="1:40" x14ac:dyDescent="0.3">
      <c r="A454" s="99"/>
      <c r="T454" s="99"/>
    </row>
    <row r="455" spans="1:40" x14ac:dyDescent="0.3">
      <c r="A455" s="99"/>
      <c r="T455" s="99"/>
    </row>
    <row r="456" spans="1:40" x14ac:dyDescent="0.3">
      <c r="A456" s="99"/>
      <c r="T456" s="99"/>
    </row>
    <row r="457" spans="1:40" x14ac:dyDescent="0.3">
      <c r="A457" s="99"/>
      <c r="T457" s="99"/>
    </row>
    <row r="458" spans="1:40" x14ac:dyDescent="0.3">
      <c r="A458" s="99"/>
      <c r="T458" s="99"/>
    </row>
    <row r="459" spans="1:40" x14ac:dyDescent="0.3">
      <c r="A459" s="99"/>
      <c r="T459" s="99"/>
    </row>
    <row r="460" spans="1:40" x14ac:dyDescent="0.3">
      <c r="A460" s="99"/>
      <c r="T460" s="99"/>
    </row>
    <row r="461" spans="1:40" x14ac:dyDescent="0.3">
      <c r="A461" s="99"/>
      <c r="T461" s="99"/>
    </row>
    <row r="463" spans="1:40" x14ac:dyDescent="0.3">
      <c r="A463" s="99"/>
    </row>
    <row r="465" spans="1:40" x14ac:dyDescent="0.3">
      <c r="H465" s="99"/>
      <c r="I465" s="99"/>
      <c r="Y465" s="99"/>
    </row>
    <row r="467" spans="1:40" x14ac:dyDescent="0.3">
      <c r="L467" s="99"/>
      <c r="M467" s="99"/>
      <c r="AA467" s="99"/>
      <c r="AB467" s="99"/>
    </row>
    <row r="468" spans="1:40" x14ac:dyDescent="0.3">
      <c r="R468" s="99"/>
      <c r="AK468" s="190"/>
      <c r="AL468" s="99"/>
    </row>
    <row r="469" spans="1:40" x14ac:dyDescent="0.3">
      <c r="R469" s="99"/>
      <c r="AK469" s="190"/>
      <c r="AL469" s="99"/>
    </row>
    <row r="470" spans="1:40" x14ac:dyDescent="0.3">
      <c r="A470" s="99"/>
      <c r="R470" s="99"/>
      <c r="AK470" s="190"/>
      <c r="AL470" s="99"/>
    </row>
    <row r="471" spans="1:40" x14ac:dyDescent="0.3">
      <c r="L471" s="99"/>
      <c r="M471" s="99"/>
      <c r="AA471" s="99"/>
      <c r="AB471" s="99"/>
    </row>
    <row r="472" spans="1:40" x14ac:dyDescent="0.3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91"/>
      <c r="AH472" s="101"/>
      <c r="AI472" s="101"/>
      <c r="AJ472" s="101"/>
      <c r="AK472" s="191"/>
      <c r="AL472" s="101"/>
      <c r="AM472" s="101"/>
      <c r="AN472" s="101"/>
    </row>
    <row r="473" spans="1:40" x14ac:dyDescent="0.3">
      <c r="L473" s="102"/>
      <c r="M473" s="102"/>
      <c r="N473" s="102"/>
      <c r="O473" s="102"/>
      <c r="R473" s="102"/>
      <c r="AA473" s="102"/>
      <c r="AB473" s="102"/>
      <c r="AC473" s="102"/>
      <c r="AD473" s="102"/>
      <c r="AE473" s="102"/>
      <c r="AF473" s="102"/>
      <c r="AG473" s="151"/>
      <c r="AH473" s="102"/>
      <c r="AK473" s="151"/>
      <c r="AL473" s="102"/>
      <c r="AM473" s="102"/>
      <c r="AN473" s="102"/>
    </row>
    <row r="474" spans="1:40" x14ac:dyDescent="0.3">
      <c r="L474" s="102"/>
      <c r="M474" s="102"/>
      <c r="N474" s="102"/>
      <c r="O474" s="102"/>
      <c r="R474" s="102"/>
      <c r="Z474" s="102"/>
      <c r="AA474" s="102"/>
      <c r="AB474" s="102"/>
      <c r="AC474" s="102"/>
      <c r="AD474" s="102"/>
      <c r="AE474" s="102"/>
      <c r="AF474" s="102"/>
      <c r="AG474" s="151"/>
      <c r="AH474" s="102"/>
      <c r="AK474" s="151"/>
      <c r="AL474" s="102"/>
      <c r="AM474" s="102"/>
      <c r="AN474" s="102"/>
    </row>
    <row r="475" spans="1:40" x14ac:dyDescent="0.3">
      <c r="A475" s="102"/>
      <c r="C475" s="102"/>
      <c r="D475" s="102"/>
      <c r="E475" s="102"/>
      <c r="F475" s="102"/>
      <c r="J475" s="102"/>
      <c r="K475" s="102"/>
      <c r="L475" s="102"/>
      <c r="M475" s="102"/>
      <c r="N475" s="102"/>
      <c r="O475" s="102"/>
      <c r="P475" s="102"/>
      <c r="Q475" s="102"/>
      <c r="R475" s="102"/>
      <c r="T475" s="102"/>
      <c r="U475" s="102"/>
      <c r="V475" s="102"/>
      <c r="Z475" s="102"/>
      <c r="AA475" s="102"/>
      <c r="AB475" s="102"/>
      <c r="AC475" s="102"/>
      <c r="AD475" s="102"/>
      <c r="AE475" s="102"/>
      <c r="AF475" s="102"/>
      <c r="AG475" s="151"/>
      <c r="AH475" s="102"/>
      <c r="AI475" s="102"/>
      <c r="AJ475" s="102"/>
      <c r="AK475" s="151"/>
      <c r="AL475" s="102"/>
      <c r="AM475" s="102"/>
      <c r="AN475" s="102"/>
    </row>
    <row r="476" spans="1:40" x14ac:dyDescent="0.3">
      <c r="A476" s="102"/>
      <c r="C476" s="102"/>
      <c r="D476" s="102"/>
      <c r="E476" s="102"/>
      <c r="F476" s="102"/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T476" s="102"/>
      <c r="U476" s="102"/>
      <c r="V476" s="102"/>
      <c r="Y476" s="102"/>
      <c r="Z476" s="102"/>
      <c r="AA476" s="102"/>
      <c r="AB476" s="102"/>
      <c r="AC476" s="102"/>
      <c r="AD476" s="102"/>
      <c r="AE476" s="102"/>
      <c r="AF476" s="102"/>
      <c r="AG476" s="151"/>
      <c r="AH476" s="102"/>
      <c r="AI476" s="102"/>
      <c r="AJ476" s="102"/>
      <c r="AK476" s="151"/>
      <c r="AL476" s="102"/>
      <c r="AM476" s="102"/>
      <c r="AN476" s="102"/>
    </row>
    <row r="477" spans="1:40" x14ac:dyDescent="0.3">
      <c r="C477" s="102"/>
      <c r="D477" s="102"/>
      <c r="E477" s="102"/>
      <c r="F477" s="102"/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T477" s="102"/>
      <c r="U477" s="102"/>
      <c r="V477" s="102"/>
      <c r="Y477" s="102"/>
      <c r="Z477" s="102"/>
      <c r="AA477" s="102"/>
      <c r="AB477" s="102"/>
      <c r="AC477" s="102"/>
      <c r="AD477" s="102"/>
      <c r="AE477" s="102"/>
      <c r="AF477" s="102"/>
      <c r="AG477" s="151"/>
      <c r="AH477" s="102"/>
      <c r="AI477" s="102"/>
      <c r="AJ477" s="102"/>
      <c r="AK477" s="151"/>
      <c r="AL477" s="102"/>
      <c r="AM477" s="102"/>
      <c r="AN477" s="102"/>
    </row>
    <row r="478" spans="1:40" x14ac:dyDescent="0.3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91"/>
      <c r="AH478" s="101"/>
      <c r="AI478" s="101"/>
      <c r="AJ478" s="101"/>
      <c r="AK478" s="191"/>
      <c r="AL478" s="101"/>
      <c r="AM478" s="101"/>
      <c r="AN478" s="101"/>
    </row>
    <row r="479" spans="1:40" x14ac:dyDescent="0.3"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Y479" s="102"/>
      <c r="Z479" s="102"/>
      <c r="AA479" s="102"/>
      <c r="AB479" s="102"/>
      <c r="AC479" s="102"/>
      <c r="AD479" s="102"/>
      <c r="AE479" s="102"/>
      <c r="AF479" s="102"/>
      <c r="AG479" s="151"/>
      <c r="AH479" s="102"/>
      <c r="AI479" s="102"/>
      <c r="AJ479" s="102"/>
      <c r="AK479" s="151"/>
      <c r="AL479" s="102"/>
      <c r="AM479" s="102"/>
      <c r="AN479" s="102"/>
    </row>
    <row r="480" spans="1:40" x14ac:dyDescent="0.3">
      <c r="C480" s="99"/>
      <c r="D480" s="99"/>
      <c r="E480" s="99"/>
      <c r="T480" s="99"/>
      <c r="U480" s="99"/>
    </row>
    <row r="481" spans="3:40" x14ac:dyDescent="0.3">
      <c r="D481" s="99"/>
      <c r="E481" s="99"/>
      <c r="U481" s="99"/>
    </row>
    <row r="483" spans="3:40" x14ac:dyDescent="0.3">
      <c r="C483" s="99"/>
      <c r="F483" s="110"/>
      <c r="J483" s="209"/>
      <c r="K483" s="209"/>
      <c r="L483" s="110"/>
      <c r="M483" s="110"/>
      <c r="R483" s="110"/>
      <c r="T483" s="99"/>
      <c r="V483" s="110"/>
      <c r="Z483" s="209"/>
      <c r="AA483" s="110"/>
      <c r="AB483" s="110"/>
      <c r="AH483" s="110"/>
      <c r="AL483" s="110"/>
    </row>
    <row r="484" spans="3:40" x14ac:dyDescent="0.3">
      <c r="C484" s="99"/>
      <c r="F484" s="110"/>
      <c r="R484" s="110"/>
      <c r="T484" s="99"/>
      <c r="V484" s="110"/>
      <c r="AH484" s="110"/>
      <c r="AL484" s="110"/>
    </row>
    <row r="485" spans="3:40" x14ac:dyDescent="0.3">
      <c r="AI485" s="110"/>
      <c r="AJ485" s="110"/>
      <c r="AL485" s="110"/>
      <c r="AM485" s="141"/>
      <c r="AN485" s="141"/>
    </row>
    <row r="486" spans="3:40" x14ac:dyDescent="0.3">
      <c r="C486" s="99"/>
      <c r="F486" s="172"/>
      <c r="H486" s="172"/>
      <c r="I486" s="172"/>
      <c r="J486" s="227"/>
      <c r="K486" s="227"/>
      <c r="L486" s="110"/>
      <c r="M486" s="110"/>
      <c r="N486" s="141"/>
      <c r="O486" s="141"/>
      <c r="P486" s="110"/>
      <c r="Q486" s="110"/>
      <c r="R486" s="110"/>
      <c r="T486" s="99"/>
      <c r="V486" s="110"/>
      <c r="Y486" s="110"/>
      <c r="Z486" s="227"/>
      <c r="AA486" s="110"/>
      <c r="AB486" s="110"/>
      <c r="AC486" s="141"/>
      <c r="AD486" s="141"/>
      <c r="AE486" s="110"/>
      <c r="AF486" s="110"/>
      <c r="AH486" s="207"/>
      <c r="AI486" s="110"/>
      <c r="AJ486" s="110"/>
      <c r="AL486" s="110"/>
      <c r="AM486" s="141"/>
      <c r="AN486" s="141"/>
    </row>
    <row r="487" spans="3:40" x14ac:dyDescent="0.3">
      <c r="F487" s="110"/>
      <c r="H487" s="110"/>
      <c r="I487" s="110"/>
      <c r="J487" s="198"/>
      <c r="K487" s="198"/>
      <c r="L487" s="110"/>
      <c r="M487" s="110"/>
      <c r="P487" s="110"/>
      <c r="Q487" s="110"/>
      <c r="R487" s="110"/>
      <c r="V487" s="110"/>
      <c r="Y487" s="110"/>
      <c r="Z487" s="198"/>
      <c r="AA487" s="110"/>
      <c r="AB487" s="110"/>
      <c r="AI487" s="110"/>
      <c r="AJ487" s="110"/>
      <c r="AL487" s="110"/>
      <c r="AM487" s="141"/>
      <c r="AN487" s="141"/>
    </row>
    <row r="488" spans="3:40" x14ac:dyDescent="0.3">
      <c r="F488" s="110"/>
      <c r="R488" s="110"/>
      <c r="V488" s="110"/>
      <c r="AL488" s="110"/>
      <c r="AM488" s="141"/>
      <c r="AN488" s="141"/>
    </row>
    <row r="489" spans="3:40" x14ac:dyDescent="0.3">
      <c r="C489" s="99"/>
      <c r="F489" s="110"/>
      <c r="J489" s="209"/>
      <c r="K489" s="209"/>
      <c r="L489" s="110"/>
      <c r="M489" s="110"/>
      <c r="N489" s="141"/>
      <c r="O489" s="141"/>
      <c r="R489" s="110"/>
      <c r="T489" s="99"/>
      <c r="V489" s="110"/>
      <c r="Z489" s="209"/>
      <c r="AA489" s="110"/>
      <c r="AB489" s="110"/>
      <c r="AC489" s="141"/>
      <c r="AD489" s="141"/>
      <c r="AL489" s="110"/>
      <c r="AM489" s="141"/>
      <c r="AN489" s="141"/>
    </row>
    <row r="490" spans="3:40" x14ac:dyDescent="0.3">
      <c r="C490" s="99"/>
      <c r="F490" s="110"/>
      <c r="H490" s="110"/>
      <c r="I490" s="110"/>
      <c r="J490" s="209"/>
      <c r="K490" s="209"/>
      <c r="L490" s="110"/>
      <c r="M490" s="110"/>
      <c r="N490" s="141"/>
      <c r="O490" s="141"/>
      <c r="P490" s="110"/>
      <c r="Q490" s="110"/>
      <c r="R490" s="110"/>
      <c r="T490" s="99"/>
      <c r="V490" s="110"/>
      <c r="Y490" s="110"/>
      <c r="Z490" s="209"/>
      <c r="AA490" s="110"/>
      <c r="AB490" s="110"/>
      <c r="AC490" s="141"/>
      <c r="AD490" s="141"/>
      <c r="AI490" s="110"/>
      <c r="AJ490" s="110"/>
      <c r="AL490" s="110"/>
      <c r="AM490" s="141"/>
      <c r="AN490" s="141"/>
    </row>
    <row r="491" spans="3:40" x14ac:dyDescent="0.3">
      <c r="C491" s="99"/>
      <c r="T491" s="99"/>
      <c r="AM491" s="141"/>
      <c r="AN491" s="141"/>
    </row>
    <row r="492" spans="3:40" x14ac:dyDescent="0.3">
      <c r="C492" s="99"/>
      <c r="T492" s="99"/>
      <c r="AM492" s="141"/>
      <c r="AN492" s="141"/>
    </row>
    <row r="493" spans="3:40" x14ac:dyDescent="0.3">
      <c r="AM493" s="141"/>
      <c r="AN493" s="141"/>
    </row>
    <row r="494" spans="3:40" x14ac:dyDescent="0.3">
      <c r="C494" s="99"/>
      <c r="F494" s="172"/>
      <c r="H494" s="172"/>
      <c r="I494" s="172"/>
      <c r="J494" s="227"/>
      <c r="K494" s="227"/>
      <c r="L494" s="110"/>
      <c r="M494" s="110"/>
      <c r="N494" s="141"/>
      <c r="O494" s="141"/>
      <c r="P494" s="110"/>
      <c r="Q494" s="110"/>
      <c r="R494" s="110"/>
      <c r="T494" s="99"/>
      <c r="V494" s="110"/>
      <c r="Y494" s="110"/>
      <c r="Z494" s="227"/>
      <c r="AA494" s="110"/>
      <c r="AB494" s="110"/>
      <c r="AC494" s="141"/>
      <c r="AD494" s="141"/>
      <c r="AE494" s="110"/>
      <c r="AF494" s="110"/>
      <c r="AH494" s="207"/>
      <c r="AI494" s="110"/>
      <c r="AJ494" s="110"/>
      <c r="AL494" s="110"/>
      <c r="AM494" s="141"/>
      <c r="AN494" s="141"/>
    </row>
    <row r="495" spans="3:40" x14ac:dyDescent="0.3">
      <c r="F495" s="192"/>
      <c r="H495" s="192"/>
      <c r="I495" s="192"/>
      <c r="J495" s="217"/>
      <c r="K495" s="217"/>
      <c r="L495" s="192"/>
      <c r="M495" s="192"/>
      <c r="N495" s="192"/>
      <c r="O495" s="192"/>
      <c r="P495" s="192"/>
      <c r="Q495" s="192"/>
      <c r="R495" s="192"/>
      <c r="V495" s="192"/>
      <c r="Y495" s="192"/>
      <c r="Z495" s="217"/>
      <c r="AA495" s="192"/>
      <c r="AB495" s="192"/>
      <c r="AC495" s="192"/>
      <c r="AD495" s="192"/>
      <c r="AE495" s="192"/>
      <c r="AF495" s="192"/>
      <c r="AI495" s="192"/>
      <c r="AJ495" s="192"/>
      <c r="AK495" s="194"/>
      <c r="AL495" s="192"/>
      <c r="AM495" s="141"/>
      <c r="AN495" s="141"/>
    </row>
    <row r="496" spans="3:40" x14ac:dyDescent="0.3">
      <c r="H496" s="110"/>
      <c r="I496" s="110"/>
      <c r="Y496" s="110"/>
      <c r="AM496" s="141"/>
      <c r="AN496" s="141"/>
    </row>
    <row r="497" spans="1:40" x14ac:dyDescent="0.3">
      <c r="C497" s="99"/>
      <c r="F497" s="110"/>
      <c r="H497" s="110"/>
      <c r="I497" s="110"/>
      <c r="L497" s="110"/>
      <c r="M497" s="110"/>
      <c r="N497" s="141"/>
      <c r="O497" s="141"/>
      <c r="P497" s="172"/>
      <c r="Q497" s="172"/>
      <c r="R497" s="110"/>
      <c r="T497" s="99"/>
      <c r="V497" s="110"/>
      <c r="Y497" s="110"/>
      <c r="AA497" s="110"/>
      <c r="AB497" s="110"/>
      <c r="AC497" s="141"/>
      <c r="AD497" s="141"/>
      <c r="AE497" s="110"/>
      <c r="AF497" s="110"/>
      <c r="AH497" s="207"/>
      <c r="AI497" s="172"/>
      <c r="AJ497" s="172"/>
      <c r="AL497" s="110"/>
      <c r="AM497" s="141"/>
      <c r="AN497" s="141"/>
    </row>
    <row r="498" spans="1:40" x14ac:dyDescent="0.3">
      <c r="F498" s="192"/>
      <c r="H498" s="192"/>
      <c r="I498" s="192"/>
      <c r="J498" s="217"/>
      <c r="K498" s="217"/>
      <c r="L498" s="192"/>
      <c r="M498" s="192"/>
      <c r="N498" s="192"/>
      <c r="O498" s="192"/>
      <c r="P498" s="192"/>
      <c r="Q498" s="192"/>
      <c r="R498" s="192"/>
      <c r="V498" s="192"/>
      <c r="Y498" s="192"/>
      <c r="Z498" s="217"/>
      <c r="AA498" s="192"/>
      <c r="AB498" s="192"/>
      <c r="AC498" s="192"/>
      <c r="AD498" s="192"/>
      <c r="AE498" s="192"/>
      <c r="AF498" s="192"/>
      <c r="AI498" s="192"/>
      <c r="AJ498" s="192"/>
      <c r="AK498" s="194"/>
      <c r="AL498" s="192"/>
      <c r="AM498" s="141"/>
      <c r="AN498" s="141"/>
    </row>
    <row r="500" spans="1:40" x14ac:dyDescent="0.3">
      <c r="F500" s="110"/>
      <c r="H500" s="110"/>
      <c r="I500" s="110"/>
      <c r="J500" s="198"/>
      <c r="K500" s="198"/>
      <c r="L500" s="110"/>
      <c r="M500" s="110"/>
      <c r="N500" s="110"/>
      <c r="O500" s="110"/>
      <c r="P500" s="110"/>
      <c r="Q500" s="110"/>
      <c r="R500" s="110"/>
      <c r="V500" s="110"/>
      <c r="Y500" s="110"/>
      <c r="Z500" s="198"/>
      <c r="AA500" s="110"/>
      <c r="AB500" s="110"/>
      <c r="AC500" s="110"/>
      <c r="AD500" s="110"/>
      <c r="AE500" s="110"/>
      <c r="AF500" s="110"/>
      <c r="AH500" s="110"/>
      <c r="AI500" s="110"/>
      <c r="AJ500" s="110"/>
      <c r="AL500" s="110"/>
    </row>
    <row r="501" spans="1:40" x14ac:dyDescent="0.3">
      <c r="A501" s="99"/>
    </row>
    <row r="503" spans="1:40" x14ac:dyDescent="0.3">
      <c r="H503" s="99"/>
      <c r="I503" s="99"/>
      <c r="Y503" s="99"/>
    </row>
    <row r="505" spans="1:40" x14ac:dyDescent="0.3">
      <c r="L505" s="99"/>
      <c r="M505" s="99"/>
      <c r="AA505" s="99"/>
      <c r="AB505" s="99"/>
    </row>
    <row r="506" spans="1:40" x14ac:dyDescent="0.3">
      <c r="R506" s="99"/>
      <c r="AK506" s="190"/>
      <c r="AL506" s="99"/>
    </row>
    <row r="507" spans="1:40" x14ac:dyDescent="0.3">
      <c r="R507" s="99"/>
      <c r="AK507" s="190"/>
      <c r="AL507" s="99"/>
    </row>
    <row r="508" spans="1:40" x14ac:dyDescent="0.3">
      <c r="A508" s="99"/>
      <c r="R508" s="99"/>
      <c r="AK508" s="190"/>
      <c r="AL508" s="99"/>
    </row>
    <row r="509" spans="1:40" x14ac:dyDescent="0.3">
      <c r="L509" s="99"/>
      <c r="M509" s="99"/>
      <c r="AA509" s="99"/>
      <c r="AB509" s="99"/>
    </row>
    <row r="510" spans="1:40" x14ac:dyDescent="0.3">
      <c r="A510" s="10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T510" s="101"/>
      <c r="U510" s="101"/>
      <c r="V510" s="101"/>
      <c r="W510" s="101"/>
      <c r="X510" s="101"/>
      <c r="Y510" s="101"/>
      <c r="Z510" s="101"/>
      <c r="AA510" s="101"/>
      <c r="AB510" s="101"/>
      <c r="AC510" s="101"/>
      <c r="AD510" s="101"/>
      <c r="AE510" s="101"/>
      <c r="AF510" s="101"/>
      <c r="AG510" s="191"/>
      <c r="AH510" s="101"/>
      <c r="AI510" s="101"/>
      <c r="AJ510" s="101"/>
      <c r="AK510" s="191"/>
      <c r="AL510" s="101"/>
      <c r="AM510" s="101"/>
      <c r="AN510" s="101"/>
    </row>
    <row r="511" spans="1:40" x14ac:dyDescent="0.3">
      <c r="L511" s="102"/>
      <c r="M511" s="102"/>
      <c r="N511" s="102"/>
      <c r="O511" s="102"/>
      <c r="R511" s="102"/>
      <c r="AA511" s="102"/>
      <c r="AB511" s="102"/>
      <c r="AC511" s="102"/>
      <c r="AD511" s="102"/>
      <c r="AE511" s="102"/>
      <c r="AF511" s="102"/>
      <c r="AG511" s="151"/>
      <c r="AH511" s="102"/>
      <c r="AK511" s="151"/>
      <c r="AL511" s="102"/>
      <c r="AM511" s="102"/>
      <c r="AN511" s="102"/>
    </row>
    <row r="512" spans="1:40" x14ac:dyDescent="0.3">
      <c r="L512" s="102"/>
      <c r="M512" s="102"/>
      <c r="N512" s="102"/>
      <c r="O512" s="102"/>
      <c r="R512" s="102"/>
      <c r="Z512" s="102"/>
      <c r="AA512" s="102"/>
      <c r="AB512" s="102"/>
      <c r="AC512" s="102"/>
      <c r="AD512" s="102"/>
      <c r="AE512" s="102"/>
      <c r="AF512" s="102"/>
      <c r="AG512" s="151"/>
      <c r="AH512" s="102"/>
      <c r="AK512" s="151"/>
      <c r="AL512" s="102"/>
      <c r="AM512" s="102"/>
      <c r="AN512" s="102"/>
    </row>
    <row r="513" spans="1:40" x14ac:dyDescent="0.3">
      <c r="A513" s="102"/>
      <c r="C513" s="102"/>
      <c r="D513" s="102"/>
      <c r="E513" s="102"/>
      <c r="F513" s="102"/>
      <c r="J513" s="102"/>
      <c r="K513" s="102"/>
      <c r="L513" s="102"/>
      <c r="M513" s="102"/>
      <c r="N513" s="102"/>
      <c r="O513" s="102"/>
      <c r="P513" s="102"/>
      <c r="Q513" s="102"/>
      <c r="R513" s="102"/>
      <c r="T513" s="102"/>
      <c r="U513" s="102"/>
      <c r="V513" s="102"/>
      <c r="Z513" s="102"/>
      <c r="AA513" s="102"/>
      <c r="AB513" s="102"/>
      <c r="AC513" s="102"/>
      <c r="AD513" s="102"/>
      <c r="AE513" s="102"/>
      <c r="AF513" s="102"/>
      <c r="AG513" s="151"/>
      <c r="AH513" s="102"/>
      <c r="AI513" s="102"/>
      <c r="AJ513" s="102"/>
      <c r="AK513" s="151"/>
      <c r="AL513" s="102"/>
      <c r="AM513" s="102"/>
      <c r="AN513" s="102"/>
    </row>
    <row r="514" spans="1:40" x14ac:dyDescent="0.3">
      <c r="A514" s="102"/>
      <c r="C514" s="102"/>
      <c r="D514" s="102"/>
      <c r="E514" s="102"/>
      <c r="F514" s="102"/>
      <c r="H514" s="102"/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T514" s="102"/>
      <c r="U514" s="102"/>
      <c r="V514" s="102"/>
      <c r="Y514" s="102"/>
      <c r="Z514" s="102"/>
      <c r="AA514" s="102"/>
      <c r="AB514" s="102"/>
      <c r="AC514" s="102"/>
      <c r="AD514" s="102"/>
      <c r="AE514" s="102"/>
      <c r="AF514" s="102"/>
      <c r="AG514" s="151"/>
      <c r="AH514" s="102"/>
      <c r="AI514" s="102"/>
      <c r="AJ514" s="102"/>
      <c r="AK514" s="151"/>
      <c r="AL514" s="102"/>
      <c r="AM514" s="102"/>
      <c r="AN514" s="102"/>
    </row>
    <row r="515" spans="1:40" x14ac:dyDescent="0.3">
      <c r="C515" s="102"/>
      <c r="D515" s="102"/>
      <c r="E515" s="102"/>
      <c r="F515" s="102"/>
      <c r="H515" s="102"/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T515" s="102"/>
      <c r="U515" s="102"/>
      <c r="V515" s="102"/>
      <c r="Y515" s="102"/>
      <c r="Z515" s="102"/>
      <c r="AA515" s="102"/>
      <c r="AB515" s="102"/>
      <c r="AC515" s="102"/>
      <c r="AD515" s="102"/>
      <c r="AE515" s="102"/>
      <c r="AF515" s="102"/>
      <c r="AG515" s="151"/>
      <c r="AH515" s="102"/>
      <c r="AI515" s="102"/>
      <c r="AJ515" s="102"/>
      <c r="AK515" s="151"/>
      <c r="AL515" s="102"/>
      <c r="AM515" s="102"/>
      <c r="AN515" s="102"/>
    </row>
    <row r="516" spans="1:40" x14ac:dyDescent="0.3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91"/>
      <c r="AH516" s="101"/>
      <c r="AI516" s="101"/>
      <c r="AJ516" s="101"/>
      <c r="AK516" s="191"/>
      <c r="AL516" s="101"/>
      <c r="AM516" s="101"/>
      <c r="AN516" s="101"/>
    </row>
    <row r="517" spans="1:40" x14ac:dyDescent="0.3">
      <c r="H517" s="102"/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Y517" s="102"/>
      <c r="Z517" s="102"/>
      <c r="AA517" s="102"/>
      <c r="AB517" s="102"/>
      <c r="AC517" s="102"/>
      <c r="AD517" s="102"/>
      <c r="AE517" s="102"/>
      <c r="AF517" s="102"/>
      <c r="AG517" s="151"/>
      <c r="AH517" s="102"/>
      <c r="AI517" s="102"/>
      <c r="AJ517" s="102"/>
      <c r="AK517" s="151"/>
      <c r="AL517" s="102"/>
      <c r="AM517" s="102"/>
      <c r="AN517" s="102"/>
    </row>
    <row r="518" spans="1:40" x14ac:dyDescent="0.3">
      <c r="C518" s="99"/>
      <c r="D518" s="99"/>
      <c r="E518" s="99"/>
      <c r="T518" s="99"/>
      <c r="U518" s="99"/>
      <c r="V518" s="110"/>
      <c r="W518" s="110"/>
      <c r="X518" s="110"/>
      <c r="Y518" s="110"/>
      <c r="Z518" s="227"/>
    </row>
    <row r="520" spans="1:40" x14ac:dyDescent="0.3">
      <c r="C520" s="99"/>
      <c r="T520" s="99"/>
      <c r="V520" s="110"/>
      <c r="W520" s="110"/>
      <c r="X520" s="110"/>
      <c r="Y520" s="110"/>
      <c r="Z520" s="227"/>
    </row>
    <row r="521" spans="1:40" x14ac:dyDescent="0.3">
      <c r="C521" s="99"/>
      <c r="F521" s="172"/>
      <c r="H521" s="172"/>
      <c r="I521" s="172"/>
      <c r="J521" s="228"/>
      <c r="K521" s="228"/>
      <c r="L521" s="110"/>
      <c r="M521" s="110"/>
      <c r="N521" s="141"/>
      <c r="O521" s="141"/>
      <c r="P521" s="110"/>
      <c r="Q521" s="110"/>
      <c r="R521" s="110"/>
      <c r="T521" s="99"/>
      <c r="V521" s="110"/>
      <c r="W521" s="110"/>
      <c r="X521" s="110"/>
      <c r="Y521" s="110"/>
      <c r="Z521" s="228"/>
      <c r="AA521" s="110"/>
      <c r="AB521" s="110"/>
      <c r="AC521" s="141"/>
      <c r="AD521" s="141"/>
      <c r="AE521" s="110"/>
      <c r="AF521" s="110"/>
      <c r="AH521" s="207"/>
      <c r="AI521" s="110"/>
      <c r="AJ521" s="110"/>
      <c r="AL521" s="110"/>
      <c r="AM521" s="141"/>
      <c r="AN521" s="141"/>
    </row>
    <row r="522" spans="1:40" x14ac:dyDescent="0.3">
      <c r="C522" s="99"/>
      <c r="F522" s="172"/>
      <c r="H522" s="172"/>
      <c r="I522" s="172"/>
      <c r="J522" s="228"/>
      <c r="K522" s="228"/>
      <c r="L522" s="110"/>
      <c r="M522" s="110"/>
      <c r="N522" s="141"/>
      <c r="O522" s="141"/>
      <c r="P522" s="110"/>
      <c r="Q522" s="110"/>
      <c r="R522" s="110"/>
      <c r="T522" s="99"/>
      <c r="V522" s="110"/>
      <c r="W522" s="110"/>
      <c r="X522" s="110"/>
      <c r="Y522" s="110"/>
      <c r="Z522" s="228"/>
      <c r="AA522" s="110"/>
      <c r="AB522" s="110"/>
      <c r="AC522" s="141"/>
      <c r="AD522" s="141"/>
      <c r="AE522" s="110"/>
      <c r="AF522" s="110"/>
      <c r="AH522" s="207"/>
      <c r="AI522" s="110"/>
      <c r="AJ522" s="110"/>
      <c r="AL522" s="110"/>
      <c r="AM522" s="141"/>
      <c r="AN522" s="141"/>
    </row>
    <row r="523" spans="1:40" x14ac:dyDescent="0.3">
      <c r="C523" s="99"/>
      <c r="F523" s="172"/>
      <c r="H523" s="172"/>
      <c r="I523" s="172"/>
      <c r="J523" s="228"/>
      <c r="K523" s="228"/>
      <c r="L523" s="110"/>
      <c r="M523" s="110"/>
      <c r="N523" s="141"/>
      <c r="O523" s="141"/>
      <c r="P523" s="110"/>
      <c r="Q523" s="110"/>
      <c r="R523" s="110"/>
      <c r="T523" s="99"/>
      <c r="V523" s="110"/>
      <c r="W523" s="110"/>
      <c r="X523" s="110"/>
      <c r="Y523" s="110"/>
      <c r="Z523" s="228"/>
      <c r="AA523" s="110"/>
      <c r="AB523" s="110"/>
      <c r="AC523" s="141"/>
      <c r="AD523" s="141"/>
      <c r="AE523" s="110"/>
      <c r="AF523" s="110"/>
      <c r="AH523" s="207"/>
      <c r="AI523" s="110"/>
      <c r="AJ523" s="110"/>
      <c r="AL523" s="110"/>
      <c r="AM523" s="141"/>
      <c r="AN523" s="141"/>
    </row>
    <row r="524" spans="1:40" x14ac:dyDescent="0.3">
      <c r="C524" s="99"/>
      <c r="F524" s="172"/>
      <c r="H524" s="172"/>
      <c r="I524" s="172"/>
      <c r="J524" s="228"/>
      <c r="K524" s="228"/>
      <c r="L524" s="110"/>
      <c r="M524" s="110"/>
      <c r="N524" s="141"/>
      <c r="O524" s="141"/>
      <c r="P524" s="110"/>
      <c r="Q524" s="110"/>
      <c r="R524" s="110"/>
      <c r="T524" s="99"/>
      <c r="V524" s="110"/>
      <c r="W524" s="110"/>
      <c r="X524" s="110"/>
      <c r="Y524" s="110"/>
      <c r="Z524" s="228"/>
      <c r="AA524" s="110"/>
      <c r="AB524" s="110"/>
      <c r="AC524" s="141"/>
      <c r="AD524" s="141"/>
      <c r="AE524" s="110"/>
      <c r="AF524" s="110"/>
      <c r="AH524" s="207"/>
      <c r="AI524" s="110"/>
      <c r="AJ524" s="110"/>
      <c r="AL524" s="110"/>
      <c r="AM524" s="141"/>
      <c r="AN524" s="141"/>
    </row>
    <row r="525" spans="1:40" x14ac:dyDescent="0.3">
      <c r="J525" s="163"/>
      <c r="K525" s="163"/>
      <c r="V525" s="110"/>
      <c r="W525" s="110"/>
      <c r="X525" s="110"/>
      <c r="Y525" s="110"/>
      <c r="Z525" s="228"/>
    </row>
    <row r="526" spans="1:40" x14ac:dyDescent="0.3">
      <c r="C526" s="99"/>
      <c r="F526" s="172"/>
      <c r="H526" s="172"/>
      <c r="I526" s="172"/>
      <c r="J526" s="228"/>
      <c r="K526" s="228"/>
      <c r="L526" s="110"/>
      <c r="M526" s="110"/>
      <c r="N526" s="141"/>
      <c r="O526" s="141"/>
      <c r="P526" s="110"/>
      <c r="Q526" s="110"/>
      <c r="R526" s="110"/>
      <c r="T526" s="99"/>
      <c r="V526" s="110"/>
      <c r="W526" s="110"/>
      <c r="X526" s="110"/>
      <c r="Y526" s="110"/>
      <c r="Z526" s="228"/>
      <c r="AA526" s="110"/>
      <c r="AB526" s="110"/>
      <c r="AC526" s="141"/>
      <c r="AD526" s="141"/>
      <c r="AE526" s="110"/>
      <c r="AF526" s="110"/>
      <c r="AH526" s="207"/>
      <c r="AI526" s="110"/>
      <c r="AJ526" s="110"/>
      <c r="AL526" s="110"/>
      <c r="AM526" s="207"/>
      <c r="AN526" s="207"/>
    </row>
    <row r="527" spans="1:40" x14ac:dyDescent="0.3">
      <c r="C527" s="99"/>
      <c r="J527" s="163"/>
      <c r="K527" s="163"/>
      <c r="T527" s="99"/>
      <c r="V527" s="110"/>
      <c r="W527" s="110"/>
      <c r="X527" s="110"/>
      <c r="Y527" s="110"/>
      <c r="Z527" s="228"/>
    </row>
    <row r="528" spans="1:40" x14ac:dyDescent="0.3">
      <c r="C528" s="99"/>
      <c r="F528" s="172"/>
      <c r="H528" s="172"/>
      <c r="I528" s="172"/>
      <c r="J528" s="228"/>
      <c r="K528" s="228"/>
      <c r="L528" s="110"/>
      <c r="M528" s="110"/>
      <c r="N528" s="141"/>
      <c r="O528" s="141"/>
      <c r="P528" s="110"/>
      <c r="Q528" s="110"/>
      <c r="R528" s="110"/>
      <c r="T528" s="99"/>
      <c r="V528" s="110"/>
      <c r="W528" s="110"/>
      <c r="X528" s="110"/>
      <c r="Y528" s="110"/>
      <c r="Z528" s="228"/>
      <c r="AA528" s="110"/>
      <c r="AB528" s="110"/>
      <c r="AC528" s="141"/>
      <c r="AD528" s="141"/>
      <c r="AE528" s="110"/>
      <c r="AF528" s="110"/>
      <c r="AH528" s="207"/>
      <c r="AI528" s="110"/>
      <c r="AJ528" s="110"/>
      <c r="AL528" s="110"/>
      <c r="AM528" s="207"/>
      <c r="AN528" s="207"/>
    </row>
    <row r="529" spans="1:40" x14ac:dyDescent="0.3">
      <c r="J529" s="163"/>
      <c r="K529" s="163"/>
      <c r="Z529" s="163"/>
    </row>
    <row r="530" spans="1:40" x14ac:dyDescent="0.3">
      <c r="C530" s="99"/>
      <c r="J530" s="163"/>
      <c r="K530" s="163"/>
      <c r="T530" s="99"/>
      <c r="V530" s="110"/>
      <c r="W530" s="110"/>
      <c r="X530" s="110"/>
      <c r="Y530" s="110"/>
      <c r="Z530" s="228"/>
    </row>
    <row r="531" spans="1:40" x14ac:dyDescent="0.3">
      <c r="C531" s="99"/>
      <c r="F531" s="172"/>
      <c r="H531" s="172"/>
      <c r="I531" s="172"/>
      <c r="J531" s="228"/>
      <c r="K531" s="228"/>
      <c r="L531" s="110"/>
      <c r="M531" s="110"/>
      <c r="N531" s="141"/>
      <c r="O531" s="141"/>
      <c r="P531" s="110"/>
      <c r="Q531" s="110"/>
      <c r="R531" s="110"/>
      <c r="T531" s="99"/>
      <c r="V531" s="110"/>
      <c r="W531" s="110"/>
      <c r="X531" s="110"/>
      <c r="Y531" s="110"/>
      <c r="Z531" s="228"/>
      <c r="AA531" s="110"/>
      <c r="AB531" s="110"/>
      <c r="AC531" s="141"/>
      <c r="AD531" s="141"/>
      <c r="AE531" s="110"/>
      <c r="AF531" s="110"/>
      <c r="AH531" s="207"/>
      <c r="AI531" s="110"/>
      <c r="AJ531" s="110"/>
      <c r="AL531" s="110"/>
      <c r="AM531" s="207"/>
      <c r="AN531" s="207"/>
    </row>
    <row r="532" spans="1:40" x14ac:dyDescent="0.3">
      <c r="C532" s="99"/>
      <c r="F532" s="172"/>
      <c r="H532" s="172"/>
      <c r="I532" s="172"/>
      <c r="J532" s="228"/>
      <c r="K532" s="228"/>
      <c r="L532" s="110"/>
      <c r="M532" s="110"/>
      <c r="N532" s="141"/>
      <c r="O532" s="141"/>
      <c r="P532" s="110"/>
      <c r="Q532" s="110"/>
      <c r="R532" s="110"/>
      <c r="T532" s="99"/>
      <c r="V532" s="110"/>
      <c r="W532" s="110"/>
      <c r="X532" s="110"/>
      <c r="Y532" s="110"/>
      <c r="Z532" s="228"/>
      <c r="AA532" s="110"/>
      <c r="AB532" s="110"/>
      <c r="AC532" s="141"/>
      <c r="AD532" s="141"/>
      <c r="AE532" s="110"/>
      <c r="AF532" s="110"/>
      <c r="AH532" s="207"/>
      <c r="AI532" s="110"/>
      <c r="AJ532" s="110"/>
      <c r="AL532" s="110"/>
      <c r="AM532" s="207"/>
      <c r="AN532" s="207"/>
    </row>
    <row r="533" spans="1:40" x14ac:dyDescent="0.3">
      <c r="F533" s="192"/>
      <c r="H533" s="192"/>
      <c r="I533" s="192"/>
      <c r="J533" s="228"/>
      <c r="K533" s="228"/>
      <c r="L533" s="192"/>
      <c r="M533" s="192"/>
      <c r="N533" s="192"/>
      <c r="O533" s="192"/>
      <c r="P533" s="192"/>
      <c r="Q533" s="192"/>
      <c r="R533" s="192"/>
      <c r="V533" s="192"/>
      <c r="Y533" s="192"/>
      <c r="Z533" s="217"/>
      <c r="AA533" s="192"/>
      <c r="AB533" s="192"/>
      <c r="AC533" s="192"/>
      <c r="AD533" s="192"/>
      <c r="AE533" s="192"/>
      <c r="AF533" s="192"/>
      <c r="AI533" s="192"/>
      <c r="AJ533" s="192"/>
      <c r="AK533" s="194"/>
      <c r="AL533" s="192"/>
    </row>
    <row r="534" spans="1:40" x14ac:dyDescent="0.3">
      <c r="C534" s="99"/>
      <c r="F534" s="110"/>
      <c r="H534" s="110"/>
      <c r="I534" s="110"/>
      <c r="L534" s="110"/>
      <c r="M534" s="110"/>
      <c r="N534" s="141"/>
      <c r="O534" s="141"/>
      <c r="P534" s="172"/>
      <c r="Q534" s="172"/>
      <c r="R534" s="110"/>
      <c r="T534" s="99"/>
      <c r="V534" s="110"/>
      <c r="W534" s="110"/>
      <c r="X534" s="110"/>
      <c r="Y534" s="110"/>
      <c r="Z534" s="227"/>
      <c r="AA534" s="110"/>
      <c r="AB534" s="110"/>
      <c r="AC534" s="141"/>
      <c r="AD534" s="141"/>
      <c r="AE534" s="110"/>
      <c r="AF534" s="110"/>
      <c r="AH534" s="207"/>
      <c r="AI534" s="172"/>
      <c r="AJ534" s="172"/>
      <c r="AL534" s="110"/>
      <c r="AM534" s="207"/>
      <c r="AN534" s="207"/>
    </row>
    <row r="535" spans="1:40" x14ac:dyDescent="0.3">
      <c r="F535" s="192"/>
      <c r="H535" s="192"/>
      <c r="I535" s="192"/>
      <c r="J535" s="217"/>
      <c r="K535" s="217"/>
      <c r="L535" s="192"/>
      <c r="M535" s="192"/>
      <c r="N535" s="192"/>
      <c r="O535" s="192"/>
      <c r="P535" s="192"/>
      <c r="Q535" s="192"/>
      <c r="R535" s="192"/>
      <c r="V535" s="192"/>
      <c r="Y535" s="192"/>
      <c r="Z535" s="217"/>
      <c r="AA535" s="192"/>
      <c r="AB535" s="192"/>
      <c r="AC535" s="192"/>
      <c r="AD535" s="192"/>
      <c r="AE535" s="192"/>
      <c r="AF535" s="192"/>
      <c r="AI535" s="192"/>
      <c r="AJ535" s="192"/>
      <c r="AK535" s="194"/>
      <c r="AL535" s="192"/>
    </row>
    <row r="538" spans="1:40" x14ac:dyDescent="0.3">
      <c r="A538" s="99"/>
    </row>
    <row r="540" spans="1:40" x14ac:dyDescent="0.3">
      <c r="H540" s="99"/>
      <c r="I540" s="99"/>
      <c r="Y540" s="99"/>
    </row>
    <row r="542" spans="1:40" x14ac:dyDescent="0.3">
      <c r="L542" s="99"/>
      <c r="M542" s="99"/>
      <c r="AA542" s="99"/>
      <c r="AB542" s="99"/>
    </row>
    <row r="543" spans="1:40" x14ac:dyDescent="0.3">
      <c r="R543" s="99"/>
      <c r="AK543" s="190"/>
      <c r="AL543" s="99"/>
    </row>
    <row r="544" spans="1:40" x14ac:dyDescent="0.3">
      <c r="R544" s="99"/>
      <c r="AK544" s="190"/>
      <c r="AL544" s="99"/>
    </row>
    <row r="545" spans="1:40" x14ac:dyDescent="0.3">
      <c r="A545" s="99"/>
      <c r="R545" s="99"/>
      <c r="AK545" s="190"/>
      <c r="AL545" s="99"/>
    </row>
    <row r="546" spans="1:40" x14ac:dyDescent="0.3">
      <c r="L546" s="99"/>
      <c r="M546" s="99"/>
      <c r="AA546" s="99"/>
      <c r="AB546" s="99"/>
    </row>
    <row r="547" spans="1:40" x14ac:dyDescent="0.3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91"/>
      <c r="AH547" s="101"/>
      <c r="AI547" s="101"/>
      <c r="AJ547" s="101"/>
      <c r="AK547" s="191"/>
      <c r="AL547" s="101"/>
      <c r="AM547" s="101"/>
      <c r="AN547" s="101"/>
    </row>
    <row r="548" spans="1:40" x14ac:dyDescent="0.3">
      <c r="L548" s="102"/>
      <c r="M548" s="102"/>
      <c r="N548" s="102"/>
      <c r="O548" s="102"/>
      <c r="R548" s="102"/>
      <c r="AA548" s="102"/>
      <c r="AB548" s="102"/>
      <c r="AC548" s="102"/>
      <c r="AD548" s="102"/>
      <c r="AE548" s="102"/>
      <c r="AF548" s="102"/>
      <c r="AG548" s="151"/>
      <c r="AH548" s="102"/>
      <c r="AK548" s="151"/>
      <c r="AL548" s="102"/>
      <c r="AM548" s="102"/>
      <c r="AN548" s="102"/>
    </row>
    <row r="549" spans="1:40" x14ac:dyDescent="0.3">
      <c r="L549" s="102"/>
      <c r="M549" s="102"/>
      <c r="N549" s="102"/>
      <c r="O549" s="102"/>
      <c r="R549" s="102"/>
      <c r="Z549" s="102"/>
      <c r="AA549" s="102"/>
      <c r="AB549" s="102"/>
      <c r="AC549" s="102"/>
      <c r="AD549" s="102"/>
      <c r="AE549" s="102"/>
      <c r="AF549" s="102"/>
      <c r="AG549" s="151"/>
      <c r="AH549" s="102"/>
      <c r="AK549" s="151"/>
      <c r="AL549" s="102"/>
      <c r="AM549" s="102"/>
      <c r="AN549" s="102"/>
    </row>
    <row r="550" spans="1:40" x14ac:dyDescent="0.3">
      <c r="A550" s="102"/>
      <c r="C550" s="102"/>
      <c r="D550" s="102"/>
      <c r="E550" s="102"/>
      <c r="F550" s="102"/>
      <c r="J550" s="102"/>
      <c r="K550" s="102"/>
      <c r="L550" s="102"/>
      <c r="M550" s="102"/>
      <c r="N550" s="102"/>
      <c r="O550" s="102"/>
      <c r="P550" s="102"/>
      <c r="Q550" s="102"/>
      <c r="R550" s="102"/>
      <c r="T550" s="102"/>
      <c r="U550" s="102"/>
      <c r="V550" s="102"/>
      <c r="Z550" s="102"/>
      <c r="AA550" s="102"/>
      <c r="AB550" s="102"/>
      <c r="AC550" s="102"/>
      <c r="AD550" s="102"/>
      <c r="AE550" s="102"/>
      <c r="AF550" s="102"/>
      <c r="AG550" s="151"/>
      <c r="AH550" s="102"/>
      <c r="AI550" s="102"/>
      <c r="AJ550" s="102"/>
      <c r="AK550" s="151"/>
      <c r="AL550" s="102"/>
      <c r="AM550" s="102"/>
      <c r="AN550" s="102"/>
    </row>
    <row r="551" spans="1:40" x14ac:dyDescent="0.3">
      <c r="A551" s="102"/>
      <c r="C551" s="102"/>
      <c r="D551" s="102"/>
      <c r="E551" s="102"/>
      <c r="F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T551" s="102"/>
      <c r="U551" s="102"/>
      <c r="V551" s="102"/>
      <c r="Y551" s="102"/>
      <c r="Z551" s="102"/>
      <c r="AA551" s="102"/>
      <c r="AB551" s="102"/>
      <c r="AC551" s="102"/>
      <c r="AD551" s="102"/>
      <c r="AE551" s="102"/>
      <c r="AF551" s="102"/>
      <c r="AG551" s="151"/>
      <c r="AH551" s="102"/>
      <c r="AI551" s="102"/>
      <c r="AJ551" s="102"/>
      <c r="AK551" s="151"/>
      <c r="AL551" s="102"/>
      <c r="AM551" s="102"/>
      <c r="AN551" s="102"/>
    </row>
    <row r="552" spans="1:40" x14ac:dyDescent="0.3">
      <c r="C552" s="102"/>
      <c r="D552" s="102"/>
      <c r="E552" s="102"/>
      <c r="F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T552" s="102"/>
      <c r="U552" s="102"/>
      <c r="V552" s="102"/>
      <c r="Y552" s="102"/>
      <c r="Z552" s="102"/>
      <c r="AA552" s="102"/>
      <c r="AB552" s="102"/>
      <c r="AC552" s="102"/>
      <c r="AD552" s="102"/>
      <c r="AE552" s="102"/>
      <c r="AF552" s="102"/>
      <c r="AG552" s="151"/>
      <c r="AH552" s="102"/>
      <c r="AI552" s="102"/>
      <c r="AJ552" s="102"/>
      <c r="AK552" s="151"/>
      <c r="AL552" s="102"/>
      <c r="AM552" s="102"/>
      <c r="AN552" s="102"/>
    </row>
    <row r="553" spans="1:40" x14ac:dyDescent="0.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91"/>
      <c r="AH553" s="101"/>
      <c r="AI553" s="101"/>
      <c r="AJ553" s="101"/>
      <c r="AK553" s="191"/>
      <c r="AL553" s="101"/>
      <c r="AM553" s="101"/>
      <c r="AN553" s="101"/>
    </row>
    <row r="554" spans="1:40" x14ac:dyDescent="0.3"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Y554" s="102"/>
      <c r="Z554" s="102"/>
      <c r="AA554" s="102"/>
      <c r="AB554" s="102"/>
      <c r="AC554" s="102"/>
      <c r="AD554" s="102"/>
      <c r="AE554" s="102"/>
      <c r="AF554" s="102"/>
      <c r="AG554" s="151"/>
      <c r="AH554" s="102"/>
      <c r="AI554" s="102"/>
      <c r="AJ554" s="102"/>
      <c r="AK554" s="151"/>
      <c r="AL554" s="102"/>
      <c r="AM554" s="102"/>
      <c r="AN554" s="102"/>
    </row>
    <row r="555" spans="1:40" x14ac:dyDescent="0.3">
      <c r="C555" s="99"/>
      <c r="D555" s="99"/>
      <c r="E555" s="99"/>
      <c r="T555" s="99"/>
      <c r="U555" s="99"/>
    </row>
    <row r="557" spans="1:40" x14ac:dyDescent="0.3">
      <c r="C557" s="99"/>
      <c r="T557" s="99"/>
    </row>
    <row r="558" spans="1:40" x14ac:dyDescent="0.3">
      <c r="C558" s="99"/>
      <c r="T558" s="99"/>
    </row>
    <row r="559" spans="1:40" x14ac:dyDescent="0.3">
      <c r="C559" s="99"/>
      <c r="F559" s="172"/>
      <c r="H559" s="172"/>
      <c r="I559" s="172"/>
      <c r="J559" s="228"/>
      <c r="K559" s="228"/>
      <c r="L559" s="110"/>
      <c r="M559" s="110"/>
      <c r="N559" s="141"/>
      <c r="O559" s="141"/>
      <c r="P559" s="110"/>
      <c r="Q559" s="110"/>
      <c r="R559" s="110"/>
      <c r="T559" s="99"/>
      <c r="V559" s="110"/>
      <c r="W559" s="110"/>
      <c r="X559" s="110"/>
      <c r="Y559" s="110"/>
      <c r="Z559" s="228"/>
      <c r="AA559" s="110"/>
      <c r="AB559" s="110"/>
      <c r="AC559" s="141"/>
      <c r="AD559" s="141"/>
      <c r="AE559" s="110"/>
      <c r="AF559" s="110"/>
      <c r="AH559" s="207"/>
      <c r="AI559" s="110"/>
      <c r="AJ559" s="110"/>
      <c r="AL559" s="110"/>
      <c r="AM559" s="207"/>
      <c r="AN559" s="207"/>
    </row>
    <row r="560" spans="1:40" x14ac:dyDescent="0.3">
      <c r="C560" s="99"/>
      <c r="F560" s="110"/>
      <c r="H560" s="110"/>
      <c r="I560" s="110"/>
      <c r="J560" s="163"/>
      <c r="K560" s="163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163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207"/>
      <c r="AN560" s="207"/>
    </row>
    <row r="561" spans="3:40" x14ac:dyDescent="0.3">
      <c r="C561" s="99"/>
      <c r="F561" s="110"/>
      <c r="H561" s="110"/>
      <c r="I561" s="110"/>
      <c r="J561" s="163"/>
      <c r="K561" s="163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163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3:40" x14ac:dyDescent="0.3">
      <c r="C562" s="99"/>
      <c r="F562" s="110"/>
      <c r="H562" s="110"/>
      <c r="I562" s="110"/>
      <c r="J562" s="163"/>
      <c r="K562" s="163"/>
      <c r="T562" s="99"/>
      <c r="V562" s="110"/>
      <c r="Z562" s="163"/>
    </row>
    <row r="563" spans="3:40" x14ac:dyDescent="0.3">
      <c r="C563" s="99"/>
      <c r="F563" s="172"/>
      <c r="H563" s="172"/>
      <c r="I563" s="172"/>
      <c r="J563" s="228"/>
      <c r="K563" s="228"/>
      <c r="L563" s="110"/>
      <c r="M563" s="110"/>
      <c r="N563" s="141"/>
      <c r="O563" s="141"/>
      <c r="P563" s="110"/>
      <c r="Q563" s="110"/>
      <c r="R563" s="110"/>
      <c r="T563" s="99"/>
      <c r="V563" s="110"/>
      <c r="W563" s="110"/>
      <c r="X563" s="110"/>
      <c r="Y563" s="110"/>
      <c r="Z563" s="228"/>
      <c r="AA563" s="110"/>
      <c r="AB563" s="110"/>
      <c r="AC563" s="141"/>
      <c r="AD563" s="141"/>
      <c r="AE563" s="110"/>
      <c r="AF563" s="110"/>
      <c r="AH563" s="207"/>
      <c r="AI563" s="110"/>
      <c r="AJ563" s="110"/>
      <c r="AL563" s="110"/>
      <c r="AM563" s="207"/>
      <c r="AN563" s="207"/>
    </row>
    <row r="564" spans="3:40" x14ac:dyDescent="0.3">
      <c r="C564" s="99"/>
      <c r="F564" s="110"/>
      <c r="H564" s="110"/>
      <c r="I564" s="110"/>
      <c r="J564" s="163"/>
      <c r="K564" s="163"/>
      <c r="T564" s="99"/>
      <c r="V564" s="110"/>
      <c r="W564" s="110"/>
      <c r="X564" s="110"/>
      <c r="Y564" s="110"/>
      <c r="Z564" s="163"/>
      <c r="AC564" s="141"/>
      <c r="AD564" s="141"/>
      <c r="AE564" s="110"/>
      <c r="AF564" s="110"/>
      <c r="AH564" s="207"/>
      <c r="AI564" s="110"/>
      <c r="AJ564" s="110"/>
      <c r="AL564" s="110"/>
      <c r="AM564" s="207"/>
      <c r="AN564" s="207"/>
    </row>
    <row r="565" spans="3:40" x14ac:dyDescent="0.3">
      <c r="C565" s="99"/>
      <c r="F565" s="172"/>
      <c r="H565" s="172"/>
      <c r="I565" s="172"/>
      <c r="J565" s="228"/>
      <c r="K565" s="228"/>
      <c r="L565" s="110"/>
      <c r="M565" s="110"/>
      <c r="N565" s="141"/>
      <c r="O565" s="141"/>
      <c r="P565" s="110"/>
      <c r="Q565" s="110"/>
      <c r="R565" s="110"/>
      <c r="T565" s="99"/>
      <c r="V565" s="110"/>
      <c r="W565" s="110"/>
      <c r="X565" s="110"/>
      <c r="Y565" s="110"/>
      <c r="Z565" s="228"/>
      <c r="AA565" s="110"/>
      <c r="AB565" s="110"/>
      <c r="AC565" s="141"/>
      <c r="AD565" s="141"/>
      <c r="AE565" s="110"/>
      <c r="AF565" s="110"/>
      <c r="AH565" s="207"/>
      <c r="AI565" s="110"/>
      <c r="AJ565" s="110"/>
      <c r="AL565" s="110"/>
      <c r="AM565" s="207"/>
      <c r="AN565" s="207"/>
    </row>
    <row r="566" spans="3:40" x14ac:dyDescent="0.3">
      <c r="C566" s="99"/>
      <c r="F566" s="110"/>
      <c r="H566" s="110"/>
      <c r="I566" s="110"/>
      <c r="J566" s="163"/>
      <c r="K566" s="163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163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207"/>
      <c r="AN566" s="207"/>
    </row>
    <row r="567" spans="3:40" x14ac:dyDescent="0.3">
      <c r="F567" s="110"/>
      <c r="H567" s="110"/>
      <c r="I567" s="110"/>
      <c r="J567" s="163"/>
      <c r="K567" s="163"/>
      <c r="Z567" s="163"/>
    </row>
    <row r="568" spans="3:40" x14ac:dyDescent="0.3">
      <c r="C568" s="99"/>
      <c r="F568" s="110"/>
      <c r="H568" s="172"/>
      <c r="I568" s="172"/>
      <c r="J568" s="228"/>
      <c r="K568" s="228"/>
      <c r="L568" s="110"/>
      <c r="M568" s="110"/>
      <c r="N568" s="141"/>
      <c r="O568" s="141"/>
      <c r="P568" s="110"/>
      <c r="Q568" s="110"/>
      <c r="R568" s="110"/>
      <c r="T568" s="99"/>
      <c r="V568" s="110"/>
      <c r="W568" s="110"/>
      <c r="X568" s="110"/>
      <c r="Y568" s="110"/>
      <c r="Z568" s="228"/>
      <c r="AA568" s="110"/>
      <c r="AB568" s="110"/>
      <c r="AC568" s="141"/>
      <c r="AD568" s="141"/>
      <c r="AE568" s="110"/>
      <c r="AF568" s="110"/>
      <c r="AH568" s="207"/>
      <c r="AI568" s="110"/>
      <c r="AJ568" s="110"/>
      <c r="AL568" s="110"/>
      <c r="AM568" s="207"/>
      <c r="AN568" s="207"/>
    </row>
    <row r="569" spans="3:40" x14ac:dyDescent="0.3">
      <c r="F569" s="192"/>
      <c r="H569" s="192"/>
      <c r="I569" s="192"/>
      <c r="J569" s="228"/>
      <c r="K569" s="228"/>
      <c r="L569" s="192"/>
      <c r="M569" s="192"/>
      <c r="N569" s="192"/>
      <c r="O569" s="192"/>
      <c r="P569" s="192"/>
      <c r="Q569" s="192"/>
      <c r="R569" s="192"/>
      <c r="V569" s="192"/>
      <c r="Y569" s="192"/>
      <c r="Z569" s="228"/>
      <c r="AA569" s="192"/>
      <c r="AB569" s="192"/>
      <c r="AC569" s="192"/>
      <c r="AD569" s="192"/>
      <c r="AE569" s="192"/>
      <c r="AF569" s="192"/>
      <c r="AI569" s="192"/>
      <c r="AJ569" s="192"/>
      <c r="AK569" s="194"/>
      <c r="AL569" s="192"/>
    </row>
    <row r="570" spans="3:40" x14ac:dyDescent="0.3">
      <c r="C570" s="99"/>
      <c r="F570" s="110"/>
      <c r="H570" s="110"/>
      <c r="I570" s="110"/>
      <c r="J570" s="163"/>
      <c r="K570" s="163"/>
      <c r="L570" s="110"/>
      <c r="M570" s="110"/>
      <c r="P570" s="110"/>
      <c r="Q570" s="110"/>
      <c r="R570" s="110"/>
      <c r="T570" s="99"/>
      <c r="V570" s="110"/>
      <c r="Y570" s="110"/>
      <c r="Z570" s="163"/>
      <c r="AA570" s="110"/>
      <c r="AB570" s="110"/>
      <c r="AC570" s="207"/>
      <c r="AD570" s="207"/>
      <c r="AE570" s="110"/>
      <c r="AF570" s="110"/>
      <c r="AH570" s="207"/>
      <c r="AI570" s="110"/>
      <c r="AJ570" s="110"/>
      <c r="AL570" s="110"/>
      <c r="AM570" s="207"/>
      <c r="AN570" s="207"/>
    </row>
    <row r="571" spans="3:40" x14ac:dyDescent="0.3">
      <c r="F571" s="192"/>
      <c r="H571" s="192"/>
      <c r="I571" s="192"/>
      <c r="J571" s="228"/>
      <c r="K571" s="228"/>
      <c r="L571" s="192"/>
      <c r="M571" s="192"/>
      <c r="N571" s="192"/>
      <c r="O571" s="192"/>
      <c r="P571" s="192"/>
      <c r="Q571" s="192"/>
      <c r="R571" s="192"/>
      <c r="V571" s="192"/>
      <c r="Y571" s="192"/>
      <c r="Z571" s="228"/>
      <c r="AA571" s="192"/>
      <c r="AB571" s="192"/>
      <c r="AC571" s="192"/>
      <c r="AD571" s="192"/>
      <c r="AE571" s="192"/>
      <c r="AF571" s="192"/>
      <c r="AI571" s="192"/>
      <c r="AJ571" s="192"/>
      <c r="AK571" s="194"/>
      <c r="AL571" s="192"/>
    </row>
    <row r="572" spans="3:40" x14ac:dyDescent="0.3">
      <c r="J572" s="163"/>
      <c r="K572" s="163"/>
      <c r="Z572" s="163"/>
    </row>
    <row r="573" spans="3:40" x14ac:dyDescent="0.3">
      <c r="C573" s="99"/>
      <c r="J573" s="163"/>
      <c r="K573" s="163"/>
      <c r="T573" s="99"/>
      <c r="Z573" s="163"/>
    </row>
    <row r="574" spans="3:40" x14ac:dyDescent="0.3">
      <c r="C574" s="99"/>
      <c r="J574" s="163"/>
      <c r="K574" s="163"/>
      <c r="T574" s="99"/>
      <c r="Z574" s="163"/>
    </row>
    <row r="575" spans="3:40" x14ac:dyDescent="0.3">
      <c r="C575" s="99"/>
      <c r="F575" s="172"/>
      <c r="H575" s="172"/>
      <c r="I575" s="172"/>
      <c r="J575" s="228"/>
      <c r="K575" s="228"/>
      <c r="L575" s="110"/>
      <c r="M575" s="110"/>
      <c r="N575" s="141"/>
      <c r="O575" s="141"/>
      <c r="P575" s="110"/>
      <c r="Q575" s="110"/>
      <c r="R575" s="110"/>
      <c r="T575" s="99"/>
      <c r="V575" s="110"/>
      <c r="W575" s="110"/>
      <c r="X575" s="110"/>
      <c r="Y575" s="110"/>
      <c r="Z575" s="228"/>
      <c r="AA575" s="110"/>
      <c r="AB575" s="110"/>
      <c r="AC575" s="141"/>
      <c r="AD575" s="141"/>
      <c r="AE575" s="110"/>
      <c r="AF575" s="110"/>
      <c r="AH575" s="207"/>
      <c r="AI575" s="110"/>
      <c r="AJ575" s="110"/>
      <c r="AL575" s="110"/>
      <c r="AM575" s="207"/>
      <c r="AN575" s="207"/>
    </row>
    <row r="576" spans="3:40" x14ac:dyDescent="0.3">
      <c r="C576" s="99"/>
      <c r="J576" s="163"/>
      <c r="K576" s="163"/>
      <c r="T576" s="99"/>
      <c r="Z576" s="163"/>
    </row>
    <row r="577" spans="1:40" x14ac:dyDescent="0.3">
      <c r="C577" s="99"/>
      <c r="F577" s="172"/>
      <c r="H577" s="172"/>
      <c r="I577" s="172"/>
      <c r="J577" s="228"/>
      <c r="K577" s="228"/>
      <c r="L577" s="110"/>
      <c r="M577" s="110"/>
      <c r="N577" s="141"/>
      <c r="O577" s="141"/>
      <c r="P577" s="110"/>
      <c r="Q577" s="110"/>
      <c r="R577" s="110"/>
      <c r="T577" s="99"/>
      <c r="V577" s="110"/>
      <c r="W577" s="110"/>
      <c r="X577" s="110"/>
      <c r="Y577" s="110"/>
      <c r="Z577" s="228"/>
      <c r="AA577" s="110"/>
      <c r="AB577" s="110"/>
      <c r="AC577" s="141"/>
      <c r="AD577" s="141"/>
      <c r="AE577" s="110"/>
      <c r="AF577" s="110"/>
      <c r="AH577" s="207"/>
      <c r="AI577" s="110"/>
      <c r="AJ577" s="110"/>
      <c r="AL577" s="110"/>
      <c r="AM577" s="207"/>
      <c r="AN577" s="207"/>
    </row>
    <row r="578" spans="1:40" x14ac:dyDescent="0.3">
      <c r="F578" s="192"/>
      <c r="H578" s="192"/>
      <c r="I578" s="192"/>
      <c r="J578" s="228"/>
      <c r="K578" s="228"/>
      <c r="L578" s="192"/>
      <c r="M578" s="192"/>
      <c r="N578" s="192"/>
      <c r="O578" s="192"/>
      <c r="P578" s="192"/>
      <c r="Q578" s="192"/>
      <c r="R578" s="192"/>
      <c r="V578" s="192"/>
      <c r="Y578" s="192"/>
      <c r="Z578" s="228"/>
      <c r="AA578" s="192"/>
      <c r="AB578" s="192"/>
      <c r="AC578" s="192"/>
      <c r="AD578" s="192"/>
      <c r="AE578" s="192"/>
      <c r="AF578" s="192"/>
      <c r="AI578" s="192"/>
      <c r="AJ578" s="192"/>
      <c r="AK578" s="194"/>
      <c r="AL578" s="192"/>
    </row>
    <row r="579" spans="1:40" x14ac:dyDescent="0.3">
      <c r="C579" s="99"/>
      <c r="F579" s="110"/>
      <c r="H579" s="110"/>
      <c r="I579" s="110"/>
      <c r="J579" s="163"/>
      <c r="K579" s="163"/>
      <c r="L579" s="110"/>
      <c r="M579" s="110"/>
      <c r="N579" s="207"/>
      <c r="O579" s="207"/>
      <c r="P579" s="110"/>
      <c r="Q579" s="110"/>
      <c r="R579" s="110"/>
      <c r="T579" s="99"/>
      <c r="V579" s="110"/>
      <c r="Y579" s="110"/>
      <c r="Z579" s="163"/>
      <c r="AA579" s="110"/>
      <c r="AB579" s="110"/>
      <c r="AC579" s="207"/>
      <c r="AD579" s="207"/>
      <c r="AE579" s="110"/>
      <c r="AF579" s="110"/>
      <c r="AH579" s="207"/>
      <c r="AI579" s="110"/>
      <c r="AJ579" s="110"/>
      <c r="AL579" s="110"/>
      <c r="AM579" s="207"/>
      <c r="AN579" s="207"/>
    </row>
    <row r="580" spans="1:40" x14ac:dyDescent="0.3">
      <c r="F580" s="192"/>
      <c r="H580" s="192"/>
      <c r="I580" s="192"/>
      <c r="J580" s="228"/>
      <c r="K580" s="228"/>
      <c r="L580" s="192"/>
      <c r="M580" s="192"/>
      <c r="N580" s="192"/>
      <c r="O580" s="192"/>
      <c r="P580" s="192"/>
      <c r="Q580" s="192"/>
      <c r="R580" s="192"/>
      <c r="V580" s="192"/>
      <c r="Y580" s="192"/>
      <c r="Z580" s="217"/>
      <c r="AA580" s="192"/>
      <c r="AB580" s="192"/>
      <c r="AC580" s="192"/>
      <c r="AD580" s="192"/>
      <c r="AE580" s="192"/>
      <c r="AF580" s="192"/>
      <c r="AI580" s="192"/>
      <c r="AJ580" s="192"/>
      <c r="AK580" s="194"/>
      <c r="AL580" s="192"/>
    </row>
    <row r="581" spans="1:40" x14ac:dyDescent="0.3">
      <c r="J581" s="163"/>
      <c r="K581" s="163"/>
    </row>
    <row r="582" spans="1:40" x14ac:dyDescent="0.3">
      <c r="C582" s="99"/>
      <c r="F582" s="110"/>
      <c r="H582" s="110"/>
      <c r="I582" s="110"/>
      <c r="J582" s="163"/>
      <c r="K582" s="163"/>
      <c r="L582" s="110"/>
      <c r="M582" s="110"/>
      <c r="N582" s="141"/>
      <c r="O582" s="141"/>
      <c r="P582" s="172"/>
      <c r="Q582" s="172"/>
      <c r="R582" s="110"/>
      <c r="T582" s="99"/>
      <c r="V582" s="110"/>
      <c r="Y582" s="110"/>
      <c r="AA582" s="110"/>
      <c r="AB582" s="110"/>
      <c r="AC582" s="207"/>
      <c r="AD582" s="207"/>
      <c r="AE582" s="110"/>
      <c r="AF582" s="110"/>
      <c r="AH582" s="207"/>
      <c r="AI582" s="172"/>
      <c r="AJ582" s="172"/>
      <c r="AL582" s="110"/>
      <c r="AM582" s="207"/>
      <c r="AN582" s="207"/>
    </row>
    <row r="583" spans="1:40" x14ac:dyDescent="0.3">
      <c r="F583" s="192"/>
      <c r="H583" s="192"/>
      <c r="I583" s="192"/>
      <c r="J583" s="228"/>
      <c r="K583" s="228"/>
      <c r="L583" s="192"/>
      <c r="M583" s="192"/>
      <c r="N583" s="192"/>
      <c r="O583" s="192"/>
      <c r="P583" s="192"/>
      <c r="Q583" s="192"/>
      <c r="R583" s="192"/>
      <c r="V583" s="192"/>
      <c r="Y583" s="192"/>
      <c r="Z583" s="217"/>
      <c r="AA583" s="192"/>
      <c r="AB583" s="192"/>
      <c r="AC583" s="192"/>
      <c r="AD583" s="192"/>
      <c r="AE583" s="192"/>
      <c r="AF583" s="192"/>
      <c r="AI583" s="192"/>
      <c r="AJ583" s="192"/>
      <c r="AK583" s="194"/>
      <c r="AL583" s="192"/>
    </row>
    <row r="586" spans="1:40" x14ac:dyDescent="0.3">
      <c r="A586" s="99"/>
    </row>
    <row r="588" spans="1:40" x14ac:dyDescent="0.3">
      <c r="H588" s="99"/>
      <c r="I588" s="99"/>
      <c r="Y588" s="99"/>
    </row>
    <row r="590" spans="1:40" x14ac:dyDescent="0.3">
      <c r="L590" s="99"/>
      <c r="M590" s="99"/>
      <c r="AA590" s="99"/>
      <c r="AB590" s="99"/>
    </row>
    <row r="591" spans="1:40" x14ac:dyDescent="0.3">
      <c r="R591" s="99"/>
      <c r="AK591" s="190"/>
      <c r="AL591" s="99"/>
    </row>
    <row r="592" spans="1:40" x14ac:dyDescent="0.3">
      <c r="R592" s="99"/>
      <c r="AK592" s="190"/>
      <c r="AL592" s="99"/>
    </row>
    <row r="593" spans="1:40" x14ac:dyDescent="0.3">
      <c r="A593" s="99"/>
      <c r="R593" s="99"/>
      <c r="AK593" s="190"/>
      <c r="AL593" s="99"/>
    </row>
    <row r="594" spans="1:40" x14ac:dyDescent="0.3">
      <c r="L594" s="99"/>
      <c r="M594" s="99"/>
      <c r="AA594" s="99"/>
      <c r="AB594" s="99"/>
    </row>
    <row r="595" spans="1:40" x14ac:dyDescent="0.3">
      <c r="A595" s="101"/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T595" s="101"/>
      <c r="U595" s="101"/>
      <c r="V595" s="101"/>
      <c r="W595" s="101"/>
      <c r="X595" s="101"/>
      <c r="Y595" s="101"/>
      <c r="Z595" s="101"/>
      <c r="AA595" s="101"/>
      <c r="AB595" s="101"/>
      <c r="AC595" s="101"/>
      <c r="AD595" s="101"/>
      <c r="AE595" s="101"/>
      <c r="AF595" s="101"/>
      <c r="AG595" s="191"/>
      <c r="AH595" s="101"/>
      <c r="AI595" s="101"/>
      <c r="AJ595" s="101"/>
      <c r="AK595" s="191"/>
      <c r="AL595" s="101"/>
      <c r="AM595" s="101"/>
      <c r="AN595" s="101"/>
    </row>
    <row r="596" spans="1:40" x14ac:dyDescent="0.3">
      <c r="L596" s="102"/>
      <c r="M596" s="102"/>
      <c r="N596" s="102"/>
      <c r="O596" s="102"/>
      <c r="R596" s="102"/>
      <c r="AA596" s="102"/>
      <c r="AB596" s="102"/>
      <c r="AC596" s="102"/>
      <c r="AD596" s="102"/>
      <c r="AE596" s="102"/>
      <c r="AF596" s="102"/>
      <c r="AG596" s="151"/>
      <c r="AH596" s="102"/>
      <c r="AK596" s="151"/>
      <c r="AL596" s="102"/>
      <c r="AM596" s="102"/>
      <c r="AN596" s="102"/>
    </row>
    <row r="597" spans="1:40" x14ac:dyDescent="0.3">
      <c r="L597" s="102"/>
      <c r="M597" s="102"/>
      <c r="N597" s="102"/>
      <c r="O597" s="102"/>
      <c r="R597" s="102"/>
      <c r="Z597" s="102"/>
      <c r="AA597" s="102"/>
      <c r="AB597" s="102"/>
      <c r="AC597" s="102"/>
      <c r="AD597" s="102"/>
      <c r="AE597" s="102"/>
      <c r="AF597" s="102"/>
      <c r="AG597" s="151"/>
      <c r="AH597" s="102"/>
      <c r="AK597" s="151"/>
      <c r="AL597" s="102"/>
      <c r="AM597" s="102"/>
      <c r="AN597" s="102"/>
    </row>
    <row r="598" spans="1:40" x14ac:dyDescent="0.3">
      <c r="A598" s="102"/>
      <c r="C598" s="102"/>
      <c r="D598" s="102"/>
      <c r="E598" s="102"/>
      <c r="F598" s="102"/>
      <c r="J598" s="102"/>
      <c r="K598" s="102"/>
      <c r="L598" s="102"/>
      <c r="M598" s="102"/>
      <c r="N598" s="102"/>
      <c r="O598" s="102"/>
      <c r="P598" s="102"/>
      <c r="Q598" s="102"/>
      <c r="R598" s="102"/>
      <c r="T598" s="102"/>
      <c r="U598" s="102"/>
      <c r="V598" s="102"/>
      <c r="Z598" s="102"/>
      <c r="AA598" s="102"/>
      <c r="AB598" s="102"/>
      <c r="AC598" s="102"/>
      <c r="AD598" s="102"/>
      <c r="AE598" s="102"/>
      <c r="AF598" s="102"/>
      <c r="AG598" s="151"/>
      <c r="AH598" s="102"/>
      <c r="AI598" s="102"/>
      <c r="AJ598" s="102"/>
      <c r="AK598" s="151"/>
      <c r="AL598" s="102"/>
      <c r="AM598" s="102"/>
      <c r="AN598" s="102"/>
    </row>
    <row r="599" spans="1:40" x14ac:dyDescent="0.3">
      <c r="A599" s="102"/>
      <c r="C599" s="102"/>
      <c r="D599" s="102"/>
      <c r="E599" s="102"/>
      <c r="F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T599" s="102"/>
      <c r="U599" s="102"/>
      <c r="V599" s="102"/>
      <c r="Y599" s="102"/>
      <c r="Z599" s="102"/>
      <c r="AA599" s="102"/>
      <c r="AB599" s="102"/>
      <c r="AC599" s="102"/>
      <c r="AD599" s="102"/>
      <c r="AE599" s="102"/>
      <c r="AF599" s="102"/>
      <c r="AG599" s="151"/>
      <c r="AH599" s="102"/>
      <c r="AI599" s="102"/>
      <c r="AJ599" s="102"/>
      <c r="AK599" s="151"/>
      <c r="AL599" s="102"/>
      <c r="AM599" s="102"/>
      <c r="AN599" s="102"/>
    </row>
    <row r="600" spans="1:40" x14ac:dyDescent="0.3">
      <c r="C600" s="102"/>
      <c r="D600" s="102"/>
      <c r="E600" s="102"/>
      <c r="F600" s="102"/>
      <c r="H600" s="102"/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T600" s="102"/>
      <c r="U600" s="102"/>
      <c r="V600" s="102"/>
      <c r="Y600" s="102"/>
      <c r="Z600" s="102"/>
      <c r="AA600" s="102"/>
      <c r="AB600" s="102"/>
      <c r="AC600" s="102"/>
      <c r="AD600" s="102"/>
      <c r="AE600" s="102"/>
      <c r="AF600" s="102"/>
      <c r="AG600" s="151"/>
      <c r="AH600" s="102"/>
      <c r="AI600" s="102"/>
      <c r="AJ600" s="102"/>
      <c r="AK600" s="151"/>
      <c r="AL600" s="102"/>
      <c r="AM600" s="102"/>
      <c r="AN600" s="102"/>
    </row>
    <row r="601" spans="1:40" x14ac:dyDescent="0.3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91"/>
      <c r="AH601" s="101"/>
      <c r="AI601" s="101"/>
      <c r="AJ601" s="101"/>
      <c r="AK601" s="191"/>
      <c r="AL601" s="101"/>
      <c r="AM601" s="101"/>
      <c r="AN601" s="101"/>
    </row>
    <row r="602" spans="1:40" x14ac:dyDescent="0.3"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Y602" s="102"/>
      <c r="Z602" s="102"/>
      <c r="AA602" s="102"/>
      <c r="AB602" s="102"/>
      <c r="AC602" s="102"/>
      <c r="AD602" s="102"/>
      <c r="AE602" s="102"/>
      <c r="AF602" s="102"/>
      <c r="AG602" s="151"/>
      <c r="AH602" s="102"/>
      <c r="AI602" s="102"/>
      <c r="AJ602" s="102"/>
      <c r="AK602" s="151"/>
      <c r="AL602" s="102"/>
      <c r="AM602" s="102"/>
      <c r="AN602" s="102"/>
    </row>
    <row r="603" spans="1:40" x14ac:dyDescent="0.3">
      <c r="C603" s="99"/>
      <c r="D603" s="99"/>
      <c r="E603" s="99"/>
      <c r="T603" s="99"/>
      <c r="U603" s="99"/>
    </row>
    <row r="605" spans="1:40" x14ac:dyDescent="0.3">
      <c r="C605" s="99"/>
      <c r="D605" s="99"/>
      <c r="E605" s="99"/>
      <c r="T605" s="99"/>
      <c r="U605" s="99"/>
    </row>
    <row r="606" spans="1:40" x14ac:dyDescent="0.3">
      <c r="C606" s="99"/>
      <c r="T606" s="99"/>
    </row>
    <row r="607" spans="1:40" x14ac:dyDescent="0.3">
      <c r="C607" s="99"/>
      <c r="T607" s="99"/>
    </row>
    <row r="608" spans="1:40" x14ac:dyDescent="0.3">
      <c r="C608" s="99"/>
      <c r="F608" s="172"/>
      <c r="H608" s="172"/>
      <c r="I608" s="172"/>
      <c r="J608" s="228"/>
      <c r="K608" s="228"/>
      <c r="L608" s="110"/>
      <c r="M608" s="110"/>
      <c r="N608" s="141"/>
      <c r="O608" s="141"/>
      <c r="P608" s="110"/>
      <c r="Q608" s="110"/>
      <c r="R608" s="110"/>
      <c r="T608" s="99"/>
      <c r="V608" s="110"/>
      <c r="W608" s="110"/>
      <c r="X608" s="110"/>
      <c r="Y608" s="110"/>
      <c r="Z608" s="228"/>
      <c r="AA608" s="110"/>
      <c r="AB608" s="110"/>
      <c r="AC608" s="141"/>
      <c r="AD608" s="141"/>
      <c r="AE608" s="110"/>
      <c r="AF608" s="110"/>
      <c r="AH608" s="207"/>
      <c r="AI608" s="110"/>
      <c r="AJ608" s="110"/>
      <c r="AL608" s="110"/>
      <c r="AM608" s="141"/>
      <c r="AN608" s="141"/>
    </row>
    <row r="609" spans="3:40" x14ac:dyDescent="0.3">
      <c r="C609" s="99"/>
      <c r="J609" s="163"/>
      <c r="K609" s="163"/>
      <c r="T609" s="99"/>
      <c r="V609" s="110"/>
      <c r="W609" s="110"/>
      <c r="X609" s="110"/>
      <c r="Y609" s="110"/>
      <c r="Z609" s="228"/>
    </row>
    <row r="610" spans="3:40" x14ac:dyDescent="0.3">
      <c r="C610" s="99"/>
      <c r="F610" s="172"/>
      <c r="H610" s="172"/>
      <c r="I610" s="172"/>
      <c r="J610" s="228"/>
      <c r="K610" s="228"/>
      <c r="L610" s="110"/>
      <c r="M610" s="110"/>
      <c r="N610" s="141"/>
      <c r="O610" s="141"/>
      <c r="P610" s="110"/>
      <c r="Q610" s="110"/>
      <c r="R610" s="110"/>
      <c r="T610" s="99"/>
      <c r="V610" s="110"/>
      <c r="W610" s="110"/>
      <c r="X610" s="110"/>
      <c r="Y610" s="110"/>
      <c r="Z610" s="228"/>
      <c r="AA610" s="110"/>
      <c r="AB610" s="110"/>
      <c r="AC610" s="141"/>
      <c r="AD610" s="141"/>
      <c r="AE610" s="110"/>
      <c r="AF610" s="110"/>
      <c r="AH610" s="207"/>
      <c r="AI610" s="110"/>
      <c r="AJ610" s="110"/>
      <c r="AL610" s="110"/>
      <c r="AM610" s="141"/>
      <c r="AN610" s="141"/>
    </row>
    <row r="611" spans="3:40" x14ac:dyDescent="0.3">
      <c r="C611" s="99"/>
      <c r="J611" s="163"/>
      <c r="K611" s="163"/>
      <c r="T611" s="99"/>
      <c r="V611" s="110"/>
      <c r="W611" s="110"/>
      <c r="X611" s="110"/>
      <c r="Y611" s="110"/>
      <c r="Z611" s="228"/>
    </row>
    <row r="612" spans="3:40" x14ac:dyDescent="0.3">
      <c r="C612" s="99"/>
      <c r="F612" s="172"/>
      <c r="H612" s="172"/>
      <c r="I612" s="172"/>
      <c r="J612" s="228"/>
      <c r="K612" s="228"/>
      <c r="L612" s="110"/>
      <c r="M612" s="110"/>
      <c r="N612" s="141"/>
      <c r="O612" s="141"/>
      <c r="P612" s="110"/>
      <c r="Q612" s="110"/>
      <c r="R612" s="110"/>
      <c r="T612" s="99"/>
      <c r="V612" s="110"/>
      <c r="W612" s="110"/>
      <c r="X612" s="110"/>
      <c r="Y612" s="110"/>
      <c r="Z612" s="228"/>
      <c r="AA612" s="110"/>
      <c r="AB612" s="110"/>
      <c r="AC612" s="141"/>
      <c r="AD612" s="141"/>
      <c r="AE612" s="110"/>
      <c r="AF612" s="110"/>
      <c r="AH612" s="207"/>
      <c r="AI612" s="110"/>
      <c r="AJ612" s="110"/>
      <c r="AL612" s="110"/>
      <c r="AM612" s="141"/>
      <c r="AN612" s="141"/>
    </row>
    <row r="613" spans="3:40" x14ac:dyDescent="0.3">
      <c r="C613" s="99"/>
      <c r="J613" s="163"/>
      <c r="K613" s="163"/>
      <c r="T613" s="99"/>
      <c r="V613" s="110"/>
      <c r="W613" s="110"/>
      <c r="X613" s="110"/>
      <c r="Y613" s="110"/>
      <c r="Z613" s="228"/>
    </row>
    <row r="614" spans="3:40" x14ac:dyDescent="0.3">
      <c r="C614" s="99"/>
      <c r="F614" s="172"/>
      <c r="H614" s="172"/>
      <c r="I614" s="172"/>
      <c r="J614" s="228"/>
      <c r="K614" s="228"/>
      <c r="L614" s="110"/>
      <c r="M614" s="110"/>
      <c r="N614" s="141"/>
      <c r="O614" s="141"/>
      <c r="P614" s="110"/>
      <c r="Q614" s="110"/>
      <c r="R614" s="110"/>
      <c r="T614" s="99"/>
      <c r="V614" s="110"/>
      <c r="W614" s="110"/>
      <c r="X614" s="110"/>
      <c r="Y614" s="110"/>
      <c r="Z614" s="228"/>
      <c r="AA614" s="110"/>
      <c r="AB614" s="110"/>
      <c r="AC614" s="141"/>
      <c r="AD614" s="141"/>
      <c r="AE614" s="110"/>
      <c r="AF614" s="110"/>
      <c r="AH614" s="207"/>
      <c r="AI614" s="110"/>
      <c r="AJ614" s="110"/>
      <c r="AL614" s="110"/>
      <c r="AM614" s="141"/>
      <c r="AN614" s="141"/>
    </row>
    <row r="615" spans="3:40" x14ac:dyDescent="0.3">
      <c r="C615" s="99"/>
      <c r="J615" s="163"/>
      <c r="K615" s="163"/>
      <c r="T615" s="99"/>
      <c r="V615" s="110"/>
      <c r="W615" s="110"/>
      <c r="X615" s="110"/>
      <c r="Y615" s="110"/>
      <c r="Z615" s="228"/>
    </row>
    <row r="616" spans="3:40" x14ac:dyDescent="0.3">
      <c r="C616" s="99"/>
      <c r="F616" s="172"/>
      <c r="H616" s="172"/>
      <c r="I616" s="172"/>
      <c r="J616" s="228"/>
      <c r="K616" s="228"/>
      <c r="L616" s="110"/>
      <c r="M616" s="110"/>
      <c r="N616" s="141"/>
      <c r="O616" s="141"/>
      <c r="P616" s="110"/>
      <c r="Q616" s="110"/>
      <c r="R616" s="110"/>
      <c r="T616" s="99"/>
      <c r="V616" s="110"/>
      <c r="W616" s="110"/>
      <c r="X616" s="110"/>
      <c r="Y616" s="110"/>
      <c r="Z616" s="228"/>
      <c r="AA616" s="110"/>
      <c r="AB616" s="110"/>
      <c r="AC616" s="141"/>
      <c r="AD616" s="141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C617" s="99"/>
      <c r="J617" s="163"/>
      <c r="K617" s="163"/>
      <c r="T617" s="99"/>
      <c r="V617" s="110"/>
      <c r="W617" s="110"/>
      <c r="X617" s="110"/>
      <c r="Y617" s="110"/>
      <c r="Z617" s="228"/>
    </row>
    <row r="618" spans="3:40" x14ac:dyDescent="0.3">
      <c r="C618" s="99"/>
      <c r="F618" s="172"/>
      <c r="H618" s="172"/>
      <c r="I618" s="172"/>
      <c r="J618" s="228"/>
      <c r="K618" s="228"/>
      <c r="L618" s="110"/>
      <c r="M618" s="110"/>
      <c r="N618" s="141"/>
      <c r="O618" s="141"/>
      <c r="P618" s="110"/>
      <c r="Q618" s="110"/>
      <c r="R618" s="110"/>
      <c r="T618" s="99"/>
      <c r="V618" s="110"/>
      <c r="W618" s="110"/>
      <c r="X618" s="110"/>
      <c r="Y618" s="110"/>
      <c r="Z618" s="228"/>
      <c r="AA618" s="110"/>
      <c r="AB618" s="110"/>
      <c r="AC618" s="141"/>
      <c r="AD618" s="141"/>
      <c r="AE618" s="110"/>
      <c r="AF618" s="110"/>
      <c r="AH618" s="207"/>
      <c r="AI618" s="110"/>
      <c r="AJ618" s="110"/>
      <c r="AL618" s="110"/>
      <c r="AM618" s="141"/>
      <c r="AN618" s="141"/>
    </row>
    <row r="619" spans="3:40" x14ac:dyDescent="0.3">
      <c r="F619" s="192"/>
      <c r="H619" s="192"/>
      <c r="I619" s="192"/>
      <c r="J619" s="228"/>
      <c r="K619" s="228"/>
      <c r="L619" s="192"/>
      <c r="M619" s="192"/>
      <c r="N619" s="192"/>
      <c r="O619" s="192"/>
      <c r="P619" s="192"/>
      <c r="Q619" s="192"/>
      <c r="R619" s="192"/>
      <c r="V619" s="192"/>
      <c r="Y619" s="192"/>
      <c r="Z619" s="228"/>
      <c r="AA619" s="192"/>
      <c r="AB619" s="192"/>
      <c r="AC619" s="192"/>
      <c r="AD619" s="192"/>
      <c r="AE619" s="192"/>
      <c r="AF619" s="192"/>
      <c r="AI619" s="192"/>
      <c r="AJ619" s="192"/>
      <c r="AK619" s="194"/>
      <c r="AL619" s="192"/>
      <c r="AM619" s="141"/>
      <c r="AN619" s="141"/>
    </row>
    <row r="620" spans="3:40" x14ac:dyDescent="0.3">
      <c r="C620" s="99"/>
      <c r="F620" s="110"/>
      <c r="H620" s="110"/>
      <c r="I620" s="110"/>
      <c r="J620" s="163"/>
      <c r="K620" s="163"/>
      <c r="L620" s="110"/>
      <c r="M620" s="110"/>
      <c r="N620" s="141"/>
      <c r="O620" s="141"/>
      <c r="P620" s="172"/>
      <c r="Q620" s="172"/>
      <c r="R620" s="110"/>
      <c r="T620" s="99"/>
      <c r="V620" s="110"/>
      <c r="W620" s="110"/>
      <c r="X620" s="110"/>
      <c r="Y620" s="110"/>
      <c r="Z620" s="228"/>
      <c r="AA620" s="110"/>
      <c r="AB620" s="110"/>
      <c r="AC620" s="141"/>
      <c r="AD620" s="141"/>
      <c r="AE620" s="110"/>
      <c r="AF620" s="110"/>
      <c r="AH620" s="207"/>
      <c r="AI620" s="172"/>
      <c r="AJ620" s="172"/>
      <c r="AL620" s="110"/>
      <c r="AM620" s="141"/>
      <c r="AN620" s="141"/>
    </row>
    <row r="621" spans="3:40" x14ac:dyDescent="0.3">
      <c r="F621" s="192"/>
      <c r="H621" s="192"/>
      <c r="I621" s="192"/>
      <c r="J621" s="228"/>
      <c r="K621" s="228"/>
      <c r="L621" s="192"/>
      <c r="M621" s="192"/>
      <c r="N621" s="192"/>
      <c r="O621" s="192"/>
      <c r="P621" s="192"/>
      <c r="Q621" s="192"/>
      <c r="R621" s="192"/>
      <c r="V621" s="192"/>
      <c r="Y621" s="192"/>
      <c r="Z621" s="228"/>
      <c r="AA621" s="192"/>
      <c r="AB621" s="192"/>
      <c r="AC621" s="192"/>
      <c r="AD621" s="192"/>
      <c r="AE621" s="192"/>
      <c r="AF621" s="192"/>
      <c r="AI621" s="192"/>
      <c r="AJ621" s="192"/>
      <c r="AK621" s="194"/>
      <c r="AL621" s="192"/>
    </row>
    <row r="622" spans="3:40" x14ac:dyDescent="0.3">
      <c r="C622" s="99"/>
      <c r="D622" s="99"/>
      <c r="E622" s="99"/>
      <c r="J622" s="163"/>
      <c r="K622" s="163"/>
      <c r="T622" s="99"/>
      <c r="U622" s="99"/>
      <c r="V622" s="110"/>
      <c r="W622" s="110"/>
      <c r="X622" s="110"/>
      <c r="Y622" s="110"/>
      <c r="Z622" s="228"/>
    </row>
    <row r="623" spans="3:40" x14ac:dyDescent="0.3">
      <c r="C623" s="99"/>
      <c r="J623" s="163"/>
      <c r="K623" s="163"/>
      <c r="T623" s="99"/>
      <c r="V623" s="110"/>
      <c r="W623" s="110"/>
      <c r="X623" s="110"/>
      <c r="Y623" s="110"/>
      <c r="Z623" s="228"/>
    </row>
    <row r="624" spans="3:40" x14ac:dyDescent="0.3">
      <c r="C624" s="99"/>
      <c r="J624" s="163"/>
      <c r="K624" s="163"/>
      <c r="T624" s="99"/>
      <c r="V624" s="110"/>
      <c r="W624" s="110"/>
      <c r="X624" s="110"/>
      <c r="Y624" s="110"/>
      <c r="Z624" s="228"/>
    </row>
    <row r="625" spans="3:40" x14ac:dyDescent="0.3">
      <c r="C625" s="99"/>
      <c r="F625" s="172"/>
      <c r="H625" s="172"/>
      <c r="I625" s="172"/>
      <c r="J625" s="228"/>
      <c r="K625" s="228"/>
      <c r="L625" s="110"/>
      <c r="M625" s="110"/>
      <c r="N625" s="141"/>
      <c r="O625" s="141"/>
      <c r="P625" s="110"/>
      <c r="Q625" s="110"/>
      <c r="R625" s="110"/>
      <c r="T625" s="99"/>
      <c r="V625" s="110"/>
      <c r="W625" s="110"/>
      <c r="X625" s="110"/>
      <c r="Y625" s="110"/>
      <c r="Z625" s="228"/>
      <c r="AA625" s="110"/>
      <c r="AB625" s="110"/>
      <c r="AC625" s="141"/>
      <c r="AD625" s="141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C626" s="99"/>
      <c r="J626" s="163"/>
      <c r="K626" s="163"/>
      <c r="T626" s="99"/>
      <c r="V626" s="110"/>
      <c r="W626" s="110"/>
      <c r="X626" s="110"/>
      <c r="Y626" s="110"/>
      <c r="Z626" s="228"/>
    </row>
    <row r="627" spans="3:40" x14ac:dyDescent="0.3">
      <c r="C627" s="99"/>
      <c r="F627" s="172"/>
      <c r="H627" s="172"/>
      <c r="I627" s="172"/>
      <c r="J627" s="228"/>
      <c r="K627" s="228"/>
      <c r="L627" s="110"/>
      <c r="M627" s="110"/>
      <c r="N627" s="141"/>
      <c r="O627" s="141"/>
      <c r="P627" s="110"/>
      <c r="Q627" s="110"/>
      <c r="R627" s="110"/>
      <c r="T627" s="99"/>
      <c r="V627" s="110"/>
      <c r="W627" s="110"/>
      <c r="X627" s="110"/>
      <c r="Y627" s="110"/>
      <c r="Z627" s="228"/>
      <c r="AA627" s="110"/>
      <c r="AB627" s="110"/>
      <c r="AC627" s="141"/>
      <c r="AD627" s="141"/>
      <c r="AE627" s="110"/>
      <c r="AF627" s="110"/>
      <c r="AH627" s="207"/>
      <c r="AI627" s="110"/>
      <c r="AJ627" s="110"/>
      <c r="AL627" s="110"/>
      <c r="AM627" s="141"/>
      <c r="AN627" s="141"/>
    </row>
    <row r="628" spans="3:40" x14ac:dyDescent="0.3">
      <c r="F628" s="192"/>
      <c r="H628" s="192"/>
      <c r="I628" s="192"/>
      <c r="J628" s="228"/>
      <c r="K628" s="228"/>
      <c r="L628" s="192"/>
      <c r="M628" s="192"/>
      <c r="N628" s="192"/>
      <c r="O628" s="192"/>
      <c r="P628" s="192"/>
      <c r="Q628" s="192"/>
      <c r="R628" s="192"/>
      <c r="V628" s="192"/>
      <c r="Y628" s="192"/>
      <c r="Z628" s="217"/>
      <c r="AA628" s="192"/>
      <c r="AB628" s="192"/>
      <c r="AC628" s="192"/>
      <c r="AD628" s="192"/>
      <c r="AE628" s="192"/>
      <c r="AF628" s="192"/>
      <c r="AI628" s="192"/>
      <c r="AJ628" s="192"/>
      <c r="AK628" s="194"/>
      <c r="AL628" s="192"/>
    </row>
    <row r="629" spans="3:40" x14ac:dyDescent="0.3">
      <c r="C629" s="99"/>
      <c r="F629" s="110"/>
      <c r="H629" s="110"/>
      <c r="I629" s="110"/>
      <c r="L629" s="110"/>
      <c r="M629" s="110"/>
      <c r="N629" s="141"/>
      <c r="O629" s="141"/>
      <c r="P629" s="172"/>
      <c r="Q629" s="172"/>
      <c r="R629" s="110"/>
      <c r="T629" s="99"/>
      <c r="V629" s="110"/>
      <c r="W629" s="110"/>
      <c r="X629" s="110"/>
      <c r="Y629" s="110"/>
      <c r="Z629" s="227"/>
      <c r="AA629" s="110"/>
      <c r="AB629" s="110"/>
      <c r="AC629" s="141"/>
      <c r="AD629" s="141"/>
      <c r="AE629" s="110"/>
      <c r="AF629" s="110"/>
      <c r="AH629" s="207"/>
      <c r="AI629" s="172"/>
      <c r="AJ629" s="172"/>
      <c r="AL629" s="110"/>
      <c r="AM629" s="141"/>
      <c r="AN629" s="141"/>
    </row>
    <row r="630" spans="3:40" x14ac:dyDescent="0.3">
      <c r="F630" s="192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Y630" s="192"/>
      <c r="Z630" s="217"/>
      <c r="AA630" s="192"/>
      <c r="AB630" s="192"/>
      <c r="AC630" s="192"/>
      <c r="AD630" s="192"/>
      <c r="AE630" s="192"/>
      <c r="AF630" s="192"/>
      <c r="AI630" s="192"/>
      <c r="AJ630" s="192"/>
      <c r="AK630" s="194"/>
      <c r="AL630" s="192"/>
    </row>
    <row r="631" spans="3:40" x14ac:dyDescent="0.3">
      <c r="C631" s="99"/>
      <c r="D631" s="99"/>
      <c r="E631" s="99"/>
      <c r="T631" s="99"/>
      <c r="U631" s="99"/>
      <c r="V631" s="110"/>
      <c r="W631" s="110"/>
      <c r="X631" s="110"/>
      <c r="Y631" s="110"/>
      <c r="Z631" s="227"/>
    </row>
    <row r="632" spans="3:40" x14ac:dyDescent="0.3">
      <c r="C632" s="99"/>
      <c r="T632" s="99"/>
      <c r="V632" s="110"/>
      <c r="W632" s="110"/>
      <c r="X632" s="110"/>
      <c r="Y632" s="110"/>
      <c r="Z632" s="227"/>
    </row>
    <row r="633" spans="3:40" x14ac:dyDescent="0.3">
      <c r="C633" s="99"/>
      <c r="F633" s="172"/>
      <c r="H633" s="172"/>
      <c r="I633" s="172"/>
      <c r="J633" s="227"/>
      <c r="K633" s="227"/>
      <c r="L633" s="110"/>
      <c r="M633" s="110"/>
      <c r="N633" s="141"/>
      <c r="O633" s="141"/>
      <c r="P633" s="110"/>
      <c r="Q633" s="110"/>
      <c r="R633" s="110"/>
      <c r="T633" s="99"/>
      <c r="V633" s="110"/>
      <c r="W633" s="110"/>
      <c r="X633" s="110"/>
      <c r="Y633" s="110"/>
      <c r="Z633" s="227"/>
      <c r="AA633" s="110"/>
      <c r="AB633" s="110"/>
      <c r="AC633" s="141"/>
      <c r="AD633" s="141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C634" s="99"/>
      <c r="T634" s="99"/>
      <c r="V634" s="110"/>
      <c r="W634" s="110"/>
      <c r="X634" s="110"/>
      <c r="Y634" s="110"/>
      <c r="Z634" s="227"/>
    </row>
    <row r="635" spans="3:40" x14ac:dyDescent="0.3">
      <c r="C635" s="99"/>
      <c r="F635" s="172"/>
      <c r="H635" s="172"/>
      <c r="I635" s="172"/>
      <c r="J635" s="227"/>
      <c r="K635" s="227"/>
      <c r="L635" s="110"/>
      <c r="M635" s="110"/>
      <c r="N635" s="141"/>
      <c r="O635" s="141"/>
      <c r="P635" s="110"/>
      <c r="Q635" s="110"/>
      <c r="R635" s="110"/>
      <c r="T635" s="99"/>
      <c r="V635" s="110"/>
      <c r="W635" s="110"/>
      <c r="X635" s="110"/>
      <c r="Y635" s="110"/>
      <c r="Z635" s="227"/>
      <c r="AA635" s="110"/>
      <c r="AB635" s="110"/>
      <c r="AC635" s="141"/>
      <c r="AD635" s="141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C636" s="99"/>
      <c r="T636" s="99"/>
      <c r="V636" s="110"/>
      <c r="W636" s="110"/>
      <c r="X636" s="110"/>
      <c r="Y636" s="110"/>
      <c r="Z636" s="227"/>
    </row>
    <row r="637" spans="3:40" x14ac:dyDescent="0.3">
      <c r="C637" s="99"/>
      <c r="F637" s="172"/>
      <c r="H637" s="172"/>
      <c r="I637" s="172"/>
      <c r="J637" s="227"/>
      <c r="K637" s="227"/>
      <c r="L637" s="110"/>
      <c r="M637" s="110"/>
      <c r="N637" s="141"/>
      <c r="O637" s="141"/>
      <c r="P637" s="110"/>
      <c r="Q637" s="110"/>
      <c r="R637" s="110"/>
      <c r="T637" s="99"/>
      <c r="V637" s="110"/>
      <c r="W637" s="110"/>
      <c r="X637" s="110"/>
      <c r="Y637" s="110"/>
      <c r="Z637" s="227"/>
      <c r="AA637" s="110"/>
      <c r="AB637" s="110"/>
      <c r="AC637" s="141"/>
      <c r="AD637" s="141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C638" s="99"/>
      <c r="T638" s="99"/>
      <c r="V638" s="110"/>
      <c r="W638" s="110"/>
      <c r="X638" s="110"/>
      <c r="Y638" s="110"/>
      <c r="Z638" s="227"/>
    </row>
    <row r="639" spans="3:40" x14ac:dyDescent="0.3">
      <c r="C639" s="99"/>
      <c r="F639" s="172"/>
      <c r="H639" s="172"/>
      <c r="I639" s="172"/>
      <c r="J639" s="227"/>
      <c r="K639" s="227"/>
      <c r="L639" s="110"/>
      <c r="M639" s="110"/>
      <c r="N639" s="141"/>
      <c r="O639" s="141"/>
      <c r="P639" s="110"/>
      <c r="Q639" s="110"/>
      <c r="R639" s="110"/>
      <c r="T639" s="99"/>
      <c r="V639" s="110"/>
      <c r="W639" s="110"/>
      <c r="X639" s="110"/>
      <c r="Y639" s="110"/>
      <c r="Z639" s="227"/>
      <c r="AA639" s="110"/>
      <c r="AB639" s="110"/>
      <c r="AC639" s="141"/>
      <c r="AD639" s="141"/>
      <c r="AE639" s="110"/>
      <c r="AF639" s="110"/>
      <c r="AH639" s="207"/>
      <c r="AI639" s="110"/>
      <c r="AJ639" s="110"/>
      <c r="AL639" s="110"/>
      <c r="AM639" s="141"/>
      <c r="AN639" s="141"/>
    </row>
    <row r="640" spans="3:40" x14ac:dyDescent="0.3">
      <c r="F640" s="192"/>
      <c r="H640" s="192"/>
      <c r="I640" s="192"/>
      <c r="J640" s="217"/>
      <c r="K640" s="217"/>
      <c r="L640" s="192"/>
      <c r="M640" s="192"/>
      <c r="N640" s="192"/>
      <c r="O640" s="192"/>
      <c r="P640" s="192"/>
      <c r="Q640" s="192"/>
      <c r="R640" s="192"/>
      <c r="V640" s="192"/>
      <c r="Y640" s="192"/>
      <c r="Z640" s="217"/>
      <c r="AA640" s="192"/>
      <c r="AB640" s="192"/>
      <c r="AC640" s="192"/>
      <c r="AD640" s="192"/>
      <c r="AE640" s="192"/>
      <c r="AF640" s="192"/>
      <c r="AI640" s="192"/>
      <c r="AJ640" s="192"/>
      <c r="AK640" s="194"/>
      <c r="AL640" s="192"/>
    </row>
    <row r="641" spans="1:40" x14ac:dyDescent="0.3">
      <c r="C641" s="99"/>
      <c r="F641" s="110"/>
      <c r="H641" s="110"/>
      <c r="I641" s="110"/>
      <c r="L641" s="110"/>
      <c r="M641" s="110"/>
      <c r="N641" s="141"/>
      <c r="O641" s="141"/>
      <c r="P641" s="172"/>
      <c r="Q641" s="172"/>
      <c r="R641" s="110"/>
      <c r="T641" s="99"/>
      <c r="V641" s="110"/>
      <c r="W641" s="110"/>
      <c r="X641" s="110"/>
      <c r="Y641" s="110"/>
      <c r="Z641" s="227"/>
      <c r="AA641" s="110"/>
      <c r="AB641" s="110"/>
      <c r="AC641" s="141"/>
      <c r="AD641" s="141"/>
      <c r="AE641" s="110"/>
      <c r="AF641" s="110"/>
      <c r="AH641" s="207"/>
      <c r="AI641" s="172"/>
      <c r="AJ641" s="172"/>
      <c r="AL641" s="110"/>
      <c r="AM641" s="141"/>
      <c r="AN641" s="141"/>
    </row>
    <row r="642" spans="1:40" x14ac:dyDescent="0.3">
      <c r="F642" s="192"/>
      <c r="H642" s="192"/>
      <c r="I642" s="192"/>
      <c r="J642" s="217"/>
      <c r="K642" s="217"/>
      <c r="L642" s="192"/>
      <c r="M642" s="192"/>
      <c r="N642" s="192"/>
      <c r="O642" s="192"/>
      <c r="P642" s="192"/>
      <c r="Q642" s="192"/>
      <c r="R642" s="192"/>
      <c r="V642" s="192"/>
      <c r="Y642" s="192"/>
      <c r="Z642" s="217"/>
      <c r="AA642" s="192"/>
      <c r="AB642" s="192"/>
      <c r="AC642" s="192"/>
      <c r="AD642" s="192"/>
      <c r="AE642" s="192"/>
      <c r="AF642" s="192"/>
      <c r="AI642" s="192"/>
      <c r="AJ642" s="192"/>
      <c r="AK642" s="194"/>
      <c r="AL642" s="192"/>
    </row>
    <row r="643" spans="1:40" x14ac:dyDescent="0.3">
      <c r="C643" s="99"/>
      <c r="F643" s="110"/>
      <c r="H643" s="110"/>
      <c r="I643" s="110"/>
      <c r="L643" s="110"/>
      <c r="M643" s="110"/>
      <c r="N643" s="141"/>
      <c r="O643" s="141"/>
      <c r="P643" s="110"/>
      <c r="Q643" s="110"/>
      <c r="R643" s="110"/>
      <c r="T643" s="99"/>
      <c r="V643" s="110"/>
      <c r="W643" s="110"/>
      <c r="X643" s="110"/>
      <c r="Y643" s="110"/>
      <c r="AA643" s="110"/>
      <c r="AB643" s="110"/>
      <c r="AC643" s="141"/>
      <c r="AD643" s="141"/>
      <c r="AE643" s="110"/>
      <c r="AF643" s="110"/>
      <c r="AH643" s="207"/>
      <c r="AI643" s="110"/>
      <c r="AJ643" s="110"/>
      <c r="AL643" s="110"/>
      <c r="AM643" s="207"/>
      <c r="AN643" s="207"/>
    </row>
    <row r="644" spans="1:40" x14ac:dyDescent="0.3">
      <c r="F644" s="192"/>
      <c r="H644" s="192"/>
      <c r="I644" s="192"/>
      <c r="J644" s="217"/>
      <c r="K644" s="217"/>
      <c r="L644" s="192"/>
      <c r="M644" s="192"/>
      <c r="N644" s="192"/>
      <c r="O644" s="192"/>
      <c r="P644" s="192"/>
      <c r="Q644" s="192"/>
      <c r="R644" s="192"/>
      <c r="V644" s="192"/>
      <c r="Y644" s="192"/>
      <c r="Z644" s="217"/>
      <c r="AA644" s="192"/>
      <c r="AB644" s="192"/>
      <c r="AC644" s="192"/>
      <c r="AD644" s="192"/>
      <c r="AE644" s="192"/>
      <c r="AF644" s="192"/>
      <c r="AI644" s="192"/>
      <c r="AJ644" s="192"/>
      <c r="AK644" s="194"/>
      <c r="AL644" s="192"/>
    </row>
    <row r="647" spans="1:40" x14ac:dyDescent="0.3">
      <c r="A647" s="99"/>
    </row>
    <row r="649" spans="1:40" x14ac:dyDescent="0.3">
      <c r="H649" s="99"/>
      <c r="I649" s="99"/>
      <c r="Y649" s="99"/>
    </row>
    <row r="651" spans="1:40" x14ac:dyDescent="0.3">
      <c r="L651" s="99"/>
      <c r="M651" s="99"/>
      <c r="AA651" s="99"/>
      <c r="AB651" s="99"/>
    </row>
    <row r="652" spans="1:40" x14ac:dyDescent="0.3">
      <c r="R652" s="99"/>
      <c r="AK652" s="190"/>
      <c r="AL652" s="99"/>
    </row>
    <row r="653" spans="1:40" x14ac:dyDescent="0.3">
      <c r="R653" s="99"/>
      <c r="AK653" s="190"/>
      <c r="AL653" s="99"/>
    </row>
    <row r="654" spans="1:40" x14ac:dyDescent="0.3">
      <c r="A654" s="99"/>
      <c r="R654" s="99"/>
      <c r="AK654" s="190"/>
      <c r="AL654" s="99"/>
    </row>
    <row r="655" spans="1:40" x14ac:dyDescent="0.3">
      <c r="L655" s="99"/>
      <c r="M655" s="99"/>
      <c r="AA655" s="99"/>
      <c r="AB655" s="99"/>
    </row>
    <row r="656" spans="1:40" x14ac:dyDescent="0.3">
      <c r="A656" s="101"/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T656" s="101"/>
      <c r="U656" s="101"/>
      <c r="V656" s="101"/>
      <c r="W656" s="101"/>
      <c r="X656" s="101"/>
      <c r="Y656" s="101"/>
      <c r="Z656" s="101"/>
      <c r="AA656" s="101"/>
      <c r="AB656" s="101"/>
      <c r="AC656" s="101"/>
      <c r="AD656" s="101"/>
      <c r="AE656" s="101"/>
      <c r="AF656" s="101"/>
      <c r="AG656" s="191"/>
      <c r="AH656" s="101"/>
      <c r="AI656" s="101"/>
      <c r="AJ656" s="101"/>
      <c r="AK656" s="191"/>
      <c r="AL656" s="101"/>
      <c r="AM656" s="101"/>
      <c r="AN656" s="101"/>
    </row>
    <row r="657" spans="1:40" x14ac:dyDescent="0.3">
      <c r="L657" s="102"/>
      <c r="M657" s="102"/>
      <c r="N657" s="102"/>
      <c r="O657" s="102"/>
      <c r="R657" s="102"/>
      <c r="AA657" s="102"/>
      <c r="AB657" s="102"/>
      <c r="AC657" s="102"/>
      <c r="AD657" s="102"/>
      <c r="AE657" s="102"/>
      <c r="AF657" s="102"/>
      <c r="AG657" s="151"/>
      <c r="AH657" s="102"/>
      <c r="AK657" s="151"/>
      <c r="AL657" s="102"/>
      <c r="AM657" s="102"/>
      <c r="AN657" s="102"/>
    </row>
    <row r="658" spans="1:40" x14ac:dyDescent="0.3">
      <c r="L658" s="102"/>
      <c r="M658" s="102"/>
      <c r="N658" s="102"/>
      <c r="O658" s="102"/>
      <c r="R658" s="102"/>
      <c r="Z658" s="102"/>
      <c r="AA658" s="102"/>
      <c r="AB658" s="102"/>
      <c r="AC658" s="102"/>
      <c r="AD658" s="102"/>
      <c r="AE658" s="102"/>
      <c r="AF658" s="102"/>
      <c r="AG658" s="151"/>
      <c r="AH658" s="102"/>
      <c r="AK658" s="151"/>
      <c r="AL658" s="102"/>
      <c r="AM658" s="102"/>
      <c r="AN658" s="102"/>
    </row>
    <row r="659" spans="1:40" x14ac:dyDescent="0.3">
      <c r="A659" s="102"/>
      <c r="C659" s="102"/>
      <c r="D659" s="102"/>
      <c r="E659" s="102"/>
      <c r="F659" s="102"/>
      <c r="J659" s="102"/>
      <c r="K659" s="102"/>
      <c r="L659" s="102"/>
      <c r="M659" s="102"/>
      <c r="N659" s="102"/>
      <c r="O659" s="102"/>
      <c r="P659" s="102"/>
      <c r="Q659" s="102"/>
      <c r="R659" s="102"/>
      <c r="T659" s="102"/>
      <c r="U659" s="102"/>
      <c r="V659" s="102"/>
      <c r="Z659" s="102"/>
      <c r="AA659" s="102"/>
      <c r="AB659" s="102"/>
      <c r="AC659" s="102"/>
      <c r="AD659" s="102"/>
      <c r="AE659" s="102"/>
      <c r="AF659" s="102"/>
      <c r="AG659" s="151"/>
      <c r="AH659" s="102"/>
      <c r="AI659" s="102"/>
      <c r="AJ659" s="102"/>
      <c r="AK659" s="151"/>
      <c r="AL659" s="102"/>
      <c r="AM659" s="102"/>
      <c r="AN659" s="102"/>
    </row>
    <row r="660" spans="1:40" x14ac:dyDescent="0.3">
      <c r="A660" s="102"/>
      <c r="C660" s="102"/>
      <c r="D660" s="102"/>
      <c r="E660" s="102"/>
      <c r="F660" s="102"/>
      <c r="H660" s="102"/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T660" s="102"/>
      <c r="U660" s="102"/>
      <c r="V660" s="102"/>
      <c r="Y660" s="102"/>
      <c r="Z660" s="102"/>
      <c r="AA660" s="102"/>
      <c r="AB660" s="102"/>
      <c r="AC660" s="102"/>
      <c r="AD660" s="102"/>
      <c r="AE660" s="102"/>
      <c r="AF660" s="102"/>
      <c r="AG660" s="151"/>
      <c r="AH660" s="102"/>
      <c r="AI660" s="102"/>
      <c r="AJ660" s="102"/>
      <c r="AK660" s="151"/>
      <c r="AL660" s="102"/>
      <c r="AM660" s="102"/>
      <c r="AN660" s="102"/>
    </row>
    <row r="661" spans="1:40" x14ac:dyDescent="0.3">
      <c r="C661" s="102"/>
      <c r="D661" s="102"/>
      <c r="E661" s="102"/>
      <c r="F661" s="102"/>
      <c r="H661" s="102"/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T661" s="102"/>
      <c r="U661" s="102"/>
      <c r="V661" s="102"/>
      <c r="Y661" s="102"/>
      <c r="Z661" s="102"/>
      <c r="AA661" s="102"/>
      <c r="AB661" s="102"/>
      <c r="AC661" s="102"/>
      <c r="AD661" s="102"/>
      <c r="AE661" s="102"/>
      <c r="AF661" s="102"/>
      <c r="AG661" s="151"/>
      <c r="AH661" s="102"/>
      <c r="AI661" s="102"/>
      <c r="AJ661" s="102"/>
      <c r="AK661" s="151"/>
      <c r="AL661" s="102"/>
      <c r="AM661" s="102"/>
      <c r="AN661" s="102"/>
    </row>
    <row r="662" spans="1:40" x14ac:dyDescent="0.3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91"/>
      <c r="AH662" s="101"/>
      <c r="AI662" s="101"/>
      <c r="AJ662" s="101"/>
      <c r="AK662" s="191"/>
      <c r="AL662" s="101"/>
      <c r="AM662" s="101"/>
      <c r="AN662" s="101"/>
    </row>
    <row r="663" spans="1:40" x14ac:dyDescent="0.3">
      <c r="H663" s="102"/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Y663" s="102"/>
      <c r="Z663" s="102"/>
      <c r="AA663" s="102"/>
      <c r="AB663" s="102"/>
      <c r="AC663" s="102"/>
      <c r="AD663" s="102"/>
      <c r="AE663" s="102"/>
      <c r="AF663" s="102"/>
      <c r="AG663" s="151"/>
      <c r="AH663" s="102"/>
      <c r="AI663" s="102"/>
      <c r="AJ663" s="102"/>
      <c r="AK663" s="151"/>
      <c r="AL663" s="102"/>
      <c r="AM663" s="102"/>
      <c r="AN663" s="102"/>
    </row>
    <row r="664" spans="1:40" x14ac:dyDescent="0.3">
      <c r="C664" s="99"/>
      <c r="D664" s="99"/>
      <c r="E664" s="99"/>
      <c r="F664" s="110"/>
      <c r="H664" s="110"/>
      <c r="I664" s="110"/>
      <c r="J664" s="198"/>
      <c r="K664" s="198"/>
      <c r="L664" s="110"/>
      <c r="M664" s="110"/>
      <c r="N664" s="198"/>
      <c r="O664" s="198"/>
      <c r="P664" s="110"/>
      <c r="Q664" s="110"/>
      <c r="R664" s="110"/>
      <c r="T664" s="99"/>
      <c r="U664" s="99"/>
      <c r="V664" s="110"/>
      <c r="Y664" s="110"/>
      <c r="Z664" s="198"/>
      <c r="AA664" s="110"/>
      <c r="AB664" s="110"/>
      <c r="AC664" s="198"/>
      <c r="AD664" s="198"/>
      <c r="AE664" s="110"/>
      <c r="AF664" s="110"/>
      <c r="AH664" s="207"/>
      <c r="AI664" s="110"/>
      <c r="AJ664" s="110"/>
      <c r="AL664" s="110"/>
      <c r="AM664" s="141"/>
      <c r="AN664" s="141"/>
    </row>
    <row r="665" spans="1:40" x14ac:dyDescent="0.3">
      <c r="F665" s="192"/>
      <c r="H665" s="192"/>
      <c r="I665" s="192"/>
      <c r="J665" s="217"/>
      <c r="K665" s="217"/>
      <c r="L665" s="192"/>
      <c r="M665" s="192"/>
      <c r="N665" s="192"/>
      <c r="O665" s="192"/>
      <c r="P665" s="192"/>
      <c r="Q665" s="192"/>
      <c r="R665" s="192"/>
      <c r="V665" s="192"/>
      <c r="Y665" s="192"/>
      <c r="Z665" s="217"/>
      <c r="AA665" s="192"/>
      <c r="AB665" s="192"/>
      <c r="AC665" s="192"/>
      <c r="AD665" s="192"/>
      <c r="AE665" s="192"/>
      <c r="AF665" s="192"/>
      <c r="AI665" s="192"/>
      <c r="AJ665" s="192"/>
      <c r="AK665" s="194"/>
      <c r="AL665" s="192"/>
      <c r="AM665" s="141"/>
      <c r="AN665" s="141"/>
    </row>
    <row r="666" spans="1:40" x14ac:dyDescent="0.3">
      <c r="C666" s="99"/>
      <c r="F666" s="110"/>
      <c r="H666" s="110"/>
      <c r="I666" s="110"/>
      <c r="J666" s="198"/>
      <c r="K666" s="198"/>
      <c r="L666" s="110"/>
      <c r="M666" s="110"/>
      <c r="N666" s="198"/>
      <c r="O666" s="198"/>
      <c r="P666" s="110"/>
      <c r="Q666" s="110"/>
      <c r="R666" s="110"/>
      <c r="T666" s="99"/>
      <c r="V666" s="110"/>
      <c r="Y666" s="110"/>
      <c r="Z666" s="198"/>
      <c r="AA666" s="110"/>
      <c r="AB666" s="110"/>
      <c r="AC666" s="198"/>
      <c r="AD666" s="198"/>
      <c r="AE666" s="110"/>
      <c r="AF666" s="110"/>
      <c r="AH666" s="207"/>
      <c r="AI666" s="110"/>
      <c r="AJ666" s="110"/>
      <c r="AL666" s="110"/>
      <c r="AM666" s="141"/>
      <c r="AN666" s="141"/>
    </row>
    <row r="667" spans="1:40" x14ac:dyDescent="0.3">
      <c r="F667" s="110"/>
      <c r="H667" s="110"/>
      <c r="I667" s="110"/>
      <c r="J667" s="198"/>
      <c r="K667" s="198"/>
      <c r="L667" s="110"/>
      <c r="M667" s="110"/>
      <c r="N667" s="198"/>
      <c r="O667" s="198"/>
      <c r="P667" s="110"/>
      <c r="Q667" s="110"/>
      <c r="R667" s="110"/>
      <c r="V667" s="110"/>
      <c r="Y667" s="110"/>
      <c r="Z667" s="198"/>
      <c r="AA667" s="110"/>
      <c r="AB667" s="110"/>
      <c r="AC667" s="198"/>
      <c r="AD667" s="198"/>
      <c r="AH667" s="207"/>
      <c r="AI667" s="110"/>
      <c r="AJ667" s="110"/>
      <c r="AL667" s="110"/>
      <c r="AM667" s="141"/>
      <c r="AN667" s="141"/>
    </row>
    <row r="668" spans="1:40" x14ac:dyDescent="0.3">
      <c r="C668" s="99"/>
      <c r="D668" s="99"/>
      <c r="E668" s="99"/>
      <c r="F668" s="110"/>
      <c r="H668" s="110"/>
      <c r="I668" s="110"/>
      <c r="J668" s="198"/>
      <c r="K668" s="198"/>
      <c r="L668" s="110"/>
      <c r="M668" s="110"/>
      <c r="N668" s="198"/>
      <c r="O668" s="198"/>
      <c r="P668" s="110"/>
      <c r="Q668" s="110"/>
      <c r="R668" s="110"/>
      <c r="T668" s="99"/>
      <c r="U668" s="99"/>
      <c r="V668" s="110"/>
      <c r="Y668" s="110"/>
      <c r="Z668" s="198"/>
      <c r="AA668" s="110"/>
      <c r="AB668" s="110"/>
      <c r="AC668" s="198"/>
      <c r="AD668" s="198"/>
      <c r="AE668" s="110"/>
      <c r="AF668" s="110"/>
      <c r="AH668" s="207"/>
      <c r="AI668" s="110"/>
      <c r="AJ668" s="110"/>
      <c r="AL668" s="110"/>
      <c r="AM668" s="141"/>
      <c r="AN668" s="141"/>
    </row>
    <row r="669" spans="1:40" x14ac:dyDescent="0.3">
      <c r="C669" s="99"/>
      <c r="D669" s="99"/>
      <c r="E669" s="99"/>
      <c r="F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T669" s="99"/>
      <c r="U669" s="99"/>
      <c r="V669" s="110"/>
      <c r="Y669" s="110"/>
      <c r="Z669" s="198"/>
      <c r="AA669" s="110"/>
      <c r="AB669" s="110"/>
      <c r="AC669" s="198"/>
      <c r="AD669" s="198"/>
      <c r="AE669" s="110"/>
      <c r="AF669" s="110"/>
      <c r="AH669" s="207"/>
      <c r="AI669" s="110"/>
      <c r="AJ669" s="110"/>
      <c r="AL669" s="110"/>
      <c r="AM669" s="141"/>
      <c r="AN669" s="141"/>
    </row>
    <row r="670" spans="1:40" x14ac:dyDescent="0.3">
      <c r="C670" s="99"/>
      <c r="D670" s="99"/>
      <c r="E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U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1:40" x14ac:dyDescent="0.3">
      <c r="C671" s="99"/>
      <c r="D671" s="99"/>
      <c r="E671" s="99"/>
      <c r="F671" s="110"/>
      <c r="H671" s="110"/>
      <c r="I671" s="110"/>
      <c r="J671" s="198"/>
      <c r="K671" s="198"/>
      <c r="L671" s="110"/>
      <c r="M671" s="110"/>
      <c r="N671" s="198"/>
      <c r="O671" s="198"/>
      <c r="P671" s="110"/>
      <c r="Q671" s="110"/>
      <c r="R671" s="110"/>
      <c r="T671" s="99"/>
      <c r="U671" s="99"/>
      <c r="V671" s="110"/>
      <c r="Y671" s="110"/>
      <c r="Z671" s="198"/>
      <c r="AA671" s="110"/>
      <c r="AB671" s="110"/>
      <c r="AC671" s="198"/>
      <c r="AD671" s="198"/>
      <c r="AE671" s="110"/>
      <c r="AF671" s="110"/>
      <c r="AH671" s="207"/>
      <c r="AI671" s="110"/>
      <c r="AJ671" s="110"/>
      <c r="AL671" s="110"/>
      <c r="AM671" s="141"/>
      <c r="AN671" s="141"/>
    </row>
    <row r="672" spans="1:40" x14ac:dyDescent="0.3">
      <c r="C672" s="99"/>
      <c r="D672" s="99"/>
      <c r="E672" s="99"/>
      <c r="F672" s="110"/>
      <c r="H672" s="110"/>
      <c r="I672" s="110"/>
      <c r="J672" s="198"/>
      <c r="K672" s="198"/>
      <c r="L672" s="110"/>
      <c r="M672" s="110"/>
      <c r="N672" s="198"/>
      <c r="O672" s="198"/>
      <c r="P672" s="110"/>
      <c r="Q672" s="110"/>
      <c r="R672" s="110"/>
      <c r="T672" s="99"/>
      <c r="U672" s="99"/>
      <c r="V672" s="110"/>
      <c r="Y672" s="110"/>
      <c r="Z672" s="198"/>
      <c r="AA672" s="110"/>
      <c r="AB672" s="110"/>
      <c r="AC672" s="198"/>
      <c r="AD672" s="198"/>
      <c r="AE672" s="110"/>
      <c r="AF672" s="110"/>
      <c r="AH672" s="207"/>
      <c r="AI672" s="110"/>
      <c r="AJ672" s="110"/>
      <c r="AL672" s="110"/>
      <c r="AM672" s="141"/>
      <c r="AN672" s="141"/>
    </row>
    <row r="673" spans="3:40" x14ac:dyDescent="0.3">
      <c r="C673" s="99"/>
      <c r="D673" s="99"/>
      <c r="E673" s="99"/>
      <c r="F673" s="110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T673" s="99"/>
      <c r="U673" s="99"/>
      <c r="V673" s="110"/>
      <c r="Y673" s="110"/>
      <c r="Z673" s="198"/>
      <c r="AA673" s="110"/>
      <c r="AB673" s="110"/>
      <c r="AC673" s="198"/>
      <c r="AD673" s="198"/>
      <c r="AE673" s="110"/>
      <c r="AF673" s="110"/>
      <c r="AH673" s="207"/>
      <c r="AI673" s="110"/>
      <c r="AJ673" s="110"/>
      <c r="AL673" s="110"/>
      <c r="AM673" s="141"/>
      <c r="AN673" s="141"/>
    </row>
    <row r="674" spans="3:40" x14ac:dyDescent="0.3">
      <c r="F674" s="192"/>
      <c r="H674" s="192"/>
      <c r="I674" s="192"/>
      <c r="J674" s="217"/>
      <c r="K674" s="217"/>
      <c r="L674" s="192"/>
      <c r="M674" s="192"/>
      <c r="N674" s="192"/>
      <c r="O674" s="192"/>
      <c r="P674" s="192"/>
      <c r="Q674" s="192"/>
      <c r="R674" s="192"/>
      <c r="V674" s="192"/>
      <c r="Y674" s="192"/>
      <c r="Z674" s="217"/>
      <c r="AA674" s="192"/>
      <c r="AB674" s="192"/>
      <c r="AC674" s="192"/>
      <c r="AD674" s="192"/>
      <c r="AE674" s="192"/>
      <c r="AF674" s="192"/>
      <c r="AI674" s="192"/>
      <c r="AJ674" s="192"/>
      <c r="AK674" s="194"/>
      <c r="AL674" s="192"/>
      <c r="AM674" s="141"/>
      <c r="AN674" s="141"/>
    </row>
    <row r="675" spans="3:40" x14ac:dyDescent="0.3">
      <c r="C675" s="99"/>
      <c r="F675" s="110"/>
      <c r="H675" s="110"/>
      <c r="I675" s="110"/>
      <c r="J675" s="198"/>
      <c r="K675" s="198"/>
      <c r="L675" s="110"/>
      <c r="M675" s="110"/>
      <c r="N675" s="198"/>
      <c r="O675" s="198"/>
      <c r="P675" s="110"/>
      <c r="Q675" s="110"/>
      <c r="R675" s="110"/>
      <c r="T675" s="99"/>
      <c r="V675" s="110"/>
      <c r="Y675" s="110"/>
      <c r="Z675" s="198"/>
      <c r="AA675" s="110"/>
      <c r="AB675" s="110"/>
      <c r="AC675" s="198"/>
      <c r="AD675" s="198"/>
      <c r="AE675" s="110"/>
      <c r="AF675" s="110"/>
      <c r="AH675" s="207"/>
      <c r="AI675" s="110"/>
      <c r="AJ675" s="110"/>
      <c r="AL675" s="110"/>
      <c r="AM675" s="141"/>
      <c r="AN675" s="141"/>
    </row>
    <row r="676" spans="3:40" x14ac:dyDescent="0.3">
      <c r="F676" s="110"/>
      <c r="H676" s="110"/>
      <c r="I676" s="110"/>
      <c r="J676" s="198"/>
      <c r="K676" s="198"/>
      <c r="L676" s="110"/>
      <c r="M676" s="110"/>
      <c r="N676" s="198"/>
      <c r="O676" s="198"/>
      <c r="P676" s="110"/>
      <c r="Q676" s="110"/>
      <c r="R676" s="110"/>
      <c r="V676" s="110"/>
      <c r="Y676" s="110"/>
      <c r="Z676" s="198"/>
      <c r="AA676" s="110"/>
      <c r="AB676" s="110"/>
      <c r="AC676" s="198"/>
      <c r="AD676" s="198"/>
      <c r="AH676" s="207"/>
      <c r="AI676" s="110"/>
      <c r="AJ676" s="110"/>
      <c r="AL676" s="110"/>
      <c r="AM676" s="141"/>
      <c r="AN676" s="141"/>
    </row>
    <row r="677" spans="3:40" x14ac:dyDescent="0.3">
      <c r="C677" s="99"/>
      <c r="D677" s="99"/>
      <c r="E677" s="99"/>
      <c r="F677" s="110"/>
      <c r="H677" s="110"/>
      <c r="I677" s="110"/>
      <c r="J677" s="198"/>
      <c r="K677" s="198"/>
      <c r="L677" s="110"/>
      <c r="M677" s="110"/>
      <c r="N677" s="198"/>
      <c r="O677" s="198"/>
      <c r="P677" s="110"/>
      <c r="Q677" s="110"/>
      <c r="R677" s="110"/>
      <c r="T677" s="99"/>
      <c r="U677" s="99"/>
      <c r="V677" s="110"/>
      <c r="Y677" s="110"/>
      <c r="Z677" s="198"/>
      <c r="AA677" s="110"/>
      <c r="AB677" s="110"/>
      <c r="AC677" s="198"/>
      <c r="AD677" s="198"/>
      <c r="AE677" s="110"/>
      <c r="AF677" s="110"/>
      <c r="AH677" s="207"/>
      <c r="AI677" s="110"/>
      <c r="AJ677" s="110"/>
      <c r="AL677" s="110"/>
      <c r="AM677" s="141"/>
      <c r="AN677" s="141"/>
    </row>
    <row r="678" spans="3:40" x14ac:dyDescent="0.3">
      <c r="F678" s="192"/>
      <c r="H678" s="192"/>
      <c r="I678" s="192"/>
      <c r="J678" s="217"/>
      <c r="K678" s="217"/>
      <c r="L678" s="192"/>
      <c r="M678" s="192"/>
      <c r="N678" s="192"/>
      <c r="O678" s="192"/>
      <c r="P678" s="192"/>
      <c r="Q678" s="192"/>
      <c r="R678" s="192"/>
      <c r="V678" s="192"/>
      <c r="Y678" s="192"/>
      <c r="Z678" s="217"/>
      <c r="AA678" s="192"/>
      <c r="AB678" s="192"/>
      <c r="AC678" s="192"/>
      <c r="AD678" s="192"/>
      <c r="AE678" s="192"/>
      <c r="AF678" s="192"/>
      <c r="AI678" s="192"/>
      <c r="AJ678" s="192"/>
      <c r="AK678" s="194"/>
      <c r="AL678" s="192"/>
      <c r="AM678" s="141"/>
      <c r="AN678" s="141"/>
    </row>
    <row r="679" spans="3:40" x14ac:dyDescent="0.3">
      <c r="C679" s="99"/>
      <c r="F679" s="110"/>
      <c r="H679" s="110"/>
      <c r="I679" s="110"/>
      <c r="J679" s="198"/>
      <c r="K679" s="198"/>
      <c r="L679" s="110"/>
      <c r="M679" s="110"/>
      <c r="N679" s="198"/>
      <c r="O679" s="198"/>
      <c r="P679" s="110"/>
      <c r="Q679" s="110"/>
      <c r="R679" s="110"/>
      <c r="T679" s="99"/>
      <c r="V679" s="110"/>
      <c r="Y679" s="110"/>
      <c r="Z679" s="198"/>
      <c r="AA679" s="110"/>
      <c r="AB679" s="110"/>
      <c r="AC679" s="198"/>
      <c r="AD679" s="198"/>
      <c r="AE679" s="110"/>
      <c r="AF679" s="110"/>
      <c r="AH679" s="207"/>
      <c r="AI679" s="110"/>
      <c r="AJ679" s="110"/>
      <c r="AL679" s="110"/>
      <c r="AM679" s="141"/>
      <c r="AN679" s="141"/>
    </row>
    <row r="680" spans="3:40" x14ac:dyDescent="0.3">
      <c r="F680" s="110"/>
      <c r="H680" s="110"/>
      <c r="I680" s="110"/>
      <c r="J680" s="198"/>
      <c r="K680" s="198"/>
      <c r="L680" s="110"/>
      <c r="M680" s="110"/>
      <c r="N680" s="198"/>
      <c r="O680" s="198"/>
      <c r="P680" s="110"/>
      <c r="Q680" s="110"/>
      <c r="R680" s="110"/>
      <c r="V680" s="110"/>
      <c r="Y680" s="110"/>
      <c r="Z680" s="198"/>
      <c r="AA680" s="110"/>
      <c r="AB680" s="110"/>
      <c r="AC680" s="198"/>
      <c r="AD680" s="198"/>
      <c r="AH680" s="207"/>
      <c r="AI680" s="110"/>
      <c r="AJ680" s="110"/>
      <c r="AL680" s="110"/>
      <c r="AM680" s="141"/>
      <c r="AN680" s="141"/>
    </row>
    <row r="681" spans="3:40" x14ac:dyDescent="0.3">
      <c r="C681" s="99"/>
      <c r="D681" s="99"/>
      <c r="E681" s="99"/>
      <c r="F681" s="110"/>
      <c r="H681" s="110"/>
      <c r="I681" s="110"/>
      <c r="J681" s="198"/>
      <c r="K681" s="198"/>
      <c r="L681" s="110"/>
      <c r="M681" s="110"/>
      <c r="N681" s="198"/>
      <c r="O681" s="198"/>
      <c r="P681" s="110"/>
      <c r="Q681" s="110"/>
      <c r="R681" s="110"/>
      <c r="T681" s="99"/>
      <c r="U681" s="99"/>
      <c r="V681" s="110"/>
      <c r="Y681" s="110"/>
      <c r="Z681" s="198"/>
      <c r="AA681" s="110"/>
      <c r="AB681" s="110"/>
      <c r="AC681" s="198"/>
      <c r="AD681" s="198"/>
      <c r="AE681" s="110"/>
      <c r="AF681" s="110"/>
      <c r="AH681" s="207"/>
      <c r="AI681" s="110"/>
      <c r="AJ681" s="110"/>
      <c r="AL681" s="110"/>
      <c r="AM681" s="141"/>
      <c r="AN681" s="141"/>
    </row>
    <row r="682" spans="3:40" x14ac:dyDescent="0.3">
      <c r="C682" s="99"/>
      <c r="D682" s="99"/>
      <c r="E682" s="99"/>
      <c r="F682" s="110"/>
      <c r="G682" s="110"/>
      <c r="H682" s="110"/>
      <c r="I682" s="110"/>
      <c r="J682" s="198"/>
      <c r="K682" s="198"/>
      <c r="L682" s="110"/>
      <c r="M682" s="110"/>
      <c r="N682" s="198"/>
      <c r="O682" s="198"/>
      <c r="P682" s="110"/>
      <c r="Q682" s="110"/>
      <c r="R682" s="110"/>
      <c r="T682" s="99"/>
      <c r="U682" s="99"/>
      <c r="V682" s="110"/>
      <c r="W682" s="110"/>
      <c r="X682" s="110"/>
      <c r="Y682" s="110"/>
      <c r="Z682" s="198"/>
      <c r="AA682" s="110"/>
      <c r="AB682" s="110"/>
      <c r="AC682" s="198"/>
      <c r="AD682" s="198"/>
      <c r="AE682" s="110"/>
      <c r="AF682" s="110"/>
      <c r="AH682" s="207"/>
      <c r="AI682" s="110"/>
      <c r="AJ682" s="110"/>
      <c r="AL682" s="110"/>
      <c r="AM682" s="141"/>
      <c r="AN682" s="141"/>
    </row>
    <row r="683" spans="3:40" x14ac:dyDescent="0.3">
      <c r="C683" s="99"/>
      <c r="D683" s="99"/>
      <c r="E683" s="99"/>
      <c r="F683" s="110"/>
      <c r="G683" s="110"/>
      <c r="H683" s="110"/>
      <c r="I683" s="110"/>
      <c r="J683" s="198"/>
      <c r="K683" s="198"/>
      <c r="L683" s="110"/>
      <c r="M683" s="110"/>
      <c r="N683" s="198"/>
      <c r="O683" s="198"/>
      <c r="P683" s="110"/>
      <c r="Q683" s="110"/>
      <c r="R683" s="110"/>
      <c r="T683" s="99"/>
      <c r="U683" s="99"/>
      <c r="V683" s="110"/>
      <c r="W683" s="110"/>
      <c r="X683" s="110"/>
      <c r="Y683" s="110"/>
      <c r="Z683" s="198"/>
      <c r="AA683" s="110"/>
      <c r="AB683" s="110"/>
      <c r="AC683" s="198"/>
      <c r="AD683" s="198"/>
      <c r="AE683" s="110"/>
      <c r="AF683" s="110"/>
      <c r="AH683" s="207"/>
      <c r="AI683" s="110"/>
      <c r="AJ683" s="110"/>
      <c r="AL683" s="110"/>
      <c r="AM683" s="141"/>
      <c r="AN683" s="141"/>
    </row>
    <row r="684" spans="3:40" x14ac:dyDescent="0.3">
      <c r="C684" s="99"/>
      <c r="D684" s="99"/>
      <c r="E684" s="99"/>
      <c r="F684" s="110"/>
      <c r="H684" s="110"/>
      <c r="I684" s="110"/>
      <c r="J684" s="198"/>
      <c r="K684" s="198"/>
      <c r="L684" s="110"/>
      <c r="M684" s="110"/>
      <c r="N684" s="198"/>
      <c r="O684" s="198"/>
      <c r="P684" s="110"/>
      <c r="Q684" s="110"/>
      <c r="R684" s="110"/>
      <c r="T684" s="99"/>
      <c r="U684" s="99"/>
      <c r="V684" s="110"/>
      <c r="Y684" s="110"/>
      <c r="Z684" s="198"/>
      <c r="AA684" s="110"/>
      <c r="AB684" s="110"/>
      <c r="AC684" s="198"/>
      <c r="AD684" s="198"/>
      <c r="AE684" s="110"/>
      <c r="AF684" s="110"/>
      <c r="AH684" s="207"/>
      <c r="AI684" s="110"/>
      <c r="AJ684" s="110"/>
      <c r="AL684" s="110"/>
      <c r="AM684" s="141"/>
      <c r="AN684" s="141"/>
    </row>
    <row r="685" spans="3:40" x14ac:dyDescent="0.3">
      <c r="C685" s="99"/>
      <c r="D685" s="99"/>
      <c r="E685" s="99"/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T685" s="99"/>
      <c r="U685" s="99"/>
      <c r="V685" s="110"/>
      <c r="Y685" s="110"/>
      <c r="Z685" s="198"/>
      <c r="AA685" s="110"/>
      <c r="AB685" s="110"/>
      <c r="AC685" s="198"/>
      <c r="AD685" s="198"/>
      <c r="AE685" s="110"/>
      <c r="AF685" s="110"/>
      <c r="AH685" s="207"/>
      <c r="AI685" s="110"/>
      <c r="AJ685" s="110"/>
      <c r="AL685" s="110"/>
      <c r="AM685" s="141"/>
      <c r="AN685" s="141"/>
    </row>
    <row r="686" spans="3:40" x14ac:dyDescent="0.3">
      <c r="C686" s="99"/>
      <c r="D686" s="99"/>
      <c r="E686" s="99"/>
      <c r="F686" s="110"/>
      <c r="H686" s="110"/>
      <c r="I686" s="110"/>
      <c r="J686" s="198"/>
      <c r="K686" s="198"/>
      <c r="L686" s="110"/>
      <c r="M686" s="110"/>
      <c r="N686" s="198"/>
      <c r="O686" s="198"/>
      <c r="P686" s="110"/>
      <c r="Q686" s="110"/>
      <c r="R686" s="110"/>
      <c r="T686" s="99"/>
      <c r="U686" s="99"/>
      <c r="V686" s="110"/>
      <c r="Y686" s="110"/>
      <c r="Z686" s="198"/>
      <c r="AA686" s="110"/>
      <c r="AB686" s="110"/>
      <c r="AC686" s="198"/>
      <c r="AD686" s="198"/>
      <c r="AE686" s="110"/>
      <c r="AF686" s="110"/>
      <c r="AH686" s="207"/>
      <c r="AI686" s="110"/>
      <c r="AJ686" s="110"/>
      <c r="AL686" s="110"/>
      <c r="AM686" s="141"/>
      <c r="AN686" s="141"/>
    </row>
    <row r="687" spans="3:40" x14ac:dyDescent="0.3">
      <c r="C687" s="99"/>
      <c r="D687" s="99"/>
      <c r="E687" s="99"/>
      <c r="F687" s="110"/>
      <c r="H687" s="110"/>
      <c r="I687" s="110"/>
      <c r="J687" s="198"/>
      <c r="K687" s="198"/>
      <c r="L687" s="110"/>
      <c r="M687" s="110"/>
      <c r="N687" s="198"/>
      <c r="O687" s="198"/>
      <c r="P687" s="110"/>
      <c r="Q687" s="110"/>
      <c r="R687" s="110"/>
      <c r="T687" s="99"/>
      <c r="U687" s="99"/>
      <c r="V687" s="110"/>
      <c r="Y687" s="110"/>
      <c r="Z687" s="198"/>
      <c r="AA687" s="110"/>
      <c r="AB687" s="110"/>
      <c r="AC687" s="198"/>
      <c r="AD687" s="198"/>
      <c r="AE687" s="110"/>
      <c r="AF687" s="110"/>
      <c r="AH687" s="207"/>
      <c r="AI687" s="110"/>
      <c r="AJ687" s="110"/>
      <c r="AL687" s="110"/>
      <c r="AM687" s="141"/>
      <c r="AN687" s="141"/>
    </row>
    <row r="688" spans="3:40" x14ac:dyDescent="0.3">
      <c r="F688" s="192"/>
      <c r="H688" s="192"/>
      <c r="I688" s="192"/>
      <c r="J688" s="217"/>
      <c r="K688" s="217"/>
      <c r="L688" s="192"/>
      <c r="M688" s="192"/>
      <c r="N688" s="192"/>
      <c r="O688" s="192"/>
      <c r="P688" s="192"/>
      <c r="Q688" s="192"/>
      <c r="R688" s="192"/>
      <c r="V688" s="192"/>
      <c r="Y688" s="192"/>
      <c r="Z688" s="217"/>
      <c r="AA688" s="192"/>
      <c r="AB688" s="192"/>
      <c r="AC688" s="192"/>
      <c r="AD688" s="192"/>
      <c r="AE688" s="192"/>
      <c r="AF688" s="192"/>
      <c r="AI688" s="192"/>
      <c r="AJ688" s="192"/>
      <c r="AK688" s="194"/>
      <c r="AL688" s="192"/>
      <c r="AM688" s="141"/>
      <c r="AN688" s="141"/>
    </row>
    <row r="689" spans="3:40" x14ac:dyDescent="0.3">
      <c r="C689" s="99"/>
      <c r="F689" s="110"/>
      <c r="H689" s="110"/>
      <c r="I689" s="110"/>
      <c r="J689" s="198"/>
      <c r="K689" s="198"/>
      <c r="L689" s="110"/>
      <c r="M689" s="110"/>
      <c r="N689" s="198"/>
      <c r="O689" s="198"/>
      <c r="P689" s="110"/>
      <c r="Q689" s="110"/>
      <c r="R689" s="110"/>
      <c r="T689" s="99"/>
      <c r="V689" s="110"/>
      <c r="Y689" s="110"/>
      <c r="Z689" s="198"/>
      <c r="AA689" s="110"/>
      <c r="AB689" s="110"/>
      <c r="AC689" s="198"/>
      <c r="AD689" s="198"/>
      <c r="AE689" s="110"/>
      <c r="AF689" s="110"/>
      <c r="AH689" s="207"/>
      <c r="AI689" s="110"/>
      <c r="AJ689" s="110"/>
      <c r="AL689" s="110"/>
      <c r="AM689" s="141"/>
      <c r="AN689" s="141"/>
    </row>
    <row r="690" spans="3:40" x14ac:dyDescent="0.3">
      <c r="V690" s="110"/>
      <c r="Y690" s="110"/>
      <c r="Z690" s="217"/>
      <c r="AA690" s="110"/>
      <c r="AB690" s="110"/>
      <c r="AC690" s="110"/>
      <c r="AD690" s="110"/>
      <c r="AE690" s="110"/>
      <c r="AF690" s="110"/>
      <c r="AI690" s="110"/>
      <c r="AJ690" s="110"/>
      <c r="AL690" s="110"/>
      <c r="AM690" s="141"/>
      <c r="AN690" s="141"/>
    </row>
    <row r="691" spans="3:40" x14ac:dyDescent="0.3">
      <c r="C691" s="99"/>
      <c r="D691" s="99"/>
      <c r="E691" s="99"/>
      <c r="L691" s="110"/>
      <c r="M691" s="110"/>
      <c r="N691" s="198"/>
      <c r="O691" s="198"/>
      <c r="R691" s="110"/>
      <c r="T691" s="99"/>
      <c r="U691" s="99"/>
      <c r="AA691" s="110"/>
      <c r="AB691" s="110"/>
      <c r="AC691" s="198"/>
      <c r="AD691" s="198"/>
      <c r="AE691" s="110"/>
      <c r="AF691" s="110"/>
      <c r="AH691" s="207"/>
      <c r="AL691" s="110"/>
      <c r="AM691" s="141"/>
      <c r="AN691" s="141"/>
    </row>
    <row r="692" spans="3:40" x14ac:dyDescent="0.3">
      <c r="D692" s="99"/>
      <c r="E692" s="99"/>
      <c r="F692" s="172"/>
      <c r="H692" s="172"/>
      <c r="I692" s="172"/>
      <c r="J692" s="198"/>
      <c r="K692" s="198"/>
      <c r="L692" s="110"/>
      <c r="M692" s="110"/>
      <c r="N692" s="198"/>
      <c r="O692" s="198"/>
      <c r="P692" s="172"/>
      <c r="Q692" s="172"/>
      <c r="R692" s="110"/>
      <c r="U692" s="99"/>
      <c r="V692" s="110"/>
      <c r="Y692" s="110"/>
      <c r="Z692" s="198"/>
      <c r="AA692" s="110"/>
      <c r="AB692" s="110"/>
      <c r="AC692" s="198"/>
      <c r="AD692" s="198"/>
      <c r="AE692" s="110"/>
      <c r="AF692" s="110"/>
      <c r="AH692" s="207"/>
      <c r="AI692" s="110"/>
      <c r="AJ692" s="110"/>
      <c r="AL692" s="110"/>
      <c r="AM692" s="141"/>
      <c r="AN692" s="141"/>
    </row>
    <row r="693" spans="3:40" x14ac:dyDescent="0.3">
      <c r="F693" s="192"/>
      <c r="H693" s="192"/>
      <c r="I693" s="192"/>
      <c r="J693" s="217"/>
      <c r="K693" s="217"/>
      <c r="L693" s="192"/>
      <c r="M693" s="192"/>
      <c r="N693" s="192"/>
      <c r="O693" s="192"/>
      <c r="P693" s="192"/>
      <c r="Q693" s="192"/>
      <c r="R693" s="192"/>
      <c r="V693" s="192"/>
      <c r="Y693" s="192"/>
      <c r="Z693" s="217"/>
      <c r="AA693" s="192"/>
      <c r="AB693" s="192"/>
      <c r="AC693" s="192"/>
      <c r="AD693" s="192"/>
      <c r="AE693" s="192"/>
      <c r="AF693" s="192"/>
      <c r="AI693" s="192"/>
      <c r="AJ693" s="192"/>
      <c r="AK693" s="194"/>
      <c r="AL693" s="192"/>
      <c r="AM693" s="141"/>
      <c r="AN693" s="141"/>
    </row>
    <row r="694" spans="3:40" x14ac:dyDescent="0.3">
      <c r="C694" s="99"/>
      <c r="F694" s="110"/>
      <c r="H694" s="110"/>
      <c r="I694" s="110"/>
      <c r="J694" s="198"/>
      <c r="K694" s="198"/>
      <c r="L694" s="110"/>
      <c r="M694" s="110"/>
      <c r="N694" s="198"/>
      <c r="O694" s="198"/>
      <c r="P694" s="110"/>
      <c r="Q694" s="110"/>
      <c r="R694" s="110"/>
      <c r="T694" s="99"/>
      <c r="V694" s="110"/>
      <c r="Y694" s="110"/>
      <c r="Z694" s="198"/>
      <c r="AA694" s="110"/>
      <c r="AB694" s="110"/>
      <c r="AC694" s="198"/>
      <c r="AD694" s="198"/>
      <c r="AE694" s="110"/>
      <c r="AF694" s="110"/>
      <c r="AH694" s="207"/>
      <c r="AI694" s="110"/>
      <c r="AJ694" s="110"/>
      <c r="AL694" s="110"/>
      <c r="AM694" s="141"/>
      <c r="AN694" s="141"/>
    </row>
    <row r="695" spans="3:40" x14ac:dyDescent="0.3">
      <c r="F695" s="110"/>
      <c r="H695" s="110"/>
      <c r="I695" s="110"/>
      <c r="J695" s="198"/>
      <c r="K695" s="198"/>
      <c r="L695" s="110"/>
      <c r="M695" s="110"/>
      <c r="N695" s="198"/>
      <c r="O695" s="198"/>
      <c r="P695" s="110"/>
      <c r="Q695" s="110"/>
      <c r="R695" s="110"/>
      <c r="V695" s="110"/>
      <c r="Y695" s="110"/>
      <c r="Z695" s="198"/>
      <c r="AA695" s="110"/>
      <c r="AB695" s="110"/>
      <c r="AC695" s="198"/>
      <c r="AD695" s="198"/>
      <c r="AH695" s="207"/>
      <c r="AI695" s="110"/>
      <c r="AJ695" s="110"/>
      <c r="AL695" s="110"/>
      <c r="AM695" s="141"/>
      <c r="AN695" s="141"/>
    </row>
    <row r="696" spans="3:40" x14ac:dyDescent="0.3">
      <c r="D696" s="99"/>
      <c r="E696" s="99"/>
      <c r="F696" s="110"/>
      <c r="H696" s="110"/>
      <c r="I696" s="110"/>
      <c r="J696" s="198"/>
      <c r="K696" s="198"/>
      <c r="L696" s="172"/>
      <c r="M696" s="172"/>
      <c r="N696" s="198"/>
      <c r="O696" s="198"/>
      <c r="P696" s="110"/>
      <c r="Q696" s="110"/>
      <c r="R696" s="110"/>
      <c r="U696" s="99"/>
      <c r="V696" s="110"/>
      <c r="Y696" s="110"/>
      <c r="Z696" s="198"/>
      <c r="AA696" s="172"/>
      <c r="AB696" s="172"/>
      <c r="AC696" s="198"/>
      <c r="AD696" s="198"/>
      <c r="AE696" s="110"/>
      <c r="AF696" s="110"/>
      <c r="AH696" s="207"/>
      <c r="AI696" s="110"/>
      <c r="AJ696" s="110"/>
      <c r="AL696" s="110"/>
      <c r="AM696" s="141"/>
      <c r="AN696" s="141"/>
    </row>
    <row r="697" spans="3:40" x14ac:dyDescent="0.3">
      <c r="D697" s="99"/>
      <c r="E697" s="99"/>
      <c r="F697" s="110"/>
      <c r="H697" s="110"/>
      <c r="I697" s="110"/>
      <c r="J697" s="198"/>
      <c r="K697" s="198"/>
      <c r="L697" s="172"/>
      <c r="M697" s="172"/>
      <c r="N697" s="198"/>
      <c r="O697" s="198"/>
      <c r="P697" s="110"/>
      <c r="Q697" s="110"/>
      <c r="R697" s="110"/>
      <c r="U697" s="99"/>
      <c r="V697" s="110"/>
      <c r="Y697" s="110"/>
      <c r="Z697" s="198"/>
      <c r="AA697" s="172"/>
      <c r="AB697" s="172"/>
      <c r="AC697" s="198"/>
      <c r="AD697" s="198"/>
      <c r="AE697" s="110"/>
      <c r="AF697" s="110"/>
      <c r="AH697" s="207"/>
      <c r="AI697" s="110"/>
      <c r="AJ697" s="110"/>
      <c r="AL697" s="110"/>
      <c r="AM697" s="141"/>
      <c r="AN697" s="141"/>
    </row>
    <row r="698" spans="3:40" x14ac:dyDescent="0.3">
      <c r="D698" s="99"/>
      <c r="E698" s="99"/>
      <c r="F698" s="110"/>
      <c r="H698" s="110"/>
      <c r="I698" s="110"/>
      <c r="J698" s="198"/>
      <c r="K698" s="198"/>
      <c r="L698" s="172"/>
      <c r="M698" s="172"/>
      <c r="N698" s="198"/>
      <c r="O698" s="198"/>
      <c r="P698" s="110"/>
      <c r="Q698" s="110"/>
      <c r="R698" s="110"/>
      <c r="U698" s="99"/>
      <c r="V698" s="110"/>
      <c r="Y698" s="110"/>
      <c r="Z698" s="198"/>
      <c r="AA698" s="172"/>
      <c r="AB698" s="172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3:40" x14ac:dyDescent="0.3">
      <c r="F699" s="192"/>
      <c r="H699" s="192"/>
      <c r="I699" s="192"/>
      <c r="J699" s="217"/>
      <c r="K699" s="217"/>
      <c r="L699" s="192"/>
      <c r="M699" s="192"/>
      <c r="N699" s="192"/>
      <c r="O699" s="192"/>
      <c r="P699" s="192"/>
      <c r="Q699" s="192"/>
      <c r="R699" s="192"/>
      <c r="V699" s="192"/>
      <c r="Y699" s="192"/>
      <c r="Z699" s="217"/>
      <c r="AA699" s="192"/>
      <c r="AB699" s="192"/>
      <c r="AC699" s="192"/>
      <c r="AD699" s="192"/>
      <c r="AE699" s="192"/>
      <c r="AF699" s="192"/>
      <c r="AI699" s="192"/>
      <c r="AJ699" s="192"/>
      <c r="AK699" s="194"/>
      <c r="AL699" s="192"/>
      <c r="AM699" s="141"/>
      <c r="AN699" s="141"/>
    </row>
    <row r="700" spans="3:40" x14ac:dyDescent="0.3">
      <c r="C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3:40" x14ac:dyDescent="0.3">
      <c r="F701" s="110"/>
      <c r="H701" s="110"/>
      <c r="I701" s="110"/>
      <c r="J701" s="198"/>
      <c r="K701" s="198"/>
      <c r="L701" s="110"/>
      <c r="M701" s="110"/>
      <c r="N701" s="198"/>
      <c r="O701" s="198"/>
      <c r="P701" s="110"/>
      <c r="Q701" s="110"/>
      <c r="R701" s="110"/>
      <c r="V701" s="110"/>
      <c r="Y701" s="110"/>
      <c r="Z701" s="198"/>
      <c r="AA701" s="110"/>
      <c r="AB701" s="110"/>
      <c r="AC701" s="198"/>
      <c r="AD701" s="198"/>
      <c r="AH701" s="207"/>
      <c r="AI701" s="110"/>
      <c r="AJ701" s="110"/>
      <c r="AL701" s="110"/>
      <c r="AM701" s="141"/>
      <c r="AN701" s="141"/>
    </row>
    <row r="702" spans="3:40" x14ac:dyDescent="0.3">
      <c r="C702" s="99"/>
      <c r="F702" s="110"/>
      <c r="H702" s="110"/>
      <c r="I702" s="110"/>
      <c r="J702" s="198"/>
      <c r="K702" s="198"/>
      <c r="L702" s="110"/>
      <c r="M702" s="110"/>
      <c r="N702" s="198"/>
      <c r="O702" s="198"/>
      <c r="P702" s="110"/>
      <c r="Q702" s="110"/>
      <c r="R702" s="110"/>
      <c r="T702" s="99"/>
      <c r="V702" s="110"/>
      <c r="Y702" s="110"/>
      <c r="Z702" s="198"/>
      <c r="AA702" s="110"/>
      <c r="AB702" s="110"/>
      <c r="AC702" s="198"/>
      <c r="AD702" s="198"/>
      <c r="AE702" s="110"/>
      <c r="AF702" s="110"/>
      <c r="AH702" s="207"/>
      <c r="AI702" s="110"/>
      <c r="AJ702" s="110"/>
      <c r="AL702" s="110"/>
      <c r="AM702" s="141"/>
      <c r="AN702" s="141"/>
    </row>
    <row r="703" spans="3:40" x14ac:dyDescent="0.3">
      <c r="F703" s="192"/>
      <c r="H703" s="192"/>
      <c r="I703" s="192"/>
      <c r="J703" s="217"/>
      <c r="K703" s="217"/>
      <c r="L703" s="192"/>
      <c r="M703" s="192"/>
      <c r="N703" s="192"/>
      <c r="O703" s="192"/>
      <c r="P703" s="192"/>
      <c r="Q703" s="192"/>
      <c r="R703" s="192"/>
      <c r="V703" s="192"/>
      <c r="Y703" s="192"/>
      <c r="Z703" s="217"/>
      <c r="AA703" s="192"/>
      <c r="AB703" s="192"/>
      <c r="AC703" s="192"/>
      <c r="AD703" s="192"/>
      <c r="AE703" s="192"/>
      <c r="AF703" s="192"/>
      <c r="AI703" s="192"/>
      <c r="AJ703" s="192"/>
      <c r="AK703" s="194"/>
      <c r="AL703" s="192"/>
    </row>
    <row r="705" spans="1:20" x14ac:dyDescent="0.3">
      <c r="C705" s="99"/>
      <c r="L705" s="110"/>
      <c r="M705" s="110"/>
      <c r="P705" s="110"/>
      <c r="Q705" s="110"/>
      <c r="R705" s="110"/>
      <c r="T705" s="99"/>
    </row>
    <row r="706" spans="1:20" x14ac:dyDescent="0.3">
      <c r="A706" s="99"/>
      <c r="L706" s="110"/>
      <c r="M706" s="110"/>
      <c r="P706" s="110"/>
      <c r="Q706" s="110"/>
      <c r="R706" s="110"/>
    </row>
    <row r="707" spans="1:20" x14ac:dyDescent="0.3">
      <c r="L707" s="110"/>
      <c r="M707" s="110"/>
      <c r="P707" s="110"/>
      <c r="Q707" s="110"/>
      <c r="R707" s="110"/>
    </row>
    <row r="708" spans="1:20" x14ac:dyDescent="0.3">
      <c r="L708" s="110"/>
      <c r="M708" s="110"/>
      <c r="P708" s="110"/>
      <c r="Q708" s="110"/>
      <c r="R708" s="110"/>
    </row>
    <row r="709" spans="1:20" x14ac:dyDescent="0.3">
      <c r="L709" s="110"/>
      <c r="M709" s="110"/>
      <c r="P709" s="110"/>
      <c r="Q709" s="110"/>
      <c r="R709" s="110"/>
    </row>
    <row r="710" spans="1:20" x14ac:dyDescent="0.3">
      <c r="L710" s="110"/>
      <c r="M710" s="110"/>
      <c r="P710" s="110"/>
      <c r="Q710" s="110"/>
      <c r="R710" s="110"/>
    </row>
    <row r="711" spans="1:20" x14ac:dyDescent="0.3">
      <c r="L711" s="110"/>
      <c r="M711" s="110"/>
      <c r="P711" s="110"/>
      <c r="Q711" s="110"/>
      <c r="R711" s="110"/>
    </row>
    <row r="744" spans="49:49" x14ac:dyDescent="0.3">
      <c r="AW744" s="110"/>
    </row>
    <row r="745" spans="49:49" x14ac:dyDescent="0.3">
      <c r="AW745" s="110"/>
    </row>
    <row r="746" spans="49:49" x14ac:dyDescent="0.3">
      <c r="AW746" s="110"/>
    </row>
    <row r="747" spans="49:49" x14ac:dyDescent="0.3">
      <c r="AW747" s="110"/>
    </row>
    <row r="748" spans="49:49" x14ac:dyDescent="0.3">
      <c r="AW748" s="110"/>
    </row>
    <row r="749" spans="49:49" x14ac:dyDescent="0.3">
      <c r="AW749" s="110"/>
    </row>
    <row r="752" spans="49:49" x14ac:dyDescent="0.3">
      <c r="AW752" s="110"/>
    </row>
    <row r="753" spans="49:49" x14ac:dyDescent="0.3">
      <c r="AW753" s="110"/>
    </row>
    <row r="754" spans="49:49" x14ac:dyDescent="0.3">
      <c r="AW754" s="110"/>
    </row>
    <row r="755" spans="49:49" x14ac:dyDescent="0.3">
      <c r="AW755" s="110"/>
    </row>
    <row r="756" spans="49:49" x14ac:dyDescent="0.3">
      <c r="AW756" s="110"/>
    </row>
    <row r="757" spans="49:49" x14ac:dyDescent="0.3">
      <c r="AW757" s="110"/>
    </row>
    <row r="758" spans="49:49" x14ac:dyDescent="0.3">
      <c r="AW758" s="110"/>
    </row>
    <row r="759" spans="49:49" x14ac:dyDescent="0.3">
      <c r="AW759" s="110"/>
    </row>
    <row r="762" spans="49:49" x14ac:dyDescent="0.3">
      <c r="AW762" s="110"/>
    </row>
    <row r="763" spans="49:49" x14ac:dyDescent="0.3">
      <c r="AW763" s="110"/>
    </row>
    <row r="766" spans="49:49" x14ac:dyDescent="0.3">
      <c r="AW766" s="110"/>
    </row>
    <row r="767" spans="49:49" x14ac:dyDescent="0.3">
      <c r="AW767" s="110"/>
    </row>
    <row r="768" spans="49:49" x14ac:dyDescent="0.3">
      <c r="AW768" s="110"/>
    </row>
    <row r="769" spans="45:57" x14ac:dyDescent="0.3">
      <c r="AW769" s="110"/>
    </row>
    <row r="777" spans="45:57" x14ac:dyDescent="0.3">
      <c r="AY777" s="99"/>
    </row>
    <row r="778" spans="45:57" x14ac:dyDescent="0.3">
      <c r="AY778" s="99"/>
    </row>
    <row r="779" spans="45:57" x14ac:dyDescent="0.3">
      <c r="BD779" s="99"/>
    </row>
    <row r="780" spans="45:57" x14ac:dyDescent="0.3">
      <c r="BD780" s="99"/>
    </row>
    <row r="781" spans="45:57" x14ac:dyDescent="0.3">
      <c r="AS781" s="99"/>
      <c r="BD781" s="99"/>
    </row>
    <row r="783" spans="45:57" x14ac:dyDescent="0.3"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</row>
    <row r="784" spans="45:57" x14ac:dyDescent="0.3">
      <c r="AX784" s="99"/>
    </row>
    <row r="785" spans="45:69" x14ac:dyDescent="0.3">
      <c r="AX785" s="101"/>
      <c r="AY785" s="101"/>
      <c r="AZ785" s="101"/>
      <c r="BA785" s="101"/>
      <c r="BC785" s="102"/>
      <c r="BD785" s="102"/>
    </row>
    <row r="786" spans="45:69" x14ac:dyDescent="0.3">
      <c r="AV786" s="102"/>
      <c r="AW786" s="102"/>
      <c r="AZ786" s="102"/>
      <c r="BA786" s="102"/>
      <c r="BC786" s="102"/>
      <c r="BD786" s="102"/>
      <c r="BE786" s="102"/>
      <c r="BG786" s="101"/>
      <c r="BH786" s="99"/>
      <c r="BK786" s="101"/>
      <c r="BM786" s="101"/>
      <c r="BN786" s="99"/>
      <c r="BQ786" s="101"/>
    </row>
    <row r="787" spans="45:69" x14ac:dyDescent="0.3"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H787" s="102"/>
      <c r="BI787" s="102"/>
      <c r="BJ787" s="102"/>
      <c r="BN787" s="102"/>
      <c r="BO787" s="102"/>
      <c r="BP787" s="102"/>
    </row>
    <row r="788" spans="45:69" x14ac:dyDescent="0.3">
      <c r="AS788" s="102"/>
      <c r="AU788" s="99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G788" s="102"/>
      <c r="BH788" s="102"/>
      <c r="BI788" s="102"/>
      <c r="BJ788" s="102"/>
      <c r="BK788" s="102"/>
      <c r="BM788" s="102"/>
      <c r="BN788" s="102"/>
      <c r="BO788" s="102"/>
      <c r="BP788" s="102"/>
      <c r="BQ788" s="102"/>
    </row>
    <row r="789" spans="45:69" x14ac:dyDescent="0.3">
      <c r="AS789" s="102"/>
      <c r="AU789" s="99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G789" s="102"/>
      <c r="BH789" s="102"/>
      <c r="BI789" s="102"/>
      <c r="BJ789" s="102"/>
      <c r="BK789" s="102"/>
      <c r="BM789" s="102"/>
      <c r="BN789" s="102"/>
      <c r="BO789" s="102"/>
      <c r="BP789" s="102"/>
      <c r="BQ789" s="102"/>
    </row>
    <row r="790" spans="45:69" x14ac:dyDescent="0.3">
      <c r="AS790" s="101"/>
      <c r="AT790" s="101"/>
      <c r="AU790" s="101"/>
      <c r="AV790" s="101"/>
      <c r="AW790" s="101"/>
      <c r="AX790" s="101"/>
      <c r="AY790" s="101"/>
      <c r="AZ790" s="101"/>
      <c r="BA790" s="101"/>
      <c r="BB790" s="101"/>
      <c r="BC790" s="101"/>
      <c r="BD790" s="101"/>
      <c r="BE790" s="101"/>
      <c r="BG790" s="101"/>
      <c r="BH790" s="101"/>
      <c r="BI790" s="101"/>
      <c r="BJ790" s="101"/>
      <c r="BK790" s="101"/>
      <c r="BM790" s="101"/>
      <c r="BN790" s="101"/>
      <c r="BO790" s="101"/>
      <c r="BP790" s="101"/>
      <c r="BQ790" s="101"/>
    </row>
    <row r="791" spans="45:69" x14ac:dyDescent="0.3"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</row>
    <row r="792" spans="45:69" x14ac:dyDescent="0.3">
      <c r="AU792" s="99"/>
      <c r="AV792" s="102"/>
      <c r="AY792" s="198"/>
    </row>
    <row r="793" spans="45:69" x14ac:dyDescent="0.3">
      <c r="AV793" s="102"/>
      <c r="AW793" s="110"/>
      <c r="AX793" s="163"/>
      <c r="AY793" s="163"/>
      <c r="AZ793" s="163"/>
      <c r="BA793" s="141"/>
      <c r="BB793" s="163"/>
      <c r="BC793" s="198"/>
      <c r="BD793" s="198"/>
      <c r="BE793" s="141"/>
      <c r="BG793" s="163"/>
      <c r="BH793" s="163"/>
      <c r="BI793" s="163"/>
      <c r="BJ793" s="163"/>
      <c r="BK793" s="163"/>
      <c r="BM793" s="163"/>
      <c r="BN793" s="163"/>
      <c r="BO793" s="163"/>
      <c r="BP793" s="163"/>
      <c r="BQ793" s="163"/>
    </row>
    <row r="794" spans="45:69" x14ac:dyDescent="0.3">
      <c r="AV794" s="102"/>
      <c r="AW794" s="110"/>
      <c r="AX794" s="163"/>
      <c r="AY794" s="163"/>
      <c r="AZ794" s="163"/>
      <c r="BA794" s="141"/>
      <c r="BB794" s="163"/>
      <c r="BC794" s="198"/>
      <c r="BD794" s="198"/>
      <c r="BE794" s="141"/>
      <c r="BG794" s="163"/>
      <c r="BH794" s="163"/>
      <c r="BI794" s="163"/>
      <c r="BJ794" s="163"/>
      <c r="BK794" s="163"/>
      <c r="BM794" s="163"/>
      <c r="BN794" s="163"/>
      <c r="BO794" s="163"/>
      <c r="BP794" s="163"/>
      <c r="BQ794" s="163"/>
    </row>
    <row r="795" spans="45:69" x14ac:dyDescent="0.3">
      <c r="AV795" s="102"/>
      <c r="AW795" s="110"/>
      <c r="AX795" s="163"/>
      <c r="AY795" s="163"/>
      <c r="AZ795" s="163"/>
      <c r="BA795" s="141"/>
      <c r="BB795" s="163"/>
      <c r="BC795" s="198"/>
      <c r="BD795" s="198"/>
      <c r="BE795" s="141"/>
      <c r="BG795" s="163"/>
      <c r="BH795" s="163"/>
      <c r="BI795" s="163"/>
      <c r="BJ795" s="163"/>
      <c r="BK795" s="163"/>
      <c r="BM795" s="163"/>
      <c r="BN795" s="163"/>
      <c r="BO795" s="163"/>
      <c r="BP795" s="163"/>
      <c r="BQ795" s="163"/>
    </row>
    <row r="796" spans="45:69" x14ac:dyDescent="0.3">
      <c r="AV796" s="102"/>
      <c r="AW796" s="110"/>
      <c r="AX796" s="163"/>
      <c r="AY796" s="163"/>
      <c r="AZ796" s="163"/>
      <c r="BA796" s="141"/>
      <c r="BB796" s="163"/>
      <c r="BC796" s="198"/>
      <c r="BD796" s="198"/>
      <c r="BE796" s="141"/>
      <c r="BG796" s="163"/>
      <c r="BH796" s="163"/>
      <c r="BI796" s="163"/>
      <c r="BJ796" s="163"/>
      <c r="BK796" s="163"/>
      <c r="BM796" s="163"/>
      <c r="BN796" s="163"/>
      <c r="BO796" s="163"/>
      <c r="BP796" s="163"/>
      <c r="BQ796" s="163"/>
    </row>
    <row r="797" spans="45:69" x14ac:dyDescent="0.3">
      <c r="AV797" s="102"/>
      <c r="AW797" s="110"/>
      <c r="AX797" s="163"/>
      <c r="AY797" s="163"/>
      <c r="AZ797" s="163"/>
      <c r="BA797" s="141"/>
      <c r="BB797" s="163"/>
      <c r="BC797" s="198"/>
      <c r="BD797" s="198"/>
      <c r="BE797" s="141"/>
      <c r="BG797" s="163"/>
      <c r="BH797" s="163"/>
      <c r="BI797" s="163"/>
      <c r="BJ797" s="163"/>
      <c r="BK797" s="163"/>
      <c r="BM797" s="163"/>
      <c r="BN797" s="163"/>
      <c r="BO797" s="163"/>
      <c r="BP797" s="163"/>
      <c r="BQ797" s="163"/>
    </row>
    <row r="798" spans="45:69" x14ac:dyDescent="0.3">
      <c r="AV798" s="102"/>
      <c r="AW798" s="110"/>
      <c r="AX798" s="163"/>
      <c r="AY798" s="163"/>
      <c r="AZ798" s="163"/>
      <c r="BA798" s="141"/>
      <c r="BB798" s="163"/>
      <c r="BC798" s="198"/>
      <c r="BD798" s="198"/>
      <c r="BE798" s="141"/>
      <c r="BG798" s="163"/>
      <c r="BH798" s="163"/>
      <c r="BI798" s="163"/>
      <c r="BJ798" s="163"/>
      <c r="BK798" s="163"/>
      <c r="BM798" s="163"/>
      <c r="BN798" s="163"/>
      <c r="BO798" s="163"/>
      <c r="BP798" s="163"/>
      <c r="BQ798" s="163"/>
    </row>
    <row r="799" spans="45:69" x14ac:dyDescent="0.3">
      <c r="AV799" s="102"/>
      <c r="AW799" s="110"/>
      <c r="AX799" s="163"/>
      <c r="AY799" s="163"/>
      <c r="AZ799" s="163"/>
      <c r="BA799" s="141"/>
      <c r="BB799" s="163"/>
      <c r="BC799" s="198"/>
      <c r="BD799" s="198"/>
      <c r="BE799" s="141"/>
      <c r="BG799" s="163"/>
      <c r="BH799" s="163"/>
      <c r="BI799" s="163"/>
      <c r="BJ799" s="163"/>
      <c r="BK799" s="163"/>
      <c r="BM799" s="163"/>
      <c r="BN799" s="163"/>
      <c r="BO799" s="163"/>
      <c r="BP799" s="163"/>
      <c r="BQ799" s="163"/>
    </row>
    <row r="800" spans="45:69" x14ac:dyDescent="0.3">
      <c r="AY800" s="198"/>
      <c r="AZ800" s="163"/>
      <c r="BA800" s="141"/>
      <c r="BB800" s="163"/>
      <c r="BC800" s="198"/>
      <c r="BD800" s="198"/>
      <c r="BE800" s="141"/>
      <c r="BK800" s="163"/>
      <c r="BQ800" s="163"/>
    </row>
    <row r="801" spans="45:69" x14ac:dyDescent="0.3">
      <c r="AV801" s="102"/>
      <c r="AY801" s="198"/>
      <c r="AZ801" s="163"/>
      <c r="BA801" s="141"/>
      <c r="BB801" s="163"/>
      <c r="BC801" s="198"/>
      <c r="BD801" s="198"/>
      <c r="BE801" s="141"/>
      <c r="BK801" s="163"/>
      <c r="BQ801" s="163"/>
    </row>
    <row r="802" spans="45:69" x14ac:dyDescent="0.3">
      <c r="AV802" s="102"/>
      <c r="AW802" s="110"/>
      <c r="AX802" s="163"/>
      <c r="AY802" s="163"/>
      <c r="AZ802" s="163"/>
      <c r="BA802" s="141"/>
      <c r="BB802" s="163"/>
      <c r="BC802" s="198"/>
      <c r="BD802" s="198"/>
      <c r="BE802" s="141"/>
      <c r="BG802" s="163"/>
      <c r="BH802" s="163"/>
      <c r="BI802" s="163"/>
      <c r="BJ802" s="163"/>
      <c r="BK802" s="163"/>
      <c r="BM802" s="163"/>
      <c r="BN802" s="163"/>
      <c r="BO802" s="163"/>
      <c r="BP802" s="163"/>
      <c r="BQ802" s="163"/>
    </row>
    <row r="803" spans="45:69" x14ac:dyDescent="0.3">
      <c r="AV803" s="102"/>
      <c r="AW803" s="110"/>
      <c r="AX803" s="163"/>
      <c r="AY803" s="163"/>
      <c r="AZ803" s="163"/>
      <c r="BA803" s="141"/>
      <c r="BB803" s="163"/>
      <c r="BC803" s="198"/>
      <c r="BD803" s="198"/>
      <c r="BE803" s="141"/>
      <c r="BG803" s="163"/>
      <c r="BH803" s="163"/>
      <c r="BI803" s="163"/>
      <c r="BJ803" s="163"/>
      <c r="BK803" s="163"/>
      <c r="BM803" s="163"/>
      <c r="BN803" s="163"/>
      <c r="BO803" s="163"/>
      <c r="BP803" s="163"/>
      <c r="BQ803" s="163"/>
    </row>
    <row r="804" spans="45:69" x14ac:dyDescent="0.3">
      <c r="AV804" s="102"/>
      <c r="AW804" s="110"/>
      <c r="AX804" s="163"/>
      <c r="AY804" s="163"/>
      <c r="AZ804" s="163"/>
      <c r="BA804" s="141"/>
      <c r="BB804" s="163"/>
      <c r="BC804" s="198"/>
      <c r="BD804" s="198"/>
      <c r="BE804" s="141"/>
      <c r="BG804" s="163"/>
      <c r="BH804" s="163"/>
      <c r="BI804" s="163"/>
      <c r="BJ804" s="163"/>
      <c r="BK804" s="163"/>
      <c r="BM804" s="163"/>
      <c r="BN804" s="163"/>
      <c r="BO804" s="163"/>
      <c r="BP804" s="163"/>
      <c r="BQ804" s="163"/>
    </row>
    <row r="805" spans="45:69" x14ac:dyDescent="0.3">
      <c r="AV805" s="102"/>
      <c r="AW805" s="110"/>
      <c r="AX805" s="163"/>
      <c r="AY805" s="163"/>
      <c r="AZ805" s="163"/>
      <c r="BA805" s="141"/>
      <c r="BB805" s="163"/>
      <c r="BC805" s="198"/>
      <c r="BD805" s="198"/>
      <c r="BE805" s="141"/>
      <c r="BG805" s="163"/>
      <c r="BH805" s="163"/>
      <c r="BI805" s="163"/>
      <c r="BJ805" s="163"/>
      <c r="BK805" s="163"/>
      <c r="BM805" s="163"/>
      <c r="BN805" s="163"/>
      <c r="BO805" s="163"/>
      <c r="BP805" s="163"/>
      <c r="BQ805" s="163"/>
    </row>
    <row r="806" spans="45:69" x14ac:dyDescent="0.3">
      <c r="AV806" s="102"/>
      <c r="AW806" s="110"/>
      <c r="AX806" s="163"/>
      <c r="AY806" s="163"/>
      <c r="AZ806" s="163"/>
      <c r="BA806" s="141"/>
      <c r="BB806" s="163"/>
      <c r="BC806" s="198"/>
      <c r="BD806" s="198"/>
      <c r="BE806" s="141"/>
      <c r="BG806" s="163"/>
      <c r="BH806" s="163"/>
      <c r="BI806" s="163"/>
      <c r="BJ806" s="163"/>
      <c r="BK806" s="163"/>
      <c r="BM806" s="163"/>
      <c r="BN806" s="163"/>
      <c r="BO806" s="163"/>
      <c r="BP806" s="163"/>
      <c r="BQ806" s="163"/>
    </row>
    <row r="807" spans="45:69" x14ac:dyDescent="0.3">
      <c r="AV807" s="102"/>
      <c r="AW807" s="110"/>
      <c r="AX807" s="163"/>
      <c r="AY807" s="163"/>
      <c r="AZ807" s="163"/>
      <c r="BA807" s="141"/>
      <c r="BB807" s="163"/>
      <c r="BC807" s="198"/>
      <c r="BD807" s="198"/>
      <c r="BE807" s="141"/>
      <c r="BG807" s="163"/>
      <c r="BH807" s="163"/>
      <c r="BI807" s="163"/>
      <c r="BJ807" s="163"/>
      <c r="BK807" s="163"/>
      <c r="BM807" s="163"/>
      <c r="BN807" s="163"/>
      <c r="BO807" s="163"/>
      <c r="BP807" s="163"/>
      <c r="BQ807" s="163"/>
    </row>
    <row r="808" spans="45:69" x14ac:dyDescent="0.3">
      <c r="AV808" s="102"/>
      <c r="AW808" s="110"/>
      <c r="AX808" s="163"/>
      <c r="AY808" s="163"/>
      <c r="AZ808" s="163"/>
      <c r="BA808" s="141"/>
      <c r="BB808" s="163"/>
      <c r="BC808" s="198"/>
      <c r="BD808" s="198"/>
      <c r="BE808" s="141"/>
      <c r="BG808" s="163"/>
      <c r="BH808" s="163"/>
      <c r="BI808" s="163"/>
      <c r="BJ808" s="163"/>
      <c r="BK808" s="163"/>
      <c r="BM808" s="163"/>
      <c r="BN808" s="163"/>
      <c r="BO808" s="163"/>
      <c r="BP808" s="163"/>
      <c r="BQ808" s="163"/>
    </row>
    <row r="809" spans="45:69" x14ac:dyDescent="0.3">
      <c r="AV809" s="102"/>
      <c r="AW809" s="110"/>
      <c r="AX809" s="163"/>
      <c r="AY809" s="163"/>
      <c r="AZ809" s="163"/>
      <c r="BA809" s="141"/>
      <c r="BB809" s="163"/>
      <c r="BC809" s="198"/>
      <c r="BD809" s="198"/>
      <c r="BE809" s="141"/>
      <c r="BG809" s="163"/>
      <c r="BH809" s="163"/>
      <c r="BI809" s="163"/>
      <c r="BJ809" s="163"/>
      <c r="BK809" s="163"/>
      <c r="BM809" s="163"/>
      <c r="BN809" s="163"/>
      <c r="BO809" s="163"/>
      <c r="BP809" s="163"/>
      <c r="BQ809" s="163"/>
    </row>
    <row r="810" spans="45:69" x14ac:dyDescent="0.3">
      <c r="AY810" s="198"/>
      <c r="AZ810" s="163"/>
      <c r="BA810" s="141"/>
      <c r="BB810" s="163"/>
      <c r="BC810" s="198"/>
      <c r="BD810" s="198"/>
      <c r="BE810" s="141"/>
      <c r="BK810" s="163"/>
      <c r="BQ810" s="163"/>
    </row>
    <row r="811" spans="45:69" x14ac:dyDescent="0.3">
      <c r="AU811" s="99"/>
      <c r="AZ811" s="163"/>
      <c r="BB811" s="163"/>
      <c r="BG811" s="163"/>
      <c r="BH811" s="163"/>
      <c r="BJ811" s="163"/>
      <c r="BK811" s="163"/>
    </row>
    <row r="812" spans="45:69" x14ac:dyDescent="0.3">
      <c r="AZ812" s="163"/>
      <c r="BB812" s="163"/>
    </row>
    <row r="813" spans="45:69" x14ac:dyDescent="0.3">
      <c r="AS813" s="99"/>
      <c r="AZ813" s="163"/>
      <c r="BB813" s="163"/>
      <c r="BI813" s="163"/>
    </row>
    <row r="814" spans="45:69" x14ac:dyDescent="0.3">
      <c r="AZ814" s="163"/>
      <c r="BB814" s="163"/>
    </row>
    <row r="815" spans="45:69" x14ac:dyDescent="0.3">
      <c r="AY815" s="163"/>
      <c r="BB815" s="163"/>
    </row>
    <row r="816" spans="45:69" x14ac:dyDescent="0.3">
      <c r="AY816" s="99"/>
      <c r="AZ816" s="163"/>
      <c r="BB816" s="163"/>
    </row>
    <row r="817" spans="45:75" x14ac:dyDescent="0.3">
      <c r="AY817" s="99"/>
      <c r="AZ817" s="163"/>
      <c r="BB817" s="163"/>
    </row>
    <row r="818" spans="45:75" x14ac:dyDescent="0.3">
      <c r="AZ818" s="163"/>
      <c r="BB818" s="163"/>
      <c r="BD818" s="99"/>
    </row>
    <row r="819" spans="45:75" x14ac:dyDescent="0.3">
      <c r="AZ819" s="163"/>
      <c r="BB819" s="163"/>
      <c r="BD819" s="99"/>
    </row>
    <row r="820" spans="45:75" x14ac:dyDescent="0.3">
      <c r="AS820" s="99"/>
      <c r="AZ820" s="163"/>
      <c r="BB820" s="163"/>
      <c r="BD820" s="99"/>
    </row>
    <row r="821" spans="45:75" x14ac:dyDescent="0.3">
      <c r="AZ821" s="163"/>
      <c r="BB821" s="163"/>
    </row>
    <row r="822" spans="45:75" x14ac:dyDescent="0.3">
      <c r="AS822" s="101"/>
      <c r="AT822" s="101"/>
      <c r="AU822" s="101"/>
      <c r="AV822" s="101"/>
      <c r="AW822" s="101"/>
      <c r="AX822" s="101"/>
      <c r="AY822" s="101"/>
      <c r="AZ822" s="212"/>
      <c r="BA822" s="101"/>
      <c r="BB822" s="212"/>
      <c r="BC822" s="101"/>
      <c r="BD822" s="101"/>
      <c r="BE822" s="101"/>
    </row>
    <row r="823" spans="45:75" x14ac:dyDescent="0.3">
      <c r="AX823" s="99"/>
      <c r="AZ823" s="163"/>
      <c r="BB823" s="163"/>
    </row>
    <row r="824" spans="45:75" x14ac:dyDescent="0.3">
      <c r="AX824" s="101"/>
      <c r="AY824" s="101"/>
      <c r="AZ824" s="212"/>
      <c r="BA824" s="101"/>
      <c r="BB824" s="163"/>
      <c r="BC824" s="102"/>
      <c r="BD824" s="102"/>
    </row>
    <row r="825" spans="45:75" x14ac:dyDescent="0.3">
      <c r="AV825" s="102"/>
      <c r="AW825" s="102"/>
      <c r="AZ825" s="213"/>
      <c r="BA825" s="102"/>
      <c r="BB825" s="163"/>
      <c r="BC825" s="102"/>
      <c r="BD825" s="102"/>
      <c r="BE825" s="102"/>
      <c r="BG825" s="101"/>
      <c r="BH825" s="101"/>
      <c r="BI825" s="99"/>
      <c r="BM825" s="101"/>
      <c r="BN825" s="101"/>
      <c r="BP825" s="101"/>
      <c r="BQ825" s="101"/>
      <c r="BR825" s="99"/>
      <c r="BV825" s="101"/>
      <c r="BW825" s="101"/>
    </row>
    <row r="826" spans="45:75" x14ac:dyDescent="0.3">
      <c r="AV826" s="102"/>
      <c r="AW826" s="102"/>
      <c r="AX826" s="102"/>
      <c r="AY826" s="102"/>
      <c r="AZ826" s="213"/>
      <c r="BA826" s="102"/>
      <c r="BB826" s="213"/>
      <c r="BC826" s="102"/>
      <c r="BD826" s="102"/>
      <c r="BE826" s="102"/>
      <c r="BH826" s="102"/>
      <c r="BI826" s="102"/>
      <c r="BJ826" s="102"/>
      <c r="BK826" s="102"/>
      <c r="BL826" s="102"/>
      <c r="BM826" s="102"/>
      <c r="BQ826" s="102"/>
      <c r="BR826" s="102"/>
      <c r="BS826" s="102"/>
      <c r="BT826" s="102"/>
      <c r="BU826" s="102"/>
      <c r="BV826" s="102"/>
    </row>
    <row r="827" spans="45:75" x14ac:dyDescent="0.3">
      <c r="AS827" s="102"/>
      <c r="AU827" s="99"/>
      <c r="AV827" s="102"/>
      <c r="AW827" s="102"/>
      <c r="AX827" s="102"/>
      <c r="AY827" s="102"/>
      <c r="AZ827" s="213"/>
      <c r="BA827" s="102"/>
      <c r="BB827" s="213"/>
      <c r="BC827" s="102"/>
      <c r="BD827" s="102"/>
      <c r="BE827" s="102"/>
      <c r="BG827" s="102"/>
      <c r="BH827" s="102"/>
      <c r="BI827" s="102"/>
      <c r="BJ827" s="102"/>
      <c r="BK827" s="102"/>
      <c r="BL827" s="102"/>
      <c r="BM827" s="102"/>
      <c r="BN827" s="102"/>
      <c r="BP827" s="102"/>
      <c r="BQ827" s="102"/>
      <c r="BR827" s="102"/>
      <c r="BS827" s="102"/>
      <c r="BT827" s="102"/>
      <c r="BU827" s="102"/>
      <c r="BV827" s="102"/>
      <c r="BW827" s="102"/>
    </row>
    <row r="828" spans="45:75" x14ac:dyDescent="0.3">
      <c r="AS828" s="102"/>
      <c r="AU828" s="99"/>
      <c r="AV828" s="102"/>
      <c r="AW828" s="102"/>
      <c r="AX828" s="102"/>
      <c r="AY828" s="102"/>
      <c r="AZ828" s="213"/>
      <c r="BA828" s="102"/>
      <c r="BB828" s="213"/>
      <c r="BC828" s="102"/>
      <c r="BD828" s="102"/>
      <c r="BE828" s="102"/>
      <c r="BG828" s="102"/>
      <c r="BH828" s="102"/>
      <c r="BI828" s="102"/>
      <c r="BJ828" s="102"/>
      <c r="BK828" s="102"/>
      <c r="BL828" s="102"/>
      <c r="BM828" s="102"/>
      <c r="BN828" s="102"/>
      <c r="BP828" s="102"/>
      <c r="BQ828" s="102"/>
      <c r="BR828" s="102"/>
      <c r="BS828" s="102"/>
      <c r="BT828" s="102"/>
      <c r="BU828" s="102"/>
      <c r="BV828" s="102"/>
      <c r="BW828" s="102"/>
    </row>
    <row r="829" spans="45:75" x14ac:dyDescent="0.3">
      <c r="AS829" s="101"/>
      <c r="AT829" s="101"/>
      <c r="AU829" s="101"/>
      <c r="AV829" s="101"/>
      <c r="AW829" s="101"/>
      <c r="AX829" s="101"/>
      <c r="AY829" s="101"/>
      <c r="AZ829" s="212"/>
      <c r="BA829" s="101"/>
      <c r="BB829" s="212"/>
      <c r="BC829" s="101"/>
      <c r="BD829" s="101"/>
      <c r="BE829" s="101"/>
      <c r="BG829" s="101"/>
      <c r="BH829" s="101"/>
      <c r="BI829" s="101"/>
      <c r="BJ829" s="101"/>
      <c r="BK829" s="101"/>
      <c r="BL829" s="101"/>
      <c r="BM829" s="101"/>
      <c r="BN829" s="101"/>
      <c r="BP829" s="101"/>
      <c r="BQ829" s="101"/>
      <c r="BR829" s="101"/>
      <c r="BS829" s="101"/>
      <c r="BT829" s="101"/>
      <c r="BU829" s="101"/>
      <c r="BV829" s="101"/>
      <c r="BW829" s="101"/>
    </row>
    <row r="830" spans="45:75" x14ac:dyDescent="0.3">
      <c r="AV830" s="102"/>
      <c r="AW830" s="102"/>
      <c r="AX830" s="102"/>
      <c r="AY830" s="102"/>
      <c r="AZ830" s="213"/>
      <c r="BA830" s="102"/>
      <c r="BB830" s="213"/>
      <c r="BC830" s="102"/>
      <c r="BD830" s="102"/>
      <c r="BE830" s="102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</row>
    <row r="831" spans="45:75" x14ac:dyDescent="0.3">
      <c r="AU831" s="99"/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</row>
    <row r="832" spans="45:75" x14ac:dyDescent="0.3"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</row>
    <row r="833" spans="49:75" x14ac:dyDescent="0.3"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</row>
    <row r="834" spans="49:75" x14ac:dyDescent="0.3"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</row>
    <row r="835" spans="49:75" x14ac:dyDescent="0.3"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</row>
    <row r="836" spans="49:75" x14ac:dyDescent="0.3"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</row>
    <row r="837" spans="49:75" x14ac:dyDescent="0.3"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</row>
    <row r="838" spans="49:75" x14ac:dyDescent="0.3"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</row>
    <row r="839" spans="49:75" x14ac:dyDescent="0.3"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</row>
    <row r="840" spans="49:75" x14ac:dyDescent="0.3"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</row>
    <row r="841" spans="49:75" x14ac:dyDescent="0.3"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</row>
    <row r="842" spans="49:75" x14ac:dyDescent="0.3"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</row>
    <row r="843" spans="49:75" x14ac:dyDescent="0.3"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</row>
    <row r="844" spans="49:75" x14ac:dyDescent="0.3"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</row>
    <row r="845" spans="49:75" x14ac:dyDescent="0.3"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</row>
    <row r="846" spans="49:75" x14ac:dyDescent="0.3"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</row>
    <row r="847" spans="49:75" x14ac:dyDescent="0.3"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</row>
    <row r="848" spans="49:75" x14ac:dyDescent="0.3">
      <c r="AW848" s="110"/>
      <c r="AX848" s="163"/>
      <c r="AY848" s="163"/>
      <c r="AZ848" s="163"/>
      <c r="BA848" s="207"/>
      <c r="BB848" s="163"/>
      <c r="BC848" s="163"/>
      <c r="BD848" s="163"/>
      <c r="BE848" s="207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</row>
    <row r="849" spans="45:75" x14ac:dyDescent="0.3">
      <c r="AW849" s="110"/>
      <c r="AX849" s="163"/>
      <c r="AY849" s="163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</row>
    <row r="850" spans="45:75" x14ac:dyDescent="0.3">
      <c r="AW850" s="110"/>
      <c r="AX850" s="163"/>
      <c r="AY850" s="163"/>
      <c r="AZ850" s="163"/>
      <c r="BA850" s="207"/>
      <c r="BB850" s="163"/>
      <c r="BC850" s="163"/>
      <c r="BD850" s="163"/>
      <c r="BE850" s="207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</row>
    <row r="851" spans="45:75" x14ac:dyDescent="0.3">
      <c r="AW851" s="110"/>
      <c r="AX851" s="163"/>
      <c r="AY851" s="163"/>
      <c r="AZ851" s="163"/>
      <c r="BA851" s="207"/>
      <c r="BB851" s="163"/>
      <c r="BC851" s="163"/>
      <c r="BD851" s="163"/>
      <c r="BE851" s="207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</row>
    <row r="852" spans="45:75" x14ac:dyDescent="0.3">
      <c r="AW852" s="110"/>
      <c r="AX852" s="163"/>
      <c r="AY852" s="163"/>
      <c r="AZ852" s="163"/>
      <c r="BA852" s="207"/>
      <c r="BB852" s="163"/>
      <c r="BC852" s="163"/>
      <c r="BD852" s="163"/>
      <c r="BE852" s="207"/>
      <c r="BG852" s="101"/>
      <c r="BH852" s="101"/>
      <c r="BI852" s="99"/>
      <c r="BM852" s="101"/>
      <c r="BN852" s="101"/>
      <c r="BO852" s="163"/>
      <c r="BP852" s="101"/>
      <c r="BQ852" s="101"/>
      <c r="BR852" s="99"/>
      <c r="BV852" s="101"/>
      <c r="BW852" s="101"/>
    </row>
    <row r="853" spans="45:75" x14ac:dyDescent="0.3">
      <c r="AU853" s="99"/>
      <c r="AV853" s="102"/>
      <c r="AW853" s="110"/>
      <c r="AX853" s="163"/>
      <c r="AY853" s="163"/>
      <c r="AZ853" s="163"/>
      <c r="BA853" s="207"/>
      <c r="BB853" s="163"/>
      <c r="BC853" s="163"/>
      <c r="BD853" s="163"/>
      <c r="BE853" s="207"/>
      <c r="BG853" s="213"/>
      <c r="BH853" s="163"/>
      <c r="BI853" s="163"/>
      <c r="BJ853" s="163"/>
      <c r="BK853" s="213"/>
      <c r="BL853" s="214"/>
      <c r="BM853" s="163"/>
      <c r="BN853" s="213"/>
      <c r="BO853" s="163"/>
      <c r="BP853" s="213"/>
      <c r="BQ853" s="163"/>
      <c r="BR853" s="163"/>
      <c r="BS853" s="163"/>
      <c r="BT853" s="213"/>
      <c r="BU853" s="214"/>
      <c r="BV853" s="163"/>
      <c r="BW853" s="213"/>
    </row>
    <row r="854" spans="45:75" x14ac:dyDescent="0.3">
      <c r="AV854" s="102"/>
      <c r="AW854" s="110"/>
      <c r="AX854" s="163"/>
      <c r="AY854" s="163"/>
      <c r="AZ854" s="163"/>
      <c r="BA854" s="207"/>
      <c r="BB854" s="163"/>
      <c r="BC854" s="163"/>
      <c r="BD854" s="163"/>
      <c r="BE854" s="207"/>
      <c r="BG854" s="163"/>
      <c r="BH854" s="163"/>
      <c r="BI854" s="163"/>
      <c r="BJ854" s="163"/>
      <c r="BK854" s="163"/>
      <c r="BL854" s="214"/>
      <c r="BM854" s="163"/>
      <c r="BN854" s="163"/>
      <c r="BO854" s="163"/>
      <c r="BP854" s="163"/>
      <c r="BQ854" s="163"/>
      <c r="BR854" s="163"/>
      <c r="BS854" s="163"/>
      <c r="BT854" s="163"/>
      <c r="BU854" s="214"/>
      <c r="BV854" s="163"/>
      <c r="BW854" s="163"/>
    </row>
    <row r="855" spans="45:75" x14ac:dyDescent="0.3">
      <c r="AV855" s="102"/>
      <c r="AW855" s="110"/>
      <c r="AX855" s="163"/>
      <c r="AY855" s="163"/>
      <c r="AZ855" s="163"/>
      <c r="BA855" s="207"/>
      <c r="BB855" s="163"/>
      <c r="BC855" s="163"/>
      <c r="BD855" s="163"/>
      <c r="BE855" s="207"/>
      <c r="BG855" s="163"/>
      <c r="BH855" s="163"/>
      <c r="BI855" s="163"/>
      <c r="BJ855" s="163"/>
      <c r="BK855" s="163"/>
      <c r="BL855" s="214"/>
      <c r="BM855" s="163"/>
      <c r="BN855" s="163"/>
      <c r="BO855" s="163"/>
      <c r="BP855" s="163"/>
      <c r="BQ855" s="163"/>
      <c r="BR855" s="163"/>
      <c r="BS855" s="163"/>
      <c r="BT855" s="163"/>
      <c r="BU855" s="214"/>
      <c r="BV855" s="163"/>
      <c r="BW855" s="163"/>
    </row>
    <row r="856" spans="45:75" x14ac:dyDescent="0.3">
      <c r="AV856" s="102"/>
      <c r="AW856" s="110"/>
      <c r="AX856" s="163"/>
      <c r="AY856" s="163"/>
      <c r="AZ856" s="163"/>
      <c r="BA856" s="207"/>
      <c r="BB856" s="163"/>
      <c r="BC856" s="163"/>
      <c r="BD856" s="163"/>
      <c r="BE856" s="207"/>
      <c r="BG856" s="163"/>
      <c r="BH856" s="163"/>
      <c r="BI856" s="163"/>
      <c r="BJ856" s="163"/>
      <c r="BK856" s="163"/>
      <c r="BL856" s="214"/>
      <c r="BM856" s="163"/>
      <c r="BN856" s="163"/>
      <c r="BO856" s="163"/>
      <c r="BP856" s="163"/>
      <c r="BQ856" s="163"/>
      <c r="BR856" s="163"/>
      <c r="BS856" s="163"/>
      <c r="BT856" s="163"/>
      <c r="BU856" s="214"/>
      <c r="BV856" s="163"/>
      <c r="BW856" s="163"/>
    </row>
    <row r="857" spans="45:75" x14ac:dyDescent="0.3">
      <c r="AX857" s="163"/>
      <c r="AY857" s="163"/>
      <c r="AZ857" s="163"/>
      <c r="BA857" s="207"/>
      <c r="BB857" s="163"/>
      <c r="BC857" s="163"/>
      <c r="BD857" s="163"/>
      <c r="BE857" s="207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</row>
    <row r="858" spans="45:75" x14ac:dyDescent="0.3">
      <c r="AU858" s="99"/>
    </row>
    <row r="859" spans="45:75" x14ac:dyDescent="0.3">
      <c r="AU859" s="99"/>
      <c r="AZ859" s="163"/>
      <c r="BA859" s="207"/>
      <c r="BB859" s="163"/>
      <c r="BC859" s="163"/>
      <c r="BD859" s="163"/>
      <c r="BE859" s="207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</row>
    <row r="860" spans="45:75" x14ac:dyDescent="0.3">
      <c r="AS860" s="99"/>
      <c r="AZ860" s="163"/>
      <c r="BB860" s="163"/>
    </row>
    <row r="861" spans="45:75" x14ac:dyDescent="0.3">
      <c r="AZ861" s="163"/>
      <c r="BB861" s="163"/>
      <c r="BO861" s="163"/>
      <c r="BP861" s="163"/>
      <c r="BQ861" s="163"/>
      <c r="BR861" s="163"/>
      <c r="BS861" s="163"/>
      <c r="BT861" s="163"/>
      <c r="BU861" s="163"/>
      <c r="BV861" s="163"/>
    </row>
    <row r="862" spans="45:75" x14ac:dyDescent="0.3">
      <c r="AY862" s="163"/>
      <c r="AZ862" s="163"/>
      <c r="BB862" s="163"/>
      <c r="BO862" s="163"/>
      <c r="BP862" s="163"/>
      <c r="BQ862" s="163"/>
      <c r="BR862" s="163"/>
      <c r="BS862" s="163"/>
      <c r="BT862" s="163"/>
      <c r="BU862" s="163"/>
      <c r="BV862" s="163"/>
    </row>
    <row r="863" spans="45:75" x14ac:dyDescent="0.3">
      <c r="AY863" s="99"/>
      <c r="AZ863" s="163"/>
      <c r="BB863" s="163"/>
      <c r="BO863" s="163"/>
      <c r="BP863" s="163"/>
      <c r="BQ863" s="163"/>
      <c r="BR863" s="163"/>
      <c r="BS863" s="163"/>
      <c r="BT863" s="163"/>
      <c r="BU863" s="163"/>
      <c r="BV863" s="163"/>
    </row>
    <row r="864" spans="45:75" x14ac:dyDescent="0.3">
      <c r="AY864" s="99"/>
      <c r="AZ864" s="163"/>
      <c r="BB864" s="163"/>
      <c r="BO864" s="163"/>
      <c r="BP864" s="163"/>
      <c r="BQ864" s="163"/>
      <c r="BR864" s="163"/>
      <c r="BS864" s="163"/>
      <c r="BT864" s="163"/>
      <c r="BU864" s="163"/>
      <c r="BV864" s="163"/>
    </row>
    <row r="865" spans="45:74" x14ac:dyDescent="0.3">
      <c r="AZ865" s="163"/>
      <c r="BB865" s="163"/>
      <c r="BD865" s="99"/>
      <c r="BO865" s="163"/>
      <c r="BP865" s="163"/>
      <c r="BQ865" s="163"/>
      <c r="BR865" s="163"/>
      <c r="BS865" s="163"/>
      <c r="BT865" s="163"/>
      <c r="BU865" s="163"/>
      <c r="BV865" s="163"/>
    </row>
    <row r="866" spans="45:74" x14ac:dyDescent="0.3">
      <c r="AZ866" s="163"/>
      <c r="BB866" s="163"/>
      <c r="BD866" s="99"/>
      <c r="BO866" s="163"/>
      <c r="BP866" s="163"/>
      <c r="BQ866" s="163"/>
      <c r="BR866" s="163"/>
      <c r="BS866" s="163"/>
      <c r="BT866" s="163"/>
      <c r="BU866" s="163"/>
      <c r="BV866" s="163"/>
    </row>
    <row r="867" spans="45:74" x14ac:dyDescent="0.3">
      <c r="AS867" s="99"/>
      <c r="AZ867" s="163"/>
      <c r="BB867" s="163"/>
      <c r="BD867" s="99"/>
      <c r="BO867" s="163"/>
      <c r="BP867" s="163"/>
      <c r="BQ867" s="163"/>
      <c r="BR867" s="163"/>
      <c r="BS867" s="163"/>
      <c r="BT867" s="163"/>
      <c r="BU867" s="163"/>
      <c r="BV867" s="163"/>
    </row>
    <row r="868" spans="45:74" x14ac:dyDescent="0.3">
      <c r="AZ868" s="163"/>
      <c r="BB868" s="163"/>
      <c r="BO868" s="163"/>
      <c r="BP868" s="163"/>
      <c r="BQ868" s="163"/>
      <c r="BR868" s="163"/>
      <c r="BS868" s="163"/>
      <c r="BT868" s="163"/>
      <c r="BU868" s="163"/>
      <c r="BV868" s="163"/>
    </row>
    <row r="869" spans="45:74" x14ac:dyDescent="0.3">
      <c r="AS869" s="101"/>
      <c r="AT869" s="101"/>
      <c r="AU869" s="101"/>
      <c r="AV869" s="101"/>
      <c r="AW869" s="101"/>
      <c r="AX869" s="101"/>
      <c r="AY869" s="101"/>
      <c r="AZ869" s="212"/>
      <c r="BA869" s="101"/>
      <c r="BB869" s="212"/>
      <c r="BC869" s="101"/>
      <c r="BD869" s="101"/>
      <c r="BE869" s="101"/>
      <c r="BO869" s="163"/>
      <c r="BP869" s="163"/>
      <c r="BQ869" s="163"/>
      <c r="BR869" s="163"/>
      <c r="BS869" s="163"/>
      <c r="BT869" s="163"/>
      <c r="BU869" s="163"/>
      <c r="BV869" s="163"/>
    </row>
    <row r="870" spans="45:74" x14ac:dyDescent="0.3">
      <c r="AX870" s="99"/>
      <c r="AZ870" s="163"/>
      <c r="BB870" s="163"/>
      <c r="BO870" s="163"/>
      <c r="BP870" s="163"/>
      <c r="BQ870" s="163"/>
      <c r="BR870" s="163"/>
      <c r="BS870" s="163"/>
      <c r="BT870" s="163"/>
      <c r="BU870" s="163"/>
      <c r="BV870" s="163"/>
    </row>
    <row r="871" spans="45:74" x14ac:dyDescent="0.3">
      <c r="AX871" s="101"/>
      <c r="AY871" s="101"/>
      <c r="AZ871" s="212"/>
      <c r="BA871" s="101"/>
      <c r="BB871" s="163"/>
      <c r="BC871" s="102"/>
      <c r="BD871" s="102"/>
      <c r="BO871" s="163"/>
      <c r="BP871" s="163"/>
      <c r="BQ871" s="163"/>
      <c r="BR871" s="163"/>
      <c r="BS871" s="163"/>
      <c r="BT871" s="163"/>
      <c r="BU871" s="163"/>
      <c r="BV871" s="163"/>
    </row>
    <row r="872" spans="45:74" x14ac:dyDescent="0.3">
      <c r="AV872" s="102"/>
      <c r="AW872" s="102"/>
      <c r="AZ872" s="213"/>
      <c r="BA872" s="102"/>
      <c r="BB872" s="163"/>
      <c r="BC872" s="102"/>
      <c r="BD872" s="102"/>
      <c r="BE872" s="102"/>
      <c r="BG872" s="101"/>
      <c r="BH872" s="99"/>
      <c r="BK872" s="101"/>
      <c r="BM872" s="101"/>
      <c r="BN872" s="99"/>
      <c r="BQ872" s="101"/>
    </row>
    <row r="873" spans="45:74" x14ac:dyDescent="0.3">
      <c r="AV873" s="102"/>
      <c r="AW873" s="102"/>
      <c r="AX873" s="102"/>
      <c r="AY873" s="102"/>
      <c r="AZ873" s="213"/>
      <c r="BA873" s="102"/>
      <c r="BB873" s="213"/>
      <c r="BC873" s="102"/>
      <c r="BD873" s="102"/>
      <c r="BE873" s="102"/>
      <c r="BH873" s="102"/>
      <c r="BI873" s="102"/>
      <c r="BN873" s="102"/>
      <c r="BO873" s="102"/>
    </row>
    <row r="874" spans="45:74" x14ac:dyDescent="0.3">
      <c r="AS874" s="102"/>
      <c r="AU874" s="99"/>
      <c r="AV874" s="102"/>
      <c r="AW874" s="102"/>
      <c r="AX874" s="102"/>
      <c r="AY874" s="102"/>
      <c r="AZ874" s="213"/>
      <c r="BA874" s="102"/>
      <c r="BB874" s="213"/>
      <c r="BC874" s="102"/>
      <c r="BD874" s="102"/>
      <c r="BE874" s="102"/>
      <c r="BG874" s="102"/>
      <c r="BH874" s="102"/>
      <c r="BI874" s="102"/>
      <c r="BJ874" s="102"/>
      <c r="BK874" s="102"/>
      <c r="BM874" s="102"/>
      <c r="BN874" s="102"/>
      <c r="BO874" s="102"/>
      <c r="BP874" s="102"/>
      <c r="BQ874" s="102"/>
    </row>
    <row r="875" spans="45:74" x14ac:dyDescent="0.3">
      <c r="AS875" s="102"/>
      <c r="AU875" s="99"/>
      <c r="AV875" s="102"/>
      <c r="AW875" s="102"/>
      <c r="AX875" s="102"/>
      <c r="AY875" s="102"/>
      <c r="AZ875" s="213"/>
      <c r="BA875" s="102"/>
      <c r="BB875" s="213"/>
      <c r="BC875" s="102"/>
      <c r="BD875" s="102"/>
      <c r="BE875" s="102"/>
      <c r="BG875" s="102"/>
      <c r="BH875" s="102"/>
      <c r="BI875" s="102"/>
      <c r="BJ875" s="102"/>
      <c r="BK875" s="102"/>
      <c r="BM875" s="102"/>
      <c r="BN875" s="102"/>
      <c r="BO875" s="102"/>
      <c r="BP875" s="102"/>
      <c r="BQ875" s="102"/>
    </row>
    <row r="876" spans="45:74" x14ac:dyDescent="0.3">
      <c r="AS876" s="101"/>
      <c r="AT876" s="101"/>
      <c r="AU876" s="101"/>
      <c r="AV876" s="101"/>
      <c r="AW876" s="101"/>
      <c r="AX876" s="101"/>
      <c r="AY876" s="101"/>
      <c r="AZ876" s="212"/>
      <c r="BA876" s="101"/>
      <c r="BB876" s="212"/>
      <c r="BC876" s="101"/>
      <c r="BD876" s="101"/>
      <c r="BE876" s="101"/>
      <c r="BG876" s="101"/>
      <c r="BH876" s="101"/>
      <c r="BI876" s="101"/>
      <c r="BJ876" s="101"/>
      <c r="BK876" s="101"/>
      <c r="BM876" s="101"/>
      <c r="BN876" s="101"/>
      <c r="BO876" s="101"/>
      <c r="BP876" s="101"/>
      <c r="BQ876" s="101"/>
    </row>
    <row r="877" spans="45:74" x14ac:dyDescent="0.3">
      <c r="AV877" s="102"/>
      <c r="AW877" s="102"/>
      <c r="AX877" s="102"/>
      <c r="AY877" s="102"/>
      <c r="AZ877" s="213"/>
      <c r="BA877" s="102"/>
      <c r="BB877" s="213"/>
      <c r="BC877" s="102"/>
      <c r="BD877" s="102"/>
      <c r="BE877" s="102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</row>
    <row r="878" spans="45:74" x14ac:dyDescent="0.3">
      <c r="AT878" s="99"/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</row>
    <row r="879" spans="45:74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</row>
    <row r="880" spans="45:74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</row>
    <row r="881" spans="48:71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</row>
    <row r="882" spans="48:71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</row>
    <row r="883" spans="48:71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</row>
    <row r="884" spans="48:71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</row>
    <row r="885" spans="48:71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</row>
    <row r="886" spans="48:71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</row>
    <row r="887" spans="48:71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</row>
    <row r="888" spans="48:71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</row>
    <row r="889" spans="48:71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</row>
    <row r="890" spans="48:71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</row>
    <row r="891" spans="48:71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</row>
    <row r="892" spans="48:71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</row>
    <row r="893" spans="48:71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</row>
    <row r="894" spans="48:71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</row>
    <row r="895" spans="48:71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</row>
    <row r="896" spans="48:71" x14ac:dyDescent="0.3">
      <c r="AZ896" s="163"/>
      <c r="BB896" s="163"/>
      <c r="BC896" s="163"/>
      <c r="BD896" s="163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</row>
    <row r="897" spans="46:57" x14ac:dyDescent="0.3">
      <c r="AT897" s="99"/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6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6:57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</row>
    <row r="900" spans="46:57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6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6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6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6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6:57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6:57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6:57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6:57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6:57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0" spans="46:57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</row>
    <row r="911" spans="46:57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</row>
    <row r="912" spans="46:57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</row>
    <row r="913" spans="45:57" x14ac:dyDescent="0.3"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</row>
    <row r="914" spans="45:57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</row>
    <row r="915" spans="45:57" x14ac:dyDescent="0.3">
      <c r="BB915" s="163"/>
    </row>
    <row r="916" spans="45:57" x14ac:dyDescent="0.3">
      <c r="AU916" s="99"/>
      <c r="BB916" s="163"/>
    </row>
    <row r="917" spans="45:57" x14ac:dyDescent="0.3">
      <c r="AU917" s="99"/>
    </row>
    <row r="918" spans="45:57" x14ac:dyDescent="0.3">
      <c r="AU918" s="99"/>
      <c r="BB918" s="163"/>
    </row>
    <row r="919" spans="45:57" x14ac:dyDescent="0.3">
      <c r="AS919" s="99"/>
      <c r="AZ919" s="163"/>
      <c r="BB919" s="163"/>
    </row>
    <row r="920" spans="45:57" x14ac:dyDescent="0.3">
      <c r="AZ920" s="163"/>
      <c r="BB920" s="163"/>
    </row>
    <row r="921" spans="45:57" x14ac:dyDescent="0.3">
      <c r="AY921" s="163"/>
      <c r="AZ921" s="163"/>
      <c r="BB921" s="163"/>
    </row>
    <row r="922" spans="45:57" x14ac:dyDescent="0.3">
      <c r="AY922" s="99"/>
      <c r="AZ922" s="163"/>
      <c r="BB922" s="163"/>
    </row>
    <row r="923" spans="45:57" x14ac:dyDescent="0.3">
      <c r="AY923" s="99"/>
      <c r="AZ923" s="163"/>
      <c r="BB923" s="163"/>
    </row>
    <row r="924" spans="45:57" x14ac:dyDescent="0.3">
      <c r="AZ924" s="163"/>
      <c r="BB924" s="163"/>
      <c r="BD924" s="99"/>
    </row>
    <row r="925" spans="45:57" x14ac:dyDescent="0.3">
      <c r="AZ925" s="163"/>
      <c r="BB925" s="163"/>
      <c r="BD925" s="99"/>
    </row>
    <row r="926" spans="45:57" x14ac:dyDescent="0.3">
      <c r="AS926" s="99"/>
      <c r="AZ926" s="163"/>
      <c r="BB926" s="163"/>
      <c r="BD926" s="99"/>
    </row>
    <row r="927" spans="45:57" x14ac:dyDescent="0.3">
      <c r="AZ927" s="163"/>
      <c r="BB927" s="163"/>
    </row>
    <row r="928" spans="45:57" x14ac:dyDescent="0.3">
      <c r="AS928" s="101"/>
      <c r="AT928" s="101"/>
      <c r="AU928" s="101"/>
      <c r="AV928" s="101"/>
      <c r="AW928" s="101"/>
      <c r="AX928" s="101"/>
      <c r="AY928" s="101"/>
      <c r="AZ928" s="212"/>
      <c r="BA928" s="101"/>
      <c r="BB928" s="212"/>
      <c r="BC928" s="101"/>
      <c r="BD928" s="101"/>
      <c r="BE928" s="101"/>
    </row>
    <row r="929" spans="45:57" x14ac:dyDescent="0.3">
      <c r="AX929" s="99"/>
      <c r="AZ929" s="163"/>
      <c r="BB929" s="163"/>
    </row>
    <row r="930" spans="45:57" x14ac:dyDescent="0.3">
      <c r="AX930" s="101"/>
      <c r="AY930" s="101"/>
      <c r="AZ930" s="212"/>
      <c r="BA930" s="101"/>
      <c r="BB930" s="163"/>
      <c r="BC930" s="102"/>
      <c r="BD930" s="102"/>
    </row>
    <row r="931" spans="45:57" x14ac:dyDescent="0.3">
      <c r="AV931" s="102"/>
      <c r="AW931" s="102"/>
      <c r="AZ931" s="213"/>
      <c r="BA931" s="102"/>
      <c r="BB931" s="163"/>
      <c r="BC931" s="102"/>
      <c r="BD931" s="102"/>
      <c r="BE931" s="102"/>
    </row>
    <row r="932" spans="45:57" x14ac:dyDescent="0.3">
      <c r="AV932" s="102"/>
      <c r="AW932" s="102"/>
      <c r="AX932" s="102"/>
      <c r="AY932" s="102"/>
      <c r="AZ932" s="213"/>
      <c r="BA932" s="102"/>
      <c r="BB932" s="213"/>
      <c r="BC932" s="102"/>
      <c r="BD932" s="102"/>
      <c r="BE932" s="102"/>
    </row>
    <row r="933" spans="45:57" x14ac:dyDescent="0.3">
      <c r="AS933" s="102"/>
      <c r="AU933" s="99"/>
      <c r="AV933" s="102"/>
      <c r="AW933" s="102"/>
      <c r="AX933" s="102"/>
      <c r="AY933" s="102"/>
      <c r="AZ933" s="213"/>
      <c r="BA933" s="102"/>
      <c r="BB933" s="213"/>
      <c r="BC933" s="102"/>
      <c r="BD933" s="102"/>
      <c r="BE933" s="102"/>
    </row>
    <row r="934" spans="45:57" x14ac:dyDescent="0.3">
      <c r="AS934" s="102"/>
      <c r="AU934" s="99"/>
      <c r="AV934" s="102"/>
      <c r="AW934" s="102"/>
      <c r="AX934" s="102"/>
      <c r="AY934" s="102"/>
      <c r="AZ934" s="213"/>
      <c r="BA934" s="102"/>
      <c r="BB934" s="213"/>
      <c r="BC934" s="102"/>
      <c r="BD934" s="102"/>
      <c r="BE934" s="102"/>
    </row>
    <row r="935" spans="45:57" x14ac:dyDescent="0.3">
      <c r="AS935" s="101"/>
      <c r="AT935" s="101"/>
      <c r="AU935" s="101"/>
      <c r="AV935" s="101"/>
      <c r="AW935" s="101"/>
      <c r="AX935" s="101"/>
      <c r="AY935" s="101"/>
      <c r="AZ935" s="212"/>
      <c r="BA935" s="101"/>
      <c r="BB935" s="212"/>
      <c r="BC935" s="101"/>
      <c r="BD935" s="101"/>
      <c r="BE935" s="101"/>
    </row>
    <row r="936" spans="45:57" x14ac:dyDescent="0.3">
      <c r="AV936" s="102"/>
      <c r="AW936" s="102"/>
      <c r="AX936" s="102"/>
      <c r="AY936" s="102"/>
      <c r="AZ936" s="213"/>
      <c r="BA936" s="102"/>
      <c r="BB936" s="213"/>
      <c r="BC936" s="102"/>
      <c r="BD936" s="102"/>
      <c r="BE936" s="102"/>
    </row>
    <row r="937" spans="45:57" x14ac:dyDescent="0.3">
      <c r="AT937" s="99"/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5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5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5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5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5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5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5:57" x14ac:dyDescent="0.3">
      <c r="AV944" s="110"/>
      <c r="AW944" s="110"/>
      <c r="AX944" s="163"/>
      <c r="AY944" s="163"/>
      <c r="AZ944" s="163"/>
      <c r="BA944" s="207"/>
      <c r="BB944" s="163"/>
      <c r="BC944" s="163"/>
      <c r="BD944" s="163"/>
      <c r="BE944" s="207"/>
    </row>
    <row r="945" spans="46:57" x14ac:dyDescent="0.3">
      <c r="AV945" s="110"/>
      <c r="AW945" s="110"/>
      <c r="AX945" s="163"/>
      <c r="AY945" s="163"/>
      <c r="AZ945" s="163"/>
      <c r="BA945" s="207"/>
      <c r="BB945" s="163"/>
      <c r="BC945" s="163"/>
      <c r="BD945" s="163"/>
      <c r="BE945" s="207"/>
    </row>
    <row r="946" spans="46:57" x14ac:dyDescent="0.3">
      <c r="AV946" s="110"/>
      <c r="AW946" s="110"/>
      <c r="AX946" s="163"/>
      <c r="AY946" s="163"/>
      <c r="AZ946" s="163"/>
      <c r="BA946" s="207"/>
      <c r="BB946" s="163"/>
      <c r="BC946" s="163"/>
      <c r="BD946" s="163"/>
      <c r="BE946" s="207"/>
    </row>
    <row r="947" spans="46:57" x14ac:dyDescent="0.3">
      <c r="AV947" s="110"/>
      <c r="AW947" s="110"/>
      <c r="BB947" s="163"/>
    </row>
    <row r="948" spans="46:57" x14ac:dyDescent="0.3">
      <c r="AT948" s="99"/>
      <c r="AV948" s="110"/>
      <c r="AW948" s="110"/>
      <c r="AX948" s="163"/>
      <c r="AY948" s="163"/>
      <c r="AZ948" s="163"/>
      <c r="BA948" s="207"/>
      <c r="BB948" s="163"/>
      <c r="BC948" s="163"/>
      <c r="BD948" s="163"/>
      <c r="BE948" s="207"/>
    </row>
    <row r="949" spans="46:57" x14ac:dyDescent="0.3">
      <c r="AV949" s="110"/>
      <c r="AW949" s="110"/>
      <c r="AX949" s="163"/>
      <c r="AY949" s="163"/>
      <c r="AZ949" s="163"/>
      <c r="BA949" s="207"/>
      <c r="BB949" s="163"/>
      <c r="BC949" s="163"/>
      <c r="BD949" s="163"/>
      <c r="BE949" s="207"/>
    </row>
    <row r="950" spans="46:57" x14ac:dyDescent="0.3">
      <c r="AV950" s="110"/>
      <c r="AW950" s="110"/>
      <c r="AX950" s="163"/>
      <c r="AY950" s="163"/>
      <c r="AZ950" s="163"/>
      <c r="BA950" s="207"/>
      <c r="BB950" s="163"/>
      <c r="BC950" s="163"/>
      <c r="BD950" s="163"/>
      <c r="BE950" s="207"/>
    </row>
    <row r="951" spans="46:57" x14ac:dyDescent="0.3">
      <c r="AV951" s="110"/>
      <c r="AW951" s="110"/>
      <c r="AX951" s="163"/>
      <c r="AY951" s="163"/>
      <c r="AZ951" s="163"/>
      <c r="BA951" s="207"/>
      <c r="BB951" s="163"/>
      <c r="BC951" s="163"/>
      <c r="BD951" s="163"/>
      <c r="BE951" s="207"/>
    </row>
    <row r="952" spans="46:57" x14ac:dyDescent="0.3">
      <c r="AV952" s="110"/>
      <c r="AW952" s="110"/>
      <c r="AX952" s="163"/>
      <c r="AY952" s="163"/>
      <c r="AZ952" s="163"/>
      <c r="BA952" s="207"/>
      <c r="BB952" s="163"/>
      <c r="BC952" s="163"/>
      <c r="BD952" s="163"/>
      <c r="BE952" s="207"/>
    </row>
    <row r="953" spans="46:57" x14ac:dyDescent="0.3">
      <c r="AV953" s="110"/>
      <c r="AW953" s="110"/>
      <c r="AX953" s="163"/>
      <c r="AY953" s="163"/>
      <c r="AZ953" s="163"/>
      <c r="BA953" s="207"/>
      <c r="BB953" s="163"/>
      <c r="BC953" s="163"/>
      <c r="BD953" s="163"/>
      <c r="BE953" s="207"/>
    </row>
    <row r="954" spans="46:57" x14ac:dyDescent="0.3">
      <c r="AV954" s="110"/>
      <c r="AW954" s="110"/>
      <c r="AX954" s="163"/>
      <c r="AY954" s="163"/>
      <c r="AZ954" s="163"/>
      <c r="BA954" s="207"/>
      <c r="BB954" s="163"/>
      <c r="BC954" s="163"/>
      <c r="BD954" s="163"/>
      <c r="BE954" s="207"/>
    </row>
    <row r="955" spans="46:57" x14ac:dyDescent="0.3">
      <c r="AV955" s="110"/>
      <c r="AW955" s="110"/>
      <c r="AX955" s="163"/>
      <c r="AY955" s="163"/>
      <c r="AZ955" s="163"/>
      <c r="BA955" s="207"/>
      <c r="BB955" s="163"/>
      <c r="BC955" s="163"/>
      <c r="BD955" s="163"/>
      <c r="BE955" s="207"/>
    </row>
    <row r="956" spans="46:57" x14ac:dyDescent="0.3">
      <c r="AV956" s="110"/>
      <c r="AW956" s="110"/>
      <c r="AX956" s="163"/>
      <c r="AY956" s="163"/>
      <c r="AZ956" s="163"/>
      <c r="BA956" s="207"/>
      <c r="BB956" s="163"/>
      <c r="BC956" s="163"/>
      <c r="BD956" s="163"/>
      <c r="BE956" s="207"/>
    </row>
    <row r="957" spans="46:57" x14ac:dyDescent="0.3">
      <c r="AV957" s="110"/>
      <c r="AW957" s="110"/>
      <c r="AX957" s="163"/>
      <c r="AY957" s="163"/>
      <c r="AZ957" s="163"/>
      <c r="BA957" s="207"/>
      <c r="BB957" s="163"/>
      <c r="BC957" s="163"/>
      <c r="BD957" s="163"/>
      <c r="BE957" s="207"/>
    </row>
    <row r="959" spans="46:57" x14ac:dyDescent="0.3">
      <c r="AU959" s="99"/>
    </row>
    <row r="960" spans="46:57" x14ac:dyDescent="0.3">
      <c r="AU960" s="99"/>
    </row>
    <row r="961" spans="45:47" x14ac:dyDescent="0.3">
      <c r="AU961" s="99"/>
    </row>
    <row r="962" spans="45:47" x14ac:dyDescent="0.3">
      <c r="AS962" s="99"/>
    </row>
    <row r="983" spans="52:71" x14ac:dyDescent="0.3">
      <c r="AZ983" s="163"/>
      <c r="BB983" s="163"/>
      <c r="BC983" s="163"/>
      <c r="BD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</row>
    <row r="984" spans="52:71" x14ac:dyDescent="0.3">
      <c r="AZ984" s="163"/>
      <c r="BB984" s="163"/>
      <c r="BC984" s="163"/>
      <c r="BD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</row>
    <row r="985" spans="52:71" x14ac:dyDescent="0.3">
      <c r="AZ985" s="163"/>
      <c r="BB985" s="163"/>
      <c r="BC985" s="163"/>
      <c r="BD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</row>
    <row r="986" spans="52:71" x14ac:dyDescent="0.3">
      <c r="AZ986" s="163"/>
      <c r="BB986" s="163"/>
      <c r="BC986" s="163"/>
      <c r="BD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</row>
    <row r="987" spans="52:71" x14ac:dyDescent="0.3">
      <c r="AZ987" s="163"/>
      <c r="BB987" s="163"/>
      <c r="BC987" s="163"/>
      <c r="BD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</row>
    <row r="988" spans="52:71" x14ac:dyDescent="0.3">
      <c r="AZ988" s="163"/>
      <c r="BB988" s="163"/>
      <c r="BC988" s="163"/>
      <c r="BD988" s="163"/>
      <c r="BG988" s="163"/>
      <c r="BH988" s="163"/>
      <c r="BI988" s="163"/>
      <c r="BJ988" s="163"/>
      <c r="BK988" s="163"/>
      <c r="BL988" s="163"/>
      <c r="BM988" s="163"/>
      <c r="BN988" s="163"/>
      <c r="BO988" s="163"/>
      <c r="BP988" s="163"/>
      <c r="BQ988" s="163"/>
      <c r="BR988" s="163"/>
      <c r="BS988" s="163"/>
    </row>
    <row r="989" spans="52:71" x14ac:dyDescent="0.3">
      <c r="AZ989" s="163"/>
      <c r="BB989" s="163"/>
      <c r="BC989" s="163"/>
      <c r="BD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</row>
    <row r="990" spans="52:71" x14ac:dyDescent="0.3">
      <c r="AZ990" s="163"/>
      <c r="BB990" s="163"/>
      <c r="BC990" s="163"/>
      <c r="BD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</row>
    <row r="991" spans="52:71" x14ac:dyDescent="0.3">
      <c r="AZ991" s="163"/>
      <c r="BB991" s="163"/>
      <c r="BC991" s="163"/>
      <c r="BD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</row>
    <row r="992" spans="52:71" x14ac:dyDescent="0.3">
      <c r="AZ992" s="163"/>
      <c r="BB992" s="163"/>
      <c r="BC992" s="163"/>
      <c r="BD992" s="163"/>
      <c r="BG992" s="163"/>
      <c r="BH992" s="163"/>
      <c r="BI992" s="163"/>
      <c r="BJ992" s="163"/>
      <c r="BK992" s="163"/>
      <c r="BL992" s="163"/>
      <c r="BM992" s="163"/>
      <c r="BN992" s="163"/>
      <c r="BO992" s="163"/>
      <c r="BP992" s="163"/>
      <c r="BQ992" s="163"/>
      <c r="BR992" s="163"/>
      <c r="BS992" s="163"/>
    </row>
    <row r="993" spans="52:71" x14ac:dyDescent="0.3">
      <c r="AZ993" s="163"/>
      <c r="BB993" s="163"/>
      <c r="BC993" s="163"/>
      <c r="BD993" s="163"/>
      <c r="BG993" s="163"/>
      <c r="BH993" s="163"/>
      <c r="BI993" s="163"/>
      <c r="BJ993" s="163"/>
      <c r="BK993" s="163"/>
      <c r="BL993" s="163"/>
      <c r="BM993" s="163"/>
      <c r="BN993" s="163"/>
      <c r="BO993" s="163"/>
      <c r="BP993" s="163"/>
      <c r="BQ993" s="163"/>
      <c r="BR993" s="163"/>
      <c r="BS993" s="163"/>
    </row>
    <row r="994" spans="52:71" x14ac:dyDescent="0.3">
      <c r="AZ994" s="163"/>
      <c r="BB994" s="163"/>
      <c r="BC994" s="163"/>
      <c r="BD994" s="163"/>
      <c r="BG994" s="163"/>
      <c r="BH994" s="163"/>
      <c r="BI994" s="163"/>
      <c r="BJ994" s="163"/>
      <c r="BK994" s="163"/>
      <c r="BL994" s="163"/>
      <c r="BM994" s="163"/>
      <c r="BN994" s="163"/>
      <c r="BO994" s="163"/>
      <c r="BP994" s="163"/>
      <c r="BQ994" s="163"/>
      <c r="BR994" s="163"/>
      <c r="BS994" s="163"/>
    </row>
    <row r="995" spans="52:71" x14ac:dyDescent="0.3">
      <c r="AZ995" s="163"/>
      <c r="BG995" s="163"/>
      <c r="BH995" s="163"/>
      <c r="BI995" s="163"/>
      <c r="BJ995" s="163"/>
      <c r="BK995" s="163"/>
      <c r="BL995" s="163"/>
      <c r="BM995" s="163"/>
      <c r="BN995" s="163"/>
      <c r="BO995" s="163"/>
      <c r="BP995" s="163"/>
      <c r="BQ995" s="163"/>
      <c r="BR995" s="163"/>
      <c r="BS995" s="163"/>
    </row>
    <row r="996" spans="52:71" x14ac:dyDescent="0.3">
      <c r="AZ996" s="163"/>
      <c r="BG996" s="163"/>
      <c r="BH996" s="163"/>
      <c r="BI996" s="163"/>
      <c r="BJ996" s="163"/>
      <c r="BK996" s="163"/>
      <c r="BL996" s="163"/>
      <c r="BM996" s="163"/>
      <c r="BN996" s="163"/>
      <c r="BO996" s="163"/>
      <c r="BP996" s="163"/>
      <c r="BQ996" s="163"/>
      <c r="BR996" s="163"/>
      <c r="BS996" s="163"/>
    </row>
    <row r="997" spans="52:71" x14ac:dyDescent="0.3">
      <c r="AZ997" s="163"/>
      <c r="BG997" s="163"/>
      <c r="BH997" s="163"/>
      <c r="BI997" s="163"/>
      <c r="BJ997" s="163"/>
      <c r="BK997" s="163"/>
      <c r="BL997" s="163"/>
      <c r="BM997" s="163"/>
      <c r="BN997" s="163"/>
      <c r="BO997" s="163"/>
      <c r="BP997" s="163"/>
      <c r="BQ997" s="163"/>
      <c r="BR997" s="163"/>
      <c r="BS997" s="163"/>
    </row>
    <row r="998" spans="52:71" x14ac:dyDescent="0.3">
      <c r="AZ998" s="163"/>
      <c r="BG998" s="163"/>
      <c r="BH998" s="163"/>
      <c r="BI998" s="163"/>
      <c r="BJ998" s="163"/>
      <c r="BK998" s="163"/>
      <c r="BL998" s="163"/>
      <c r="BM998" s="163"/>
      <c r="BN998" s="163"/>
      <c r="BO998" s="163"/>
      <c r="BP998" s="163"/>
      <c r="BQ998" s="163"/>
      <c r="BR998" s="163"/>
      <c r="BS998" s="163"/>
    </row>
    <row r="999" spans="52:71" x14ac:dyDescent="0.3">
      <c r="AZ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</row>
    <row r="1000" spans="52:71" x14ac:dyDescent="0.3">
      <c r="AZ1000" s="163"/>
      <c r="BG1000" s="163"/>
      <c r="BH1000" s="163"/>
      <c r="BI1000" s="163"/>
      <c r="BJ1000" s="163"/>
      <c r="BK1000" s="163"/>
      <c r="BL1000" s="163"/>
      <c r="BM1000" s="163"/>
      <c r="BN1000" s="163"/>
      <c r="BO1000" s="163"/>
      <c r="BP1000" s="163"/>
      <c r="BQ1000" s="163"/>
      <c r="BR1000" s="163"/>
      <c r="BS1000" s="163"/>
    </row>
    <row r="1001" spans="52:71" x14ac:dyDescent="0.3">
      <c r="AZ1001" s="163"/>
      <c r="BG1001" s="163"/>
      <c r="BH1001" s="163"/>
      <c r="BI1001" s="163"/>
      <c r="BJ1001" s="163"/>
      <c r="BK1001" s="163"/>
      <c r="BL1001" s="163"/>
      <c r="BM1001" s="163"/>
      <c r="BN1001" s="163"/>
      <c r="BO1001" s="163"/>
      <c r="BP1001" s="163"/>
      <c r="BQ1001" s="163"/>
      <c r="BR1001" s="163"/>
      <c r="BS1001" s="163"/>
    </row>
    <row r="1002" spans="52:71" x14ac:dyDescent="0.3">
      <c r="AZ1002" s="163"/>
    </row>
    <row r="1003" spans="52:71" x14ac:dyDescent="0.3">
      <c r="AZ1003" s="163"/>
    </row>
    <row r="1017" spans="1:28" x14ac:dyDescent="0.3">
      <c r="A1017" s="99"/>
    </row>
    <row r="1020" spans="1:28" x14ac:dyDescent="0.3">
      <c r="Y1020" s="99"/>
    </row>
    <row r="1021" spans="1:28" x14ac:dyDescent="0.3">
      <c r="A1021" s="99"/>
      <c r="H1021" s="99"/>
      <c r="I1021" s="99"/>
    </row>
    <row r="1022" spans="1:28" x14ac:dyDescent="0.3">
      <c r="A1022" s="99"/>
      <c r="V1022" s="102"/>
      <c r="AA1022" s="102"/>
      <c r="AB1022" s="102"/>
    </row>
    <row r="1023" spans="1:28" x14ac:dyDescent="0.3">
      <c r="A1023" s="99"/>
      <c r="V1023" s="101"/>
      <c r="AA1023" s="101"/>
      <c r="AB1023" s="101"/>
    </row>
    <row r="1024" spans="1:28" x14ac:dyDescent="0.3">
      <c r="A1024" s="99"/>
      <c r="U1024" s="99"/>
      <c r="AA1024" s="102"/>
      <c r="AB1024" s="102"/>
    </row>
    <row r="1025" spans="1:28" x14ac:dyDescent="0.3">
      <c r="A1025" s="99"/>
    </row>
    <row r="1026" spans="1:28" x14ac:dyDescent="0.3">
      <c r="A1026" s="99"/>
      <c r="U1026" s="99"/>
      <c r="AA1026" s="102"/>
      <c r="AB1026" s="102"/>
    </row>
    <row r="1027" spans="1:28" x14ac:dyDescent="0.3">
      <c r="A1027" s="99"/>
    </row>
    <row r="1028" spans="1:28" x14ac:dyDescent="0.3">
      <c r="A1028" s="99"/>
      <c r="U1028" s="99"/>
      <c r="V1028" s="231"/>
      <c r="AA1028" s="102"/>
      <c r="AB1028" s="102"/>
    </row>
    <row r="1029" spans="1:28" x14ac:dyDescent="0.3">
      <c r="A1029" s="99"/>
    </row>
    <row r="1030" spans="1:28" x14ac:dyDescent="0.3">
      <c r="A1030" s="99"/>
      <c r="U1030" s="99"/>
      <c r="AA1030" s="102"/>
      <c r="AB1030" s="102"/>
    </row>
    <row r="1031" spans="1:28" x14ac:dyDescent="0.3">
      <c r="A1031" s="99"/>
    </row>
    <row r="1032" spans="1:28" x14ac:dyDescent="0.3">
      <c r="A1032" s="99"/>
      <c r="U1032" s="99"/>
      <c r="AA1032" s="102"/>
      <c r="AB1032" s="102"/>
    </row>
    <row r="1033" spans="1:28" x14ac:dyDescent="0.3">
      <c r="A1033" s="99"/>
    </row>
    <row r="1034" spans="1:28" x14ac:dyDescent="0.3">
      <c r="A1034" s="99"/>
    </row>
    <row r="1035" spans="1:28" x14ac:dyDescent="0.3">
      <c r="A1035" s="99"/>
    </row>
    <row r="1036" spans="1:28" x14ac:dyDescent="0.3">
      <c r="A1036" s="99"/>
    </row>
    <row r="1037" spans="1:28" x14ac:dyDescent="0.3">
      <c r="A1037" s="99"/>
    </row>
    <row r="1038" spans="1:28" x14ac:dyDescent="0.3">
      <c r="A1038" s="99"/>
    </row>
    <row r="1039" spans="1:28" x14ac:dyDescent="0.3">
      <c r="A1039" s="99"/>
    </row>
    <row r="1040" spans="1:28" x14ac:dyDescent="0.3">
      <c r="A1040" s="99"/>
    </row>
    <row r="1041" spans="1:9" x14ac:dyDescent="0.3">
      <c r="A1041" s="99"/>
    </row>
    <row r="1042" spans="1:9" x14ac:dyDescent="0.3">
      <c r="A1042" s="99"/>
    </row>
    <row r="1043" spans="1:9" x14ac:dyDescent="0.3">
      <c r="A1043" s="99"/>
      <c r="H1043" s="99"/>
      <c r="I1043" s="99"/>
    </row>
    <row r="1046" spans="1:9" x14ac:dyDescent="0.3">
      <c r="A1046" s="99"/>
    </row>
    <row r="1049" spans="1:9" x14ac:dyDescent="0.3">
      <c r="A1049" s="99"/>
    </row>
    <row r="1052" spans="1:9" x14ac:dyDescent="0.3">
      <c r="A1052" s="99"/>
    </row>
    <row r="1053" spans="1:9" x14ac:dyDescent="0.3">
      <c r="A1053" s="99"/>
    </row>
    <row r="1054" spans="1:9" x14ac:dyDescent="0.3">
      <c r="A1054" s="99"/>
    </row>
    <row r="1055" spans="1:9" x14ac:dyDescent="0.3">
      <c r="A1055" s="99"/>
    </row>
    <row r="1056" spans="1:9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1" spans="1:1" x14ac:dyDescent="0.3">
      <c r="A1071" s="99"/>
    </row>
    <row r="1072" spans="1:1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77" spans="1:1" x14ac:dyDescent="0.3">
      <c r="A1077" s="99"/>
    </row>
    <row r="1078" spans="1:1" x14ac:dyDescent="0.3">
      <c r="A1078" s="99"/>
    </row>
    <row r="1079" spans="1:1" x14ac:dyDescent="0.3">
      <c r="A1079" s="99"/>
    </row>
    <row r="1080" spans="1:1" x14ac:dyDescent="0.3">
      <c r="A1080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5" spans="1:1" x14ac:dyDescent="0.3">
      <c r="A1085" s="99"/>
    </row>
    <row r="1086" spans="1:1" x14ac:dyDescent="0.3">
      <c r="A1086" s="99"/>
    </row>
    <row r="1091" spans="1:1" x14ac:dyDescent="0.3">
      <c r="A1091" s="99"/>
    </row>
    <row r="1092" spans="1:1" x14ac:dyDescent="0.3">
      <c r="A1092" s="99"/>
    </row>
    <row r="1095" spans="1:1" x14ac:dyDescent="0.3">
      <c r="A1095" s="99"/>
    </row>
    <row r="1097" spans="1:1" x14ac:dyDescent="0.3">
      <c r="A1097" s="99"/>
    </row>
    <row r="1099" spans="1:1" x14ac:dyDescent="0.3">
      <c r="A1099" s="99"/>
    </row>
    <row r="1101" spans="1:1" x14ac:dyDescent="0.3">
      <c r="A1101" s="99"/>
    </row>
    <row r="1104" spans="1:1" x14ac:dyDescent="0.3">
      <c r="A1104" s="99"/>
    </row>
    <row r="1105" spans="1:1" x14ac:dyDescent="0.3">
      <c r="A1105" s="99"/>
    </row>
    <row r="1106" spans="1:1" x14ac:dyDescent="0.3">
      <c r="A1106" s="99"/>
    </row>
    <row r="1107" spans="1:1" x14ac:dyDescent="0.3">
      <c r="A1107" s="99"/>
    </row>
    <row r="1108" spans="1:1" x14ac:dyDescent="0.3">
      <c r="A1108" s="99"/>
    </row>
    <row r="1109" spans="1:1" x14ac:dyDescent="0.3">
      <c r="A1109" s="99"/>
    </row>
    <row r="1110" spans="1:1" x14ac:dyDescent="0.3">
      <c r="A1110" s="99"/>
    </row>
    <row r="1111" spans="1:1" x14ac:dyDescent="0.3">
      <c r="A1111" s="99"/>
    </row>
  </sheetData>
  <pageMargins left="0.5" right="0.5" top="1" bottom="0" header="0" footer="0"/>
  <pageSetup scale="52" orientation="landscape" r:id="rId1"/>
  <headerFooter alignWithMargins="0"/>
  <rowBreaks count="16" manualBreakCount="16">
    <brk id="144" max="65535" man="1"/>
    <brk id="187" max="65535" man="1"/>
    <brk id="229" max="65535" man="1"/>
    <brk id="268" max="65535" man="1"/>
    <brk id="324" max="65535" man="1"/>
    <brk id="370" max="65535" man="1"/>
    <brk id="452" max="65535" man="1"/>
    <brk id="490" max="65535" man="1"/>
    <brk id="527" max="65535" man="1"/>
    <brk id="575" max="65535" man="1"/>
    <brk id="636" max="65535" man="1"/>
    <brk id="695" max="65535" man="1"/>
    <brk id="802" max="65535" man="1"/>
    <brk id="849" max="65535" man="1"/>
    <brk id="908" max="65535" man="1"/>
    <brk id="951" max="65535" man="1"/>
  </rowBreaks>
  <colBreaks count="1" manualBreakCount="1">
    <brk id="4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syncVertical="1" syncRef="A1" transitionEvaluation="1" transitionEntry="1" codeName="Sheet72">
    <pageSetUpPr fitToPage="1"/>
  </sheetPr>
  <dimension ref="A1:BW1117"/>
  <sheetViews>
    <sheetView zoomScale="75" workbookViewId="0"/>
  </sheetViews>
  <sheetFormatPr defaultColWidth="9.75" defaultRowHeight="15.6" x14ac:dyDescent="0.3"/>
  <cols>
    <col min="1" max="1" width="4" style="98" customWidth="1"/>
    <col min="2" max="2" width="0.6640625" style="98" customWidth="1"/>
    <col min="3" max="3" width="8.58203125" style="98" customWidth="1"/>
    <col min="4" max="4" width="39.25" style="98" customWidth="1"/>
    <col min="5" max="5" width="0.41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4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4140625" style="98" customWidth="1"/>
    <col min="19" max="19" width="8.75" style="98" customWidth="1"/>
    <col min="20" max="20" width="5.4140625" style="98" customWidth="1"/>
    <col min="21" max="21" width="0.58203125" style="98" customWidth="1"/>
    <col min="22" max="22" width="8" style="98" customWidth="1"/>
    <col min="23" max="23" width="38.08203125" style="98" customWidth="1"/>
    <col min="24" max="24" width="0.4140625" style="98" customWidth="1"/>
    <col min="25" max="25" width="11.7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9140625" style="98" customWidth="1"/>
    <col min="30" max="30" width="0.582031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9140625" style="98" customWidth="1"/>
    <col min="37" max="37" width="14.58203125" style="148" customWidth="1"/>
    <col min="38" max="38" width="0.66406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11 OF "&amp;TEXT(Page_Num_2.3,"00")</f>
        <v>PAGE 11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49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307</v>
      </c>
      <c r="D20" s="124" t="s">
        <v>131</v>
      </c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99"/>
      <c r="U20" s="99"/>
    </row>
    <row r="21" spans="1:40" x14ac:dyDescent="0.3">
      <c r="A21" s="98">
        <v>2</v>
      </c>
      <c r="C21" s="134"/>
      <c r="D21" s="124" t="s">
        <v>132</v>
      </c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ht="21" customHeight="1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98">
        <v>3</v>
      </c>
      <c r="C23" s="124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99" t="s">
        <v>311</v>
      </c>
      <c r="F24" s="172">
        <f>'[4]Forecast BILLS'!$G$71</f>
        <v>12</v>
      </c>
      <c r="G24" s="1"/>
      <c r="H24" s="147"/>
      <c r="I24" s="147"/>
      <c r="J24" s="181">
        <f>INPUT!D154</f>
        <v>183</v>
      </c>
      <c r="K24" s="180"/>
      <c r="L24" s="106">
        <f>ROUND(F24*J24,0)</f>
        <v>2196</v>
      </c>
      <c r="M24" s="106"/>
      <c r="N24" s="175">
        <f>ROUND((L24/L$39)*100,1)</f>
        <v>110.2</v>
      </c>
      <c r="O24" s="175"/>
      <c r="P24" s="106"/>
      <c r="Q24" s="1"/>
      <c r="R24" s="106">
        <f>L24+P24</f>
        <v>2196</v>
      </c>
      <c r="S24" s="110"/>
      <c r="V24" s="110"/>
      <c r="Y24" s="110"/>
      <c r="Z24" s="172"/>
      <c r="AA24" s="110"/>
      <c r="AB24" s="110"/>
      <c r="AC24" s="141"/>
      <c r="AD24" s="141"/>
      <c r="AE24" s="110"/>
      <c r="AF24" s="110"/>
      <c r="AI24" s="110"/>
      <c r="AJ24" s="110"/>
      <c r="AL24" s="110"/>
    </row>
    <row r="25" spans="1:40" ht="20.100000000000001" customHeight="1" x14ac:dyDescent="0.3">
      <c r="A25" s="98">
        <v>5</v>
      </c>
      <c r="C25" s="124" t="s">
        <v>136</v>
      </c>
      <c r="F25" s="106"/>
      <c r="G25" s="1"/>
      <c r="H25" s="106"/>
      <c r="I25" s="106"/>
      <c r="J25" s="217"/>
      <c r="K25" s="171"/>
      <c r="L25" s="112">
        <f>SUM(L24:L24)</f>
        <v>2196</v>
      </c>
      <c r="M25" s="106"/>
      <c r="N25" s="193">
        <f>ROUND((L25/L$39)*100,1)</f>
        <v>110.2</v>
      </c>
      <c r="O25" s="175"/>
      <c r="P25" s="112"/>
      <c r="Q25" s="106"/>
      <c r="R25" s="112">
        <f>SUM(R24:R24)</f>
        <v>2196</v>
      </c>
      <c r="S25" s="110"/>
      <c r="T25" s="99"/>
      <c r="V25" s="110"/>
      <c r="Y25" s="110"/>
      <c r="Z25" s="216"/>
      <c r="AA25" s="110"/>
      <c r="AB25" s="110"/>
      <c r="AC25" s="141"/>
      <c r="AD25" s="141"/>
      <c r="AE25" s="110"/>
      <c r="AF25" s="110"/>
      <c r="AH25" s="141"/>
      <c r="AI25" s="110"/>
      <c r="AJ25" s="110"/>
      <c r="AL25" s="110"/>
      <c r="AM25" s="141"/>
      <c r="AN25" s="141"/>
    </row>
    <row r="26" spans="1:40" ht="24" customHeight="1" x14ac:dyDescent="0.3">
      <c r="C26" s="99"/>
      <c r="F26" s="106"/>
      <c r="G26" s="1"/>
      <c r="H26" s="106"/>
      <c r="I26" s="106"/>
      <c r="J26" s="217"/>
      <c r="K26" s="171"/>
      <c r="L26" s="106"/>
      <c r="M26" s="106"/>
      <c r="N26" s="175"/>
      <c r="O26" s="175"/>
      <c r="P26" s="106"/>
      <c r="Q26" s="106"/>
      <c r="R26" s="106"/>
      <c r="S26" s="110"/>
      <c r="V26" s="192"/>
      <c r="Y26" s="172"/>
      <c r="Z26" s="217"/>
      <c r="AA26" s="110"/>
      <c r="AB26" s="110"/>
      <c r="AC26" s="141"/>
      <c r="AD26" s="141"/>
      <c r="AE26" s="110"/>
      <c r="AF26" s="110"/>
      <c r="AH26" s="141"/>
      <c r="AI26" s="110"/>
      <c r="AJ26" s="110"/>
      <c r="AL26" s="110"/>
      <c r="AM26" s="141"/>
      <c r="AN26" s="141"/>
    </row>
    <row r="27" spans="1:40" x14ac:dyDescent="0.3">
      <c r="A27" s="98">
        <v>6</v>
      </c>
      <c r="C27" s="124" t="s">
        <v>67</v>
      </c>
      <c r="F27" s="106"/>
      <c r="G27" s="1"/>
      <c r="H27" s="106"/>
      <c r="I27" s="106"/>
      <c r="J27" s="198"/>
      <c r="K27" s="136"/>
      <c r="L27" s="106"/>
      <c r="M27" s="106"/>
      <c r="N27" s="175"/>
      <c r="O27" s="175"/>
      <c r="P27" s="106"/>
      <c r="Q27" s="106"/>
      <c r="R27" s="106"/>
      <c r="S27" s="110"/>
      <c r="T27" s="99"/>
      <c r="V27" s="172"/>
      <c r="Y27" s="110"/>
      <c r="Z27" s="216"/>
      <c r="AA27" s="110"/>
      <c r="AB27" s="110"/>
      <c r="AC27" s="141"/>
      <c r="AD27" s="141"/>
      <c r="AE27" s="110"/>
      <c r="AF27" s="110"/>
      <c r="AH27" s="141"/>
      <c r="AI27" s="110"/>
      <c r="AJ27" s="110"/>
      <c r="AL27" s="110"/>
      <c r="AM27" s="141"/>
      <c r="AN27" s="141"/>
    </row>
    <row r="28" spans="1:40" x14ac:dyDescent="0.3">
      <c r="A28" s="98">
        <v>7</v>
      </c>
      <c r="C28" s="99" t="s">
        <v>381</v>
      </c>
      <c r="F28" s="147"/>
      <c r="G28" s="1"/>
      <c r="H28" s="172">
        <f>'[4]Forecast KWH'!$G$68</f>
        <v>-2767</v>
      </c>
      <c r="I28" s="147"/>
      <c r="J28" s="189">
        <f>INPUT!D156</f>
        <v>3.3517999999999999E-2</v>
      </c>
      <c r="K28" s="185"/>
      <c r="L28" s="106">
        <f>ROUND((H28*J28),0)</f>
        <v>-93</v>
      </c>
      <c r="M28" s="106"/>
      <c r="N28" s="175">
        <f>ROUND((L28/L$39)*100,1)</f>
        <v>-4.7</v>
      </c>
      <c r="O28" s="175"/>
      <c r="P28" s="147"/>
      <c r="Q28" s="147"/>
      <c r="R28" s="106">
        <f>L28+P28</f>
        <v>-93</v>
      </c>
      <c r="S28" s="110"/>
      <c r="T28" s="99"/>
      <c r="V28" s="172"/>
      <c r="Y28" s="110"/>
      <c r="Z28" s="216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x14ac:dyDescent="0.3">
      <c r="A29" s="98">
        <v>8</v>
      </c>
      <c r="C29" s="99" t="s">
        <v>370</v>
      </c>
      <c r="F29" s="147"/>
      <c r="G29" s="1"/>
      <c r="H29" s="147">
        <f>H28</f>
        <v>-2767</v>
      </c>
      <c r="I29" s="147"/>
      <c r="J29" s="189">
        <f>INPUT!D160</f>
        <v>3.8117999999999999E-2</v>
      </c>
      <c r="K29" s="185"/>
      <c r="L29" s="106">
        <f>ROUND((H29*J29),0)</f>
        <v>-105</v>
      </c>
      <c r="M29" s="106"/>
      <c r="N29" s="175">
        <f>ROUND((L29/L$39)*100,1)</f>
        <v>-5.3</v>
      </c>
      <c r="O29" s="175"/>
      <c r="P29" s="110">
        <v>0</v>
      </c>
      <c r="Q29" s="147"/>
      <c r="R29" s="106">
        <f>L29+P29</f>
        <v>-105</v>
      </c>
      <c r="S29" s="110"/>
      <c r="V29" s="192"/>
      <c r="Y29" s="192"/>
      <c r="Z29" s="217"/>
      <c r="AA29" s="192"/>
      <c r="AB29" s="192"/>
      <c r="AC29" s="192"/>
      <c r="AD29" s="192"/>
      <c r="AE29" s="192"/>
      <c r="AF29" s="192"/>
      <c r="AI29" s="192"/>
      <c r="AJ29" s="192"/>
      <c r="AK29" s="194"/>
      <c r="AL29" s="192"/>
      <c r="AM29" s="141"/>
      <c r="AN29" s="141"/>
    </row>
    <row r="30" spans="1:40" ht="20.100000000000001" customHeight="1" x14ac:dyDescent="0.3">
      <c r="A30" s="98">
        <v>9</v>
      </c>
      <c r="C30" s="124" t="s">
        <v>142</v>
      </c>
      <c r="F30" s="117"/>
      <c r="G30" s="1"/>
      <c r="H30" s="112">
        <f>H28</f>
        <v>-2767</v>
      </c>
      <c r="I30" s="106"/>
      <c r="J30" s="196"/>
      <c r="K30" s="136"/>
      <c r="L30" s="112">
        <f>SUM(L28:L29)</f>
        <v>-198</v>
      </c>
      <c r="M30" s="106"/>
      <c r="N30" s="193">
        <f>ROUND((L30/L$39)*100,1)</f>
        <v>-9.9</v>
      </c>
      <c r="O30" s="175"/>
      <c r="P30" s="246">
        <f>P29</f>
        <v>0</v>
      </c>
      <c r="Q30" s="106"/>
      <c r="R30" s="112">
        <f>SUM(R28:R29)</f>
        <v>-198</v>
      </c>
      <c r="S30" s="110"/>
      <c r="V30" s="192"/>
      <c r="Y30" s="192"/>
      <c r="Z30" s="217"/>
      <c r="AA30" s="192"/>
      <c r="AB30" s="192"/>
      <c r="AC30" s="192"/>
      <c r="AD30" s="192"/>
      <c r="AE30" s="192"/>
      <c r="AF30" s="192"/>
      <c r="AI30" s="192"/>
      <c r="AJ30" s="192"/>
      <c r="AK30" s="194"/>
      <c r="AL30" s="192"/>
    </row>
    <row r="31" spans="1:40" ht="20.100000000000001" customHeight="1" x14ac:dyDescent="0.3">
      <c r="A31" s="98">
        <v>10</v>
      </c>
      <c r="C31" s="169" t="s">
        <v>458</v>
      </c>
      <c r="F31" s="112">
        <f>F24</f>
        <v>12</v>
      </c>
      <c r="G31" s="1"/>
      <c r="H31" s="112">
        <f>H30</f>
        <v>-2767</v>
      </c>
      <c r="I31" s="106"/>
      <c r="J31" s="196"/>
      <c r="K31" s="136"/>
      <c r="L31" s="112">
        <f>L30+L25</f>
        <v>1998</v>
      </c>
      <c r="M31" s="106"/>
      <c r="N31" s="193">
        <f>ROUND((L31/L$39)*100,1)-0.1</f>
        <v>100.2</v>
      </c>
      <c r="O31" s="175"/>
      <c r="P31" s="246">
        <f>P30+P25</f>
        <v>0</v>
      </c>
      <c r="Q31" s="106"/>
      <c r="R31" s="112">
        <f>R30+R25</f>
        <v>1998</v>
      </c>
      <c r="S31" s="110"/>
      <c r="V31" s="192"/>
      <c r="Y31" s="192"/>
      <c r="Z31" s="217"/>
      <c r="AA31" s="192"/>
      <c r="AB31" s="192"/>
      <c r="AC31" s="192"/>
      <c r="AD31" s="192"/>
      <c r="AE31" s="192"/>
      <c r="AF31" s="192"/>
      <c r="AI31" s="192"/>
      <c r="AJ31" s="192"/>
      <c r="AK31" s="194"/>
      <c r="AL31" s="192"/>
    </row>
    <row r="32" spans="1:40" ht="15.75" customHeight="1" x14ac:dyDescent="0.3">
      <c r="C32" s="99"/>
      <c r="F32" s="106"/>
      <c r="G32" s="1"/>
      <c r="H32" s="106"/>
      <c r="I32" s="106"/>
      <c r="J32" s="196"/>
      <c r="K32" s="136"/>
      <c r="L32" s="106"/>
      <c r="M32" s="106"/>
      <c r="N32" s="175"/>
      <c r="O32" s="175"/>
      <c r="P32" s="147"/>
      <c r="Q32" s="106"/>
      <c r="R32" s="106"/>
      <c r="S32" s="110"/>
      <c r="V32" s="192"/>
      <c r="Y32" s="192"/>
      <c r="Z32" s="217"/>
      <c r="AA32" s="192"/>
      <c r="AB32" s="192"/>
      <c r="AC32" s="192"/>
      <c r="AD32" s="192"/>
      <c r="AE32" s="192"/>
      <c r="AF32" s="192"/>
      <c r="AI32" s="192"/>
      <c r="AJ32" s="192"/>
      <c r="AK32" s="194"/>
      <c r="AL32" s="192"/>
    </row>
    <row r="33" spans="1:43" ht="15.75" customHeight="1" x14ac:dyDescent="0.3">
      <c r="A33" s="98">
        <v>11</v>
      </c>
      <c r="C33" s="124" t="s">
        <v>428</v>
      </c>
      <c r="F33" s="106"/>
      <c r="G33" s="1"/>
      <c r="H33" s="106"/>
      <c r="I33" s="106"/>
      <c r="J33" s="196"/>
      <c r="K33" s="136"/>
      <c r="L33" s="106"/>
      <c r="M33" s="106"/>
      <c r="N33" s="175"/>
      <c r="O33" s="175"/>
      <c r="P33" s="147"/>
      <c r="Q33" s="106"/>
      <c r="R33" s="106"/>
      <c r="S33" s="110"/>
      <c r="V33" s="192"/>
      <c r="Y33" s="192"/>
      <c r="Z33" s="217"/>
      <c r="AA33" s="192"/>
      <c r="AB33" s="192"/>
      <c r="AC33" s="192"/>
      <c r="AD33" s="192"/>
      <c r="AE33" s="192"/>
      <c r="AF33" s="192"/>
      <c r="AI33" s="192"/>
      <c r="AJ33" s="192"/>
      <c r="AK33" s="194"/>
      <c r="AL33" s="192"/>
    </row>
    <row r="34" spans="1:43" ht="15.75" customHeight="1" x14ac:dyDescent="0.3">
      <c r="A34" s="98">
        <v>12</v>
      </c>
      <c r="C34" s="176" t="str">
        <f>DSMR_Name</f>
        <v>DEMAND SIDE MANAGEMENT RIDER (DSMR)</v>
      </c>
      <c r="F34" s="106"/>
      <c r="G34" s="1"/>
      <c r="H34" s="106"/>
      <c r="I34" s="106"/>
      <c r="J34" s="189">
        <f>PRO_DSM_DIST</f>
        <v>3.503E-3</v>
      </c>
      <c r="K34" s="136"/>
      <c r="L34" s="106">
        <f>ROUND($H$31*J34,0)</f>
        <v>-10</v>
      </c>
      <c r="M34" s="106"/>
      <c r="N34" s="154">
        <f>ROUND((L34/L$39)*100,1)</f>
        <v>-0.5</v>
      </c>
      <c r="O34" s="175"/>
      <c r="P34" s="147"/>
      <c r="Q34" s="106"/>
      <c r="R34" s="106">
        <f>L34+P34</f>
        <v>-10</v>
      </c>
      <c r="S34" s="110"/>
      <c r="V34" s="192"/>
      <c r="Y34" s="192"/>
      <c r="Z34" s="217"/>
      <c r="AA34" s="192"/>
      <c r="AB34" s="192"/>
      <c r="AC34" s="192"/>
      <c r="AD34" s="192"/>
      <c r="AE34" s="192"/>
      <c r="AF34" s="192"/>
      <c r="AI34" s="192"/>
      <c r="AJ34" s="192"/>
      <c r="AK34" s="194"/>
      <c r="AL34" s="192"/>
    </row>
    <row r="35" spans="1:43" ht="15.75" customHeight="1" x14ac:dyDescent="0.3">
      <c r="A35" s="98">
        <v>13</v>
      </c>
      <c r="C35" s="176" t="str">
        <f>ESM_Name</f>
        <v>ENVIRONMENTAL SURCHARGE MECHANISM RIDER (ESM)</v>
      </c>
      <c r="F35" s="106"/>
      <c r="G35" s="1"/>
      <c r="H35" s="106"/>
      <c r="I35" s="106"/>
      <c r="J35" s="184">
        <f>PRO_ESM_NONRES</f>
        <v>5.3681872802409589E-3</v>
      </c>
      <c r="K35" s="136"/>
      <c r="L35" s="106">
        <f>ROUND((R31-(PRO_BASE_FUEL*H31)+R34+R36)*J35,0)</f>
        <v>11</v>
      </c>
      <c r="M35" s="106"/>
      <c r="N35" s="154">
        <f>ROUND((L35/L$39)*100,1)</f>
        <v>0.6</v>
      </c>
      <c r="O35" s="175"/>
      <c r="P35" s="147"/>
      <c r="Q35" s="106"/>
      <c r="R35" s="106">
        <f>L35+P35</f>
        <v>11</v>
      </c>
      <c r="S35" s="110"/>
      <c r="V35" s="192"/>
      <c r="Y35" s="192"/>
      <c r="Z35" s="217"/>
      <c r="AA35" s="192"/>
      <c r="AB35" s="192"/>
      <c r="AC35" s="192"/>
      <c r="AD35" s="192"/>
      <c r="AE35" s="192"/>
      <c r="AF35" s="192"/>
      <c r="AI35" s="192"/>
      <c r="AJ35" s="192"/>
      <c r="AK35" s="194"/>
      <c r="AL35" s="192"/>
    </row>
    <row r="36" spans="1:43" ht="15.75" customHeight="1" x14ac:dyDescent="0.3">
      <c r="A36" s="98">
        <v>14</v>
      </c>
      <c r="C36" s="176" t="str">
        <f>PSM_Name</f>
        <v>PROFIT SHARING MECHANISM (PSM)</v>
      </c>
      <c r="F36" s="106"/>
      <c r="G36" s="1"/>
      <c r="H36" s="106"/>
      <c r="I36" s="106"/>
      <c r="J36" s="189">
        <f>PRO_PSM</f>
        <v>2.4750000000000002E-3</v>
      </c>
      <c r="K36" s="136"/>
      <c r="L36" s="106">
        <f>ROUND(H31*PRO_PSM,0)</f>
        <v>-7</v>
      </c>
      <c r="M36" s="106"/>
      <c r="N36" s="156">
        <f>ROUND((L36/L$39)*100,1)</f>
        <v>-0.4</v>
      </c>
      <c r="O36" s="175"/>
      <c r="P36" s="147"/>
      <c r="Q36" s="106"/>
      <c r="R36" s="117">
        <f>L36+P36</f>
        <v>-7</v>
      </c>
      <c r="S36" s="110"/>
      <c r="V36" s="192"/>
      <c r="Y36" s="192"/>
      <c r="Z36" s="217"/>
      <c r="AA36" s="192"/>
      <c r="AB36" s="192"/>
      <c r="AC36" s="192"/>
      <c r="AD36" s="192"/>
      <c r="AE36" s="192"/>
      <c r="AF36" s="192"/>
      <c r="AI36" s="192"/>
      <c r="AJ36" s="192"/>
      <c r="AK36" s="194"/>
      <c r="AL36" s="192"/>
    </row>
    <row r="37" spans="1:43" ht="20.100000000000001" customHeight="1" x14ac:dyDescent="0.3">
      <c r="A37" s="98">
        <v>15</v>
      </c>
      <c r="C37" s="124" t="s">
        <v>433</v>
      </c>
      <c r="F37" s="117"/>
      <c r="G37" s="1"/>
      <c r="H37" s="117"/>
      <c r="I37" s="106"/>
      <c r="J37" s="136"/>
      <c r="K37" s="136"/>
      <c r="L37" s="112">
        <f>SUM(L34:L36)</f>
        <v>-6</v>
      </c>
      <c r="M37" s="106"/>
      <c r="N37" s="158">
        <f>ROUND((L37/L$39)*100,1)+0.1</f>
        <v>-0.19999999999999998</v>
      </c>
      <c r="O37" s="175"/>
      <c r="P37" s="112">
        <f>SUM(P34:P36)</f>
        <v>0</v>
      </c>
      <c r="Q37" s="106"/>
      <c r="R37" s="112">
        <f>SUM(R34:R36)</f>
        <v>-6</v>
      </c>
      <c r="S37" s="110"/>
      <c r="V37" s="192"/>
      <c r="Y37" s="192"/>
      <c r="Z37" s="217"/>
      <c r="AA37" s="192"/>
      <c r="AB37" s="192"/>
      <c r="AC37" s="192"/>
      <c r="AD37" s="192"/>
      <c r="AE37" s="192"/>
      <c r="AF37" s="192"/>
      <c r="AI37" s="192"/>
      <c r="AJ37" s="192"/>
      <c r="AK37" s="194"/>
      <c r="AL37" s="192"/>
    </row>
    <row r="38" spans="1:43" ht="15.75" customHeight="1" x14ac:dyDescent="0.3">
      <c r="C38" s="124"/>
      <c r="F38" s="106"/>
      <c r="G38" s="1"/>
      <c r="H38" s="106"/>
      <c r="I38" s="106"/>
      <c r="J38" s="136"/>
      <c r="K38" s="136"/>
      <c r="L38" s="106"/>
      <c r="M38" s="106"/>
      <c r="N38" s="175"/>
      <c r="O38" s="175"/>
      <c r="P38" s="147"/>
      <c r="Q38" s="106"/>
      <c r="R38" s="106"/>
      <c r="S38" s="110"/>
      <c r="V38" s="192"/>
      <c r="Y38" s="192"/>
      <c r="Z38" s="217"/>
      <c r="AA38" s="192"/>
      <c r="AB38" s="192"/>
      <c r="AC38" s="192"/>
      <c r="AD38" s="192"/>
      <c r="AE38" s="192"/>
      <c r="AF38" s="192"/>
      <c r="AI38" s="192"/>
      <c r="AJ38" s="192"/>
      <c r="AK38" s="194"/>
      <c r="AL38" s="192"/>
    </row>
    <row r="39" spans="1:43" ht="20.100000000000001" customHeight="1" thickBot="1" x14ac:dyDescent="0.35">
      <c r="A39" s="98">
        <v>16</v>
      </c>
      <c r="C39" s="169" t="s">
        <v>457</v>
      </c>
      <c r="F39" s="120">
        <f>F31</f>
        <v>12</v>
      </c>
      <c r="G39" s="1"/>
      <c r="H39" s="120">
        <f>H31</f>
        <v>-2767</v>
      </c>
      <c r="I39" s="106"/>
      <c r="J39" s="136"/>
      <c r="K39" s="136"/>
      <c r="L39" s="120">
        <f>L37+L31</f>
        <v>1992</v>
      </c>
      <c r="M39" s="106"/>
      <c r="N39" s="197">
        <v>100</v>
      </c>
      <c r="O39" s="175"/>
      <c r="P39" s="120">
        <f>P37+P31</f>
        <v>0</v>
      </c>
      <c r="Q39" s="106"/>
      <c r="R39" s="120">
        <f>R37+R31</f>
        <v>1992</v>
      </c>
      <c r="S39" s="110"/>
      <c r="AA39" s="110"/>
      <c r="AB39" s="110"/>
      <c r="AC39" s="110"/>
      <c r="AD39" s="110"/>
      <c r="AI39" s="110"/>
      <c r="AJ39" s="110"/>
      <c r="AL39" s="110"/>
    </row>
    <row r="40" spans="1:43" ht="18.75" customHeight="1" thickTop="1" x14ac:dyDescent="0.3">
      <c r="F40" s="106"/>
      <c r="G40" s="1"/>
      <c r="H40" s="106"/>
      <c r="I40" s="106"/>
      <c r="J40" s="136"/>
      <c r="K40" s="136"/>
      <c r="L40" s="106"/>
      <c r="M40" s="106"/>
      <c r="N40" s="106"/>
      <c r="O40" s="106"/>
      <c r="P40" s="106"/>
      <c r="Q40" s="106"/>
      <c r="R40" s="106"/>
    </row>
    <row r="41" spans="1:43" x14ac:dyDescent="0.3">
      <c r="C41" s="178" t="s">
        <v>59</v>
      </c>
      <c r="F41" s="110"/>
      <c r="H41" s="110"/>
      <c r="I41" s="110"/>
      <c r="J41" s="198"/>
      <c r="K41" s="198"/>
      <c r="L41" s="110"/>
      <c r="M41" s="110"/>
      <c r="N41" s="110"/>
      <c r="O41" s="110"/>
      <c r="P41" s="110"/>
      <c r="Q41" s="110"/>
      <c r="R41" s="110"/>
      <c r="Y41" s="99"/>
    </row>
    <row r="42" spans="1:43" x14ac:dyDescent="0.3">
      <c r="A42" s="99"/>
      <c r="C42" s="99"/>
      <c r="F42" s="110"/>
      <c r="H42" s="110"/>
      <c r="I42" s="110"/>
      <c r="J42" s="198"/>
      <c r="K42" s="198"/>
      <c r="L42" s="110"/>
      <c r="M42" s="110"/>
      <c r="N42" s="110"/>
      <c r="O42" s="110"/>
      <c r="P42" s="110"/>
      <c r="Q42" s="110"/>
      <c r="R42" s="110"/>
    </row>
    <row r="43" spans="1:43" x14ac:dyDescent="0.3">
      <c r="H43" s="110"/>
      <c r="L43" s="99"/>
      <c r="M43" s="99"/>
      <c r="AA43" s="99"/>
      <c r="AB43" s="99"/>
    </row>
    <row r="44" spans="1:43" x14ac:dyDescent="0.3">
      <c r="R44" s="99"/>
      <c r="AK44" s="190"/>
      <c r="AL44" s="99"/>
    </row>
    <row r="45" spans="1:43" x14ac:dyDescent="0.3">
      <c r="R45" s="99"/>
      <c r="T45" s="97" t="str">
        <f>NAME</f>
        <v>DUKE ENERGY KENTUCKY, INC.</v>
      </c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149"/>
      <c r="AH45" s="97"/>
      <c r="AI45" s="97"/>
      <c r="AJ45" s="97"/>
      <c r="AK45" s="149"/>
      <c r="AL45" s="97"/>
      <c r="AM45" s="97"/>
      <c r="AN45" s="97"/>
      <c r="AO45" s="97"/>
      <c r="AP45" s="97"/>
      <c r="AQ45" s="149"/>
    </row>
    <row r="46" spans="1:43" x14ac:dyDescent="0.3">
      <c r="R46" s="99"/>
      <c r="T46" s="97" t="str">
        <f>CASE_NO</f>
        <v>CASE NO.   2024-00354</v>
      </c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149"/>
      <c r="AH46" s="97"/>
      <c r="AI46" s="97"/>
      <c r="AJ46" s="97"/>
      <c r="AK46" s="149"/>
      <c r="AL46" s="97"/>
      <c r="AM46" s="97"/>
      <c r="AN46" s="97"/>
      <c r="AO46" s="97"/>
      <c r="AP46" s="97"/>
      <c r="AQ46" s="149"/>
    </row>
    <row r="47" spans="1:43" x14ac:dyDescent="0.3">
      <c r="A47" s="99"/>
      <c r="R47" s="99"/>
      <c r="T47" s="97" t="str">
        <f>TITLE</f>
        <v>ANNUALIZED BASE YEAR REVENUES AT PROPOSED VS. MOST CURRENT RATES</v>
      </c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149"/>
      <c r="AH47" s="97"/>
      <c r="AI47" s="97"/>
      <c r="AJ47" s="97"/>
      <c r="AK47" s="149"/>
      <c r="AL47" s="97"/>
      <c r="AM47" s="97"/>
      <c r="AN47" s="97"/>
      <c r="AO47" s="97"/>
      <c r="AP47" s="97"/>
      <c r="AQ47" s="149"/>
    </row>
    <row r="48" spans="1:43" x14ac:dyDescent="0.3">
      <c r="L48" s="99"/>
      <c r="M48" s="99"/>
      <c r="T48" s="97" t="str">
        <f>DATE</f>
        <v>FOR THE TWELVE MONTHS ENDED February 28, 2025</v>
      </c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149"/>
      <c r="AH48" s="97"/>
      <c r="AI48" s="97"/>
      <c r="AJ48" s="97"/>
      <c r="AK48" s="149"/>
      <c r="AL48" s="97"/>
      <c r="AM48" s="97"/>
      <c r="AN48" s="97"/>
      <c r="AO48" s="97"/>
      <c r="AP48" s="97"/>
      <c r="AQ48" s="149"/>
    </row>
    <row r="49" spans="1:43" x14ac:dyDescent="0.3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T49" s="97" t="str">
        <f>SERVICE</f>
        <v>(ELECTRIC SERVICE)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L49" s="97"/>
      <c r="AM49" s="97"/>
      <c r="AN49" s="97"/>
      <c r="AO49" s="97"/>
      <c r="AP49" s="97"/>
      <c r="AQ49" s="149"/>
    </row>
    <row r="50" spans="1:43" x14ac:dyDescent="0.3">
      <c r="L50" s="102"/>
      <c r="M50" s="102"/>
      <c r="N50" s="102"/>
      <c r="O50" s="102"/>
      <c r="R50" s="102"/>
      <c r="T50" s="98" t="str">
        <f>DATA_PERIOD</f>
        <v>DATA: __X__ BASE PERIOD   ____FORECASTED PERIOD</v>
      </c>
      <c r="AO50" s="99" t="s">
        <v>157</v>
      </c>
      <c r="AP50" s="99"/>
    </row>
    <row r="51" spans="1:43" x14ac:dyDescent="0.3">
      <c r="L51" s="102"/>
      <c r="M51" s="102"/>
      <c r="N51" s="102"/>
      <c r="O51" s="102"/>
      <c r="R51" s="102"/>
      <c r="T51" s="98" t="str">
        <f>TYPE</f>
        <v>TYPE OF FILING: _X_ ORIGINAL   ___UPDATED  ___ REVISED</v>
      </c>
      <c r="AO51" s="116" t="str">
        <f>"PAGE 11 OF "&amp;TEXT(Page_Num_2.2,"00")</f>
        <v>PAGE 11 OF 24</v>
      </c>
      <c r="AP51" s="99"/>
    </row>
    <row r="52" spans="1:43" x14ac:dyDescent="0.3">
      <c r="A52" s="102"/>
      <c r="C52" s="102"/>
      <c r="D52" s="102"/>
      <c r="E52" s="102"/>
      <c r="F52" s="102"/>
      <c r="J52" s="102"/>
      <c r="K52" s="102"/>
      <c r="L52" s="102"/>
      <c r="M52" s="102"/>
      <c r="N52" s="102"/>
      <c r="O52" s="102"/>
      <c r="P52" s="102"/>
      <c r="Q52" s="102"/>
      <c r="R52" s="102"/>
      <c r="T52" s="99" t="s">
        <v>170</v>
      </c>
      <c r="AO52" s="99" t="s">
        <v>3</v>
      </c>
      <c r="AP52" s="99"/>
    </row>
    <row r="53" spans="1:43" x14ac:dyDescent="0.3">
      <c r="A53" s="102"/>
      <c r="C53" s="102"/>
      <c r="D53" s="102"/>
      <c r="E53" s="102"/>
      <c r="F53" s="102"/>
      <c r="J53" s="102"/>
      <c r="K53" s="102"/>
      <c r="L53" s="102"/>
      <c r="M53" s="102"/>
      <c r="N53" s="102"/>
      <c r="O53" s="102"/>
      <c r="P53" s="102"/>
      <c r="Q53" s="102"/>
      <c r="R53" s="102"/>
      <c r="T53" s="124" t="str">
        <f>TIME</f>
        <v>6 Months Actual and 6 Months Projected with Riders</v>
      </c>
      <c r="AO53" s="98" t="str">
        <f>WIT</f>
        <v>B. L. Sailers</v>
      </c>
    </row>
    <row r="54" spans="1:43" x14ac:dyDescent="0.3">
      <c r="A54" s="102"/>
      <c r="C54" s="102"/>
      <c r="D54" s="102"/>
      <c r="E54" s="102"/>
      <c r="F54" s="102"/>
      <c r="J54" s="102"/>
      <c r="K54" s="102"/>
      <c r="L54" s="102"/>
      <c r="M54" s="102"/>
      <c r="N54" s="102"/>
      <c r="O54" s="102"/>
      <c r="P54" s="102"/>
      <c r="Q54" s="102"/>
      <c r="R54" s="102"/>
      <c r="T54" s="124" t="str">
        <f>INPUT!B5</f>
        <v>6 Months Actual Ending August 31, 2024</v>
      </c>
    </row>
    <row r="55" spans="1:43" x14ac:dyDescent="0.3">
      <c r="A55" s="102"/>
      <c r="C55" s="102"/>
      <c r="D55" s="102"/>
      <c r="E55" s="102"/>
      <c r="F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T55" s="97" t="s">
        <v>130</v>
      </c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149"/>
      <c r="AH55" s="97"/>
      <c r="AI55" s="97"/>
      <c r="AJ55" s="97"/>
      <c r="AK55" s="149"/>
      <c r="AL55" s="97"/>
      <c r="AM55" s="97"/>
      <c r="AN55" s="97"/>
      <c r="AO55" s="97"/>
      <c r="AP55" s="97"/>
      <c r="AQ55" s="149"/>
    </row>
    <row r="56" spans="1:43" x14ac:dyDescent="0.3">
      <c r="C56" s="102"/>
      <c r="D56" s="102"/>
      <c r="E56" s="102"/>
      <c r="F56" s="102"/>
      <c r="H56" s="102"/>
      <c r="I56" s="102"/>
      <c r="J56" s="102"/>
      <c r="K56" s="102"/>
      <c r="L56" s="102"/>
      <c r="M56" s="102"/>
      <c r="N56" s="102"/>
      <c r="O56" s="102"/>
      <c r="P56" s="102"/>
      <c r="Q56" s="102"/>
      <c r="R56" s="102"/>
      <c r="T56" s="100"/>
      <c r="U56" s="100"/>
      <c r="V56" s="100"/>
      <c r="W56" s="100"/>
      <c r="X56" s="100"/>
      <c r="Y56" s="100"/>
      <c r="Z56" s="100"/>
      <c r="AA56" s="100"/>
      <c r="AB56" s="100"/>
      <c r="AC56" s="100"/>
      <c r="AD56" s="100"/>
      <c r="AE56" s="100"/>
      <c r="AF56" s="100"/>
      <c r="AG56" s="150"/>
      <c r="AH56" s="100"/>
      <c r="AI56" s="100"/>
      <c r="AJ56" s="100"/>
      <c r="AK56" s="150"/>
      <c r="AL56" s="100"/>
      <c r="AM56" s="100"/>
      <c r="AN56" s="100"/>
      <c r="AO56" s="100"/>
      <c r="AP56" s="100"/>
      <c r="AQ56" s="150"/>
    </row>
    <row r="57" spans="1:43" ht="18" customHeight="1" x14ac:dyDescent="0.3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AE57" s="102" t="s">
        <v>8</v>
      </c>
      <c r="AF57" s="102"/>
      <c r="AG57" s="151" t="s">
        <v>7</v>
      </c>
      <c r="AH57" s="102"/>
      <c r="AI57" s="102" t="s">
        <v>9</v>
      </c>
      <c r="AJ57" s="102"/>
      <c r="AK57" s="151" t="s">
        <v>10</v>
      </c>
      <c r="AL57" s="102"/>
      <c r="AO57" s="102" t="s">
        <v>8</v>
      </c>
      <c r="AP57" s="102"/>
      <c r="AQ57" s="151" t="s">
        <v>11</v>
      </c>
    </row>
    <row r="58" spans="1:43" x14ac:dyDescent="0.3"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AC58" s="102" t="s">
        <v>14</v>
      </c>
      <c r="AD58" s="102"/>
      <c r="AE58" s="102" t="s">
        <v>12</v>
      </c>
      <c r="AF58" s="102"/>
      <c r="AG58" s="151" t="s">
        <v>13</v>
      </c>
      <c r="AH58" s="102"/>
      <c r="AI58" s="102" t="s">
        <v>15</v>
      </c>
      <c r="AJ58" s="102"/>
      <c r="AK58" s="151" t="s">
        <v>16</v>
      </c>
      <c r="AL58" s="102"/>
      <c r="AO58" s="102" t="s">
        <v>11</v>
      </c>
      <c r="AP58" s="102"/>
      <c r="AQ58" s="151" t="s">
        <v>9</v>
      </c>
    </row>
    <row r="59" spans="1:43" x14ac:dyDescent="0.3">
      <c r="C59" s="99"/>
      <c r="D59" s="99"/>
      <c r="E59" s="99"/>
      <c r="T59" s="102" t="s">
        <v>17</v>
      </c>
      <c r="V59" s="102" t="s">
        <v>18</v>
      </c>
      <c r="W59" s="102" t="s">
        <v>19</v>
      </c>
      <c r="X59" s="102"/>
      <c r="Y59" s="102" t="s">
        <v>20</v>
      </c>
      <c r="AC59" s="102" t="s">
        <v>8</v>
      </c>
      <c r="AD59" s="102"/>
      <c r="AE59" s="102" t="s">
        <v>593</v>
      </c>
      <c r="AF59" s="102"/>
      <c r="AG59" s="151" t="s">
        <v>593</v>
      </c>
      <c r="AH59" s="102"/>
      <c r="AI59" s="103" t="s">
        <v>708</v>
      </c>
      <c r="AJ59" s="102"/>
      <c r="AK59" s="152" t="s">
        <v>708</v>
      </c>
      <c r="AL59" s="102"/>
      <c r="AM59" s="102" t="s">
        <v>593</v>
      </c>
      <c r="AN59" s="102"/>
      <c r="AO59" s="102" t="s">
        <v>9</v>
      </c>
      <c r="AP59" s="102"/>
      <c r="AQ59" s="151" t="s">
        <v>21</v>
      </c>
    </row>
    <row r="60" spans="1:43" x14ac:dyDescent="0.3">
      <c r="D60" s="99"/>
      <c r="E60" s="99"/>
      <c r="T60" s="102" t="s">
        <v>22</v>
      </c>
      <c r="V60" s="102" t="s">
        <v>23</v>
      </c>
      <c r="W60" s="102" t="s">
        <v>24</v>
      </c>
      <c r="X60" s="102"/>
      <c r="Y60" s="102" t="s">
        <v>25</v>
      </c>
      <c r="AA60" s="102" t="s">
        <v>26</v>
      </c>
      <c r="AB60" s="102"/>
      <c r="AC60" s="102" t="s">
        <v>27</v>
      </c>
      <c r="AD60" s="102"/>
      <c r="AE60" s="102" t="s">
        <v>9</v>
      </c>
      <c r="AF60" s="102"/>
      <c r="AG60" s="151" t="s">
        <v>9</v>
      </c>
      <c r="AH60" s="102"/>
      <c r="AI60" s="131" t="s">
        <v>29</v>
      </c>
      <c r="AJ60" s="131"/>
      <c r="AK60" s="165" t="s">
        <v>30</v>
      </c>
      <c r="AL60" s="102"/>
      <c r="AM60" s="102" t="s">
        <v>365</v>
      </c>
      <c r="AN60" s="102"/>
      <c r="AO60" s="131" t="s">
        <v>31</v>
      </c>
      <c r="AP60" s="102"/>
      <c r="AQ60" s="165" t="s">
        <v>32</v>
      </c>
    </row>
    <row r="61" spans="1:43" x14ac:dyDescent="0.3">
      <c r="V61" s="131" t="s">
        <v>33</v>
      </c>
      <c r="W61" s="131" t="s">
        <v>34</v>
      </c>
      <c r="X61" s="131"/>
      <c r="Y61" s="131" t="s">
        <v>35</v>
      </c>
      <c r="Z61" s="134"/>
      <c r="AA61" s="131" t="s">
        <v>36</v>
      </c>
      <c r="AB61" s="131"/>
      <c r="AC61" s="131" t="s">
        <v>42</v>
      </c>
      <c r="AD61" s="131"/>
      <c r="AE61" s="131" t="s">
        <v>43</v>
      </c>
      <c r="AF61" s="131"/>
      <c r="AG61" s="165" t="s">
        <v>44</v>
      </c>
      <c r="AH61" s="131"/>
      <c r="AI61" s="131" t="s">
        <v>45</v>
      </c>
      <c r="AJ61" s="131"/>
      <c r="AK61" s="165" t="s">
        <v>46</v>
      </c>
      <c r="AL61" s="131"/>
      <c r="AM61" s="131" t="s">
        <v>40</v>
      </c>
      <c r="AN61" s="102"/>
      <c r="AO61" s="131" t="s">
        <v>47</v>
      </c>
      <c r="AP61" s="102"/>
      <c r="AQ61" s="165" t="s">
        <v>48</v>
      </c>
    </row>
    <row r="62" spans="1:43" x14ac:dyDescent="0.3">
      <c r="C62" s="99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50"/>
      <c r="AH62" s="100"/>
      <c r="AI62" s="100"/>
      <c r="AJ62" s="100"/>
      <c r="AK62" s="150"/>
      <c r="AL62" s="100"/>
      <c r="AM62" s="100"/>
      <c r="AN62" s="100"/>
      <c r="AO62" s="100"/>
      <c r="AP62" s="100"/>
      <c r="AQ62" s="150"/>
    </row>
    <row r="63" spans="1:43" ht="17.100000000000001" customHeight="1" x14ac:dyDescent="0.3">
      <c r="C63" s="99"/>
      <c r="F63" s="172"/>
      <c r="H63" s="172"/>
      <c r="I63" s="172"/>
      <c r="J63" s="181"/>
      <c r="K63" s="181"/>
      <c r="L63" s="110"/>
      <c r="M63" s="110"/>
      <c r="N63" s="141"/>
      <c r="O63" s="141"/>
      <c r="R63" s="110"/>
      <c r="AA63" s="167" t="s">
        <v>49</v>
      </c>
      <c r="AB63" s="166"/>
      <c r="AC63" s="167" t="s">
        <v>312</v>
      </c>
      <c r="AD63" s="166"/>
      <c r="AE63" s="166" t="s">
        <v>50</v>
      </c>
      <c r="AF63" s="166"/>
      <c r="AG63" s="168" t="s">
        <v>51</v>
      </c>
      <c r="AH63" s="166"/>
      <c r="AI63" s="166" t="s">
        <v>50</v>
      </c>
      <c r="AJ63" s="166"/>
      <c r="AK63" s="168" t="s">
        <v>51</v>
      </c>
      <c r="AL63" s="166"/>
      <c r="AM63" s="166" t="s">
        <v>50</v>
      </c>
      <c r="AN63" s="166"/>
      <c r="AO63" s="166" t="s">
        <v>50</v>
      </c>
      <c r="AP63" s="166"/>
      <c r="AQ63" s="168" t="s">
        <v>51</v>
      </c>
    </row>
    <row r="64" spans="1:43" x14ac:dyDescent="0.3">
      <c r="C64" s="99"/>
      <c r="F64" s="172"/>
      <c r="H64" s="172"/>
      <c r="I64" s="172"/>
      <c r="J64" s="181"/>
      <c r="K64" s="181"/>
      <c r="L64" s="110"/>
      <c r="M64" s="110"/>
      <c r="N64" s="141"/>
      <c r="O64" s="141"/>
      <c r="R64" s="110"/>
      <c r="T64" s="98">
        <f t="shared" ref="T64:T75" si="0">A20</f>
        <v>1</v>
      </c>
      <c r="V64" s="124" t="s">
        <v>308</v>
      </c>
      <c r="W64" s="124" t="s">
        <v>131</v>
      </c>
      <c r="X64" s="99"/>
      <c r="Y64" s="1"/>
      <c r="Z64" s="1"/>
      <c r="AA64" s="1"/>
      <c r="AB64" s="1"/>
      <c r="AC64" s="1"/>
      <c r="AD64" s="1"/>
      <c r="AE64" s="1"/>
      <c r="AF64" s="1"/>
      <c r="AG64" s="154"/>
      <c r="AH64" s="1"/>
      <c r="AI64" s="1"/>
      <c r="AJ64" s="1"/>
      <c r="AK64" s="154"/>
      <c r="AL64" s="1"/>
      <c r="AM64" s="1"/>
      <c r="AN64" s="1"/>
      <c r="AO64" s="1"/>
      <c r="AP64" s="1"/>
      <c r="AQ64" s="154"/>
    </row>
    <row r="65" spans="3:43" x14ac:dyDescent="0.3">
      <c r="F65" s="192"/>
      <c r="H65" s="110"/>
      <c r="I65" s="110"/>
      <c r="J65" s="217"/>
      <c r="K65" s="217"/>
      <c r="L65" s="192"/>
      <c r="M65" s="192"/>
      <c r="N65" s="192"/>
      <c r="O65" s="192"/>
      <c r="P65" s="192"/>
      <c r="Q65" s="192"/>
      <c r="R65" s="192"/>
      <c r="T65" s="98">
        <f t="shared" si="0"/>
        <v>2</v>
      </c>
      <c r="V65" s="134"/>
      <c r="W65" s="124" t="s">
        <v>132</v>
      </c>
      <c r="X65" s="99"/>
      <c r="Y65" s="1"/>
      <c r="Z65" s="1"/>
      <c r="AA65" s="1"/>
      <c r="AB65" s="1"/>
      <c r="AC65" s="1"/>
      <c r="AD65" s="1"/>
      <c r="AE65" s="1"/>
      <c r="AF65" s="1"/>
      <c r="AG65" s="154"/>
      <c r="AH65" s="1"/>
      <c r="AI65" s="1"/>
      <c r="AJ65" s="1"/>
      <c r="AK65" s="154"/>
      <c r="AL65" s="1"/>
      <c r="AM65" s="1"/>
      <c r="AN65" s="1"/>
      <c r="AO65" s="1"/>
      <c r="AP65" s="1"/>
      <c r="AQ65" s="154"/>
    </row>
    <row r="66" spans="3:43" ht="24.75" customHeight="1" x14ac:dyDescent="0.3">
      <c r="C66" s="99"/>
      <c r="F66" s="110"/>
      <c r="H66" s="110"/>
      <c r="I66" s="110"/>
      <c r="J66" s="217"/>
      <c r="K66" s="217"/>
      <c r="L66" s="110"/>
      <c r="M66" s="110"/>
      <c r="N66" s="141"/>
      <c r="O66" s="141"/>
      <c r="P66" s="110"/>
      <c r="Q66" s="110"/>
      <c r="R66" s="110"/>
      <c r="Y66" s="1"/>
      <c r="Z66" s="1"/>
      <c r="AA66" s="1"/>
      <c r="AB66" s="1"/>
      <c r="AC66" s="1"/>
      <c r="AD66" s="1"/>
      <c r="AE66" s="1"/>
      <c r="AF66" s="1"/>
      <c r="AG66" s="154"/>
      <c r="AH66" s="1"/>
      <c r="AI66" s="1"/>
      <c r="AJ66" s="1"/>
      <c r="AK66" s="154"/>
      <c r="AL66" s="1"/>
      <c r="AM66" s="1"/>
      <c r="AN66" s="1"/>
      <c r="AO66" s="1"/>
      <c r="AP66" s="1"/>
      <c r="AQ66" s="154"/>
    </row>
    <row r="67" spans="3:43" x14ac:dyDescent="0.3">
      <c r="F67" s="192"/>
      <c r="H67" s="110"/>
      <c r="I67" s="110"/>
      <c r="J67" s="217"/>
      <c r="K67" s="217"/>
      <c r="L67" s="192"/>
      <c r="M67" s="192"/>
      <c r="N67" s="192"/>
      <c r="O67" s="192"/>
      <c r="P67" s="192"/>
      <c r="Q67" s="192"/>
      <c r="R67" s="192"/>
      <c r="T67" s="98">
        <f t="shared" si="0"/>
        <v>3</v>
      </c>
      <c r="V67" s="124" t="s">
        <v>133</v>
      </c>
      <c r="Y67" s="1"/>
      <c r="Z67" s="1"/>
      <c r="AA67" s="1"/>
      <c r="AB67" s="1"/>
      <c r="AC67" s="1"/>
      <c r="AD67" s="1"/>
      <c r="AE67" s="1"/>
      <c r="AF67" s="1"/>
      <c r="AG67" s="154"/>
      <c r="AH67" s="1"/>
      <c r="AI67" s="1"/>
      <c r="AJ67" s="1"/>
      <c r="AK67" s="154"/>
      <c r="AL67" s="1"/>
      <c r="AM67" s="1"/>
      <c r="AN67" s="1"/>
      <c r="AO67" s="1"/>
      <c r="AP67" s="1"/>
      <c r="AQ67" s="154"/>
    </row>
    <row r="68" spans="3:43" x14ac:dyDescent="0.3">
      <c r="C68" s="99"/>
      <c r="F68" s="110"/>
      <c r="H68" s="110"/>
      <c r="I68" s="110"/>
      <c r="J68" s="217"/>
      <c r="K68" s="217"/>
      <c r="L68" s="110"/>
      <c r="M68" s="110"/>
      <c r="N68" s="141"/>
      <c r="O68" s="141"/>
      <c r="P68" s="110"/>
      <c r="Q68" s="110"/>
      <c r="R68" s="110"/>
      <c r="T68" s="98">
        <f t="shared" si="0"/>
        <v>4</v>
      </c>
      <c r="V68" s="99" t="s">
        <v>311</v>
      </c>
      <c r="Y68" s="106">
        <f>F24</f>
        <v>12</v>
      </c>
      <c r="Z68" s="1"/>
      <c r="AA68" s="147"/>
      <c r="AB68" s="147"/>
      <c r="AC68" s="181">
        <f>INPUT!C154</f>
        <v>183</v>
      </c>
      <c r="AD68" s="180"/>
      <c r="AE68" s="106">
        <f>ROUND(Y68*AC68,0)</f>
        <v>2196</v>
      </c>
      <c r="AF68" s="106"/>
      <c r="AG68" s="154">
        <f>ROUND((AE68/AE$83)*100,1)</f>
        <v>108</v>
      </c>
      <c r="AH68" s="175"/>
      <c r="AI68" s="106">
        <f>L24-AE68</f>
        <v>0</v>
      </c>
      <c r="AJ68" s="106"/>
      <c r="AK68" s="156">
        <f>ROUND((AI68/AE68)*100,1)</f>
        <v>0</v>
      </c>
      <c r="AL68" s="138"/>
      <c r="AM68" s="106"/>
      <c r="AN68" s="1"/>
      <c r="AO68" s="106">
        <f>AE68+AM68</f>
        <v>2196</v>
      </c>
      <c r="AP68" s="106"/>
      <c r="AQ68" s="159">
        <f>IF(AO68=0,"0.0 ",ROUND((AI68/AO68)*100,1))</f>
        <v>0</v>
      </c>
    </row>
    <row r="69" spans="3:43" ht="20.100000000000001" customHeight="1" x14ac:dyDescent="0.3">
      <c r="C69" s="99"/>
      <c r="F69" s="172"/>
      <c r="H69" s="172"/>
      <c r="I69" s="172"/>
      <c r="J69" s="181"/>
      <c r="K69" s="181"/>
      <c r="L69" s="110"/>
      <c r="M69" s="110"/>
      <c r="N69" s="141"/>
      <c r="O69" s="141"/>
      <c r="P69" s="110"/>
      <c r="Q69" s="110"/>
      <c r="R69" s="110"/>
      <c r="T69" s="98">
        <f t="shared" si="0"/>
        <v>5</v>
      </c>
      <c r="V69" s="124" t="s">
        <v>136</v>
      </c>
      <c r="Y69" s="106"/>
      <c r="Z69" s="1"/>
      <c r="AA69" s="106"/>
      <c r="AB69" s="106"/>
      <c r="AC69" s="136"/>
      <c r="AD69" s="136"/>
      <c r="AE69" s="112">
        <f>SUM(AE68:AE68)</f>
        <v>2196</v>
      </c>
      <c r="AF69" s="106"/>
      <c r="AG69" s="158">
        <f>ROUND((AE69/AE$83)*100,1)</f>
        <v>108</v>
      </c>
      <c r="AH69" s="175"/>
      <c r="AI69" s="112">
        <f>SUM(AI68:AI68)</f>
        <v>0</v>
      </c>
      <c r="AJ69" s="106"/>
      <c r="AK69" s="158">
        <f>ROUND((AI69/AE69)*100,1)</f>
        <v>0</v>
      </c>
      <c r="AL69" s="138"/>
      <c r="AM69" s="112"/>
      <c r="AN69" s="106"/>
      <c r="AO69" s="112">
        <f>SUM(AO68:AO68)</f>
        <v>2196</v>
      </c>
      <c r="AP69" s="106"/>
      <c r="AQ69" s="159">
        <f>IF(AO69=0,"0.0 ",ROUND((AI69/AO69)*100,1))</f>
        <v>0</v>
      </c>
    </row>
    <row r="70" spans="3:43" ht="24.75" customHeight="1" x14ac:dyDescent="0.3">
      <c r="C70" s="99"/>
      <c r="F70" s="172"/>
      <c r="H70" s="172"/>
      <c r="I70" s="172"/>
      <c r="J70" s="222"/>
      <c r="K70" s="222"/>
      <c r="L70" s="110"/>
      <c r="M70" s="110"/>
      <c r="N70" s="141"/>
      <c r="O70" s="141"/>
      <c r="P70" s="172"/>
      <c r="Q70" s="172"/>
      <c r="R70" s="110"/>
      <c r="V70" s="99"/>
      <c r="Y70" s="106"/>
      <c r="Z70" s="1"/>
      <c r="AA70" s="106"/>
      <c r="AB70" s="106"/>
      <c r="AC70" s="171"/>
      <c r="AD70" s="171"/>
      <c r="AE70" s="106"/>
      <c r="AF70" s="106"/>
      <c r="AG70" s="154"/>
      <c r="AH70" s="175"/>
      <c r="AI70" s="106"/>
      <c r="AJ70" s="106"/>
      <c r="AK70" s="154"/>
      <c r="AL70" s="138"/>
      <c r="AM70" s="106"/>
      <c r="AN70" s="106"/>
      <c r="AO70" s="106"/>
      <c r="AP70" s="106"/>
      <c r="AQ70" s="154"/>
    </row>
    <row r="71" spans="3:43" x14ac:dyDescent="0.3">
      <c r="C71" s="99"/>
      <c r="H71" s="172"/>
      <c r="I71" s="172"/>
      <c r="J71" s="222"/>
      <c r="K71" s="222"/>
      <c r="L71" s="110"/>
      <c r="M71" s="110"/>
      <c r="N71" s="141"/>
      <c r="O71" s="141"/>
      <c r="P71" s="172"/>
      <c r="Q71" s="172"/>
      <c r="R71" s="110"/>
      <c r="T71" s="98">
        <f t="shared" si="0"/>
        <v>6</v>
      </c>
      <c r="V71" s="124" t="s">
        <v>67</v>
      </c>
      <c r="Y71" s="106"/>
      <c r="Z71" s="1"/>
      <c r="AA71" s="106"/>
      <c r="AB71" s="106"/>
      <c r="AC71" s="136"/>
      <c r="AD71" s="136"/>
      <c r="AE71" s="106"/>
      <c r="AF71" s="106"/>
      <c r="AG71" s="154"/>
      <c r="AH71" s="175"/>
      <c r="AI71" s="106"/>
      <c r="AJ71" s="106"/>
      <c r="AK71" s="154"/>
      <c r="AL71" s="138"/>
      <c r="AM71" s="106"/>
      <c r="AN71" s="106"/>
      <c r="AO71" s="106"/>
      <c r="AP71" s="106"/>
      <c r="AQ71" s="154"/>
    </row>
    <row r="72" spans="3:43" x14ac:dyDescent="0.3">
      <c r="F72" s="192"/>
      <c r="H72" s="192"/>
      <c r="I72" s="192"/>
      <c r="J72" s="217"/>
      <c r="K72" s="217"/>
      <c r="L72" s="192"/>
      <c r="M72" s="192"/>
      <c r="N72" s="192"/>
      <c r="O72" s="192"/>
      <c r="P72" s="192"/>
      <c r="Q72" s="192"/>
      <c r="R72" s="192"/>
      <c r="T72" s="98">
        <f t="shared" si="0"/>
        <v>7</v>
      </c>
      <c r="V72" s="99" t="s">
        <v>381</v>
      </c>
      <c r="Y72" s="147"/>
      <c r="Z72" s="1"/>
      <c r="AA72" s="106">
        <f>H28</f>
        <v>-2767</v>
      </c>
      <c r="AB72" s="106"/>
      <c r="AC72" s="189">
        <f>INPUT!C156</f>
        <v>2.0034E-2</v>
      </c>
      <c r="AD72" s="188"/>
      <c r="AE72" s="106">
        <f>ROUND((AA72*AC72),0)</f>
        <v>-55</v>
      </c>
      <c r="AF72" s="106"/>
      <c r="AG72" s="154">
        <f>ROUND((AE72/AE$83)*100,1)</f>
        <v>-2.7</v>
      </c>
      <c r="AH72" s="175"/>
      <c r="AI72" s="106">
        <f>L28-AE72</f>
        <v>-38</v>
      </c>
      <c r="AJ72" s="106"/>
      <c r="AK72" s="154">
        <f>ROUND((AI72/AE72)*100,1)</f>
        <v>69.099999999999994</v>
      </c>
      <c r="AL72" s="138"/>
      <c r="AM72" s="147"/>
      <c r="AN72" s="147"/>
      <c r="AO72" s="106">
        <f>AE72+AM72</f>
        <v>-55</v>
      </c>
      <c r="AP72" s="106"/>
      <c r="AQ72" s="159">
        <f>IF(AO72=0,"0.0 ",ROUND((AI72/AO72)*100,1))</f>
        <v>69.099999999999994</v>
      </c>
    </row>
    <row r="73" spans="3:43" x14ac:dyDescent="0.3">
      <c r="C73" s="99"/>
      <c r="F73" s="110"/>
      <c r="H73" s="110"/>
      <c r="I73" s="110"/>
      <c r="J73" s="198"/>
      <c r="K73" s="198"/>
      <c r="L73" s="110"/>
      <c r="M73" s="110"/>
      <c r="N73" s="141"/>
      <c r="O73" s="141"/>
      <c r="P73" s="110"/>
      <c r="Q73" s="110"/>
      <c r="R73" s="110"/>
      <c r="T73" s="98">
        <f t="shared" si="0"/>
        <v>8</v>
      </c>
      <c r="V73" s="99" t="s">
        <v>370</v>
      </c>
      <c r="Y73" s="147"/>
      <c r="Z73" s="1"/>
      <c r="AA73" s="106">
        <f>H29</f>
        <v>-2767</v>
      </c>
      <c r="AB73" s="106"/>
      <c r="AC73" s="189">
        <f>INPUT!C160</f>
        <v>3.8117999999999999E-2</v>
      </c>
      <c r="AD73" s="188"/>
      <c r="AE73" s="106">
        <f>ROUND((AA73*AC73),0)</f>
        <v>-105</v>
      </c>
      <c r="AF73" s="106"/>
      <c r="AG73" s="154">
        <f>ROUND((AE73/AE$83)*100,1)</f>
        <v>-5.2</v>
      </c>
      <c r="AH73" s="175"/>
      <c r="AI73" s="106">
        <f>L29-AE73</f>
        <v>0</v>
      </c>
      <c r="AJ73" s="106"/>
      <c r="AK73" s="154">
        <f>ROUND((AI73/AE73)*100,1)</f>
        <v>0</v>
      </c>
      <c r="AL73" s="138"/>
      <c r="AM73" s="110">
        <v>0</v>
      </c>
      <c r="AN73" s="147"/>
      <c r="AO73" s="106">
        <f>AE73+AM73</f>
        <v>-105</v>
      </c>
      <c r="AP73" s="106"/>
      <c r="AQ73" s="159">
        <f>IF(AO73=0,"0.0 ",ROUND((AI73/AO73)*100,1))</f>
        <v>0</v>
      </c>
    </row>
    <row r="74" spans="3:43" ht="20.100000000000001" customHeight="1" x14ac:dyDescent="0.3">
      <c r="F74" s="110"/>
      <c r="H74" s="110"/>
      <c r="I74" s="110"/>
      <c r="J74" s="198"/>
      <c r="K74" s="198"/>
      <c r="L74" s="110"/>
      <c r="M74" s="110"/>
      <c r="N74" s="110"/>
      <c r="O74" s="110"/>
      <c r="P74" s="110"/>
      <c r="Q74" s="110"/>
      <c r="R74" s="110"/>
      <c r="T74" s="98">
        <f t="shared" si="0"/>
        <v>9</v>
      </c>
      <c r="V74" s="124" t="s">
        <v>142</v>
      </c>
      <c r="Y74" s="117"/>
      <c r="Z74" s="1"/>
      <c r="AA74" s="112">
        <f>H30</f>
        <v>-2767</v>
      </c>
      <c r="AB74" s="106"/>
      <c r="AC74" s="196"/>
      <c r="AD74" s="136"/>
      <c r="AE74" s="112">
        <f>SUM(AE72:AE73)</f>
        <v>-160</v>
      </c>
      <c r="AF74" s="106"/>
      <c r="AG74" s="158">
        <f>ROUND((AE74/AE$83)*100,1)</f>
        <v>-7.9</v>
      </c>
      <c r="AH74" s="175"/>
      <c r="AI74" s="112">
        <f>SUM(AI72:AI73)</f>
        <v>-38</v>
      </c>
      <c r="AJ74" s="106"/>
      <c r="AK74" s="158">
        <f>ROUND((AI74/AE74)*100,1)</f>
        <v>23.8</v>
      </c>
      <c r="AL74" s="138"/>
      <c r="AM74" s="112">
        <f>AM73</f>
        <v>0</v>
      </c>
      <c r="AN74" s="106"/>
      <c r="AO74" s="112">
        <f>SUM(AO72:AO73)</f>
        <v>-160</v>
      </c>
      <c r="AP74" s="106"/>
      <c r="AQ74" s="159">
        <f>IF(AO74=0,"0.0 ",ROUND((AI74/AO74)*100,1))</f>
        <v>23.8</v>
      </c>
    </row>
    <row r="75" spans="3:43" ht="20.100000000000001" customHeight="1" x14ac:dyDescent="0.3">
      <c r="F75" s="110"/>
      <c r="H75" s="110"/>
      <c r="I75" s="110"/>
      <c r="J75" s="198"/>
      <c r="K75" s="198"/>
      <c r="L75" s="110"/>
      <c r="M75" s="110"/>
      <c r="N75" s="110"/>
      <c r="O75" s="110"/>
      <c r="P75" s="110"/>
      <c r="Q75" s="110"/>
      <c r="R75" s="110"/>
      <c r="T75" s="98">
        <f t="shared" si="0"/>
        <v>10</v>
      </c>
      <c r="V75" s="169" t="s">
        <v>458</v>
      </c>
      <c r="Y75" s="112">
        <f>Y68</f>
        <v>12</v>
      </c>
      <c r="Z75" s="1"/>
      <c r="AA75" s="112">
        <f>AA74</f>
        <v>-2767</v>
      </c>
      <c r="AB75" s="106"/>
      <c r="AC75" s="196"/>
      <c r="AD75" s="136"/>
      <c r="AE75" s="112">
        <f>AE74+AE69</f>
        <v>2036</v>
      </c>
      <c r="AF75" s="106"/>
      <c r="AG75" s="158">
        <f>ROUND((AE75/AE$83)*100,1)</f>
        <v>100.1</v>
      </c>
      <c r="AH75" s="175"/>
      <c r="AI75" s="112">
        <f>AI74+AI69</f>
        <v>-38</v>
      </c>
      <c r="AJ75" s="106"/>
      <c r="AK75" s="158">
        <f>ROUND((AI75/AE75)*100,1)</f>
        <v>-1.9</v>
      </c>
      <c r="AL75" s="138"/>
      <c r="AM75" s="112">
        <f>AM74+AM69</f>
        <v>0</v>
      </c>
      <c r="AN75" s="106"/>
      <c r="AO75" s="112">
        <f>AO74+AO69</f>
        <v>2036</v>
      </c>
      <c r="AP75" s="106"/>
      <c r="AQ75" s="159">
        <f>IF(AO75=0,"0.0 ",ROUND((AI75/AO75)*100,1))</f>
        <v>-1.9</v>
      </c>
    </row>
    <row r="76" spans="3:43" ht="15.75" customHeight="1" x14ac:dyDescent="0.3">
      <c r="F76" s="110"/>
      <c r="H76" s="110"/>
      <c r="I76" s="110"/>
      <c r="J76" s="198"/>
      <c r="K76" s="198"/>
      <c r="L76" s="110"/>
      <c r="M76" s="110"/>
      <c r="N76" s="110"/>
      <c r="O76" s="110"/>
      <c r="P76" s="110"/>
      <c r="Q76" s="110"/>
      <c r="R76" s="110"/>
      <c r="V76" s="99"/>
      <c r="Y76" s="106"/>
      <c r="Z76" s="1"/>
      <c r="AA76" s="106"/>
      <c r="AB76" s="106"/>
      <c r="AC76" s="196"/>
      <c r="AD76" s="136"/>
      <c r="AE76" s="106"/>
      <c r="AF76" s="106"/>
      <c r="AG76" s="154"/>
      <c r="AH76" s="175"/>
      <c r="AI76" s="106"/>
      <c r="AJ76" s="106"/>
      <c r="AK76" s="154"/>
      <c r="AL76" s="138"/>
      <c r="AM76" s="106"/>
      <c r="AN76" s="106"/>
      <c r="AO76" s="106"/>
      <c r="AP76" s="106"/>
      <c r="AQ76" s="159"/>
    </row>
    <row r="77" spans="3:43" ht="15.75" customHeight="1" x14ac:dyDescent="0.3">
      <c r="F77" s="110"/>
      <c r="H77" s="110"/>
      <c r="I77" s="110"/>
      <c r="J77" s="198"/>
      <c r="K77" s="198"/>
      <c r="L77" s="110"/>
      <c r="M77" s="110"/>
      <c r="N77" s="110"/>
      <c r="O77" s="110"/>
      <c r="P77" s="110"/>
      <c r="Q77" s="110"/>
      <c r="R77" s="110"/>
      <c r="T77" s="98">
        <f>A33</f>
        <v>11</v>
      </c>
      <c r="V77" s="124" t="s">
        <v>428</v>
      </c>
      <c r="Y77" s="106"/>
      <c r="Z77" s="1"/>
      <c r="AA77" s="106"/>
      <c r="AB77" s="106"/>
      <c r="AC77" s="196"/>
      <c r="AD77" s="136"/>
      <c r="AE77" s="106"/>
      <c r="AF77" s="106"/>
      <c r="AG77" s="154"/>
      <c r="AH77" s="175"/>
      <c r="AI77" s="106"/>
      <c r="AJ77" s="106"/>
      <c r="AK77" s="154"/>
      <c r="AL77" s="138"/>
      <c r="AM77" s="106"/>
      <c r="AN77" s="106"/>
      <c r="AO77" s="106"/>
      <c r="AP77" s="106"/>
      <c r="AQ77" s="159"/>
    </row>
    <row r="78" spans="3:43" ht="15.75" customHeight="1" x14ac:dyDescent="0.3">
      <c r="F78" s="110"/>
      <c r="H78" s="110"/>
      <c r="I78" s="110"/>
      <c r="J78" s="198"/>
      <c r="K78" s="198"/>
      <c r="L78" s="110"/>
      <c r="M78" s="110"/>
      <c r="N78" s="110"/>
      <c r="O78" s="110"/>
      <c r="P78" s="110"/>
      <c r="Q78" s="110"/>
      <c r="R78" s="110"/>
      <c r="T78" s="98">
        <f>A34</f>
        <v>12</v>
      </c>
      <c r="V78" s="176" t="str">
        <f>C34</f>
        <v>DEMAND SIDE MANAGEMENT RIDER (DSMR)</v>
      </c>
      <c r="Y78" s="106"/>
      <c r="Z78" s="1"/>
      <c r="AA78" s="106"/>
      <c r="AB78" s="106"/>
      <c r="AC78" s="218">
        <f>DSM_DIST</f>
        <v>3.503E-3</v>
      </c>
      <c r="AD78" s="171"/>
      <c r="AE78" s="106">
        <f>ROUND($AA$75*AC78,0)</f>
        <v>-10</v>
      </c>
      <c r="AF78" s="106"/>
      <c r="AG78" s="154">
        <f>ROUND((AE78/AE$83)*100,1)</f>
        <v>-0.5</v>
      </c>
      <c r="AH78" s="175"/>
      <c r="AI78" s="106">
        <f>L34-AE78</f>
        <v>0</v>
      </c>
      <c r="AJ78" s="106"/>
      <c r="AK78" s="154">
        <f>IF(AE78=0,0,ROUND((AI78/AE78)*100,1))</f>
        <v>0</v>
      </c>
      <c r="AL78" s="138"/>
      <c r="AM78" s="106"/>
      <c r="AN78" s="106"/>
      <c r="AO78" s="106">
        <f>AE78+AM78</f>
        <v>-10</v>
      </c>
      <c r="AP78" s="106"/>
      <c r="AQ78" s="159">
        <f>IF(AO78=0,"0.0 ",ROUND((AI78/AO78)*100,1))</f>
        <v>0</v>
      </c>
    </row>
    <row r="79" spans="3:43" ht="15.75" customHeight="1" x14ac:dyDescent="0.3">
      <c r="F79" s="110"/>
      <c r="H79" s="110"/>
      <c r="I79" s="110"/>
      <c r="J79" s="198"/>
      <c r="K79" s="198"/>
      <c r="L79" s="110"/>
      <c r="M79" s="110"/>
      <c r="N79" s="110"/>
      <c r="O79" s="110"/>
      <c r="P79" s="110"/>
      <c r="Q79" s="110"/>
      <c r="R79" s="110"/>
      <c r="T79" s="98">
        <f>A35</f>
        <v>13</v>
      </c>
      <c r="V79" s="176" t="str">
        <f>C35</f>
        <v>ENVIRONMENTAL SURCHARGE MECHANISM RIDER (ESM)</v>
      </c>
      <c r="Y79" s="106"/>
      <c r="Z79" s="1"/>
      <c r="AA79" s="106"/>
      <c r="AB79" s="106"/>
      <c r="AC79" s="223">
        <f>CUR_ESM_NonRes</f>
        <v>6.3863133253205971E-3</v>
      </c>
      <c r="AD79" s="171"/>
      <c r="AE79" s="106">
        <f>ROUND(AO69*AC79,0)</f>
        <v>14</v>
      </c>
      <c r="AF79" s="106"/>
      <c r="AG79" s="154">
        <f>ROUND((AE79/AE$83)*100,1)</f>
        <v>0.7</v>
      </c>
      <c r="AH79" s="175"/>
      <c r="AI79" s="106">
        <f>L35-AE79</f>
        <v>-3</v>
      </c>
      <c r="AJ79" s="106"/>
      <c r="AK79" s="154">
        <f>IF(AE79=0,0,ROUND((AI79/AE79)*100,1))</f>
        <v>-21.4</v>
      </c>
      <c r="AL79" s="138"/>
      <c r="AM79" s="106"/>
      <c r="AN79" s="106"/>
      <c r="AO79" s="106">
        <f>AE79+AM79</f>
        <v>14</v>
      </c>
      <c r="AP79" s="106"/>
      <c r="AQ79" s="159">
        <f>IF(AO79=0,"0.0 ",ROUND((AI79/AO79)*100,1))</f>
        <v>-21.4</v>
      </c>
    </row>
    <row r="80" spans="3:43" ht="15.75" customHeight="1" x14ac:dyDescent="0.3">
      <c r="F80" s="110"/>
      <c r="H80" s="110"/>
      <c r="I80" s="110"/>
      <c r="J80" s="198"/>
      <c r="K80" s="198"/>
      <c r="L80" s="110"/>
      <c r="M80" s="110"/>
      <c r="N80" s="110"/>
      <c r="O80" s="110"/>
      <c r="P80" s="110"/>
      <c r="Q80" s="110"/>
      <c r="R80" s="110"/>
      <c r="T80" s="98">
        <f>A36</f>
        <v>14</v>
      </c>
      <c r="V80" s="176" t="str">
        <f>C36</f>
        <v>PROFIT SHARING MECHANISM (PSM)</v>
      </c>
      <c r="Y80" s="106"/>
      <c r="Z80" s="1"/>
      <c r="AA80" s="106"/>
      <c r="AB80" s="106"/>
      <c r="AC80" s="218">
        <f>RS_PSM</f>
        <v>2.4750000000000002E-3</v>
      </c>
      <c r="AD80" s="171"/>
      <c r="AE80" s="117">
        <f>ROUND(AA75*RS_PSM,0)</f>
        <v>-7</v>
      </c>
      <c r="AF80" s="106"/>
      <c r="AG80" s="156">
        <f>ROUND((AE80/AE$83)*100,1)</f>
        <v>-0.3</v>
      </c>
      <c r="AH80" s="175"/>
      <c r="AI80" s="106">
        <f>L36-AE80</f>
        <v>0</v>
      </c>
      <c r="AJ80" s="106"/>
      <c r="AK80" s="156">
        <f>IF(AE80=0,0,ROUND((AI80/AE80)*100,1))</f>
        <v>0</v>
      </c>
      <c r="AL80" s="138"/>
      <c r="AM80" s="106"/>
      <c r="AN80" s="106"/>
      <c r="AO80" s="117">
        <f>AE80+AM80</f>
        <v>-7</v>
      </c>
      <c r="AP80" s="106"/>
      <c r="AQ80" s="159">
        <f>IF(AO80=0,"0.0 ",ROUND((AI80/AO80)*100,1))</f>
        <v>0</v>
      </c>
    </row>
    <row r="81" spans="1:43" ht="20.100000000000001" customHeight="1" x14ac:dyDescent="0.3">
      <c r="F81" s="110"/>
      <c r="H81" s="110"/>
      <c r="I81" s="110"/>
      <c r="J81" s="198"/>
      <c r="K81" s="198"/>
      <c r="L81" s="110"/>
      <c r="M81" s="110"/>
      <c r="N81" s="110"/>
      <c r="O81" s="110"/>
      <c r="P81" s="110"/>
      <c r="Q81" s="110"/>
      <c r="R81" s="110"/>
      <c r="T81" s="98">
        <f>A37</f>
        <v>15</v>
      </c>
      <c r="V81" s="124" t="s">
        <v>433</v>
      </c>
      <c r="Y81" s="117"/>
      <c r="Z81" s="1"/>
      <c r="AA81" s="117"/>
      <c r="AB81" s="106"/>
      <c r="AC81" s="136"/>
      <c r="AD81" s="136"/>
      <c r="AE81" s="112">
        <f>SUM(AE78:AE80)</f>
        <v>-3</v>
      </c>
      <c r="AF81" s="106"/>
      <c r="AG81" s="158">
        <f>ROUND((AE81/AE$83)*100,1)</f>
        <v>-0.1</v>
      </c>
      <c r="AH81" s="175"/>
      <c r="AI81" s="112">
        <f>SUM(AI78:AI80)</f>
        <v>-3</v>
      </c>
      <c r="AJ81" s="106"/>
      <c r="AK81" s="158">
        <f>ROUND((AI81/AE81)*100,1)</f>
        <v>100</v>
      </c>
      <c r="AL81" s="138"/>
      <c r="AM81" s="112">
        <f>SUM(AM78:AM80)</f>
        <v>0</v>
      </c>
      <c r="AN81" s="106"/>
      <c r="AO81" s="112">
        <f>SUM(AO78:AO80)</f>
        <v>-3</v>
      </c>
      <c r="AP81" s="106"/>
      <c r="AQ81" s="159">
        <f>IF(AO81=0,"0.0 ",ROUND((AI81/AO81)*100,1))</f>
        <v>100</v>
      </c>
    </row>
    <row r="82" spans="1:43" ht="15.75" customHeight="1" x14ac:dyDescent="0.3">
      <c r="F82" s="110"/>
      <c r="H82" s="110"/>
      <c r="I82" s="110"/>
      <c r="J82" s="198"/>
      <c r="K82" s="198"/>
      <c r="L82" s="110"/>
      <c r="M82" s="110"/>
      <c r="N82" s="110"/>
      <c r="O82" s="110"/>
      <c r="P82" s="110"/>
      <c r="Q82" s="110"/>
      <c r="R82" s="110"/>
      <c r="V82" s="124"/>
      <c r="Y82" s="106"/>
      <c r="Z82" s="1"/>
      <c r="AA82" s="106"/>
      <c r="AB82" s="106"/>
      <c r="AC82" s="136"/>
      <c r="AD82" s="136"/>
      <c r="AE82" s="106"/>
      <c r="AF82" s="106"/>
      <c r="AG82" s="154"/>
      <c r="AH82" s="175"/>
      <c r="AI82" s="106"/>
      <c r="AJ82" s="106"/>
      <c r="AK82" s="154"/>
      <c r="AL82" s="138"/>
      <c r="AM82" s="106"/>
      <c r="AN82" s="106"/>
      <c r="AO82" s="106"/>
      <c r="AP82" s="106"/>
      <c r="AQ82" s="159"/>
    </row>
    <row r="83" spans="1:43" ht="20.100000000000001" customHeight="1" thickBot="1" x14ac:dyDescent="0.35">
      <c r="T83" s="98">
        <f>A39</f>
        <v>16</v>
      </c>
      <c r="V83" s="169" t="s">
        <v>457</v>
      </c>
      <c r="Y83" s="120">
        <f>Y75</f>
        <v>12</v>
      </c>
      <c r="Z83" s="1"/>
      <c r="AA83" s="120">
        <f>AA75</f>
        <v>-2767</v>
      </c>
      <c r="AB83" s="106"/>
      <c r="AC83" s="136"/>
      <c r="AD83" s="136"/>
      <c r="AE83" s="120">
        <f>AE81+AE75</f>
        <v>2033</v>
      </c>
      <c r="AF83" s="106"/>
      <c r="AG83" s="162">
        <v>100</v>
      </c>
      <c r="AH83" s="175"/>
      <c r="AI83" s="120">
        <f>AI81+AI75</f>
        <v>-41</v>
      </c>
      <c r="AJ83" s="106"/>
      <c r="AK83" s="162">
        <f>ROUND((AI83/AE83)*100,1)</f>
        <v>-2</v>
      </c>
      <c r="AL83" s="138"/>
      <c r="AM83" s="120">
        <f>AM81+AM75</f>
        <v>0</v>
      </c>
      <c r="AN83" s="106"/>
      <c r="AO83" s="120">
        <f>AO81+AO75</f>
        <v>2033</v>
      </c>
      <c r="AP83" s="106"/>
      <c r="AQ83" s="159">
        <f>IF(AO83=0,"0.0 ",ROUND((AI83/AO83)*100,1))</f>
        <v>-2</v>
      </c>
    </row>
    <row r="84" spans="1:43" ht="16.2" thickTop="1" x14ac:dyDescent="0.3">
      <c r="Y84" s="106"/>
      <c r="Z84" s="1"/>
      <c r="AA84" s="106"/>
      <c r="AB84" s="106"/>
      <c r="AC84" s="136"/>
      <c r="AD84" s="136"/>
      <c r="AE84" s="106"/>
      <c r="AF84" s="106"/>
      <c r="AG84" s="154"/>
      <c r="AH84" s="106"/>
      <c r="AI84" s="1"/>
      <c r="AJ84" s="1"/>
      <c r="AK84" s="154"/>
      <c r="AL84" s="1"/>
      <c r="AM84" s="1"/>
      <c r="AN84" s="1"/>
      <c r="AO84" s="1"/>
      <c r="AP84" s="1"/>
      <c r="AQ84" s="154"/>
    </row>
    <row r="85" spans="1:43" x14ac:dyDescent="0.3">
      <c r="L85" s="110"/>
      <c r="M85" s="110"/>
      <c r="N85" s="110"/>
      <c r="O85" s="110"/>
      <c r="P85" s="110"/>
      <c r="Q85" s="110"/>
      <c r="R85" s="110"/>
      <c r="V85" s="178" t="s">
        <v>59</v>
      </c>
      <c r="Y85" s="110"/>
      <c r="AA85" s="110"/>
      <c r="AB85" s="110"/>
      <c r="AC85" s="198"/>
      <c r="AD85" s="198"/>
      <c r="AE85" s="110"/>
      <c r="AF85" s="110"/>
      <c r="AH85" s="110"/>
    </row>
    <row r="86" spans="1:43" x14ac:dyDescent="0.3">
      <c r="T86" s="99"/>
      <c r="V86" s="99"/>
      <c r="Y86" s="110"/>
      <c r="AA86" s="110"/>
      <c r="AB86" s="110"/>
      <c r="AC86" s="198"/>
      <c r="AD86" s="198"/>
      <c r="AE86" s="110"/>
      <c r="AF86" s="110"/>
      <c r="AH86" s="110"/>
    </row>
    <row r="88" spans="1:43" x14ac:dyDescent="0.3">
      <c r="H88" s="99"/>
      <c r="I88" s="99"/>
      <c r="Y88" s="99"/>
    </row>
    <row r="90" spans="1:43" x14ac:dyDescent="0.3">
      <c r="L90" s="99"/>
      <c r="M90" s="99"/>
      <c r="AA90" s="99"/>
      <c r="AB90" s="99"/>
    </row>
    <row r="91" spans="1:43" x14ac:dyDescent="0.3">
      <c r="R91" s="99"/>
      <c r="AK91" s="190"/>
      <c r="AL91" s="99"/>
    </row>
    <row r="92" spans="1:43" x14ac:dyDescent="0.3">
      <c r="R92" s="99"/>
      <c r="AK92" s="190"/>
      <c r="AL92" s="99"/>
    </row>
    <row r="93" spans="1:43" x14ac:dyDescent="0.3">
      <c r="A93" s="99"/>
      <c r="R93" s="99"/>
      <c r="AK93" s="190"/>
      <c r="AL93" s="99"/>
    </row>
    <row r="94" spans="1:43" x14ac:dyDescent="0.3">
      <c r="L94" s="99"/>
      <c r="M94" s="99"/>
      <c r="AA94" s="99"/>
      <c r="AB94" s="99"/>
    </row>
    <row r="95" spans="1:43" x14ac:dyDescent="0.3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91"/>
      <c r="AH95" s="101"/>
      <c r="AI95" s="101"/>
      <c r="AJ95" s="101"/>
      <c r="AK95" s="191"/>
      <c r="AL95" s="101"/>
      <c r="AM95" s="101"/>
      <c r="AN95" s="101"/>
    </row>
    <row r="96" spans="1:43" x14ac:dyDescent="0.3">
      <c r="L96" s="102"/>
      <c r="M96" s="102"/>
      <c r="N96" s="102"/>
      <c r="O96" s="102"/>
      <c r="R96" s="102"/>
      <c r="AA96" s="102"/>
      <c r="AB96" s="102"/>
      <c r="AC96" s="102"/>
      <c r="AD96" s="102"/>
      <c r="AE96" s="102"/>
      <c r="AF96" s="102"/>
      <c r="AG96" s="151"/>
      <c r="AH96" s="102"/>
      <c r="AK96" s="151"/>
      <c r="AL96" s="102"/>
      <c r="AM96" s="102"/>
      <c r="AN96" s="102"/>
    </row>
    <row r="97" spans="1:40" x14ac:dyDescent="0.3">
      <c r="L97" s="102"/>
      <c r="M97" s="102"/>
      <c r="N97" s="102"/>
      <c r="O97" s="102"/>
      <c r="R97" s="102"/>
      <c r="Z97" s="102"/>
      <c r="AA97" s="102"/>
      <c r="AB97" s="102"/>
      <c r="AC97" s="102"/>
      <c r="AD97" s="102"/>
      <c r="AE97" s="102"/>
      <c r="AF97" s="102"/>
      <c r="AG97" s="151"/>
      <c r="AH97" s="102"/>
      <c r="AK97" s="151"/>
      <c r="AL97" s="102"/>
      <c r="AM97" s="102"/>
      <c r="AN97" s="102"/>
    </row>
    <row r="98" spans="1:40" x14ac:dyDescent="0.3">
      <c r="A98" s="102"/>
      <c r="C98" s="102"/>
      <c r="D98" s="102"/>
      <c r="E98" s="102"/>
      <c r="F98" s="102"/>
      <c r="J98" s="102"/>
      <c r="K98" s="102"/>
      <c r="L98" s="102"/>
      <c r="M98" s="102"/>
      <c r="N98" s="102"/>
      <c r="O98" s="102"/>
      <c r="P98" s="102"/>
      <c r="Q98" s="102"/>
      <c r="R98" s="102"/>
      <c r="T98" s="102"/>
      <c r="U98" s="102"/>
      <c r="V98" s="102"/>
      <c r="Z98" s="102"/>
      <c r="AA98" s="102"/>
      <c r="AB98" s="102"/>
      <c r="AC98" s="102"/>
      <c r="AD98" s="102"/>
      <c r="AE98" s="102"/>
      <c r="AF98" s="102"/>
      <c r="AG98" s="151"/>
      <c r="AH98" s="102"/>
      <c r="AI98" s="102"/>
      <c r="AJ98" s="102"/>
      <c r="AK98" s="151"/>
      <c r="AL98" s="102"/>
      <c r="AM98" s="102"/>
      <c r="AN98" s="102"/>
    </row>
    <row r="99" spans="1:40" x14ac:dyDescent="0.3">
      <c r="A99" s="102"/>
      <c r="C99" s="102"/>
      <c r="D99" s="102"/>
      <c r="E99" s="102"/>
      <c r="F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T99" s="102"/>
      <c r="U99" s="102"/>
      <c r="V99" s="102"/>
      <c r="Y99" s="102"/>
      <c r="Z99" s="102"/>
      <c r="AA99" s="102"/>
      <c r="AB99" s="102"/>
      <c r="AC99" s="102"/>
      <c r="AD99" s="102"/>
      <c r="AE99" s="102"/>
      <c r="AF99" s="102"/>
      <c r="AG99" s="151"/>
      <c r="AH99" s="102"/>
      <c r="AI99" s="102"/>
      <c r="AJ99" s="102"/>
      <c r="AK99" s="151"/>
      <c r="AL99" s="102"/>
      <c r="AM99" s="102"/>
      <c r="AN99" s="102"/>
    </row>
    <row r="100" spans="1:40" x14ac:dyDescent="0.3">
      <c r="C100" s="102"/>
      <c r="D100" s="102"/>
      <c r="E100" s="102"/>
      <c r="F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T100" s="102"/>
      <c r="U100" s="102"/>
      <c r="V100" s="102"/>
      <c r="Y100" s="102"/>
      <c r="Z100" s="102"/>
      <c r="AA100" s="102"/>
      <c r="AB100" s="102"/>
      <c r="AC100" s="102"/>
      <c r="AD100" s="102"/>
      <c r="AE100" s="102"/>
      <c r="AF100" s="102"/>
      <c r="AG100" s="151"/>
      <c r="AH100" s="102"/>
      <c r="AI100" s="102"/>
      <c r="AJ100" s="102"/>
      <c r="AK100" s="151"/>
      <c r="AL100" s="102"/>
      <c r="AM100" s="102"/>
      <c r="AN100" s="102"/>
    </row>
    <row r="101" spans="1:40" x14ac:dyDescent="0.3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91"/>
      <c r="AH101" s="101"/>
      <c r="AI101" s="101"/>
      <c r="AJ101" s="101"/>
      <c r="AK101" s="191"/>
      <c r="AL101" s="101"/>
      <c r="AM101" s="101"/>
      <c r="AN101" s="101"/>
    </row>
    <row r="102" spans="1:40" x14ac:dyDescent="0.3"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Y102" s="102"/>
      <c r="Z102" s="102"/>
      <c r="AA102" s="102"/>
      <c r="AB102" s="102"/>
      <c r="AC102" s="102"/>
      <c r="AD102" s="102"/>
      <c r="AE102" s="102"/>
      <c r="AF102" s="102"/>
      <c r="AG102" s="151"/>
      <c r="AH102" s="102"/>
      <c r="AI102" s="102"/>
      <c r="AJ102" s="102"/>
      <c r="AK102" s="151"/>
      <c r="AL102" s="102"/>
      <c r="AM102" s="102"/>
      <c r="AN102" s="102"/>
    </row>
    <row r="103" spans="1:40" x14ac:dyDescent="0.3">
      <c r="C103" s="99"/>
      <c r="D103" s="99"/>
      <c r="E103" s="99"/>
      <c r="T103" s="99"/>
      <c r="U103" s="99"/>
    </row>
    <row r="104" spans="1:40" x14ac:dyDescent="0.3">
      <c r="C104" s="99"/>
      <c r="T104" s="99"/>
    </row>
    <row r="106" spans="1:40" x14ac:dyDescent="0.3">
      <c r="C106" s="99"/>
      <c r="T106" s="99"/>
    </row>
    <row r="107" spans="1:40" x14ac:dyDescent="0.3">
      <c r="C107" s="99"/>
      <c r="F107" s="172"/>
      <c r="H107" s="172"/>
      <c r="I107" s="172"/>
      <c r="J107" s="181"/>
      <c r="K107" s="181"/>
      <c r="L107" s="110"/>
      <c r="M107" s="110"/>
      <c r="N107" s="141"/>
      <c r="O107" s="141"/>
      <c r="R107" s="110"/>
      <c r="T107" s="99"/>
      <c r="V107" s="110"/>
      <c r="Y107" s="172"/>
      <c r="Z107" s="181"/>
      <c r="AA107" s="110"/>
      <c r="AB107" s="110"/>
      <c r="AC107" s="141"/>
      <c r="AD107" s="141"/>
      <c r="AE107" s="110"/>
      <c r="AF107" s="110"/>
      <c r="AG107" s="224"/>
      <c r="AH107" s="225"/>
      <c r="AL107" s="110"/>
      <c r="AM107" s="226"/>
      <c r="AN107" s="226"/>
    </row>
    <row r="108" spans="1:40" x14ac:dyDescent="0.3">
      <c r="C108" s="99"/>
      <c r="F108" s="172"/>
      <c r="H108" s="172"/>
      <c r="I108" s="172"/>
      <c r="J108" s="181"/>
      <c r="K108" s="181"/>
      <c r="L108" s="110"/>
      <c r="M108" s="110"/>
      <c r="N108" s="141"/>
      <c r="O108" s="141"/>
      <c r="R108" s="110"/>
      <c r="T108" s="99"/>
      <c r="V108" s="110"/>
      <c r="Y108" s="172"/>
      <c r="Z108" s="181"/>
      <c r="AA108" s="110"/>
      <c r="AB108" s="110"/>
      <c r="AC108" s="141"/>
      <c r="AD108" s="141"/>
      <c r="AE108" s="110"/>
      <c r="AF108" s="110"/>
      <c r="AH108" s="207"/>
      <c r="AL108" s="110"/>
      <c r="AM108" s="141"/>
      <c r="AN108" s="141"/>
    </row>
    <row r="109" spans="1:40" x14ac:dyDescent="0.3">
      <c r="C109" s="99"/>
      <c r="F109" s="172"/>
      <c r="H109" s="172"/>
      <c r="I109" s="172"/>
      <c r="J109" s="181"/>
      <c r="K109" s="181"/>
      <c r="L109" s="110"/>
      <c r="M109" s="110"/>
      <c r="N109" s="141"/>
      <c r="O109" s="141"/>
      <c r="R109" s="110"/>
      <c r="T109" s="99"/>
      <c r="V109" s="110"/>
      <c r="Y109" s="172"/>
      <c r="Z109" s="181"/>
      <c r="AA109" s="110"/>
      <c r="AB109" s="110"/>
      <c r="AC109" s="141"/>
      <c r="AD109" s="141"/>
      <c r="AE109" s="110"/>
      <c r="AF109" s="110"/>
      <c r="AH109" s="207"/>
      <c r="AL109" s="110"/>
      <c r="AM109" s="141"/>
      <c r="AN109" s="141"/>
    </row>
    <row r="110" spans="1:40" x14ac:dyDescent="0.3">
      <c r="F110" s="192"/>
      <c r="H110" s="110"/>
      <c r="I110" s="110"/>
      <c r="J110" s="217"/>
      <c r="K110" s="217"/>
      <c r="L110" s="192"/>
      <c r="M110" s="192"/>
      <c r="N110" s="192"/>
      <c r="O110" s="192"/>
      <c r="P110" s="192"/>
      <c r="Q110" s="192"/>
      <c r="R110" s="192"/>
      <c r="V110" s="192"/>
      <c r="Y110" s="110"/>
      <c r="Z110" s="217"/>
      <c r="AA110" s="192"/>
      <c r="AB110" s="192"/>
      <c r="AC110" s="192"/>
      <c r="AD110" s="192"/>
      <c r="AE110" s="192"/>
      <c r="AF110" s="192"/>
      <c r="AI110" s="192"/>
      <c r="AJ110" s="192"/>
      <c r="AK110" s="194"/>
      <c r="AL110" s="192"/>
      <c r="AM110" s="141"/>
      <c r="AN110" s="141"/>
    </row>
    <row r="111" spans="1:40" x14ac:dyDescent="0.3">
      <c r="C111" s="99"/>
      <c r="F111" s="110"/>
      <c r="H111" s="110"/>
      <c r="I111" s="110"/>
      <c r="J111" s="217"/>
      <c r="K111" s="217"/>
      <c r="L111" s="110"/>
      <c r="M111" s="110"/>
      <c r="N111" s="141"/>
      <c r="O111" s="141"/>
      <c r="P111" s="110"/>
      <c r="Q111" s="110"/>
      <c r="R111" s="110"/>
      <c r="T111" s="99"/>
      <c r="V111" s="110"/>
      <c r="Y111" s="110"/>
      <c r="Z111" s="198"/>
      <c r="AA111" s="110"/>
      <c r="AB111" s="110"/>
      <c r="AC111" s="141"/>
      <c r="AD111" s="141"/>
      <c r="AE111" s="110"/>
      <c r="AF111" s="110"/>
      <c r="AH111" s="207"/>
      <c r="AI111" s="110"/>
      <c r="AJ111" s="110"/>
      <c r="AL111" s="110"/>
      <c r="AM111" s="141"/>
      <c r="AN111" s="141"/>
    </row>
    <row r="112" spans="1:40" x14ac:dyDescent="0.3">
      <c r="F112" s="192"/>
      <c r="H112" s="110"/>
      <c r="I112" s="110"/>
      <c r="J112" s="217"/>
      <c r="K112" s="217"/>
      <c r="L112" s="192"/>
      <c r="M112" s="192"/>
      <c r="N112" s="192"/>
      <c r="O112" s="192"/>
      <c r="P112" s="192"/>
      <c r="Q112" s="192"/>
      <c r="R112" s="192"/>
      <c r="V112" s="192"/>
      <c r="Y112" s="110"/>
      <c r="Z112" s="217"/>
      <c r="AA112" s="192"/>
      <c r="AB112" s="192"/>
      <c r="AC112" s="192"/>
      <c r="AD112" s="192"/>
      <c r="AE112" s="192"/>
      <c r="AF112" s="192"/>
      <c r="AI112" s="192"/>
      <c r="AJ112" s="192"/>
      <c r="AK112" s="194"/>
      <c r="AL112" s="192"/>
      <c r="AM112" s="141"/>
      <c r="AN112" s="141"/>
    </row>
    <row r="113" spans="3:40" x14ac:dyDescent="0.3">
      <c r="C113" s="99"/>
      <c r="F113" s="172"/>
      <c r="H113" s="172"/>
      <c r="I113" s="172"/>
      <c r="J113" s="227"/>
      <c r="K113" s="227"/>
      <c r="L113" s="110"/>
      <c r="M113" s="110"/>
      <c r="N113" s="141"/>
      <c r="O113" s="141"/>
      <c r="P113" s="110"/>
      <c r="Q113" s="110"/>
      <c r="R113" s="110"/>
      <c r="S113" s="110"/>
      <c r="T113" s="99"/>
      <c r="V113" s="172"/>
      <c r="Y113" s="172"/>
      <c r="Z113" s="227"/>
      <c r="AA113" s="110"/>
      <c r="AB113" s="110"/>
      <c r="AC113" s="141"/>
      <c r="AD113" s="141"/>
      <c r="AE113" s="110"/>
      <c r="AF113" s="110"/>
      <c r="AH113" s="141"/>
      <c r="AI113" s="110"/>
      <c r="AJ113" s="110"/>
      <c r="AL113" s="110"/>
      <c r="AM113" s="141"/>
      <c r="AN113" s="141"/>
    </row>
    <row r="114" spans="3:40" x14ac:dyDescent="0.3">
      <c r="C114" s="99"/>
      <c r="F114" s="172"/>
      <c r="H114" s="172"/>
      <c r="I114" s="172"/>
      <c r="J114" s="181"/>
      <c r="K114" s="181"/>
      <c r="L114" s="110"/>
      <c r="M114" s="110"/>
      <c r="N114" s="141"/>
      <c r="O114" s="141"/>
      <c r="P114" s="110"/>
      <c r="Q114" s="110"/>
      <c r="R114" s="110"/>
      <c r="T114" s="99"/>
      <c r="V114" s="172"/>
      <c r="Y114" s="110"/>
      <c r="Z114" s="181"/>
      <c r="AA114" s="110"/>
      <c r="AB114" s="110"/>
      <c r="AC114" s="141"/>
      <c r="AD114" s="141"/>
      <c r="AE114" s="110"/>
      <c r="AF114" s="110"/>
      <c r="AH114" s="207"/>
      <c r="AI114" s="110"/>
      <c r="AJ114" s="110"/>
      <c r="AL114" s="110"/>
      <c r="AM114" s="141"/>
      <c r="AN114" s="141"/>
    </row>
    <row r="115" spans="3:40" x14ac:dyDescent="0.3">
      <c r="C115" s="99"/>
      <c r="F115" s="172"/>
      <c r="H115" s="172"/>
      <c r="I115" s="172"/>
      <c r="J115" s="181"/>
      <c r="K115" s="181"/>
      <c r="L115" s="110"/>
      <c r="M115" s="110"/>
      <c r="N115" s="141"/>
      <c r="O115" s="141"/>
      <c r="P115" s="110"/>
      <c r="Q115" s="110"/>
      <c r="R115" s="110"/>
      <c r="T115" s="99"/>
      <c r="V115" s="172"/>
      <c r="Y115" s="110"/>
      <c r="Z115" s="181"/>
      <c r="AA115" s="110"/>
      <c r="AB115" s="110"/>
      <c r="AC115" s="141"/>
      <c r="AD115" s="141"/>
      <c r="AE115" s="110"/>
      <c r="AF115" s="110"/>
      <c r="AH115" s="207"/>
      <c r="AI115" s="110"/>
      <c r="AJ115" s="110"/>
      <c r="AL115" s="110"/>
      <c r="AM115" s="141"/>
      <c r="AN115" s="141"/>
    </row>
    <row r="116" spans="3:40" x14ac:dyDescent="0.3">
      <c r="F116" s="110"/>
      <c r="H116" s="192"/>
      <c r="I116" s="192"/>
      <c r="J116" s="217"/>
      <c r="K116" s="217"/>
      <c r="L116" s="192"/>
      <c r="M116" s="192"/>
      <c r="N116" s="192"/>
      <c r="O116" s="192"/>
      <c r="P116" s="192"/>
      <c r="Q116" s="192"/>
      <c r="R116" s="192"/>
      <c r="V116" s="110"/>
      <c r="Y116" s="192"/>
      <c r="Z116" s="217"/>
      <c r="AA116" s="192"/>
      <c r="AB116" s="192"/>
      <c r="AC116" s="192"/>
      <c r="AD116" s="192"/>
      <c r="AE116" s="192"/>
      <c r="AF116" s="192"/>
      <c r="AI116" s="192"/>
      <c r="AJ116" s="192"/>
      <c r="AK116" s="194"/>
      <c r="AL116" s="192"/>
      <c r="AM116" s="141"/>
      <c r="AN116" s="141"/>
    </row>
    <row r="117" spans="3:40" x14ac:dyDescent="0.3">
      <c r="C117" s="99"/>
      <c r="F117" s="110"/>
      <c r="H117" s="110"/>
      <c r="I117" s="110"/>
      <c r="J117" s="217"/>
      <c r="K117" s="217"/>
      <c r="L117" s="110"/>
      <c r="M117" s="110"/>
      <c r="N117" s="141"/>
      <c r="O117" s="141"/>
      <c r="P117" s="110"/>
      <c r="Q117" s="110"/>
      <c r="R117" s="110"/>
      <c r="T117" s="99"/>
      <c r="V117" s="110"/>
      <c r="Y117" s="110"/>
      <c r="Z117" s="217"/>
      <c r="AA117" s="110"/>
      <c r="AB117" s="110"/>
      <c r="AC117" s="141"/>
      <c r="AD117" s="141"/>
      <c r="AE117" s="110"/>
      <c r="AF117" s="110"/>
      <c r="AH117" s="207"/>
      <c r="AI117" s="110"/>
      <c r="AJ117" s="110"/>
      <c r="AL117" s="110"/>
      <c r="AM117" s="141"/>
      <c r="AN117" s="141"/>
    </row>
    <row r="118" spans="3:40" x14ac:dyDescent="0.3">
      <c r="F118" s="110"/>
      <c r="H118" s="192"/>
      <c r="I118" s="192"/>
      <c r="J118" s="217"/>
      <c r="K118" s="217"/>
      <c r="L118" s="192"/>
      <c r="M118" s="192"/>
      <c r="N118" s="192"/>
      <c r="O118" s="192"/>
      <c r="P118" s="192"/>
      <c r="Q118" s="192"/>
      <c r="R118" s="192"/>
      <c r="V118" s="110"/>
      <c r="Y118" s="192"/>
      <c r="Z118" s="217"/>
      <c r="AA118" s="192"/>
      <c r="AB118" s="192"/>
      <c r="AC118" s="192"/>
      <c r="AD118" s="192"/>
      <c r="AE118" s="192"/>
      <c r="AF118" s="192"/>
      <c r="AI118" s="192"/>
      <c r="AJ118" s="192"/>
      <c r="AK118" s="194"/>
      <c r="AL118" s="192"/>
      <c r="AM118" s="141"/>
      <c r="AN118" s="141"/>
    </row>
    <row r="119" spans="3:40" x14ac:dyDescent="0.3">
      <c r="C119" s="99"/>
      <c r="F119" s="110"/>
      <c r="H119" s="110"/>
      <c r="I119" s="110"/>
      <c r="J119" s="217"/>
      <c r="K119" s="217"/>
      <c r="L119" s="110"/>
      <c r="M119" s="110"/>
      <c r="N119" s="110"/>
      <c r="O119" s="110"/>
      <c r="P119" s="110"/>
      <c r="Q119" s="110"/>
      <c r="R119" s="110"/>
      <c r="T119" s="99"/>
      <c r="V119" s="110"/>
      <c r="Y119" s="110"/>
      <c r="Z119" s="217"/>
      <c r="AA119" s="110"/>
      <c r="AB119" s="110"/>
      <c r="AC119" s="110"/>
      <c r="AD119" s="110"/>
      <c r="AE119" s="110"/>
      <c r="AF119" s="110"/>
      <c r="AH119" s="207"/>
      <c r="AI119" s="110"/>
      <c r="AJ119" s="110"/>
      <c r="AL119" s="110"/>
      <c r="AM119" s="141"/>
      <c r="AN119" s="141"/>
    </row>
    <row r="120" spans="3:40" x14ac:dyDescent="0.3">
      <c r="C120" s="99"/>
      <c r="F120" s="110"/>
      <c r="H120" s="172"/>
      <c r="I120" s="172"/>
      <c r="J120" s="228"/>
      <c r="K120" s="228"/>
      <c r="L120" s="110"/>
      <c r="M120" s="110"/>
      <c r="N120" s="141"/>
      <c r="O120" s="141"/>
      <c r="P120" s="110"/>
      <c r="Q120" s="110"/>
      <c r="R120" s="110"/>
      <c r="T120" s="99"/>
      <c r="V120" s="110"/>
      <c r="Y120" s="110"/>
      <c r="Z120" s="228"/>
      <c r="AA120" s="110"/>
      <c r="AB120" s="110"/>
      <c r="AC120" s="141"/>
      <c r="AD120" s="141"/>
      <c r="AE120" s="110"/>
      <c r="AF120" s="110"/>
      <c r="AH120" s="207"/>
      <c r="AI120" s="110"/>
      <c r="AJ120" s="110"/>
      <c r="AL120" s="110"/>
      <c r="AM120" s="141"/>
      <c r="AN120" s="141"/>
    </row>
    <row r="121" spans="3:40" x14ac:dyDescent="0.3">
      <c r="C121" s="99"/>
      <c r="H121" s="172"/>
      <c r="I121" s="172"/>
      <c r="J121" s="228"/>
      <c r="K121" s="228"/>
      <c r="L121" s="110"/>
      <c r="M121" s="110"/>
      <c r="N121" s="141"/>
      <c r="O121" s="141"/>
      <c r="P121" s="110"/>
      <c r="Q121" s="110"/>
      <c r="R121" s="110"/>
      <c r="T121" s="99"/>
      <c r="Y121" s="110"/>
      <c r="Z121" s="228"/>
      <c r="AA121" s="110"/>
      <c r="AB121" s="110"/>
      <c r="AC121" s="141"/>
      <c r="AD121" s="141"/>
      <c r="AE121" s="110"/>
      <c r="AF121" s="110"/>
      <c r="AH121" s="207"/>
      <c r="AI121" s="110"/>
      <c r="AJ121" s="110"/>
      <c r="AL121" s="110"/>
      <c r="AM121" s="141"/>
      <c r="AN121" s="141"/>
    </row>
    <row r="122" spans="3:40" x14ac:dyDescent="0.3">
      <c r="F122" s="110"/>
      <c r="H122" s="110"/>
      <c r="I122" s="110"/>
      <c r="J122" s="217"/>
      <c r="K122" s="217"/>
      <c r="L122" s="192"/>
      <c r="M122" s="192"/>
      <c r="N122" s="192"/>
      <c r="O122" s="192"/>
      <c r="P122" s="192"/>
      <c r="Q122" s="192"/>
      <c r="R122" s="192"/>
      <c r="V122" s="110"/>
      <c r="Y122" s="110"/>
      <c r="Z122" s="217"/>
      <c r="AA122" s="192"/>
      <c r="AB122" s="192"/>
      <c r="AC122" s="192"/>
      <c r="AD122" s="192"/>
      <c r="AE122" s="192"/>
      <c r="AF122" s="192"/>
      <c r="AI122" s="192"/>
      <c r="AJ122" s="192"/>
      <c r="AK122" s="194"/>
      <c r="AL122" s="192"/>
      <c r="AM122" s="141"/>
      <c r="AN122" s="141"/>
    </row>
    <row r="123" spans="3:40" x14ac:dyDescent="0.3">
      <c r="C123" s="99"/>
      <c r="F123" s="110"/>
      <c r="H123" s="110"/>
      <c r="I123" s="110"/>
      <c r="J123" s="198"/>
      <c r="K123" s="198"/>
      <c r="L123" s="110"/>
      <c r="M123" s="110"/>
      <c r="N123" s="141"/>
      <c r="O123" s="141"/>
      <c r="P123" s="110"/>
      <c r="Q123" s="110"/>
      <c r="R123" s="110"/>
      <c r="T123" s="99"/>
      <c r="V123" s="110"/>
      <c r="Y123" s="110"/>
      <c r="Z123" s="198"/>
      <c r="AA123" s="110"/>
      <c r="AB123" s="110"/>
      <c r="AC123" s="141"/>
      <c r="AD123" s="141"/>
      <c r="AE123" s="110"/>
      <c r="AF123" s="110"/>
      <c r="AH123" s="207"/>
      <c r="AI123" s="110"/>
      <c r="AJ123" s="110"/>
      <c r="AL123" s="110"/>
      <c r="AM123" s="141"/>
      <c r="AN123" s="141"/>
    </row>
    <row r="124" spans="3:40" x14ac:dyDescent="0.3">
      <c r="F124" s="110"/>
      <c r="H124" s="110"/>
      <c r="I124" s="110"/>
      <c r="J124" s="217"/>
      <c r="K124" s="217"/>
      <c r="L124" s="192"/>
      <c r="M124" s="192"/>
      <c r="N124" s="192"/>
      <c r="O124" s="192"/>
      <c r="P124" s="192"/>
      <c r="Q124" s="192"/>
      <c r="R124" s="192"/>
      <c r="V124" s="110"/>
      <c r="Y124" s="110"/>
      <c r="Z124" s="217"/>
      <c r="AA124" s="192"/>
      <c r="AB124" s="192"/>
      <c r="AC124" s="192"/>
      <c r="AD124" s="192"/>
      <c r="AE124" s="192"/>
      <c r="AF124" s="192"/>
      <c r="AI124" s="192"/>
      <c r="AJ124" s="192"/>
      <c r="AK124" s="194"/>
      <c r="AL124" s="192"/>
      <c r="AM124" s="141"/>
      <c r="AN124" s="141"/>
    </row>
    <row r="125" spans="3:40" x14ac:dyDescent="0.3">
      <c r="C125" s="99"/>
      <c r="F125" s="110"/>
      <c r="H125" s="110"/>
      <c r="I125" s="110"/>
      <c r="J125" s="198"/>
      <c r="K125" s="198"/>
      <c r="L125" s="110"/>
      <c r="M125" s="110"/>
      <c r="N125" s="141"/>
      <c r="O125" s="141"/>
      <c r="P125" s="110"/>
      <c r="Q125" s="110"/>
      <c r="R125" s="110"/>
      <c r="T125" s="99"/>
      <c r="V125" s="110"/>
      <c r="Y125" s="110"/>
      <c r="Z125" s="198"/>
      <c r="AA125" s="110"/>
      <c r="AB125" s="110"/>
      <c r="AC125" s="141"/>
      <c r="AD125" s="141"/>
      <c r="AE125" s="110"/>
      <c r="AF125" s="110"/>
      <c r="AH125" s="207"/>
      <c r="AI125" s="110"/>
      <c r="AJ125" s="110"/>
      <c r="AL125" s="110"/>
      <c r="AM125" s="141"/>
      <c r="AN125" s="141"/>
    </row>
    <row r="126" spans="3:40" x14ac:dyDescent="0.3">
      <c r="C126" s="99"/>
      <c r="F126" s="110"/>
      <c r="H126" s="172"/>
      <c r="I126" s="172"/>
      <c r="J126" s="222"/>
      <c r="K126" s="222"/>
      <c r="L126" s="110"/>
      <c r="M126" s="110"/>
      <c r="N126" s="141"/>
      <c r="O126" s="141"/>
      <c r="P126" s="110"/>
      <c r="Q126" s="110"/>
      <c r="R126" s="110"/>
      <c r="T126" s="99"/>
      <c r="V126" s="172"/>
      <c r="Y126" s="110"/>
      <c r="Z126" s="222"/>
      <c r="AA126" s="110"/>
      <c r="AB126" s="110"/>
      <c r="AC126" s="141"/>
      <c r="AD126" s="141"/>
      <c r="AE126" s="110"/>
      <c r="AF126" s="110"/>
      <c r="AH126" s="207"/>
      <c r="AI126" s="110"/>
      <c r="AJ126" s="110"/>
      <c r="AL126" s="110"/>
      <c r="AM126" s="141"/>
      <c r="AN126" s="141"/>
    </row>
    <row r="127" spans="3:40" x14ac:dyDescent="0.3">
      <c r="F127" s="192"/>
      <c r="H127" s="192"/>
      <c r="I127" s="192"/>
      <c r="J127" s="217"/>
      <c r="K127" s="217"/>
      <c r="L127" s="192"/>
      <c r="M127" s="192"/>
      <c r="N127" s="192"/>
      <c r="O127" s="192"/>
      <c r="P127" s="192"/>
      <c r="Q127" s="192"/>
      <c r="R127" s="192"/>
      <c r="V127" s="192"/>
      <c r="Y127" s="192"/>
      <c r="Z127" s="217"/>
      <c r="AA127" s="192"/>
      <c r="AB127" s="192"/>
      <c r="AC127" s="192"/>
      <c r="AD127" s="192"/>
      <c r="AE127" s="192"/>
      <c r="AF127" s="192"/>
      <c r="AI127" s="192"/>
      <c r="AJ127" s="192"/>
      <c r="AK127" s="194"/>
      <c r="AL127" s="192"/>
      <c r="AM127" s="141"/>
      <c r="AN127" s="141"/>
    </row>
    <row r="128" spans="3:40" x14ac:dyDescent="0.3">
      <c r="C128" s="99"/>
      <c r="F128" s="110"/>
      <c r="H128" s="110"/>
      <c r="I128" s="110"/>
      <c r="J128" s="217"/>
      <c r="K128" s="217"/>
      <c r="L128" s="110"/>
      <c r="M128" s="110"/>
      <c r="N128" s="141"/>
      <c r="O128" s="141"/>
      <c r="P128" s="110"/>
      <c r="Q128" s="110"/>
      <c r="R128" s="110"/>
      <c r="S128" s="110"/>
      <c r="T128" s="99"/>
      <c r="V128" s="110"/>
      <c r="Y128" s="110"/>
      <c r="Z128" s="217"/>
      <c r="AA128" s="110"/>
      <c r="AB128" s="110"/>
      <c r="AC128" s="141"/>
      <c r="AD128" s="141"/>
      <c r="AE128" s="110"/>
      <c r="AF128" s="110"/>
      <c r="AH128" s="141"/>
      <c r="AI128" s="110"/>
      <c r="AJ128" s="110"/>
      <c r="AL128" s="110"/>
      <c r="AM128" s="141"/>
      <c r="AN128" s="141"/>
    </row>
    <row r="129" spans="3:40" x14ac:dyDescent="0.3">
      <c r="F129" s="192"/>
      <c r="H129" s="192"/>
      <c r="I129" s="192"/>
      <c r="J129" s="217"/>
      <c r="K129" s="217"/>
      <c r="L129" s="192"/>
      <c r="M129" s="192"/>
      <c r="N129" s="192"/>
      <c r="O129" s="192"/>
      <c r="P129" s="192"/>
      <c r="Q129" s="192"/>
      <c r="R129" s="192"/>
      <c r="S129" s="110"/>
      <c r="V129" s="192"/>
      <c r="Y129" s="192"/>
      <c r="Z129" s="217"/>
      <c r="AA129" s="192"/>
      <c r="AB129" s="192"/>
      <c r="AC129" s="192"/>
      <c r="AD129" s="192"/>
      <c r="AE129" s="192"/>
      <c r="AF129" s="192"/>
      <c r="AI129" s="192"/>
      <c r="AJ129" s="192"/>
      <c r="AK129" s="194"/>
      <c r="AL129" s="192"/>
      <c r="AM129" s="141"/>
      <c r="AN129" s="141"/>
    </row>
    <row r="130" spans="3:40" x14ac:dyDescent="0.3">
      <c r="C130" s="99"/>
      <c r="F130" s="172"/>
      <c r="H130" s="229"/>
      <c r="I130" s="229"/>
      <c r="J130" s="217"/>
      <c r="K130" s="217"/>
      <c r="L130" s="110"/>
      <c r="M130" s="110"/>
      <c r="N130" s="141"/>
      <c r="O130" s="141"/>
      <c r="P130" s="110"/>
      <c r="Q130" s="110"/>
      <c r="R130" s="110"/>
      <c r="S130" s="110"/>
      <c r="T130" s="99"/>
      <c r="V130" s="172"/>
      <c r="Y130" s="172"/>
      <c r="Z130" s="217"/>
      <c r="AA130" s="110"/>
      <c r="AB130" s="110"/>
      <c r="AC130" s="141"/>
      <c r="AD130" s="141"/>
      <c r="AE130" s="110"/>
      <c r="AF130" s="110"/>
      <c r="AI130" s="110"/>
      <c r="AJ130" s="110"/>
      <c r="AL130" s="110"/>
      <c r="AM130" s="141"/>
      <c r="AN130" s="141"/>
    </row>
    <row r="132" spans="3:40" x14ac:dyDescent="0.3">
      <c r="C132" s="99"/>
      <c r="T132" s="99"/>
    </row>
    <row r="133" spans="3:40" x14ac:dyDescent="0.3">
      <c r="C133" s="99"/>
      <c r="F133" s="172"/>
      <c r="H133" s="172"/>
      <c r="I133" s="172"/>
      <c r="J133" s="181"/>
      <c r="K133" s="181"/>
      <c r="L133" s="110"/>
      <c r="M133" s="110"/>
      <c r="N133" s="141"/>
      <c r="O133" s="141"/>
      <c r="R133" s="110"/>
      <c r="T133" s="99"/>
      <c r="V133" s="110"/>
      <c r="Y133" s="172"/>
      <c r="Z133" s="181"/>
      <c r="AA133" s="110"/>
      <c r="AB133" s="110"/>
      <c r="AC133" s="141"/>
      <c r="AD133" s="141"/>
      <c r="AE133" s="110"/>
      <c r="AF133" s="110"/>
      <c r="AG133" s="224"/>
      <c r="AH133" s="225"/>
      <c r="AL133" s="110"/>
      <c r="AM133" s="226"/>
      <c r="AN133" s="226"/>
    </row>
    <row r="134" spans="3:40" x14ac:dyDescent="0.3">
      <c r="C134" s="99"/>
      <c r="F134" s="172"/>
      <c r="H134" s="172"/>
      <c r="I134" s="172"/>
      <c r="J134" s="181"/>
      <c r="K134" s="181"/>
      <c r="L134" s="110"/>
      <c r="M134" s="110"/>
      <c r="N134" s="141"/>
      <c r="O134" s="141"/>
      <c r="R134" s="110"/>
      <c r="T134" s="99"/>
      <c r="V134" s="110"/>
      <c r="Y134" s="172"/>
      <c r="Z134" s="181"/>
      <c r="AA134" s="110"/>
      <c r="AB134" s="110"/>
      <c r="AC134" s="141"/>
      <c r="AD134" s="141"/>
      <c r="AE134" s="110"/>
      <c r="AF134" s="110"/>
      <c r="AH134" s="207"/>
      <c r="AL134" s="110"/>
      <c r="AM134" s="141"/>
      <c r="AN134" s="141"/>
    </row>
    <row r="135" spans="3:40" x14ac:dyDescent="0.3">
      <c r="C135" s="99"/>
      <c r="F135" s="172"/>
      <c r="H135" s="172"/>
      <c r="I135" s="172"/>
      <c r="J135" s="181"/>
      <c r="K135" s="181"/>
      <c r="L135" s="110"/>
      <c r="M135" s="110"/>
      <c r="N135" s="141"/>
      <c r="O135" s="141"/>
      <c r="R135" s="110"/>
      <c r="T135" s="99"/>
      <c r="V135" s="110"/>
      <c r="Y135" s="172"/>
      <c r="Z135" s="181"/>
      <c r="AA135" s="110"/>
      <c r="AB135" s="110"/>
      <c r="AC135" s="141"/>
      <c r="AD135" s="141"/>
      <c r="AE135" s="110"/>
      <c r="AF135" s="110"/>
      <c r="AH135" s="207"/>
      <c r="AL135" s="110"/>
      <c r="AM135" s="141"/>
      <c r="AN135" s="141"/>
    </row>
    <row r="136" spans="3:40" x14ac:dyDescent="0.3">
      <c r="F136" s="192"/>
      <c r="H136" s="110"/>
      <c r="I136" s="110"/>
      <c r="J136" s="217"/>
      <c r="K136" s="217"/>
      <c r="L136" s="192"/>
      <c r="M136" s="192"/>
      <c r="N136" s="192"/>
      <c r="O136" s="192"/>
      <c r="P136" s="192"/>
      <c r="Q136" s="192"/>
      <c r="R136" s="192"/>
      <c r="V136" s="192"/>
      <c r="Y136" s="110"/>
      <c r="Z136" s="217"/>
      <c r="AA136" s="192"/>
      <c r="AB136" s="192"/>
      <c r="AC136" s="192"/>
      <c r="AD136" s="192"/>
      <c r="AE136" s="192"/>
      <c r="AF136" s="192"/>
      <c r="AI136" s="192"/>
      <c r="AJ136" s="192"/>
      <c r="AK136" s="194"/>
      <c r="AL136" s="192"/>
      <c r="AM136" s="141"/>
      <c r="AN136" s="141"/>
    </row>
    <row r="137" spans="3:40" x14ac:dyDescent="0.3">
      <c r="C137" s="99"/>
      <c r="F137" s="110"/>
      <c r="H137" s="110"/>
      <c r="I137" s="110"/>
      <c r="J137" s="217"/>
      <c r="K137" s="217"/>
      <c r="L137" s="110"/>
      <c r="M137" s="110"/>
      <c r="N137" s="141"/>
      <c r="O137" s="141"/>
      <c r="P137" s="110"/>
      <c r="Q137" s="110"/>
      <c r="R137" s="110"/>
      <c r="T137" s="99"/>
      <c r="V137" s="110"/>
      <c r="Y137" s="110"/>
      <c r="Z137" s="217"/>
      <c r="AA137" s="110"/>
      <c r="AB137" s="110"/>
      <c r="AC137" s="141"/>
      <c r="AD137" s="141"/>
      <c r="AE137" s="110"/>
      <c r="AF137" s="110"/>
      <c r="AH137" s="207"/>
      <c r="AI137" s="110"/>
      <c r="AJ137" s="110"/>
      <c r="AL137" s="110"/>
      <c r="AM137" s="141"/>
      <c r="AN137" s="141"/>
    </row>
    <row r="138" spans="3:40" x14ac:dyDescent="0.3">
      <c r="F138" s="192"/>
      <c r="H138" s="110"/>
      <c r="I138" s="110"/>
      <c r="J138" s="217"/>
      <c r="K138" s="217"/>
      <c r="L138" s="192"/>
      <c r="M138" s="192"/>
      <c r="N138" s="192"/>
      <c r="O138" s="192"/>
      <c r="P138" s="192"/>
      <c r="Q138" s="192"/>
      <c r="R138" s="192"/>
      <c r="V138" s="192"/>
      <c r="Y138" s="110"/>
      <c r="Z138" s="217"/>
      <c r="AA138" s="192"/>
      <c r="AB138" s="192"/>
      <c r="AC138" s="192"/>
      <c r="AD138" s="192"/>
      <c r="AE138" s="192"/>
      <c r="AF138" s="192"/>
      <c r="AI138" s="192"/>
      <c r="AJ138" s="192"/>
      <c r="AK138" s="194"/>
      <c r="AL138" s="192"/>
      <c r="AM138" s="141"/>
      <c r="AN138" s="141"/>
    </row>
    <row r="139" spans="3:40" x14ac:dyDescent="0.3">
      <c r="C139" s="99"/>
      <c r="F139" s="172"/>
      <c r="H139" s="172"/>
      <c r="I139" s="172"/>
      <c r="J139" s="227"/>
      <c r="K139" s="227"/>
      <c r="L139" s="110"/>
      <c r="M139" s="110"/>
      <c r="N139" s="141"/>
      <c r="O139" s="141"/>
      <c r="P139" s="110"/>
      <c r="Q139" s="110"/>
      <c r="R139" s="110"/>
      <c r="S139" s="110"/>
      <c r="T139" s="99"/>
      <c r="V139" s="172"/>
      <c r="Y139" s="172"/>
      <c r="Z139" s="227"/>
      <c r="AA139" s="110"/>
      <c r="AB139" s="110"/>
      <c r="AC139" s="141"/>
      <c r="AD139" s="141"/>
      <c r="AE139" s="110"/>
      <c r="AF139" s="110"/>
      <c r="AH139" s="141"/>
      <c r="AI139" s="110"/>
      <c r="AJ139" s="110"/>
      <c r="AL139" s="110"/>
      <c r="AM139" s="141"/>
      <c r="AN139" s="141"/>
    </row>
    <row r="140" spans="3:40" x14ac:dyDescent="0.3">
      <c r="C140" s="99"/>
      <c r="F140" s="172"/>
      <c r="H140" s="172"/>
      <c r="I140" s="172"/>
      <c r="J140" s="181"/>
      <c r="K140" s="181"/>
      <c r="L140" s="110"/>
      <c r="M140" s="110"/>
      <c r="N140" s="141"/>
      <c r="O140" s="141"/>
      <c r="P140" s="110"/>
      <c r="Q140" s="110"/>
      <c r="R140" s="110"/>
      <c r="T140" s="99"/>
      <c r="V140" s="172"/>
      <c r="Y140" s="110"/>
      <c r="Z140" s="181"/>
      <c r="AA140" s="110"/>
      <c r="AB140" s="110"/>
      <c r="AC140" s="141"/>
      <c r="AD140" s="141"/>
      <c r="AE140" s="110"/>
      <c r="AF140" s="110"/>
      <c r="AH140" s="207"/>
      <c r="AI140" s="110"/>
      <c r="AJ140" s="110"/>
      <c r="AL140" s="110"/>
      <c r="AM140" s="141"/>
      <c r="AN140" s="141"/>
    </row>
    <row r="141" spans="3:40" x14ac:dyDescent="0.3">
      <c r="C141" s="99"/>
      <c r="F141" s="172"/>
      <c r="H141" s="172"/>
      <c r="I141" s="172"/>
      <c r="J141" s="181"/>
      <c r="K141" s="181"/>
      <c r="L141" s="110"/>
      <c r="M141" s="110"/>
      <c r="N141" s="141"/>
      <c r="O141" s="141"/>
      <c r="P141" s="110"/>
      <c r="Q141" s="110"/>
      <c r="R141" s="110"/>
      <c r="T141" s="99"/>
      <c r="V141" s="172"/>
      <c r="Y141" s="110"/>
      <c r="Z141" s="181"/>
      <c r="AA141" s="110"/>
      <c r="AB141" s="110"/>
      <c r="AC141" s="141"/>
      <c r="AD141" s="141"/>
      <c r="AE141" s="110"/>
      <c r="AF141" s="110"/>
      <c r="AH141" s="207"/>
      <c r="AI141" s="110"/>
      <c r="AJ141" s="110"/>
      <c r="AL141" s="110"/>
      <c r="AM141" s="141"/>
      <c r="AN141" s="141"/>
    </row>
    <row r="142" spans="3:40" x14ac:dyDescent="0.3">
      <c r="F142" s="110"/>
      <c r="H142" s="192"/>
      <c r="I142" s="192"/>
      <c r="J142" s="217"/>
      <c r="K142" s="217"/>
      <c r="L142" s="192"/>
      <c r="M142" s="192"/>
      <c r="N142" s="192"/>
      <c r="O142" s="192"/>
      <c r="P142" s="192"/>
      <c r="Q142" s="192"/>
      <c r="R142" s="192"/>
      <c r="V142" s="110"/>
      <c r="Y142" s="192"/>
      <c r="Z142" s="217"/>
      <c r="AA142" s="192"/>
      <c r="AB142" s="192"/>
      <c r="AC142" s="192"/>
      <c r="AD142" s="192"/>
      <c r="AE142" s="192"/>
      <c r="AF142" s="192"/>
      <c r="AI142" s="192"/>
      <c r="AJ142" s="192"/>
      <c r="AK142" s="194"/>
      <c r="AL142" s="192"/>
      <c r="AM142" s="141"/>
      <c r="AN142" s="141"/>
    </row>
    <row r="143" spans="3:40" x14ac:dyDescent="0.3">
      <c r="C143" s="99"/>
      <c r="F143" s="110"/>
      <c r="H143" s="110"/>
      <c r="I143" s="110"/>
      <c r="J143" s="217"/>
      <c r="K143" s="217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217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F144" s="110"/>
      <c r="H144" s="192"/>
      <c r="I144" s="192"/>
      <c r="J144" s="217"/>
      <c r="K144" s="217"/>
      <c r="L144" s="192"/>
      <c r="M144" s="192"/>
      <c r="N144" s="192"/>
      <c r="O144" s="192"/>
      <c r="P144" s="192"/>
      <c r="Q144" s="192"/>
      <c r="R144" s="192"/>
      <c r="V144" s="110"/>
      <c r="Y144" s="192"/>
      <c r="Z144" s="217"/>
      <c r="AA144" s="192"/>
      <c r="AB144" s="192"/>
      <c r="AC144" s="192"/>
      <c r="AD144" s="192"/>
      <c r="AE144" s="192"/>
      <c r="AF144" s="192"/>
      <c r="AI144" s="192"/>
      <c r="AJ144" s="192"/>
      <c r="AK144" s="194"/>
      <c r="AL144" s="192"/>
      <c r="AM144" s="141"/>
      <c r="AN144" s="141"/>
    </row>
    <row r="145" spans="3:40" x14ac:dyDescent="0.3">
      <c r="C145" s="99"/>
      <c r="F145" s="110"/>
      <c r="H145" s="110"/>
      <c r="I145" s="110"/>
      <c r="J145" s="217"/>
      <c r="K145" s="217"/>
      <c r="L145" s="110"/>
      <c r="M145" s="110"/>
      <c r="N145" s="110"/>
      <c r="O145" s="110"/>
      <c r="P145" s="110"/>
      <c r="Q145" s="110"/>
      <c r="R145" s="110"/>
      <c r="T145" s="99"/>
      <c r="V145" s="110"/>
      <c r="Y145" s="110"/>
      <c r="Z145" s="217"/>
      <c r="AA145" s="110"/>
      <c r="AB145" s="110"/>
      <c r="AC145" s="110"/>
      <c r="AD145" s="110"/>
      <c r="AE145" s="110"/>
      <c r="AF145" s="110"/>
      <c r="AH145" s="207"/>
      <c r="AI145" s="110"/>
      <c r="AJ145" s="110"/>
      <c r="AL145" s="110"/>
      <c r="AM145" s="141"/>
      <c r="AN145" s="141"/>
    </row>
    <row r="146" spans="3:40" x14ac:dyDescent="0.3">
      <c r="C146" s="99"/>
      <c r="F146" s="110"/>
      <c r="H146" s="172"/>
      <c r="I146" s="172"/>
      <c r="J146" s="228"/>
      <c r="K146" s="228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22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3:40" x14ac:dyDescent="0.3">
      <c r="C147" s="99"/>
      <c r="H147" s="172"/>
      <c r="I147" s="172"/>
      <c r="J147" s="228"/>
      <c r="K147" s="228"/>
      <c r="L147" s="110"/>
      <c r="M147" s="110"/>
      <c r="N147" s="141"/>
      <c r="O147" s="141"/>
      <c r="P147" s="110"/>
      <c r="Q147" s="110"/>
      <c r="R147" s="110"/>
      <c r="T147" s="99"/>
      <c r="Y147" s="110"/>
      <c r="Z147" s="228"/>
      <c r="AA147" s="110"/>
      <c r="AB147" s="110"/>
      <c r="AC147" s="141"/>
      <c r="AD147" s="141"/>
      <c r="AE147" s="110"/>
      <c r="AF147" s="110"/>
      <c r="AH147" s="207"/>
      <c r="AI147" s="110"/>
      <c r="AJ147" s="110"/>
      <c r="AL147" s="110"/>
      <c r="AM147" s="141"/>
      <c r="AN147" s="141"/>
    </row>
    <row r="148" spans="3:40" x14ac:dyDescent="0.3">
      <c r="F148" s="110"/>
      <c r="H148" s="110"/>
      <c r="I148" s="110"/>
      <c r="J148" s="217"/>
      <c r="K148" s="217"/>
      <c r="L148" s="192"/>
      <c r="M148" s="192"/>
      <c r="N148" s="192"/>
      <c r="O148" s="192"/>
      <c r="P148" s="192"/>
      <c r="Q148" s="192"/>
      <c r="R148" s="192"/>
      <c r="V148" s="110"/>
      <c r="Y148" s="110"/>
      <c r="Z148" s="217"/>
      <c r="AA148" s="192"/>
      <c r="AB148" s="192"/>
      <c r="AC148" s="192"/>
      <c r="AD148" s="192"/>
      <c r="AE148" s="192"/>
      <c r="AF148" s="192"/>
      <c r="AI148" s="192"/>
      <c r="AJ148" s="192"/>
      <c r="AK148" s="194"/>
      <c r="AL148" s="192"/>
      <c r="AM148" s="141"/>
      <c r="AN148" s="141"/>
    </row>
    <row r="149" spans="3:40" x14ac:dyDescent="0.3">
      <c r="C149" s="99"/>
      <c r="F149" s="110"/>
      <c r="H149" s="110"/>
      <c r="I149" s="110"/>
      <c r="J149" s="198"/>
      <c r="K149" s="198"/>
      <c r="L149" s="110"/>
      <c r="M149" s="110"/>
      <c r="N149" s="141"/>
      <c r="O149" s="141"/>
      <c r="P149" s="110"/>
      <c r="Q149" s="110"/>
      <c r="R149" s="110"/>
      <c r="T149" s="99"/>
      <c r="V149" s="110"/>
      <c r="Y149" s="110"/>
      <c r="Z149" s="198"/>
      <c r="AA149" s="110"/>
      <c r="AB149" s="110"/>
      <c r="AC149" s="141"/>
      <c r="AD149" s="141"/>
      <c r="AE149" s="110"/>
      <c r="AF149" s="110"/>
      <c r="AH149" s="207"/>
      <c r="AI149" s="110"/>
      <c r="AJ149" s="110"/>
      <c r="AL149" s="110"/>
      <c r="AM149" s="141"/>
      <c r="AN149" s="141"/>
    </row>
    <row r="150" spans="3:40" x14ac:dyDescent="0.3">
      <c r="F150" s="110"/>
      <c r="H150" s="110"/>
      <c r="I150" s="110"/>
      <c r="J150" s="217"/>
      <c r="K150" s="217"/>
      <c r="L150" s="192"/>
      <c r="M150" s="192"/>
      <c r="N150" s="192"/>
      <c r="O150" s="192"/>
      <c r="P150" s="192"/>
      <c r="Q150" s="192"/>
      <c r="R150" s="192"/>
      <c r="V150" s="110"/>
      <c r="Y150" s="110"/>
      <c r="Z150" s="217"/>
      <c r="AA150" s="192"/>
      <c r="AB150" s="192"/>
      <c r="AC150" s="192"/>
      <c r="AD150" s="192"/>
      <c r="AE150" s="192"/>
      <c r="AF150" s="192"/>
      <c r="AI150" s="192"/>
      <c r="AJ150" s="192"/>
      <c r="AK150" s="194"/>
      <c r="AL150" s="192"/>
      <c r="AM150" s="141"/>
      <c r="AN150" s="141"/>
    </row>
    <row r="151" spans="3:40" x14ac:dyDescent="0.3">
      <c r="C151" s="99"/>
      <c r="F151" s="110"/>
      <c r="H151" s="110"/>
      <c r="I151" s="110"/>
      <c r="J151" s="198"/>
      <c r="K151" s="198"/>
      <c r="L151" s="110"/>
      <c r="M151" s="110"/>
      <c r="N151" s="141"/>
      <c r="O151" s="141"/>
      <c r="P151" s="110"/>
      <c r="Q151" s="110"/>
      <c r="R151" s="110"/>
      <c r="T151" s="99"/>
      <c r="V151" s="110"/>
      <c r="Y151" s="110"/>
      <c r="Z151" s="198"/>
      <c r="AA151" s="110"/>
      <c r="AB151" s="110"/>
      <c r="AC151" s="141"/>
      <c r="AD151" s="141"/>
      <c r="AE151" s="110"/>
      <c r="AF151" s="110"/>
      <c r="AH151" s="207"/>
      <c r="AI151" s="110"/>
      <c r="AJ151" s="110"/>
      <c r="AL151" s="110"/>
      <c r="AM151" s="141"/>
      <c r="AN151" s="141"/>
    </row>
    <row r="152" spans="3:40" x14ac:dyDescent="0.3">
      <c r="C152" s="99"/>
      <c r="F152" s="172"/>
      <c r="H152" s="172"/>
      <c r="I152" s="172"/>
      <c r="J152" s="222"/>
      <c r="K152" s="222"/>
      <c r="L152" s="110"/>
      <c r="M152" s="110"/>
      <c r="N152" s="141"/>
      <c r="O152" s="141"/>
      <c r="P152" s="110"/>
      <c r="Q152" s="110"/>
      <c r="R152" s="110"/>
      <c r="T152" s="99"/>
      <c r="V152" s="172"/>
      <c r="Y152" s="110"/>
      <c r="Z152" s="222"/>
      <c r="AA152" s="110"/>
      <c r="AB152" s="110"/>
      <c r="AC152" s="141"/>
      <c r="AD152" s="141"/>
      <c r="AE152" s="110"/>
      <c r="AF152" s="110"/>
      <c r="AH152" s="207"/>
      <c r="AI152" s="110"/>
      <c r="AJ152" s="110"/>
      <c r="AL152" s="110"/>
      <c r="AM152" s="141"/>
      <c r="AN152" s="141"/>
    </row>
    <row r="153" spans="3:40" x14ac:dyDescent="0.3">
      <c r="F153" s="192"/>
      <c r="H153" s="192"/>
      <c r="I153" s="192"/>
      <c r="J153" s="217"/>
      <c r="K153" s="217"/>
      <c r="L153" s="192"/>
      <c r="M153" s="192"/>
      <c r="N153" s="192"/>
      <c r="O153" s="192"/>
      <c r="P153" s="192"/>
      <c r="Q153" s="192"/>
      <c r="R153" s="192"/>
      <c r="V153" s="192"/>
      <c r="Y153" s="192"/>
      <c r="Z153" s="217"/>
      <c r="AA153" s="192"/>
      <c r="AB153" s="192"/>
      <c r="AC153" s="192"/>
      <c r="AD153" s="192"/>
      <c r="AE153" s="192"/>
      <c r="AF153" s="192"/>
      <c r="AI153" s="192"/>
      <c r="AJ153" s="192"/>
      <c r="AK153" s="194"/>
      <c r="AL153" s="192"/>
      <c r="AM153" s="141"/>
      <c r="AN153" s="141"/>
    </row>
    <row r="154" spans="3:40" x14ac:dyDescent="0.3">
      <c r="C154" s="99"/>
      <c r="F154" s="110"/>
      <c r="H154" s="110"/>
      <c r="I154" s="110"/>
      <c r="J154" s="217"/>
      <c r="K154" s="217"/>
      <c r="L154" s="110"/>
      <c r="M154" s="110"/>
      <c r="N154" s="141"/>
      <c r="O154" s="141"/>
      <c r="P154" s="110"/>
      <c r="Q154" s="110"/>
      <c r="R154" s="110"/>
      <c r="S154" s="110"/>
      <c r="T154" s="99"/>
      <c r="V154" s="110"/>
      <c r="Y154" s="110"/>
      <c r="Z154" s="217"/>
      <c r="AA154" s="110"/>
      <c r="AB154" s="110"/>
      <c r="AC154" s="141"/>
      <c r="AD154" s="141"/>
      <c r="AE154" s="110"/>
      <c r="AF154" s="110"/>
      <c r="AH154" s="141"/>
      <c r="AI154" s="110"/>
      <c r="AJ154" s="110"/>
      <c r="AL154" s="110"/>
      <c r="AM154" s="141"/>
      <c r="AN154" s="141"/>
    </row>
    <row r="155" spans="3:40" x14ac:dyDescent="0.3">
      <c r="F155" s="192"/>
      <c r="H155" s="192"/>
      <c r="I155" s="192"/>
      <c r="J155" s="217"/>
      <c r="K155" s="217"/>
      <c r="L155" s="192"/>
      <c r="M155" s="192"/>
      <c r="N155" s="192"/>
      <c r="O155" s="192"/>
      <c r="P155" s="192"/>
      <c r="Q155" s="192"/>
      <c r="R155" s="192"/>
      <c r="S155" s="110"/>
      <c r="V155" s="192"/>
      <c r="Y155" s="192"/>
      <c r="Z155" s="217"/>
      <c r="AA155" s="192"/>
      <c r="AB155" s="192"/>
      <c r="AC155" s="192"/>
      <c r="AD155" s="192"/>
      <c r="AE155" s="192"/>
      <c r="AF155" s="192"/>
      <c r="AI155" s="192"/>
      <c r="AJ155" s="192"/>
      <c r="AK155" s="194"/>
      <c r="AL155" s="192"/>
      <c r="AM155" s="141"/>
      <c r="AN155" s="141"/>
    </row>
    <row r="156" spans="3:40" x14ac:dyDescent="0.3">
      <c r="C156" s="99"/>
      <c r="T156" s="99"/>
    </row>
    <row r="157" spans="3:40" x14ac:dyDescent="0.3">
      <c r="C157" s="99"/>
      <c r="F157" s="110"/>
      <c r="H157" s="110"/>
      <c r="I157" s="110"/>
      <c r="L157" s="110"/>
      <c r="M157" s="110"/>
      <c r="N157" s="141"/>
      <c r="O157" s="141"/>
      <c r="P157" s="172"/>
      <c r="Q157" s="172"/>
      <c r="R157" s="110"/>
      <c r="T157" s="99"/>
      <c r="V157" s="110"/>
      <c r="Y157" s="110"/>
      <c r="AA157" s="110"/>
      <c r="AB157" s="110"/>
      <c r="AC157" s="141"/>
      <c r="AD157" s="141"/>
      <c r="AE157" s="110"/>
      <c r="AF157" s="110"/>
      <c r="AH157" s="141"/>
      <c r="AI157" s="172"/>
      <c r="AJ157" s="172"/>
      <c r="AL157" s="110"/>
      <c r="AM157" s="141"/>
      <c r="AN157" s="141"/>
    </row>
    <row r="158" spans="3:40" x14ac:dyDescent="0.3">
      <c r="F158" s="192"/>
      <c r="H158" s="192"/>
      <c r="I158" s="192"/>
      <c r="J158" s="217"/>
      <c r="K158" s="217"/>
      <c r="L158" s="192"/>
      <c r="M158" s="192"/>
      <c r="N158" s="192"/>
      <c r="O158" s="192"/>
      <c r="P158" s="192"/>
      <c r="Q158" s="192"/>
      <c r="R158" s="192"/>
      <c r="V158" s="192"/>
      <c r="Y158" s="192"/>
      <c r="Z158" s="217"/>
      <c r="AA158" s="192"/>
      <c r="AB158" s="192"/>
      <c r="AC158" s="192"/>
      <c r="AD158" s="192"/>
      <c r="AE158" s="192"/>
      <c r="AF158" s="192"/>
      <c r="AI158" s="192"/>
      <c r="AJ158" s="192"/>
      <c r="AK158" s="194"/>
      <c r="AL158" s="192"/>
    </row>
    <row r="160" spans="3:40" x14ac:dyDescent="0.3">
      <c r="C160" s="99"/>
      <c r="L160" s="110"/>
      <c r="M160" s="110"/>
      <c r="N160" s="110"/>
      <c r="O160" s="110"/>
      <c r="P160" s="110"/>
      <c r="Q160" s="110"/>
      <c r="R160" s="110"/>
      <c r="S160" s="110"/>
      <c r="T160" s="99"/>
      <c r="AA160" s="110"/>
      <c r="AB160" s="110"/>
      <c r="AC160" s="110"/>
      <c r="AD160" s="110"/>
      <c r="AI160" s="110"/>
      <c r="AJ160" s="110"/>
      <c r="AL160" s="110"/>
    </row>
    <row r="161" spans="1:40" x14ac:dyDescent="0.3">
      <c r="A161" s="99"/>
    </row>
    <row r="163" spans="1:40" x14ac:dyDescent="0.3">
      <c r="H163" s="99"/>
      <c r="I163" s="99"/>
      <c r="Y163" s="99"/>
    </row>
    <row r="165" spans="1:40" x14ac:dyDescent="0.3">
      <c r="L165" s="99"/>
      <c r="M165" s="99"/>
      <c r="AA165" s="99"/>
      <c r="AB165" s="99"/>
    </row>
    <row r="166" spans="1:40" x14ac:dyDescent="0.3">
      <c r="R166" s="99"/>
      <c r="AK166" s="190"/>
      <c r="AL166" s="99"/>
    </row>
    <row r="167" spans="1:40" x14ac:dyDescent="0.3">
      <c r="R167" s="99"/>
      <c r="AK167" s="190"/>
      <c r="AL167" s="99"/>
    </row>
    <row r="168" spans="1:40" x14ac:dyDescent="0.3">
      <c r="A168" s="99"/>
      <c r="R168" s="99"/>
      <c r="AK168" s="190"/>
      <c r="AL168" s="99"/>
    </row>
    <row r="169" spans="1:40" x14ac:dyDescent="0.3">
      <c r="L169" s="99"/>
      <c r="M169" s="99"/>
      <c r="AA169" s="99"/>
      <c r="AB169" s="99"/>
    </row>
    <row r="170" spans="1:40" x14ac:dyDescent="0.3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91"/>
      <c r="AH170" s="101"/>
      <c r="AI170" s="101"/>
      <c r="AJ170" s="101"/>
      <c r="AK170" s="191"/>
      <c r="AL170" s="101"/>
      <c r="AM170" s="101"/>
      <c r="AN170" s="101"/>
    </row>
    <row r="171" spans="1:40" x14ac:dyDescent="0.3">
      <c r="L171" s="102"/>
      <c r="M171" s="102"/>
      <c r="N171" s="102"/>
      <c r="O171" s="102"/>
      <c r="R171" s="102"/>
      <c r="AA171" s="102"/>
      <c r="AB171" s="102"/>
      <c r="AC171" s="102"/>
      <c r="AD171" s="102"/>
      <c r="AE171" s="102"/>
      <c r="AF171" s="102"/>
      <c r="AG171" s="151"/>
      <c r="AH171" s="102"/>
      <c r="AK171" s="151"/>
      <c r="AL171" s="102"/>
      <c r="AM171" s="102"/>
      <c r="AN171" s="102"/>
    </row>
    <row r="172" spans="1:40" x14ac:dyDescent="0.3">
      <c r="L172" s="102"/>
      <c r="M172" s="102"/>
      <c r="N172" s="102"/>
      <c r="O172" s="102"/>
      <c r="R172" s="102"/>
      <c r="Z172" s="102"/>
      <c r="AA172" s="102"/>
      <c r="AB172" s="102"/>
      <c r="AC172" s="102"/>
      <c r="AD172" s="102"/>
      <c r="AE172" s="102"/>
      <c r="AF172" s="102"/>
      <c r="AG172" s="151"/>
      <c r="AH172" s="102"/>
      <c r="AK172" s="151"/>
      <c r="AL172" s="102"/>
      <c r="AM172" s="102"/>
      <c r="AN172" s="102"/>
    </row>
    <row r="173" spans="1:40" x14ac:dyDescent="0.3">
      <c r="A173" s="102"/>
      <c r="C173" s="102"/>
      <c r="D173" s="102"/>
      <c r="E173" s="102"/>
      <c r="F173" s="102"/>
      <c r="J173" s="102"/>
      <c r="K173" s="102"/>
      <c r="L173" s="102"/>
      <c r="M173" s="102"/>
      <c r="N173" s="102"/>
      <c r="O173" s="102"/>
      <c r="P173" s="102"/>
      <c r="Q173" s="102"/>
      <c r="R173" s="102"/>
      <c r="T173" s="102"/>
      <c r="U173" s="102"/>
      <c r="V173" s="102"/>
      <c r="Z173" s="102"/>
      <c r="AA173" s="102"/>
      <c r="AB173" s="102"/>
      <c r="AC173" s="102"/>
      <c r="AD173" s="102"/>
      <c r="AE173" s="102"/>
      <c r="AF173" s="102"/>
      <c r="AG173" s="151"/>
      <c r="AH173" s="102"/>
      <c r="AI173" s="102"/>
      <c r="AJ173" s="102"/>
      <c r="AK173" s="151"/>
      <c r="AL173" s="102"/>
      <c r="AM173" s="102"/>
      <c r="AN173" s="102"/>
    </row>
    <row r="174" spans="1:40" x14ac:dyDescent="0.3">
      <c r="A174" s="102"/>
      <c r="C174" s="102"/>
      <c r="D174" s="102"/>
      <c r="E174" s="102"/>
      <c r="F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T174" s="102"/>
      <c r="U174" s="102"/>
      <c r="V174" s="102"/>
      <c r="Y174" s="102"/>
      <c r="Z174" s="102"/>
      <c r="AA174" s="102"/>
      <c r="AB174" s="102"/>
      <c r="AC174" s="102"/>
      <c r="AD174" s="102"/>
      <c r="AE174" s="102"/>
      <c r="AF174" s="102"/>
      <c r="AG174" s="151"/>
      <c r="AH174" s="102"/>
      <c r="AI174" s="102"/>
      <c r="AJ174" s="102"/>
      <c r="AK174" s="151"/>
      <c r="AL174" s="102"/>
      <c r="AM174" s="102"/>
      <c r="AN174" s="102"/>
    </row>
    <row r="175" spans="1:40" x14ac:dyDescent="0.3">
      <c r="C175" s="102"/>
      <c r="D175" s="102"/>
      <c r="E175" s="102"/>
      <c r="F175" s="102"/>
      <c r="H175" s="102"/>
      <c r="I175" s="102"/>
      <c r="J175" s="102"/>
      <c r="K175" s="102"/>
      <c r="L175" s="102"/>
      <c r="M175" s="102"/>
      <c r="N175" s="102"/>
      <c r="O175" s="102"/>
      <c r="P175" s="102"/>
      <c r="Q175" s="102"/>
      <c r="R175" s="102"/>
      <c r="T175" s="102"/>
      <c r="U175" s="102"/>
      <c r="V175" s="102"/>
      <c r="Y175" s="102"/>
      <c r="Z175" s="102"/>
      <c r="AA175" s="102"/>
      <c r="AB175" s="102"/>
      <c r="AC175" s="102"/>
      <c r="AD175" s="102"/>
      <c r="AE175" s="102"/>
      <c r="AF175" s="102"/>
      <c r="AG175" s="151"/>
      <c r="AH175" s="102"/>
      <c r="AI175" s="102"/>
      <c r="AJ175" s="102"/>
      <c r="AK175" s="151"/>
      <c r="AL175" s="102"/>
      <c r="AM175" s="102"/>
      <c r="AN175" s="102"/>
    </row>
    <row r="176" spans="1:40" x14ac:dyDescent="0.3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91"/>
      <c r="AH176" s="101"/>
      <c r="AI176" s="101"/>
      <c r="AJ176" s="101"/>
      <c r="AK176" s="191"/>
      <c r="AL176" s="101"/>
      <c r="AM176" s="101"/>
      <c r="AN176" s="101"/>
    </row>
    <row r="177" spans="3:40" x14ac:dyDescent="0.3"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Y177" s="102"/>
      <c r="Z177" s="102"/>
      <c r="AA177" s="102"/>
      <c r="AB177" s="102"/>
      <c r="AC177" s="102"/>
      <c r="AD177" s="102"/>
      <c r="AE177" s="102"/>
      <c r="AF177" s="102"/>
      <c r="AG177" s="151"/>
      <c r="AH177" s="102"/>
      <c r="AI177" s="102"/>
      <c r="AJ177" s="102"/>
      <c r="AK177" s="151"/>
      <c r="AL177" s="102"/>
      <c r="AM177" s="102"/>
      <c r="AN177" s="102"/>
    </row>
    <row r="178" spans="3:40" x14ac:dyDescent="0.3">
      <c r="C178" s="99"/>
      <c r="D178" s="99"/>
      <c r="E178" s="99"/>
      <c r="T178" s="99"/>
      <c r="U178" s="99"/>
    </row>
    <row r="179" spans="3:40" x14ac:dyDescent="0.3">
      <c r="D179" s="99"/>
      <c r="E179" s="99"/>
      <c r="U179" s="99"/>
    </row>
    <row r="181" spans="3:40" x14ac:dyDescent="0.3">
      <c r="C181" s="99"/>
      <c r="F181" s="172"/>
      <c r="H181" s="172"/>
      <c r="I181" s="172"/>
      <c r="J181" s="181"/>
      <c r="K181" s="181"/>
      <c r="L181" s="110"/>
      <c r="M181" s="110"/>
      <c r="N181" s="141"/>
      <c r="O181" s="141"/>
      <c r="R181" s="110"/>
      <c r="T181" s="99"/>
      <c r="V181" s="110"/>
      <c r="Y181" s="172"/>
      <c r="Z181" s="181"/>
      <c r="AA181" s="110"/>
      <c r="AB181" s="110"/>
      <c r="AC181" s="141"/>
      <c r="AD181" s="141"/>
      <c r="AE181" s="110"/>
      <c r="AF181" s="110"/>
      <c r="AG181" s="224"/>
      <c r="AH181" s="225"/>
      <c r="AL181" s="110"/>
      <c r="AM181" s="226"/>
      <c r="AN181" s="226"/>
    </row>
    <row r="182" spans="3:40" x14ac:dyDescent="0.3">
      <c r="C182" s="99"/>
      <c r="F182" s="172"/>
      <c r="H182" s="172"/>
      <c r="I182" s="172"/>
      <c r="J182" s="181"/>
      <c r="K182" s="181"/>
      <c r="L182" s="110"/>
      <c r="M182" s="110"/>
      <c r="N182" s="141"/>
      <c r="O182" s="141"/>
      <c r="R182" s="110"/>
      <c r="T182" s="99"/>
      <c r="V182" s="110"/>
      <c r="Y182" s="172"/>
      <c r="Z182" s="181"/>
      <c r="AA182" s="110"/>
      <c r="AB182" s="110"/>
      <c r="AC182" s="141"/>
      <c r="AD182" s="141"/>
      <c r="AE182" s="110"/>
      <c r="AF182" s="110"/>
      <c r="AH182" s="207"/>
      <c r="AL182" s="110"/>
      <c r="AM182" s="141"/>
      <c r="AN182" s="141"/>
    </row>
    <row r="183" spans="3:40" x14ac:dyDescent="0.3">
      <c r="F183" s="192"/>
      <c r="H183" s="110"/>
      <c r="I183" s="110"/>
      <c r="J183" s="217"/>
      <c r="K183" s="217"/>
      <c r="L183" s="192"/>
      <c r="M183" s="192"/>
      <c r="N183" s="192"/>
      <c r="O183" s="192"/>
      <c r="P183" s="192"/>
      <c r="Q183" s="192"/>
      <c r="R183" s="192"/>
      <c r="V183" s="192"/>
      <c r="Y183" s="110"/>
      <c r="Z183" s="217"/>
      <c r="AA183" s="192"/>
      <c r="AB183" s="192"/>
      <c r="AC183" s="192"/>
      <c r="AD183" s="192"/>
      <c r="AE183" s="192"/>
      <c r="AF183" s="192"/>
      <c r="AI183" s="192"/>
      <c r="AJ183" s="192"/>
      <c r="AK183" s="194"/>
      <c r="AL183" s="192"/>
      <c r="AM183" s="141"/>
      <c r="AN183" s="141"/>
    </row>
    <row r="184" spans="3:40" x14ac:dyDescent="0.3">
      <c r="C184" s="99"/>
      <c r="F184" s="110"/>
      <c r="H184" s="110"/>
      <c r="I184" s="110"/>
      <c r="J184" s="217"/>
      <c r="K184" s="217"/>
      <c r="L184" s="110"/>
      <c r="M184" s="110"/>
      <c r="N184" s="141"/>
      <c r="O184" s="141"/>
      <c r="P184" s="110"/>
      <c r="Q184" s="110"/>
      <c r="R184" s="110"/>
      <c r="T184" s="99"/>
      <c r="V184" s="110"/>
      <c r="Y184" s="110"/>
      <c r="Z184" s="198"/>
      <c r="AA184" s="110"/>
      <c r="AB184" s="110"/>
      <c r="AC184" s="141"/>
      <c r="AD184" s="141"/>
      <c r="AE184" s="110"/>
      <c r="AF184" s="110"/>
      <c r="AH184" s="207"/>
      <c r="AI184" s="110"/>
      <c r="AJ184" s="110"/>
      <c r="AL184" s="110"/>
      <c r="AM184" s="141"/>
      <c r="AN184" s="141"/>
    </row>
    <row r="185" spans="3:40" x14ac:dyDescent="0.3">
      <c r="F185" s="192"/>
      <c r="H185" s="110"/>
      <c r="I185" s="110"/>
      <c r="J185" s="217"/>
      <c r="K185" s="217"/>
      <c r="L185" s="192"/>
      <c r="M185" s="192"/>
      <c r="N185" s="192"/>
      <c r="O185" s="192"/>
      <c r="P185" s="192"/>
      <c r="Q185" s="192"/>
      <c r="R185" s="192"/>
      <c r="V185" s="192"/>
      <c r="Y185" s="110"/>
      <c r="Z185" s="217"/>
      <c r="AA185" s="192"/>
      <c r="AB185" s="192"/>
      <c r="AC185" s="192"/>
      <c r="AD185" s="192"/>
      <c r="AE185" s="192"/>
      <c r="AF185" s="192"/>
      <c r="AI185" s="192"/>
      <c r="AJ185" s="192"/>
      <c r="AK185" s="194"/>
      <c r="AL185" s="192"/>
      <c r="AM185" s="141"/>
      <c r="AN185" s="141"/>
    </row>
    <row r="186" spans="3:40" x14ac:dyDescent="0.3">
      <c r="F186" s="110"/>
      <c r="H186" s="110"/>
      <c r="I186" s="110"/>
      <c r="J186" s="217"/>
      <c r="K186" s="217"/>
      <c r="L186" s="110"/>
      <c r="M186" s="110"/>
      <c r="N186" s="141"/>
      <c r="O186" s="141"/>
      <c r="P186" s="110"/>
      <c r="Q186" s="110"/>
      <c r="R186" s="110"/>
      <c r="V186" s="110"/>
      <c r="Y186" s="110"/>
      <c r="Z186" s="198"/>
      <c r="AA186" s="110"/>
      <c r="AB186" s="110"/>
      <c r="AC186" s="141"/>
      <c r="AD186" s="141"/>
      <c r="AE186" s="110"/>
      <c r="AF186" s="110"/>
      <c r="AH186" s="207"/>
      <c r="AI186" s="110"/>
      <c r="AJ186" s="110"/>
      <c r="AL186" s="110"/>
      <c r="AM186" s="141"/>
      <c r="AN186" s="141"/>
    </row>
    <row r="187" spans="3:40" x14ac:dyDescent="0.3">
      <c r="C187" s="99"/>
      <c r="F187" s="172"/>
      <c r="H187" s="172"/>
      <c r="I187" s="172"/>
      <c r="J187" s="181"/>
      <c r="K187" s="181"/>
      <c r="L187" s="110"/>
      <c r="M187" s="110"/>
      <c r="N187" s="141"/>
      <c r="O187" s="141"/>
      <c r="P187" s="110"/>
      <c r="Q187" s="110"/>
      <c r="R187" s="110"/>
      <c r="T187" s="99"/>
      <c r="V187" s="172"/>
      <c r="Y187" s="110"/>
      <c r="Z187" s="181"/>
      <c r="AA187" s="110"/>
      <c r="AB187" s="110"/>
      <c r="AC187" s="141"/>
      <c r="AD187" s="141"/>
      <c r="AE187" s="110"/>
      <c r="AF187" s="110"/>
      <c r="AG187" s="224"/>
      <c r="AH187" s="225"/>
      <c r="AI187" s="110"/>
      <c r="AJ187" s="110"/>
      <c r="AL187" s="110"/>
      <c r="AM187" s="226"/>
      <c r="AN187" s="226"/>
    </row>
    <row r="188" spans="3:40" x14ac:dyDescent="0.3">
      <c r="C188" s="99"/>
      <c r="F188" s="172"/>
      <c r="H188" s="172"/>
      <c r="I188" s="172"/>
      <c r="J188" s="181"/>
      <c r="K188" s="181"/>
      <c r="L188" s="110"/>
      <c r="M188" s="110"/>
      <c r="N188" s="141"/>
      <c r="O188" s="141"/>
      <c r="P188" s="110"/>
      <c r="Q188" s="110"/>
      <c r="R188" s="110"/>
      <c r="T188" s="99"/>
      <c r="V188" s="172"/>
      <c r="Y188" s="110"/>
      <c r="Z188" s="181"/>
      <c r="AA188" s="110"/>
      <c r="AB188" s="110"/>
      <c r="AC188" s="141"/>
      <c r="AD188" s="141"/>
      <c r="AE188" s="110"/>
      <c r="AF188" s="110"/>
      <c r="AH188" s="207"/>
      <c r="AI188" s="110"/>
      <c r="AJ188" s="110"/>
      <c r="AL188" s="110"/>
      <c r="AM188" s="141"/>
      <c r="AN188" s="141"/>
    </row>
    <row r="189" spans="3:40" x14ac:dyDescent="0.3">
      <c r="F189" s="110"/>
      <c r="H189" s="192"/>
      <c r="I189" s="192"/>
      <c r="J189" s="217"/>
      <c r="K189" s="217"/>
      <c r="L189" s="192"/>
      <c r="M189" s="192"/>
      <c r="N189" s="192"/>
      <c r="O189" s="192"/>
      <c r="P189" s="192"/>
      <c r="Q189" s="192"/>
      <c r="R189" s="192"/>
      <c r="V189" s="110"/>
      <c r="Y189" s="192"/>
      <c r="Z189" s="217"/>
      <c r="AA189" s="192"/>
      <c r="AB189" s="192"/>
      <c r="AC189" s="192"/>
      <c r="AD189" s="192"/>
      <c r="AE189" s="192"/>
      <c r="AF189" s="192"/>
      <c r="AI189" s="192"/>
      <c r="AJ189" s="192"/>
      <c r="AK189" s="194"/>
      <c r="AL189" s="192"/>
      <c r="AM189" s="141"/>
      <c r="AN189" s="141"/>
    </row>
    <row r="190" spans="3:40" x14ac:dyDescent="0.3">
      <c r="C190" s="99"/>
      <c r="F190" s="110"/>
      <c r="H190" s="110"/>
      <c r="I190" s="110"/>
      <c r="J190" s="217"/>
      <c r="K190" s="217"/>
      <c r="L190" s="110"/>
      <c r="M190" s="110"/>
      <c r="N190" s="141"/>
      <c r="O190" s="141"/>
      <c r="P190" s="110"/>
      <c r="Q190" s="110"/>
      <c r="R190" s="110"/>
      <c r="T190" s="99"/>
      <c r="V190" s="110"/>
      <c r="Y190" s="110"/>
      <c r="Z190" s="217"/>
      <c r="AA190" s="110"/>
      <c r="AB190" s="110"/>
      <c r="AC190" s="141"/>
      <c r="AD190" s="141"/>
      <c r="AE190" s="110"/>
      <c r="AF190" s="110"/>
      <c r="AH190" s="207"/>
      <c r="AI190" s="110"/>
      <c r="AJ190" s="110"/>
      <c r="AL190" s="110"/>
      <c r="AM190" s="141"/>
      <c r="AN190" s="141"/>
    </row>
    <row r="191" spans="3:40" x14ac:dyDescent="0.3">
      <c r="F191" s="110"/>
      <c r="H191" s="192"/>
      <c r="I191" s="192"/>
      <c r="J191" s="217"/>
      <c r="K191" s="217"/>
      <c r="L191" s="192"/>
      <c r="M191" s="192"/>
      <c r="N191" s="192"/>
      <c r="O191" s="192"/>
      <c r="P191" s="192"/>
      <c r="Q191" s="192"/>
      <c r="R191" s="192"/>
      <c r="V191" s="110"/>
      <c r="Y191" s="192"/>
      <c r="Z191" s="217"/>
      <c r="AA191" s="192"/>
      <c r="AB191" s="192"/>
      <c r="AC191" s="192"/>
      <c r="AD191" s="192"/>
      <c r="AE191" s="192"/>
      <c r="AF191" s="192"/>
      <c r="AI191" s="192"/>
      <c r="AJ191" s="192"/>
      <c r="AK191" s="194"/>
      <c r="AL191" s="192"/>
      <c r="AM191" s="141"/>
      <c r="AN191" s="141"/>
    </row>
    <row r="192" spans="3:40" x14ac:dyDescent="0.3">
      <c r="F192" s="110"/>
      <c r="H192" s="110"/>
      <c r="I192" s="110"/>
      <c r="J192" s="217"/>
      <c r="K192" s="217"/>
      <c r="L192" s="110"/>
      <c r="M192" s="110"/>
      <c r="N192" s="110"/>
      <c r="O192" s="110"/>
      <c r="P192" s="110"/>
      <c r="Q192" s="110"/>
      <c r="R192" s="110"/>
      <c r="V192" s="110"/>
      <c r="Y192" s="110"/>
      <c r="Z192" s="217"/>
      <c r="AA192" s="110"/>
      <c r="AB192" s="110"/>
      <c r="AC192" s="110"/>
      <c r="AD192" s="110"/>
      <c r="AE192" s="110"/>
      <c r="AF192" s="110"/>
      <c r="AH192" s="207"/>
      <c r="AI192" s="110"/>
      <c r="AJ192" s="110"/>
      <c r="AL192" s="110"/>
      <c r="AM192" s="141"/>
      <c r="AN192" s="141"/>
    </row>
    <row r="193" spans="1:40" x14ac:dyDescent="0.3">
      <c r="C193" s="99"/>
      <c r="F193" s="172"/>
      <c r="H193" s="172"/>
      <c r="I193" s="172"/>
      <c r="J193" s="222"/>
      <c r="K193" s="222"/>
      <c r="L193" s="110"/>
      <c r="M193" s="110"/>
      <c r="N193" s="141"/>
      <c r="O193" s="141"/>
      <c r="P193" s="172"/>
      <c r="Q193" s="172"/>
      <c r="R193" s="110"/>
      <c r="T193" s="99"/>
      <c r="V193" s="172"/>
      <c r="Y193" s="172"/>
      <c r="Z193" s="227"/>
      <c r="AA193" s="110"/>
      <c r="AB193" s="110"/>
      <c r="AC193" s="141"/>
      <c r="AD193" s="141"/>
      <c r="AE193" s="110"/>
      <c r="AF193" s="110"/>
      <c r="AH193" s="207"/>
      <c r="AI193" s="172"/>
      <c r="AJ193" s="172"/>
      <c r="AL193" s="110"/>
      <c r="AM193" s="141"/>
      <c r="AN193" s="141"/>
    </row>
    <row r="194" spans="1:40" x14ac:dyDescent="0.3">
      <c r="C194" s="99"/>
      <c r="F194" s="172"/>
      <c r="H194" s="172"/>
      <c r="I194" s="172"/>
      <c r="J194" s="222"/>
      <c r="K194" s="222"/>
      <c r="L194" s="110"/>
      <c r="M194" s="110"/>
      <c r="N194" s="141"/>
      <c r="O194" s="141"/>
      <c r="P194" s="172"/>
      <c r="Q194" s="172"/>
      <c r="R194" s="110"/>
      <c r="T194" s="99"/>
      <c r="V194" s="172"/>
      <c r="Y194" s="110"/>
      <c r="Z194" s="216"/>
      <c r="AA194" s="110"/>
      <c r="AB194" s="110"/>
      <c r="AC194" s="141"/>
      <c r="AD194" s="141"/>
      <c r="AE194" s="110"/>
      <c r="AF194" s="110"/>
      <c r="AH194" s="207"/>
      <c r="AI194" s="172"/>
      <c r="AJ194" s="172"/>
      <c r="AL194" s="110"/>
      <c r="AM194" s="141"/>
      <c r="AN194" s="141"/>
    </row>
    <row r="195" spans="1:40" x14ac:dyDescent="0.3">
      <c r="C195" s="99"/>
      <c r="F195" s="172"/>
      <c r="H195" s="172"/>
      <c r="I195" s="172"/>
      <c r="J195" s="222"/>
      <c r="K195" s="222"/>
      <c r="L195" s="110"/>
      <c r="M195" s="110"/>
      <c r="N195" s="141"/>
      <c r="O195" s="141"/>
      <c r="P195" s="172"/>
      <c r="Q195" s="172"/>
      <c r="R195" s="110"/>
      <c r="T195" s="99"/>
      <c r="V195" s="172"/>
      <c r="Y195" s="110"/>
      <c r="Z195" s="216"/>
      <c r="AA195" s="110"/>
      <c r="AB195" s="110"/>
      <c r="AC195" s="141"/>
      <c r="AD195" s="141"/>
      <c r="AE195" s="110"/>
      <c r="AF195" s="110"/>
      <c r="AH195" s="207"/>
      <c r="AI195" s="172"/>
      <c r="AJ195" s="172"/>
      <c r="AL195" s="110"/>
      <c r="AM195" s="141"/>
      <c r="AN195" s="141"/>
    </row>
    <row r="196" spans="1:40" x14ac:dyDescent="0.3">
      <c r="F196" s="192"/>
      <c r="H196" s="192"/>
      <c r="I196" s="192"/>
      <c r="J196" s="217"/>
      <c r="K196" s="217"/>
      <c r="L196" s="192"/>
      <c r="M196" s="192"/>
      <c r="N196" s="192"/>
      <c r="O196" s="192"/>
      <c r="P196" s="192"/>
      <c r="Q196" s="192"/>
      <c r="R196" s="192"/>
      <c r="V196" s="192"/>
      <c r="Y196" s="192"/>
      <c r="Z196" s="217"/>
      <c r="AA196" s="192"/>
      <c r="AB196" s="192"/>
      <c r="AC196" s="192"/>
      <c r="AD196" s="192"/>
      <c r="AE196" s="192"/>
      <c r="AF196" s="192"/>
      <c r="AI196" s="192"/>
      <c r="AJ196" s="192"/>
      <c r="AK196" s="194"/>
      <c r="AL196" s="192"/>
      <c r="AM196" s="141"/>
      <c r="AN196" s="141"/>
    </row>
    <row r="197" spans="1:40" x14ac:dyDescent="0.3">
      <c r="C197" s="99"/>
      <c r="F197" s="110"/>
      <c r="H197" s="110"/>
      <c r="I197" s="110"/>
      <c r="J197" s="198"/>
      <c r="K197" s="198"/>
      <c r="L197" s="110"/>
      <c r="M197" s="110"/>
      <c r="N197" s="141"/>
      <c r="O197" s="141"/>
      <c r="P197" s="110"/>
      <c r="Q197" s="110"/>
      <c r="R197" s="110"/>
      <c r="T197" s="99"/>
      <c r="V197" s="110"/>
      <c r="Y197" s="110"/>
      <c r="Z197" s="198"/>
      <c r="AA197" s="110"/>
      <c r="AB197" s="110"/>
      <c r="AC197" s="141"/>
      <c r="AD197" s="141"/>
      <c r="AE197" s="110"/>
      <c r="AF197" s="110"/>
      <c r="AH197" s="207"/>
      <c r="AI197" s="110"/>
      <c r="AJ197" s="110"/>
      <c r="AL197" s="110"/>
      <c r="AM197" s="141"/>
      <c r="AN197" s="141"/>
    </row>
    <row r="198" spans="1:40" x14ac:dyDescent="0.3">
      <c r="F198" s="192"/>
      <c r="H198" s="192"/>
      <c r="I198" s="192"/>
      <c r="J198" s="217"/>
      <c r="K198" s="217"/>
      <c r="L198" s="192"/>
      <c r="M198" s="192"/>
      <c r="N198" s="192"/>
      <c r="O198" s="192"/>
      <c r="P198" s="192"/>
      <c r="Q198" s="192"/>
      <c r="R198" s="192"/>
      <c r="V198" s="192"/>
      <c r="Y198" s="192"/>
      <c r="Z198" s="217"/>
      <c r="AA198" s="192"/>
      <c r="AB198" s="192"/>
      <c r="AC198" s="192"/>
      <c r="AD198" s="192"/>
      <c r="AE198" s="192"/>
      <c r="AF198" s="192"/>
      <c r="AI198" s="192"/>
      <c r="AJ198" s="192"/>
      <c r="AK198" s="194"/>
      <c r="AL198" s="192"/>
      <c r="AM198" s="141"/>
      <c r="AN198" s="141"/>
    </row>
    <row r="199" spans="1:40" x14ac:dyDescent="0.3">
      <c r="C199" s="99"/>
      <c r="F199" s="110"/>
      <c r="H199" s="110"/>
      <c r="I199" s="110"/>
      <c r="J199" s="198"/>
      <c r="K199" s="198"/>
      <c r="L199" s="110"/>
      <c r="M199" s="110"/>
      <c r="N199" s="141"/>
      <c r="O199" s="141"/>
      <c r="P199" s="110"/>
      <c r="Q199" s="110"/>
      <c r="R199" s="110"/>
      <c r="T199" s="99"/>
      <c r="V199" s="110"/>
      <c r="Y199" s="110"/>
      <c r="Z199" s="198"/>
      <c r="AA199" s="110"/>
      <c r="AB199" s="110"/>
      <c r="AC199" s="141"/>
      <c r="AD199" s="141"/>
      <c r="AE199" s="110"/>
      <c r="AF199" s="110"/>
      <c r="AH199" s="207"/>
      <c r="AI199" s="110"/>
      <c r="AJ199" s="110"/>
      <c r="AL199" s="110"/>
      <c r="AM199" s="141"/>
      <c r="AN199" s="141"/>
    </row>
    <row r="200" spans="1:40" x14ac:dyDescent="0.3">
      <c r="C200" s="99"/>
      <c r="F200" s="110"/>
      <c r="H200" s="110"/>
      <c r="I200" s="110"/>
      <c r="J200" s="198"/>
      <c r="K200" s="198"/>
      <c r="L200" s="110"/>
      <c r="M200" s="110"/>
      <c r="N200" s="141"/>
      <c r="O200" s="141"/>
      <c r="P200" s="110"/>
      <c r="Q200" s="110"/>
      <c r="R200" s="110"/>
      <c r="T200" s="99"/>
      <c r="V200" s="110"/>
      <c r="Y200" s="110"/>
      <c r="Z200" s="198"/>
      <c r="AA200" s="110"/>
      <c r="AB200" s="110"/>
      <c r="AC200" s="141"/>
      <c r="AD200" s="141"/>
      <c r="AE200" s="110"/>
      <c r="AF200" s="110"/>
      <c r="AH200" s="207"/>
      <c r="AI200" s="110"/>
      <c r="AJ200" s="110"/>
      <c r="AL200" s="110"/>
      <c r="AM200" s="141"/>
      <c r="AN200" s="141"/>
    </row>
    <row r="201" spans="1:40" x14ac:dyDescent="0.3">
      <c r="F201" s="192"/>
      <c r="H201" s="192"/>
      <c r="I201" s="192"/>
      <c r="J201" s="217"/>
      <c r="K201" s="217"/>
      <c r="L201" s="192"/>
      <c r="M201" s="192"/>
      <c r="N201" s="192"/>
      <c r="O201" s="192"/>
      <c r="P201" s="192"/>
      <c r="Q201" s="192"/>
      <c r="R201" s="192"/>
      <c r="V201" s="192"/>
      <c r="Y201" s="192"/>
      <c r="Z201" s="217"/>
      <c r="AA201" s="192"/>
      <c r="AB201" s="192"/>
      <c r="AC201" s="192"/>
      <c r="AD201" s="192"/>
      <c r="AE201" s="192"/>
      <c r="AF201" s="192"/>
      <c r="AI201" s="192"/>
      <c r="AJ201" s="192"/>
      <c r="AK201" s="194"/>
      <c r="AL201" s="192"/>
      <c r="AM201" s="110"/>
      <c r="AN201" s="110"/>
    </row>
    <row r="202" spans="1:40" x14ac:dyDescent="0.3">
      <c r="F202" s="110"/>
      <c r="H202" s="110"/>
      <c r="I202" s="110"/>
      <c r="J202" s="198"/>
      <c r="K202" s="198"/>
      <c r="L202" s="110"/>
      <c r="M202" s="110"/>
      <c r="N202" s="110"/>
      <c r="O202" s="110"/>
      <c r="P202" s="110"/>
      <c r="Q202" s="110"/>
      <c r="R202" s="110"/>
      <c r="V202" s="110"/>
      <c r="Y202" s="110"/>
      <c r="Z202" s="198"/>
      <c r="AA202" s="110"/>
      <c r="AB202" s="110"/>
      <c r="AC202" s="110"/>
      <c r="AD202" s="110"/>
    </row>
    <row r="203" spans="1:40" x14ac:dyDescent="0.3">
      <c r="C203" s="99"/>
      <c r="F203" s="110"/>
      <c r="H203" s="110"/>
      <c r="I203" s="110"/>
      <c r="J203" s="198"/>
      <c r="K203" s="198"/>
      <c r="L203" s="110"/>
      <c r="M203" s="110"/>
      <c r="N203" s="110"/>
      <c r="O203" s="110"/>
      <c r="P203" s="110"/>
      <c r="Q203" s="110"/>
      <c r="R203" s="110"/>
      <c r="T203" s="99"/>
      <c r="V203" s="110"/>
      <c r="Y203" s="110"/>
      <c r="Z203" s="198"/>
      <c r="AA203" s="110"/>
      <c r="AB203" s="110"/>
      <c r="AC203" s="110"/>
      <c r="AD203" s="110"/>
    </row>
    <row r="204" spans="1:40" x14ac:dyDescent="0.3">
      <c r="A204" s="99"/>
    </row>
    <row r="206" spans="1:40" x14ac:dyDescent="0.3">
      <c r="H206" s="99"/>
      <c r="I206" s="99"/>
      <c r="Y206" s="99"/>
    </row>
    <row r="208" spans="1:40" x14ac:dyDescent="0.3">
      <c r="L208" s="99"/>
      <c r="M208" s="99"/>
      <c r="AA208" s="99"/>
      <c r="AB208" s="99"/>
    </row>
    <row r="209" spans="1:40" x14ac:dyDescent="0.3">
      <c r="R209" s="99"/>
      <c r="AK209" s="190"/>
      <c r="AL209" s="99"/>
    </row>
    <row r="210" spans="1:40" x14ac:dyDescent="0.3">
      <c r="R210" s="99"/>
      <c r="AK210" s="190"/>
      <c r="AL210" s="99"/>
    </row>
    <row r="211" spans="1:40" x14ac:dyDescent="0.3">
      <c r="A211" s="99"/>
      <c r="R211" s="99"/>
      <c r="AK211" s="190"/>
      <c r="AL211" s="99"/>
    </row>
    <row r="212" spans="1:40" x14ac:dyDescent="0.3">
      <c r="L212" s="99"/>
      <c r="M212" s="99"/>
      <c r="AA212" s="99"/>
      <c r="AB212" s="99"/>
    </row>
    <row r="213" spans="1:40" x14ac:dyDescent="0.3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91"/>
      <c r="AH213" s="101"/>
      <c r="AI213" s="101"/>
      <c r="AJ213" s="101"/>
      <c r="AK213" s="191"/>
      <c r="AL213" s="101"/>
      <c r="AM213" s="101"/>
      <c r="AN213" s="101"/>
    </row>
    <row r="214" spans="1:40" x14ac:dyDescent="0.3">
      <c r="L214" s="102"/>
      <c r="M214" s="102"/>
      <c r="N214" s="102"/>
      <c r="O214" s="102"/>
      <c r="R214" s="102"/>
      <c r="AA214" s="102"/>
      <c r="AB214" s="102"/>
      <c r="AC214" s="102"/>
      <c r="AD214" s="102"/>
      <c r="AE214" s="102"/>
      <c r="AF214" s="102"/>
      <c r="AG214" s="151"/>
      <c r="AH214" s="102"/>
      <c r="AK214" s="151"/>
      <c r="AL214" s="102"/>
      <c r="AM214" s="102"/>
      <c r="AN214" s="102"/>
    </row>
    <row r="215" spans="1:40" x14ac:dyDescent="0.3">
      <c r="L215" s="102"/>
      <c r="M215" s="102"/>
      <c r="N215" s="102"/>
      <c r="O215" s="102"/>
      <c r="R215" s="102"/>
      <c r="Z215" s="102"/>
      <c r="AA215" s="102"/>
      <c r="AB215" s="102"/>
      <c r="AC215" s="102"/>
      <c r="AD215" s="102"/>
      <c r="AE215" s="102"/>
      <c r="AF215" s="102"/>
      <c r="AG215" s="151"/>
      <c r="AH215" s="102"/>
      <c r="AK215" s="151"/>
      <c r="AL215" s="102"/>
      <c r="AM215" s="102"/>
      <c r="AN215" s="102"/>
    </row>
    <row r="216" spans="1:40" x14ac:dyDescent="0.3">
      <c r="A216" s="102"/>
      <c r="C216" s="102"/>
      <c r="D216" s="102"/>
      <c r="E216" s="102"/>
      <c r="F216" s="102"/>
      <c r="J216" s="102"/>
      <c r="K216" s="102"/>
      <c r="L216" s="102"/>
      <c r="M216" s="102"/>
      <c r="N216" s="102"/>
      <c r="O216" s="102"/>
      <c r="P216" s="102"/>
      <c r="Q216" s="102"/>
      <c r="R216" s="102"/>
      <c r="T216" s="102"/>
      <c r="U216" s="102"/>
      <c r="V216" s="102"/>
      <c r="Z216" s="102"/>
      <c r="AA216" s="102"/>
      <c r="AB216" s="102"/>
      <c r="AC216" s="102"/>
      <c r="AD216" s="102"/>
      <c r="AE216" s="102"/>
      <c r="AF216" s="102"/>
      <c r="AG216" s="151"/>
      <c r="AH216" s="102"/>
      <c r="AI216" s="102"/>
      <c r="AJ216" s="102"/>
      <c r="AK216" s="151"/>
      <c r="AL216" s="102"/>
      <c r="AM216" s="102"/>
      <c r="AN216" s="102"/>
    </row>
    <row r="217" spans="1:40" x14ac:dyDescent="0.3">
      <c r="A217" s="102"/>
      <c r="C217" s="102"/>
      <c r="D217" s="102"/>
      <c r="E217" s="102"/>
      <c r="F217" s="102"/>
      <c r="H217" s="102"/>
      <c r="I217" s="102"/>
      <c r="J217" s="102"/>
      <c r="K217" s="102"/>
      <c r="L217" s="102"/>
      <c r="M217" s="102"/>
      <c r="N217" s="102"/>
      <c r="O217" s="102"/>
      <c r="P217" s="102"/>
      <c r="Q217" s="102"/>
      <c r="R217" s="102"/>
      <c r="T217" s="102"/>
      <c r="U217" s="102"/>
      <c r="V217" s="102"/>
      <c r="Y217" s="102"/>
      <c r="Z217" s="102"/>
      <c r="AA217" s="102"/>
      <c r="AB217" s="102"/>
      <c r="AC217" s="102"/>
      <c r="AD217" s="102"/>
      <c r="AE217" s="102"/>
      <c r="AF217" s="102"/>
      <c r="AG217" s="151"/>
      <c r="AH217" s="102"/>
      <c r="AI217" s="102"/>
      <c r="AJ217" s="102"/>
      <c r="AK217" s="151"/>
      <c r="AL217" s="102"/>
      <c r="AM217" s="102"/>
      <c r="AN217" s="102"/>
    </row>
    <row r="218" spans="1:40" x14ac:dyDescent="0.3">
      <c r="C218" s="102"/>
      <c r="D218" s="102"/>
      <c r="E218" s="102"/>
      <c r="F218" s="102"/>
      <c r="H218" s="102"/>
      <c r="I218" s="102"/>
      <c r="J218" s="102"/>
      <c r="K218" s="102"/>
      <c r="L218" s="102"/>
      <c r="M218" s="102"/>
      <c r="N218" s="102"/>
      <c r="O218" s="102"/>
      <c r="P218" s="102"/>
      <c r="Q218" s="102"/>
      <c r="R218" s="102"/>
      <c r="T218" s="102"/>
      <c r="U218" s="102"/>
      <c r="V218" s="102"/>
      <c r="Y218" s="102"/>
      <c r="Z218" s="102"/>
      <c r="AA218" s="102"/>
      <c r="AB218" s="102"/>
      <c r="AC218" s="102"/>
      <c r="AD218" s="102"/>
      <c r="AE218" s="102"/>
      <c r="AF218" s="102"/>
      <c r="AG218" s="151"/>
      <c r="AH218" s="102"/>
      <c r="AI218" s="102"/>
      <c r="AJ218" s="102"/>
      <c r="AK218" s="151"/>
      <c r="AL218" s="102"/>
      <c r="AM218" s="102"/>
      <c r="AN218" s="102"/>
    </row>
    <row r="219" spans="1:40" x14ac:dyDescent="0.3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91"/>
      <c r="AH219" s="101"/>
      <c r="AI219" s="101"/>
      <c r="AJ219" s="101"/>
      <c r="AK219" s="191"/>
      <c r="AL219" s="101"/>
      <c r="AM219" s="101"/>
      <c r="AN219" s="101"/>
    </row>
    <row r="220" spans="1:40" x14ac:dyDescent="0.3">
      <c r="H220" s="102"/>
      <c r="I220" s="102"/>
      <c r="J220" s="102"/>
      <c r="K220" s="102"/>
      <c r="L220" s="102"/>
      <c r="M220" s="102"/>
      <c r="N220" s="102"/>
      <c r="O220" s="102"/>
      <c r="P220" s="102"/>
      <c r="Q220" s="102"/>
      <c r="R220" s="102"/>
      <c r="Y220" s="102"/>
      <c r="Z220" s="102"/>
      <c r="AA220" s="102"/>
      <c r="AB220" s="102"/>
      <c r="AC220" s="102"/>
      <c r="AD220" s="102"/>
      <c r="AE220" s="102"/>
      <c r="AF220" s="102"/>
      <c r="AG220" s="151"/>
      <c r="AH220" s="102"/>
      <c r="AI220" s="102"/>
      <c r="AJ220" s="102"/>
      <c r="AK220" s="151"/>
      <c r="AL220" s="102"/>
      <c r="AM220" s="102"/>
      <c r="AN220" s="102"/>
    </row>
    <row r="221" spans="1:40" x14ac:dyDescent="0.3">
      <c r="C221" s="99"/>
      <c r="D221" s="99"/>
      <c r="E221" s="99"/>
      <c r="T221" s="99"/>
      <c r="U221" s="99"/>
    </row>
    <row r="223" spans="1:40" x14ac:dyDescent="0.3">
      <c r="C223" s="99"/>
      <c r="F223" s="172"/>
      <c r="H223" s="220"/>
      <c r="I223" s="220"/>
      <c r="J223" s="181"/>
      <c r="K223" s="181"/>
      <c r="L223" s="110"/>
      <c r="M223" s="110"/>
      <c r="R223" s="110"/>
      <c r="T223" s="99"/>
      <c r="V223" s="110"/>
      <c r="Z223" s="181"/>
      <c r="AA223" s="110"/>
      <c r="AB223" s="110"/>
      <c r="AE223" s="110"/>
      <c r="AF223" s="110"/>
      <c r="AG223" s="224"/>
      <c r="AH223" s="225"/>
      <c r="AI223" s="110"/>
      <c r="AJ223" s="110"/>
      <c r="AL223" s="110"/>
      <c r="AM223" s="226"/>
      <c r="AN223" s="226"/>
    </row>
    <row r="224" spans="1:40" x14ac:dyDescent="0.3">
      <c r="F224" s="172"/>
      <c r="H224" s="220"/>
      <c r="I224" s="220"/>
      <c r="J224" s="220"/>
      <c r="K224" s="220"/>
      <c r="R224" s="110"/>
      <c r="V224" s="110"/>
      <c r="Z224" s="220"/>
    </row>
    <row r="225" spans="3:40" x14ac:dyDescent="0.3">
      <c r="C225" s="99"/>
      <c r="F225" s="172"/>
      <c r="H225" s="172"/>
      <c r="I225" s="172"/>
      <c r="J225" s="222"/>
      <c r="K225" s="222"/>
      <c r="L225" s="110"/>
      <c r="M225" s="110"/>
      <c r="N225" s="141"/>
      <c r="O225" s="141"/>
      <c r="P225" s="172"/>
      <c r="Q225" s="172"/>
      <c r="R225" s="110"/>
      <c r="T225" s="99"/>
      <c r="V225" s="110"/>
      <c r="Y225" s="110"/>
      <c r="Z225" s="216"/>
      <c r="AA225" s="110"/>
      <c r="AB225" s="110"/>
      <c r="AC225" s="141"/>
      <c r="AD225" s="141"/>
      <c r="AE225" s="110"/>
      <c r="AF225" s="110"/>
      <c r="AH225" s="207"/>
      <c r="AI225" s="172"/>
      <c r="AJ225" s="172"/>
      <c r="AL225" s="110"/>
      <c r="AM225" s="141"/>
      <c r="AN225" s="141"/>
    </row>
    <row r="226" spans="3:40" x14ac:dyDescent="0.3">
      <c r="F226" s="192"/>
      <c r="H226" s="192"/>
      <c r="I226" s="192"/>
      <c r="J226" s="217"/>
      <c r="K226" s="217"/>
      <c r="L226" s="192"/>
      <c r="M226" s="192"/>
      <c r="N226" s="192"/>
      <c r="O226" s="192"/>
      <c r="P226" s="192"/>
      <c r="Q226" s="192"/>
      <c r="R226" s="192"/>
      <c r="V226" s="192"/>
      <c r="Y226" s="192"/>
      <c r="Z226" s="217"/>
      <c r="AA226" s="192"/>
      <c r="AB226" s="192"/>
      <c r="AC226" s="192"/>
      <c r="AD226" s="192"/>
      <c r="AE226" s="192"/>
      <c r="AF226" s="192"/>
      <c r="AI226" s="192"/>
      <c r="AJ226" s="192"/>
      <c r="AK226" s="194"/>
      <c r="AL226" s="192"/>
    </row>
    <row r="227" spans="3:40" x14ac:dyDescent="0.3">
      <c r="D227" s="99"/>
      <c r="E227" s="99"/>
      <c r="F227" s="110"/>
      <c r="H227" s="110"/>
      <c r="I227" s="110"/>
      <c r="J227" s="198"/>
      <c r="K227" s="198"/>
      <c r="L227" s="110"/>
      <c r="M227" s="110"/>
      <c r="N227" s="141"/>
      <c r="O227" s="141"/>
      <c r="P227" s="110"/>
      <c r="Q227" s="110"/>
      <c r="R227" s="110"/>
      <c r="U227" s="99"/>
      <c r="V227" s="110"/>
      <c r="Y227" s="110"/>
      <c r="Z227" s="198"/>
      <c r="AA227" s="110"/>
      <c r="AB227" s="110"/>
      <c r="AC227" s="141"/>
      <c r="AD227" s="141"/>
      <c r="AE227" s="110"/>
      <c r="AF227" s="110"/>
      <c r="AH227" s="207"/>
      <c r="AI227" s="110"/>
      <c r="AJ227" s="110"/>
      <c r="AL227" s="110"/>
      <c r="AM227" s="141"/>
      <c r="AN227" s="141"/>
    </row>
    <row r="228" spans="3:40" x14ac:dyDescent="0.3">
      <c r="F228" s="192"/>
      <c r="H228" s="192"/>
      <c r="I228" s="192"/>
      <c r="J228" s="217"/>
      <c r="K228" s="217"/>
      <c r="L228" s="192"/>
      <c r="M228" s="192"/>
      <c r="N228" s="192"/>
      <c r="O228" s="192"/>
      <c r="P228" s="192"/>
      <c r="Q228" s="192"/>
      <c r="R228" s="192"/>
      <c r="V228" s="192"/>
      <c r="Y228" s="192"/>
      <c r="Z228" s="217"/>
      <c r="AA228" s="192"/>
      <c r="AB228" s="192"/>
      <c r="AC228" s="192"/>
      <c r="AD228" s="192"/>
      <c r="AE228" s="192"/>
      <c r="AF228" s="192"/>
      <c r="AI228" s="192"/>
      <c r="AJ228" s="192"/>
      <c r="AK228" s="194"/>
      <c r="AL228" s="192"/>
    </row>
    <row r="229" spans="3:40" x14ac:dyDescent="0.3">
      <c r="R229" s="110"/>
    </row>
    <row r="230" spans="3:40" x14ac:dyDescent="0.3">
      <c r="R230" s="110"/>
    </row>
    <row r="231" spans="3:40" x14ac:dyDescent="0.3">
      <c r="R231" s="110"/>
    </row>
    <row r="232" spans="3:40" x14ac:dyDescent="0.3">
      <c r="C232" s="99"/>
      <c r="D232" s="99"/>
      <c r="E232" s="99"/>
      <c r="H232" s="110"/>
      <c r="I232" s="110"/>
      <c r="J232" s="198"/>
      <c r="K232" s="198"/>
      <c r="L232" s="110"/>
      <c r="M232" s="110"/>
      <c r="N232" s="141"/>
      <c r="O232" s="141"/>
      <c r="P232" s="110"/>
      <c r="Q232" s="110"/>
      <c r="R232" s="110"/>
      <c r="T232" s="99"/>
      <c r="U232" s="99"/>
      <c r="Y232" s="110"/>
      <c r="Z232" s="198"/>
      <c r="AA232" s="110"/>
      <c r="AB232" s="110"/>
      <c r="AC232" s="141"/>
      <c r="AD232" s="141"/>
    </row>
    <row r="233" spans="3:40" x14ac:dyDescent="0.3">
      <c r="H233" s="110"/>
      <c r="I233" s="110"/>
      <c r="J233" s="198"/>
      <c r="K233" s="198"/>
      <c r="L233" s="110"/>
      <c r="M233" s="110"/>
      <c r="N233" s="141"/>
      <c r="O233" s="141"/>
      <c r="P233" s="110"/>
      <c r="Q233" s="110"/>
      <c r="R233" s="110"/>
      <c r="Y233" s="110"/>
      <c r="Z233" s="198"/>
      <c r="AA233" s="110"/>
      <c r="AB233" s="110"/>
      <c r="AC233" s="141"/>
      <c r="AD233" s="141"/>
    </row>
    <row r="234" spans="3:40" x14ac:dyDescent="0.3">
      <c r="C234" s="99"/>
      <c r="F234" s="172"/>
      <c r="H234" s="172"/>
      <c r="I234" s="172"/>
      <c r="J234" s="208"/>
      <c r="K234" s="208"/>
      <c r="L234" s="172"/>
      <c r="M234" s="172"/>
      <c r="N234" s="141"/>
      <c r="O234" s="141"/>
      <c r="P234" s="110"/>
      <c r="Q234" s="110"/>
      <c r="R234" s="110"/>
      <c r="T234" s="99"/>
      <c r="V234" s="110"/>
      <c r="Y234" s="110"/>
      <c r="Z234" s="208"/>
      <c r="AA234" s="110"/>
      <c r="AB234" s="110"/>
      <c r="AC234" s="141"/>
      <c r="AD234" s="141"/>
      <c r="AE234" s="110"/>
      <c r="AF234" s="110"/>
      <c r="AH234" s="207"/>
      <c r="AI234" s="110"/>
      <c r="AJ234" s="110"/>
      <c r="AL234" s="110"/>
      <c r="AM234" s="141"/>
      <c r="AN234" s="141"/>
    </row>
    <row r="235" spans="3:40" x14ac:dyDescent="0.3">
      <c r="F235" s="172"/>
      <c r="H235" s="220"/>
      <c r="I235" s="220"/>
      <c r="J235" s="220"/>
      <c r="K235" s="220"/>
      <c r="R235" s="110"/>
      <c r="V235" s="110"/>
      <c r="Z235" s="220"/>
    </row>
    <row r="236" spans="3:40" x14ac:dyDescent="0.3">
      <c r="C236" s="99"/>
      <c r="F236" s="172"/>
      <c r="H236" s="172"/>
      <c r="I236" s="172"/>
      <c r="J236" s="181"/>
      <c r="K236" s="181"/>
      <c r="L236" s="110"/>
      <c r="M236" s="110"/>
      <c r="N236" s="141"/>
      <c r="O236" s="141"/>
      <c r="P236" s="110"/>
      <c r="Q236" s="110"/>
      <c r="R236" s="110"/>
      <c r="T236" s="99"/>
      <c r="V236" s="110"/>
      <c r="Y236" s="110"/>
      <c r="Z236" s="181"/>
      <c r="AA236" s="110"/>
      <c r="AB236" s="110"/>
      <c r="AC236" s="141"/>
      <c r="AD236" s="141"/>
      <c r="AE236" s="110"/>
      <c r="AF236" s="110"/>
      <c r="AH236" s="207"/>
      <c r="AI236" s="110"/>
      <c r="AJ236" s="110"/>
      <c r="AL236" s="110"/>
      <c r="AM236" s="141"/>
      <c r="AN236" s="141"/>
    </row>
    <row r="237" spans="3:40" x14ac:dyDescent="0.3">
      <c r="F237" s="172"/>
      <c r="H237" s="220"/>
      <c r="I237" s="220"/>
      <c r="J237" s="220"/>
      <c r="K237" s="220"/>
      <c r="R237" s="110"/>
      <c r="V237" s="110"/>
      <c r="Z237" s="220"/>
    </row>
    <row r="238" spans="3:40" x14ac:dyDescent="0.3">
      <c r="C238" s="99"/>
      <c r="F238" s="172"/>
      <c r="H238" s="172"/>
      <c r="I238" s="172"/>
      <c r="J238" s="222"/>
      <c r="K238" s="222"/>
      <c r="L238" s="110"/>
      <c r="M238" s="110"/>
      <c r="N238" s="141"/>
      <c r="O238" s="141"/>
      <c r="P238" s="110"/>
      <c r="Q238" s="110"/>
      <c r="R238" s="110"/>
      <c r="T238" s="99"/>
      <c r="V238" s="110"/>
      <c r="Y238" s="110"/>
      <c r="Z238" s="216"/>
      <c r="AA238" s="110"/>
      <c r="AB238" s="110"/>
      <c r="AC238" s="141"/>
      <c r="AD238" s="141"/>
      <c r="AE238" s="110"/>
      <c r="AF238" s="110"/>
      <c r="AH238" s="207"/>
      <c r="AI238" s="110"/>
      <c r="AJ238" s="110"/>
      <c r="AL238" s="110"/>
      <c r="AM238" s="141"/>
      <c r="AN238" s="141"/>
    </row>
    <row r="239" spans="3:40" x14ac:dyDescent="0.3">
      <c r="F239" s="192"/>
      <c r="H239" s="192"/>
      <c r="I239" s="192"/>
      <c r="J239" s="217"/>
      <c r="K239" s="217"/>
      <c r="L239" s="192"/>
      <c r="M239" s="192"/>
      <c r="N239" s="192"/>
      <c r="O239" s="192"/>
      <c r="P239" s="192"/>
      <c r="Q239" s="192"/>
      <c r="R239" s="192"/>
      <c r="S239" s="110"/>
      <c r="V239" s="192"/>
      <c r="Y239" s="192"/>
      <c r="Z239" s="217"/>
      <c r="AA239" s="192"/>
      <c r="AB239" s="192"/>
      <c r="AC239" s="192"/>
      <c r="AD239" s="192"/>
      <c r="AE239" s="192"/>
      <c r="AF239" s="192"/>
      <c r="AI239" s="192"/>
      <c r="AJ239" s="192"/>
      <c r="AK239" s="194"/>
      <c r="AL239" s="192"/>
    </row>
    <row r="240" spans="3:40" x14ac:dyDescent="0.3">
      <c r="D240" s="99"/>
      <c r="E240" s="99"/>
      <c r="F240" s="110"/>
      <c r="H240" s="110"/>
      <c r="I240" s="110"/>
      <c r="J240" s="198"/>
      <c r="K240" s="198"/>
      <c r="L240" s="110"/>
      <c r="M240" s="110"/>
      <c r="N240" s="141"/>
      <c r="O240" s="141"/>
      <c r="P240" s="172"/>
      <c r="Q240" s="172"/>
      <c r="R240" s="110"/>
      <c r="S240" s="110"/>
      <c r="U240" s="99"/>
      <c r="V240" s="110"/>
      <c r="Y240" s="110"/>
      <c r="Z240" s="198"/>
      <c r="AA240" s="110"/>
      <c r="AB240" s="110"/>
      <c r="AC240" s="141"/>
      <c r="AD240" s="141"/>
      <c r="AE240" s="110"/>
      <c r="AF240" s="110"/>
      <c r="AH240" s="207"/>
      <c r="AI240" s="172"/>
      <c r="AJ240" s="172"/>
      <c r="AL240" s="110"/>
      <c r="AM240" s="141"/>
      <c r="AN240" s="141"/>
    </row>
    <row r="241" spans="1:40" x14ac:dyDescent="0.3">
      <c r="F241" s="192"/>
      <c r="H241" s="192"/>
      <c r="I241" s="192"/>
      <c r="J241" s="217"/>
      <c r="K241" s="217"/>
      <c r="L241" s="192"/>
      <c r="M241" s="192"/>
      <c r="N241" s="192"/>
      <c r="O241" s="192"/>
      <c r="P241" s="192"/>
      <c r="Q241" s="192"/>
      <c r="R241" s="192"/>
      <c r="S241" s="110"/>
      <c r="V241" s="192"/>
      <c r="Y241" s="192"/>
      <c r="Z241" s="217"/>
      <c r="AA241" s="192"/>
      <c r="AB241" s="192"/>
      <c r="AC241" s="192"/>
      <c r="AD241" s="192"/>
      <c r="AE241" s="192"/>
      <c r="AF241" s="192"/>
      <c r="AI241" s="192"/>
      <c r="AJ241" s="192"/>
      <c r="AK241" s="194"/>
      <c r="AL241" s="192"/>
    </row>
    <row r="242" spans="1:40" x14ac:dyDescent="0.3">
      <c r="R242" s="110"/>
    </row>
    <row r="243" spans="1:40" x14ac:dyDescent="0.3">
      <c r="F243" s="110"/>
      <c r="H243" s="110"/>
      <c r="I243" s="110"/>
      <c r="J243" s="198"/>
      <c r="K243" s="198"/>
      <c r="L243" s="110"/>
      <c r="M243" s="110"/>
      <c r="N243" s="110"/>
      <c r="O243" s="110"/>
      <c r="P243" s="110"/>
      <c r="Q243" s="110"/>
      <c r="R243" s="110"/>
      <c r="V243" s="110"/>
      <c r="Y243" s="110"/>
      <c r="Z243" s="198"/>
      <c r="AA243" s="110"/>
      <c r="AB243" s="110"/>
      <c r="AC243" s="110"/>
      <c r="AD243" s="110"/>
    </row>
    <row r="244" spans="1:40" x14ac:dyDescent="0.3">
      <c r="C244" s="99"/>
      <c r="F244" s="110"/>
      <c r="H244" s="110"/>
      <c r="I244" s="110"/>
      <c r="J244" s="198"/>
      <c r="K244" s="198"/>
      <c r="L244" s="110"/>
      <c r="M244" s="110"/>
      <c r="N244" s="110"/>
      <c r="O244" s="110"/>
      <c r="P244" s="110"/>
      <c r="Q244" s="110"/>
      <c r="R244" s="110"/>
      <c r="T244" s="99"/>
      <c r="V244" s="110"/>
      <c r="Y244" s="110"/>
      <c r="Z244" s="198"/>
      <c r="AA244" s="110"/>
      <c r="AB244" s="110"/>
      <c r="AC244" s="110"/>
      <c r="AD244" s="110"/>
    </row>
    <row r="245" spans="1:40" x14ac:dyDescent="0.3">
      <c r="C245" s="99"/>
      <c r="T245" s="99"/>
    </row>
    <row r="246" spans="1:40" x14ac:dyDescent="0.3">
      <c r="A246" s="99"/>
    </row>
    <row r="249" spans="1:40" x14ac:dyDescent="0.3">
      <c r="H249" s="99"/>
      <c r="I249" s="99"/>
      <c r="Y249" s="99"/>
    </row>
    <row r="251" spans="1:40" x14ac:dyDescent="0.3">
      <c r="L251" s="99"/>
      <c r="M251" s="99"/>
      <c r="AA251" s="99"/>
      <c r="AB251" s="99"/>
    </row>
    <row r="252" spans="1:40" x14ac:dyDescent="0.3">
      <c r="R252" s="99"/>
      <c r="AK252" s="190"/>
      <c r="AL252" s="99"/>
    </row>
    <row r="253" spans="1:40" x14ac:dyDescent="0.3">
      <c r="R253" s="99"/>
      <c r="AK253" s="190"/>
      <c r="AL253" s="99"/>
    </row>
    <row r="254" spans="1:40" x14ac:dyDescent="0.3">
      <c r="A254" s="99"/>
      <c r="R254" s="99"/>
      <c r="AK254" s="190"/>
      <c r="AL254" s="99"/>
    </row>
    <row r="255" spans="1:40" x14ac:dyDescent="0.3">
      <c r="L255" s="99"/>
      <c r="M255" s="99"/>
      <c r="AA255" s="99"/>
      <c r="AB255" s="99"/>
    </row>
    <row r="256" spans="1:40" x14ac:dyDescent="0.3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91"/>
      <c r="AH256" s="101"/>
      <c r="AI256" s="101"/>
      <c r="AJ256" s="101"/>
      <c r="AK256" s="191"/>
      <c r="AL256" s="101"/>
      <c r="AM256" s="101"/>
      <c r="AN256" s="101"/>
    </row>
    <row r="257" spans="1:40" x14ac:dyDescent="0.3">
      <c r="L257" s="102"/>
      <c r="M257" s="102"/>
      <c r="N257" s="102"/>
      <c r="O257" s="102"/>
      <c r="R257" s="102"/>
      <c r="AA257" s="102"/>
      <c r="AB257" s="102"/>
      <c r="AC257" s="102"/>
      <c r="AD257" s="102"/>
      <c r="AE257" s="102"/>
      <c r="AF257" s="102"/>
      <c r="AG257" s="151"/>
      <c r="AH257" s="102"/>
      <c r="AK257" s="151"/>
      <c r="AL257" s="102"/>
      <c r="AM257" s="102"/>
      <c r="AN257" s="102"/>
    </row>
    <row r="258" spans="1:40" x14ac:dyDescent="0.3">
      <c r="L258" s="102"/>
      <c r="M258" s="102"/>
      <c r="N258" s="102"/>
      <c r="O258" s="102"/>
      <c r="R258" s="102"/>
      <c r="Z258" s="102"/>
      <c r="AA258" s="102"/>
      <c r="AB258" s="102"/>
      <c r="AC258" s="102"/>
      <c r="AD258" s="102"/>
      <c r="AE258" s="102"/>
      <c r="AF258" s="102"/>
      <c r="AG258" s="151"/>
      <c r="AH258" s="102"/>
      <c r="AK258" s="151"/>
      <c r="AL258" s="102"/>
      <c r="AM258" s="102"/>
      <c r="AN258" s="102"/>
    </row>
    <row r="259" spans="1:40" x14ac:dyDescent="0.3">
      <c r="A259" s="102"/>
      <c r="C259" s="102"/>
      <c r="D259" s="102"/>
      <c r="E259" s="102"/>
      <c r="F259" s="102"/>
      <c r="J259" s="102"/>
      <c r="K259" s="102"/>
      <c r="L259" s="102"/>
      <c r="M259" s="102"/>
      <c r="N259" s="102"/>
      <c r="O259" s="102"/>
      <c r="P259" s="102"/>
      <c r="Q259" s="102"/>
      <c r="R259" s="102"/>
      <c r="T259" s="102"/>
      <c r="U259" s="102"/>
      <c r="V259" s="102"/>
      <c r="Z259" s="102"/>
      <c r="AA259" s="102"/>
      <c r="AB259" s="102"/>
      <c r="AC259" s="102"/>
      <c r="AD259" s="102"/>
      <c r="AE259" s="102"/>
      <c r="AF259" s="102"/>
      <c r="AG259" s="151"/>
      <c r="AH259" s="102"/>
      <c r="AI259" s="102"/>
      <c r="AJ259" s="102"/>
      <c r="AK259" s="151"/>
      <c r="AL259" s="102"/>
      <c r="AM259" s="102"/>
      <c r="AN259" s="102"/>
    </row>
    <row r="260" spans="1:40" x14ac:dyDescent="0.3">
      <c r="A260" s="102"/>
      <c r="C260" s="102"/>
      <c r="D260" s="102"/>
      <c r="E260" s="102"/>
      <c r="F260" s="102"/>
      <c r="H260" s="102"/>
      <c r="I260" s="102"/>
      <c r="J260" s="102"/>
      <c r="K260" s="102"/>
      <c r="L260" s="102"/>
      <c r="M260" s="102"/>
      <c r="N260" s="102"/>
      <c r="O260" s="102"/>
      <c r="P260" s="102"/>
      <c r="Q260" s="102"/>
      <c r="R260" s="102"/>
      <c r="T260" s="102"/>
      <c r="U260" s="102"/>
      <c r="V260" s="102"/>
      <c r="Y260" s="102"/>
      <c r="Z260" s="102"/>
      <c r="AA260" s="102"/>
      <c r="AB260" s="102"/>
      <c r="AC260" s="102"/>
      <c r="AD260" s="102"/>
      <c r="AE260" s="102"/>
      <c r="AF260" s="102"/>
      <c r="AG260" s="151"/>
      <c r="AH260" s="102"/>
      <c r="AI260" s="102"/>
      <c r="AJ260" s="102"/>
      <c r="AK260" s="151"/>
      <c r="AL260" s="102"/>
      <c r="AM260" s="102"/>
      <c r="AN260" s="102"/>
    </row>
    <row r="261" spans="1:40" x14ac:dyDescent="0.3">
      <c r="C261" s="102"/>
      <c r="D261" s="102"/>
      <c r="E261" s="102"/>
      <c r="F261" s="102"/>
      <c r="H261" s="102"/>
      <c r="I261" s="102"/>
      <c r="J261" s="102"/>
      <c r="K261" s="102"/>
      <c r="L261" s="102"/>
      <c r="M261" s="102"/>
      <c r="N261" s="102"/>
      <c r="O261" s="102"/>
      <c r="P261" s="102"/>
      <c r="Q261" s="102"/>
      <c r="R261" s="102"/>
      <c r="T261" s="102"/>
      <c r="U261" s="102"/>
      <c r="V261" s="102"/>
      <c r="Y261" s="102"/>
      <c r="Z261" s="102"/>
      <c r="AA261" s="102"/>
      <c r="AB261" s="102"/>
      <c r="AC261" s="102"/>
      <c r="AD261" s="102"/>
      <c r="AE261" s="102"/>
      <c r="AF261" s="102"/>
      <c r="AG261" s="151"/>
      <c r="AH261" s="102"/>
      <c r="AI261" s="102"/>
      <c r="AJ261" s="102"/>
      <c r="AK261" s="151"/>
      <c r="AL261" s="102"/>
      <c r="AM261" s="102"/>
      <c r="AN261" s="102"/>
    </row>
    <row r="262" spans="1:40" x14ac:dyDescent="0.3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91"/>
      <c r="AH262" s="101"/>
      <c r="AI262" s="101"/>
      <c r="AJ262" s="101"/>
      <c r="AK262" s="191"/>
      <c r="AL262" s="101"/>
      <c r="AM262" s="101"/>
      <c r="AN262" s="101"/>
    </row>
    <row r="263" spans="1:40" x14ac:dyDescent="0.3">
      <c r="H263" s="102"/>
      <c r="I263" s="102"/>
      <c r="J263" s="102"/>
      <c r="K263" s="102"/>
      <c r="L263" s="102"/>
      <c r="M263" s="102"/>
      <c r="N263" s="102"/>
      <c r="O263" s="102"/>
      <c r="P263" s="102"/>
      <c r="Q263" s="102"/>
      <c r="R263" s="102"/>
      <c r="Y263" s="102"/>
      <c r="Z263" s="102"/>
      <c r="AA263" s="102"/>
      <c r="AB263" s="102"/>
      <c r="AC263" s="102"/>
      <c r="AD263" s="102"/>
      <c r="AE263" s="102"/>
      <c r="AF263" s="102"/>
      <c r="AG263" s="151"/>
      <c r="AH263" s="102"/>
      <c r="AI263" s="102"/>
      <c r="AJ263" s="102"/>
      <c r="AK263" s="151"/>
      <c r="AL263" s="102"/>
      <c r="AM263" s="102"/>
      <c r="AN263" s="102"/>
    </row>
    <row r="264" spans="1:40" x14ac:dyDescent="0.3">
      <c r="C264" s="99"/>
      <c r="D264" s="99"/>
      <c r="E264" s="99"/>
      <c r="T264" s="99"/>
      <c r="U264" s="99"/>
    </row>
    <row r="265" spans="1:40" x14ac:dyDescent="0.3">
      <c r="D265" s="99"/>
      <c r="E265" s="99"/>
      <c r="U265" s="99"/>
    </row>
    <row r="267" spans="1:40" x14ac:dyDescent="0.3">
      <c r="C267" s="99"/>
      <c r="F267" s="110"/>
      <c r="J267" s="209"/>
      <c r="K267" s="209"/>
      <c r="L267" s="110"/>
      <c r="M267" s="110"/>
      <c r="R267" s="110"/>
      <c r="T267" s="99"/>
      <c r="V267" s="110"/>
      <c r="Z267" s="209"/>
      <c r="AA267" s="110"/>
      <c r="AB267" s="110"/>
      <c r="AL267" s="110"/>
    </row>
    <row r="268" spans="1:40" x14ac:dyDescent="0.3">
      <c r="F268" s="110"/>
      <c r="R268" s="110"/>
      <c r="V268" s="110"/>
      <c r="AL268" s="110"/>
    </row>
    <row r="269" spans="1:40" x14ac:dyDescent="0.3">
      <c r="C269" s="99"/>
      <c r="F269" s="172"/>
      <c r="H269" s="172"/>
      <c r="I269" s="172"/>
      <c r="J269" s="181"/>
      <c r="K269" s="181"/>
      <c r="L269" s="110"/>
      <c r="M269" s="110"/>
      <c r="N269" s="141"/>
      <c r="O269" s="141"/>
      <c r="P269" s="110"/>
      <c r="Q269" s="110"/>
      <c r="R269" s="110"/>
      <c r="T269" s="99"/>
      <c r="V269" s="110"/>
      <c r="Y269" s="110"/>
      <c r="Z269" s="181"/>
      <c r="AA269" s="110"/>
      <c r="AB269" s="110"/>
      <c r="AC269" s="141"/>
      <c r="AD269" s="141"/>
      <c r="AE269" s="110"/>
      <c r="AF269" s="110"/>
      <c r="AH269" s="207"/>
      <c r="AI269" s="110"/>
      <c r="AJ269" s="110"/>
      <c r="AL269" s="110"/>
      <c r="AM269" s="141"/>
      <c r="AN269" s="141"/>
    </row>
    <row r="270" spans="1:40" x14ac:dyDescent="0.3">
      <c r="C270" s="99"/>
      <c r="F270" s="172"/>
      <c r="H270" s="220"/>
      <c r="I270" s="220"/>
      <c r="J270" s="181"/>
      <c r="K270" s="181"/>
      <c r="L270" s="110"/>
      <c r="M270" s="110"/>
      <c r="N270" s="141"/>
      <c r="O270" s="141"/>
      <c r="P270" s="110"/>
      <c r="Q270" s="110"/>
      <c r="R270" s="110"/>
      <c r="T270" s="99"/>
      <c r="V270" s="110"/>
      <c r="Y270" s="110"/>
      <c r="Z270" s="181"/>
      <c r="AA270" s="110"/>
      <c r="AB270" s="110"/>
      <c r="AC270" s="141"/>
      <c r="AD270" s="141"/>
      <c r="AE270" s="110"/>
      <c r="AF270" s="110"/>
      <c r="AH270" s="207"/>
      <c r="AI270" s="110"/>
      <c r="AJ270" s="110"/>
      <c r="AL270" s="110"/>
      <c r="AM270" s="141"/>
      <c r="AN270" s="141"/>
    </row>
    <row r="271" spans="1:40" x14ac:dyDescent="0.3">
      <c r="F271" s="192"/>
      <c r="H271" s="110"/>
      <c r="I271" s="110"/>
      <c r="J271" s="217"/>
      <c r="K271" s="217"/>
      <c r="L271" s="192"/>
      <c r="M271" s="192"/>
      <c r="N271" s="192"/>
      <c r="O271" s="192"/>
      <c r="P271" s="192"/>
      <c r="Q271" s="192"/>
      <c r="R271" s="192"/>
      <c r="V271" s="192"/>
      <c r="Y271" s="110"/>
      <c r="Z271" s="217"/>
      <c r="AA271" s="192"/>
      <c r="AB271" s="192"/>
      <c r="AC271" s="192"/>
      <c r="AD271" s="192"/>
      <c r="AE271" s="192"/>
      <c r="AF271" s="192"/>
      <c r="AI271" s="192"/>
      <c r="AJ271" s="192"/>
      <c r="AK271" s="194"/>
      <c r="AL271" s="192"/>
    </row>
    <row r="272" spans="1:40" x14ac:dyDescent="0.3">
      <c r="C272" s="99"/>
      <c r="F272" s="110"/>
      <c r="H272" s="110"/>
      <c r="I272" s="110"/>
      <c r="J272" s="198"/>
      <c r="K272" s="198"/>
      <c r="L272" s="110"/>
      <c r="M272" s="110"/>
      <c r="N272" s="141"/>
      <c r="O272" s="141"/>
      <c r="P272" s="110"/>
      <c r="Q272" s="110"/>
      <c r="R272" s="110"/>
      <c r="T272" s="99"/>
      <c r="V272" s="110"/>
      <c r="Y272" s="110"/>
      <c r="Z272" s="198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1:40" x14ac:dyDescent="0.3">
      <c r="F273" s="192"/>
      <c r="H273" s="110"/>
      <c r="I273" s="110"/>
      <c r="J273" s="217"/>
      <c r="K273" s="217"/>
      <c r="L273" s="192"/>
      <c r="M273" s="192"/>
      <c r="N273" s="192"/>
      <c r="O273" s="192"/>
      <c r="P273" s="192"/>
      <c r="Q273" s="192"/>
      <c r="R273" s="192"/>
      <c r="V273" s="192"/>
      <c r="Y273" s="110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</row>
    <row r="274" spans="1:40" x14ac:dyDescent="0.3">
      <c r="F274" s="110"/>
      <c r="R274" s="110"/>
      <c r="V274" s="110"/>
      <c r="AL274" s="110"/>
    </row>
    <row r="275" spans="1:40" x14ac:dyDescent="0.3">
      <c r="C275" s="99"/>
      <c r="F275" s="110"/>
      <c r="R275" s="110"/>
      <c r="T275" s="99"/>
      <c r="V275" s="110"/>
      <c r="AL275" s="110"/>
    </row>
    <row r="276" spans="1:40" x14ac:dyDescent="0.3">
      <c r="F276" s="110"/>
      <c r="R276" s="110"/>
      <c r="V276" s="110"/>
      <c r="AL276" s="110"/>
    </row>
    <row r="277" spans="1:40" x14ac:dyDescent="0.3">
      <c r="C277" s="99"/>
      <c r="F277" s="110"/>
      <c r="H277" s="172"/>
      <c r="I277" s="172"/>
      <c r="J277" s="222"/>
      <c r="K277" s="222"/>
      <c r="L277" s="110"/>
      <c r="M277" s="110"/>
      <c r="N277" s="141"/>
      <c r="O277" s="141"/>
      <c r="P277" s="172"/>
      <c r="Q277" s="172"/>
      <c r="R277" s="110"/>
      <c r="T277" s="99"/>
      <c r="V277" s="110"/>
      <c r="Y277" s="110"/>
      <c r="Z277" s="216"/>
      <c r="AA277" s="110"/>
      <c r="AB277" s="110"/>
      <c r="AC277" s="141"/>
      <c r="AD277" s="141"/>
      <c r="AE277" s="110"/>
      <c r="AF277" s="110"/>
      <c r="AH277" s="207"/>
      <c r="AI277" s="172"/>
      <c r="AJ277" s="172"/>
      <c r="AL277" s="110"/>
      <c r="AM277" s="141"/>
      <c r="AN277" s="141"/>
    </row>
    <row r="278" spans="1:40" x14ac:dyDescent="0.3">
      <c r="F278" s="192"/>
      <c r="H278" s="192"/>
      <c r="I278" s="192"/>
      <c r="J278" s="217"/>
      <c r="K278" s="217"/>
      <c r="L278" s="192"/>
      <c r="M278" s="192"/>
      <c r="N278" s="192"/>
      <c r="O278" s="192"/>
      <c r="P278" s="192"/>
      <c r="Q278" s="192"/>
      <c r="R278" s="192"/>
      <c r="V278" s="192"/>
      <c r="Y278" s="192"/>
      <c r="Z278" s="217"/>
      <c r="AA278" s="192"/>
      <c r="AB278" s="192"/>
      <c r="AC278" s="192"/>
      <c r="AD278" s="192"/>
      <c r="AE278" s="192"/>
      <c r="AF278" s="192"/>
      <c r="AI278" s="192"/>
      <c r="AJ278" s="192"/>
      <c r="AK278" s="194"/>
      <c r="AL278" s="192"/>
    </row>
    <row r="280" spans="1:40" x14ac:dyDescent="0.3">
      <c r="C280" s="99"/>
      <c r="F280" s="110"/>
      <c r="H280" s="110"/>
      <c r="I280" s="110"/>
      <c r="J280" s="209"/>
      <c r="K280" s="209"/>
      <c r="L280" s="110"/>
      <c r="M280" s="110"/>
      <c r="N280" s="141"/>
      <c r="O280" s="141"/>
      <c r="P280" s="110"/>
      <c r="Q280" s="110"/>
      <c r="R280" s="110"/>
      <c r="T280" s="99"/>
      <c r="V280" s="110"/>
      <c r="Y280" s="110"/>
      <c r="Z280" s="209"/>
      <c r="AA280" s="110"/>
      <c r="AB280" s="110"/>
      <c r="AC280" s="141"/>
      <c r="AD280" s="141"/>
      <c r="AE280" s="110"/>
      <c r="AF280" s="110"/>
      <c r="AH280" s="207"/>
      <c r="AI280" s="110"/>
      <c r="AJ280" s="110"/>
      <c r="AL280" s="110"/>
      <c r="AM280" s="141"/>
      <c r="AN280" s="141"/>
    </row>
    <row r="281" spans="1:40" x14ac:dyDescent="0.3">
      <c r="F281" s="192"/>
      <c r="H281" s="192"/>
      <c r="I281" s="192"/>
      <c r="J281" s="217"/>
      <c r="K281" s="217"/>
      <c r="L281" s="192"/>
      <c r="M281" s="192"/>
      <c r="N281" s="192"/>
      <c r="O281" s="192"/>
      <c r="P281" s="192"/>
      <c r="Q281" s="192"/>
      <c r="R281" s="192"/>
      <c r="V281" s="192"/>
      <c r="Y281" s="192"/>
      <c r="Z281" s="217"/>
      <c r="AA281" s="192"/>
      <c r="AB281" s="192"/>
      <c r="AC281" s="192"/>
      <c r="AD281" s="192"/>
      <c r="AE281" s="192"/>
      <c r="AF281" s="192"/>
      <c r="AI281" s="192"/>
      <c r="AJ281" s="192"/>
      <c r="AK281" s="194"/>
      <c r="AL281" s="192"/>
    </row>
    <row r="282" spans="1:40" x14ac:dyDescent="0.3">
      <c r="R282" s="110"/>
      <c r="AH282" s="110"/>
    </row>
    <row r="283" spans="1:40" x14ac:dyDescent="0.3">
      <c r="F283" s="110"/>
      <c r="H283" s="110"/>
      <c r="I283" s="110"/>
      <c r="J283" s="198"/>
      <c r="K283" s="198"/>
      <c r="L283" s="110"/>
      <c r="M283" s="110"/>
      <c r="N283" s="110"/>
      <c r="O283" s="110"/>
      <c r="P283" s="110"/>
      <c r="Q283" s="110"/>
      <c r="R283" s="110"/>
      <c r="V283" s="110"/>
      <c r="Y283" s="110"/>
      <c r="Z283" s="198"/>
      <c r="AA283" s="110"/>
      <c r="AB283" s="110"/>
      <c r="AC283" s="110"/>
      <c r="AD283" s="110"/>
      <c r="AE283" s="110"/>
      <c r="AF283" s="110"/>
      <c r="AH283" s="110"/>
    </row>
    <row r="284" spans="1:40" x14ac:dyDescent="0.3">
      <c r="C284" s="99"/>
      <c r="F284" s="110"/>
      <c r="H284" s="110"/>
      <c r="I284" s="110"/>
      <c r="J284" s="198"/>
      <c r="K284" s="198"/>
      <c r="L284" s="110"/>
      <c r="M284" s="110"/>
      <c r="N284" s="110"/>
      <c r="O284" s="110"/>
      <c r="P284" s="110"/>
      <c r="Q284" s="110"/>
      <c r="R284" s="110"/>
      <c r="T284" s="99"/>
      <c r="V284" s="110"/>
      <c r="Y284" s="110"/>
      <c r="Z284" s="198"/>
      <c r="AA284" s="110"/>
      <c r="AB284" s="110"/>
      <c r="AC284" s="110"/>
      <c r="AD284" s="110"/>
      <c r="AE284" s="110"/>
      <c r="AF284" s="110"/>
      <c r="AH284" s="110"/>
    </row>
    <row r="285" spans="1:40" x14ac:dyDescent="0.3">
      <c r="A285" s="99"/>
    </row>
    <row r="288" spans="1:40" x14ac:dyDescent="0.3">
      <c r="H288" s="99"/>
      <c r="I288" s="99"/>
      <c r="Y288" s="99"/>
    </row>
    <row r="290" spans="1:40" x14ac:dyDescent="0.3">
      <c r="L290" s="99"/>
      <c r="M290" s="99"/>
      <c r="AA290" s="99"/>
      <c r="AB290" s="99"/>
    </row>
    <row r="291" spans="1:40" x14ac:dyDescent="0.3">
      <c r="R291" s="99"/>
      <c r="AK291" s="190"/>
      <c r="AL291" s="99"/>
    </row>
    <row r="292" spans="1:40" x14ac:dyDescent="0.3">
      <c r="R292" s="99"/>
      <c r="AK292" s="190"/>
      <c r="AL292" s="99"/>
    </row>
    <row r="293" spans="1:40" x14ac:dyDescent="0.3">
      <c r="A293" s="99"/>
      <c r="R293" s="99"/>
      <c r="AK293" s="190"/>
      <c r="AL293" s="99"/>
    </row>
    <row r="294" spans="1:40" x14ac:dyDescent="0.3">
      <c r="L294" s="99"/>
      <c r="M294" s="99"/>
      <c r="AA294" s="99"/>
      <c r="AB294" s="99"/>
    </row>
    <row r="295" spans="1:40" x14ac:dyDescent="0.3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91"/>
      <c r="AH295" s="101"/>
      <c r="AI295" s="101"/>
      <c r="AJ295" s="101"/>
      <c r="AK295" s="191"/>
      <c r="AL295" s="101"/>
      <c r="AM295" s="101"/>
      <c r="AN295" s="101"/>
    </row>
    <row r="296" spans="1:40" x14ac:dyDescent="0.3">
      <c r="L296" s="102"/>
      <c r="M296" s="102"/>
      <c r="N296" s="102"/>
      <c r="O296" s="102"/>
      <c r="R296" s="102"/>
      <c r="AA296" s="102"/>
      <c r="AB296" s="102"/>
      <c r="AC296" s="102"/>
      <c r="AD296" s="102"/>
      <c r="AE296" s="102"/>
      <c r="AF296" s="102"/>
      <c r="AG296" s="151"/>
      <c r="AH296" s="102"/>
      <c r="AK296" s="151"/>
      <c r="AL296" s="102"/>
      <c r="AM296" s="102"/>
      <c r="AN296" s="102"/>
    </row>
    <row r="297" spans="1:40" x14ac:dyDescent="0.3">
      <c r="L297" s="102"/>
      <c r="M297" s="102"/>
      <c r="N297" s="102"/>
      <c r="O297" s="102"/>
      <c r="R297" s="102"/>
      <c r="Z297" s="102"/>
      <c r="AA297" s="102"/>
      <c r="AB297" s="102"/>
      <c r="AC297" s="102"/>
      <c r="AD297" s="102"/>
      <c r="AE297" s="102"/>
      <c r="AF297" s="102"/>
      <c r="AG297" s="151"/>
      <c r="AH297" s="102"/>
      <c r="AK297" s="151"/>
      <c r="AL297" s="102"/>
      <c r="AM297" s="102"/>
      <c r="AN297" s="102"/>
    </row>
    <row r="298" spans="1:40" x14ac:dyDescent="0.3">
      <c r="A298" s="102"/>
      <c r="C298" s="102"/>
      <c r="D298" s="102"/>
      <c r="E298" s="102"/>
      <c r="F298" s="102"/>
      <c r="J298" s="102"/>
      <c r="K298" s="102"/>
      <c r="L298" s="102"/>
      <c r="M298" s="102"/>
      <c r="N298" s="102"/>
      <c r="O298" s="102"/>
      <c r="P298" s="102"/>
      <c r="Q298" s="102"/>
      <c r="R298" s="102"/>
      <c r="T298" s="102"/>
      <c r="U298" s="102"/>
      <c r="V298" s="102"/>
      <c r="Z298" s="102"/>
      <c r="AA298" s="102"/>
      <c r="AB298" s="102"/>
      <c r="AC298" s="102"/>
      <c r="AD298" s="102"/>
      <c r="AE298" s="102"/>
      <c r="AF298" s="102"/>
      <c r="AG298" s="151"/>
      <c r="AH298" s="102"/>
      <c r="AI298" s="102"/>
      <c r="AJ298" s="102"/>
      <c r="AK298" s="151"/>
      <c r="AL298" s="102"/>
      <c r="AM298" s="102"/>
      <c r="AN298" s="102"/>
    </row>
    <row r="299" spans="1:40" x14ac:dyDescent="0.3">
      <c r="A299" s="102"/>
      <c r="C299" s="102"/>
      <c r="D299" s="102"/>
      <c r="E299" s="102"/>
      <c r="F299" s="102"/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T299" s="102"/>
      <c r="U299" s="102"/>
      <c r="V299" s="102"/>
      <c r="Y299" s="102"/>
      <c r="Z299" s="102"/>
      <c r="AA299" s="102"/>
      <c r="AB299" s="102"/>
      <c r="AC299" s="102"/>
      <c r="AD299" s="102"/>
      <c r="AE299" s="102"/>
      <c r="AF299" s="102"/>
      <c r="AG299" s="151"/>
      <c r="AH299" s="102"/>
      <c r="AI299" s="102"/>
      <c r="AJ299" s="102"/>
      <c r="AK299" s="151"/>
      <c r="AL299" s="102"/>
      <c r="AM299" s="102"/>
      <c r="AN299" s="102"/>
    </row>
    <row r="300" spans="1:40" x14ac:dyDescent="0.3">
      <c r="C300" s="102"/>
      <c r="D300" s="102"/>
      <c r="E300" s="102"/>
      <c r="F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T300" s="102"/>
      <c r="U300" s="102"/>
      <c r="V300" s="102"/>
      <c r="Y300" s="102"/>
      <c r="Z300" s="102"/>
      <c r="AA300" s="102"/>
      <c r="AB300" s="102"/>
      <c r="AC300" s="102"/>
      <c r="AD300" s="102"/>
      <c r="AE300" s="102"/>
      <c r="AF300" s="102"/>
      <c r="AG300" s="151"/>
      <c r="AH300" s="102"/>
      <c r="AI300" s="102"/>
      <c r="AJ300" s="102"/>
      <c r="AK300" s="151"/>
      <c r="AL300" s="102"/>
      <c r="AM300" s="102"/>
      <c r="AN300" s="102"/>
    </row>
    <row r="301" spans="1:40" x14ac:dyDescent="0.3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91"/>
      <c r="AH301" s="101"/>
      <c r="AI301" s="101"/>
      <c r="AJ301" s="101"/>
      <c r="AK301" s="191"/>
      <c r="AL301" s="101"/>
      <c r="AM301" s="101"/>
      <c r="AN301" s="101"/>
    </row>
    <row r="302" spans="1:40" x14ac:dyDescent="0.3">
      <c r="H302" s="102"/>
      <c r="I302" s="102"/>
      <c r="J302" s="102"/>
      <c r="K302" s="102"/>
      <c r="L302" s="102"/>
      <c r="M302" s="102"/>
      <c r="N302" s="102"/>
      <c r="O302" s="102"/>
      <c r="P302" s="102"/>
      <c r="Q302" s="102"/>
      <c r="R302" s="102"/>
      <c r="Y302" s="102"/>
      <c r="Z302" s="102"/>
      <c r="AA302" s="102"/>
      <c r="AB302" s="102"/>
      <c r="AC302" s="102"/>
      <c r="AD302" s="102"/>
      <c r="AE302" s="102"/>
      <c r="AF302" s="102"/>
      <c r="AG302" s="151"/>
      <c r="AH302" s="102"/>
      <c r="AI302" s="102"/>
      <c r="AJ302" s="102"/>
      <c r="AK302" s="151"/>
      <c r="AL302" s="102"/>
      <c r="AM302" s="102"/>
      <c r="AN302" s="102"/>
    </row>
    <row r="303" spans="1:40" x14ac:dyDescent="0.3">
      <c r="C303" s="99"/>
      <c r="D303" s="99"/>
      <c r="E303" s="99"/>
      <c r="T303" s="99"/>
      <c r="U303" s="99"/>
    </row>
    <row r="304" spans="1:40" x14ac:dyDescent="0.3">
      <c r="C304" s="99"/>
      <c r="T304" s="99"/>
    </row>
    <row r="306" spans="3:40" x14ac:dyDescent="0.3">
      <c r="C306" s="99"/>
      <c r="F306" s="172"/>
      <c r="H306" s="172"/>
      <c r="I306" s="172"/>
      <c r="J306" s="181"/>
      <c r="K306" s="181"/>
      <c r="L306" s="110"/>
      <c r="M306" s="110"/>
      <c r="N306" s="141"/>
      <c r="O306" s="141"/>
      <c r="R306" s="110"/>
      <c r="T306" s="99"/>
      <c r="V306" s="110"/>
      <c r="Y306" s="172"/>
      <c r="Z306" s="181"/>
      <c r="AA306" s="110"/>
      <c r="AB306" s="110"/>
      <c r="AC306" s="141"/>
      <c r="AD306" s="141"/>
      <c r="AE306" s="110"/>
      <c r="AF306" s="110"/>
      <c r="AH306" s="207"/>
      <c r="AL306" s="110"/>
      <c r="AM306" s="141"/>
      <c r="AN306" s="141"/>
    </row>
    <row r="307" spans="3:40" x14ac:dyDescent="0.3">
      <c r="F307" s="192"/>
      <c r="H307" s="110"/>
      <c r="I307" s="110"/>
      <c r="J307" s="217"/>
      <c r="K307" s="217"/>
      <c r="L307" s="192"/>
      <c r="M307" s="192"/>
      <c r="N307" s="192"/>
      <c r="O307" s="192"/>
      <c r="P307" s="192"/>
      <c r="Q307" s="192"/>
      <c r="R307" s="192"/>
      <c r="V307" s="192"/>
      <c r="Y307" s="110"/>
      <c r="Z307" s="217"/>
      <c r="AA307" s="192"/>
      <c r="AB307" s="192"/>
      <c r="AC307" s="192"/>
      <c r="AD307" s="192"/>
      <c r="AE307" s="192"/>
      <c r="AF307" s="192"/>
      <c r="AI307" s="192"/>
      <c r="AJ307" s="192"/>
      <c r="AK307" s="194"/>
      <c r="AL307" s="192"/>
      <c r="AM307" s="141"/>
      <c r="AN307" s="141"/>
    </row>
    <row r="308" spans="3:40" x14ac:dyDescent="0.3">
      <c r="C308" s="99"/>
      <c r="F308" s="172"/>
      <c r="H308" s="172"/>
      <c r="I308" s="172"/>
      <c r="J308" s="227"/>
      <c r="K308" s="227"/>
      <c r="L308" s="110"/>
      <c r="M308" s="110"/>
      <c r="N308" s="141"/>
      <c r="O308" s="141"/>
      <c r="P308" s="110"/>
      <c r="Q308" s="110"/>
      <c r="R308" s="110"/>
      <c r="S308" s="110"/>
      <c r="T308" s="99"/>
      <c r="V308" s="172"/>
      <c r="Y308" s="172"/>
      <c r="Z308" s="227"/>
      <c r="AA308" s="110"/>
      <c r="AB308" s="110"/>
      <c r="AC308" s="141"/>
      <c r="AD308" s="141"/>
      <c r="AE308" s="110"/>
      <c r="AF308" s="110"/>
      <c r="AH308" s="141"/>
      <c r="AI308" s="110"/>
      <c r="AJ308" s="110"/>
      <c r="AL308" s="110"/>
      <c r="AM308" s="141"/>
      <c r="AN308" s="141"/>
    </row>
    <row r="309" spans="3:40" x14ac:dyDescent="0.3">
      <c r="C309" s="99"/>
      <c r="F309" s="172"/>
      <c r="H309" s="172"/>
      <c r="I309" s="172"/>
      <c r="J309" s="181"/>
      <c r="K309" s="181"/>
      <c r="L309" s="110"/>
      <c r="M309" s="110"/>
      <c r="N309" s="141"/>
      <c r="O309" s="141"/>
      <c r="P309" s="110"/>
      <c r="Q309" s="110"/>
      <c r="R309" s="110"/>
      <c r="T309" s="99"/>
      <c r="V309" s="172"/>
      <c r="Y309" s="110"/>
      <c r="Z309" s="181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C310" s="99"/>
      <c r="F310" s="172"/>
      <c r="H310" s="172"/>
      <c r="I310" s="172"/>
      <c r="J310" s="181"/>
      <c r="K310" s="181"/>
      <c r="L310" s="110"/>
      <c r="M310" s="110"/>
      <c r="N310" s="141"/>
      <c r="O310" s="141"/>
      <c r="P310" s="110"/>
      <c r="Q310" s="110"/>
      <c r="R310" s="110"/>
      <c r="T310" s="99"/>
      <c r="V310" s="172"/>
      <c r="Y310" s="110"/>
      <c r="Z310" s="181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F311" s="192"/>
      <c r="H311" s="192"/>
      <c r="I311" s="192"/>
      <c r="J311" s="217"/>
      <c r="K311" s="217"/>
      <c r="L311" s="192"/>
      <c r="M311" s="192"/>
      <c r="N311" s="192"/>
      <c r="O311" s="192"/>
      <c r="P311" s="192"/>
      <c r="Q311" s="192"/>
      <c r="R311" s="192"/>
      <c r="V311" s="192"/>
      <c r="Y311" s="192"/>
      <c r="Z311" s="217"/>
      <c r="AA311" s="192"/>
      <c r="AB311" s="192"/>
      <c r="AC311" s="192"/>
      <c r="AD311" s="192"/>
      <c r="AE311" s="192"/>
      <c r="AF311" s="192"/>
      <c r="AI311" s="192"/>
      <c r="AJ311" s="192"/>
      <c r="AK311" s="194"/>
      <c r="AL311" s="192"/>
      <c r="AM311" s="141"/>
      <c r="AN311" s="141"/>
    </row>
    <row r="312" spans="3:40" x14ac:dyDescent="0.3">
      <c r="C312" s="99"/>
      <c r="F312" s="110"/>
      <c r="H312" s="110"/>
      <c r="I312" s="110"/>
      <c r="J312" s="198"/>
      <c r="K312" s="198"/>
      <c r="L312" s="110"/>
      <c r="M312" s="110"/>
      <c r="N312" s="141"/>
      <c r="O312" s="141"/>
      <c r="P312" s="110"/>
      <c r="Q312" s="110"/>
      <c r="R312" s="110"/>
      <c r="T312" s="99"/>
      <c r="V312" s="110"/>
      <c r="Y312" s="110"/>
      <c r="Z312" s="198"/>
      <c r="AA312" s="110"/>
      <c r="AB312" s="110"/>
      <c r="AC312" s="141"/>
      <c r="AD312" s="141"/>
      <c r="AE312" s="110"/>
      <c r="AF312" s="110"/>
      <c r="AH312" s="207"/>
      <c r="AI312" s="110"/>
      <c r="AJ312" s="110"/>
      <c r="AL312" s="110"/>
      <c r="AM312" s="141"/>
      <c r="AN312" s="141"/>
    </row>
    <row r="313" spans="3:40" x14ac:dyDescent="0.3">
      <c r="F313" s="192"/>
      <c r="H313" s="192"/>
      <c r="I313" s="192"/>
      <c r="J313" s="217"/>
      <c r="K313" s="217"/>
      <c r="L313" s="192"/>
      <c r="M313" s="192"/>
      <c r="N313" s="192"/>
      <c r="O313" s="192"/>
      <c r="P313" s="192"/>
      <c r="Q313" s="192"/>
      <c r="R313" s="192"/>
      <c r="V313" s="192"/>
      <c r="Y313" s="192"/>
      <c r="Z313" s="217"/>
      <c r="AA313" s="192"/>
      <c r="AB313" s="192"/>
      <c r="AC313" s="192"/>
      <c r="AD313" s="192"/>
      <c r="AE313" s="192"/>
      <c r="AF313" s="192"/>
      <c r="AI313" s="192"/>
      <c r="AJ313" s="192"/>
      <c r="AK313" s="194"/>
      <c r="AL313" s="192"/>
      <c r="AM313" s="141"/>
      <c r="AN313" s="141"/>
    </row>
    <row r="314" spans="3:40" x14ac:dyDescent="0.3">
      <c r="C314" s="99"/>
      <c r="F314" s="110"/>
      <c r="H314" s="110"/>
      <c r="I314" s="110"/>
      <c r="J314" s="198"/>
      <c r="K314" s="198"/>
      <c r="L314" s="110"/>
      <c r="M314" s="110"/>
      <c r="N314" s="141"/>
      <c r="O314" s="141"/>
      <c r="P314" s="110"/>
      <c r="Q314" s="110"/>
      <c r="R314" s="110"/>
      <c r="T314" s="99"/>
      <c r="V314" s="110"/>
      <c r="Y314" s="110"/>
      <c r="Z314" s="198"/>
      <c r="AA314" s="110"/>
      <c r="AB314" s="110"/>
      <c r="AC314" s="141"/>
      <c r="AD314" s="141"/>
      <c r="AE314" s="110"/>
      <c r="AF314" s="110"/>
      <c r="AH314" s="207"/>
      <c r="AI314" s="110"/>
      <c r="AJ314" s="110"/>
      <c r="AL314" s="110"/>
      <c r="AM314" s="141"/>
      <c r="AN314" s="141"/>
    </row>
    <row r="315" spans="3:40" x14ac:dyDescent="0.3">
      <c r="C315" s="99"/>
      <c r="F315" s="110"/>
      <c r="H315" s="172"/>
      <c r="I315" s="172"/>
      <c r="J315" s="222"/>
      <c r="K315" s="222"/>
      <c r="L315" s="110"/>
      <c r="M315" s="110"/>
      <c r="N315" s="141"/>
      <c r="O315" s="141"/>
      <c r="P315" s="110"/>
      <c r="Q315" s="110"/>
      <c r="R315" s="110"/>
      <c r="T315" s="99"/>
      <c r="V315" s="110"/>
      <c r="Y315" s="110"/>
      <c r="Z315" s="216"/>
      <c r="AA315" s="110"/>
      <c r="AB315" s="110"/>
      <c r="AC315" s="141"/>
      <c r="AD315" s="141"/>
      <c r="AE315" s="110"/>
      <c r="AF315" s="110"/>
      <c r="AH315" s="207"/>
      <c r="AI315" s="110"/>
      <c r="AJ315" s="110"/>
      <c r="AL315" s="110"/>
      <c r="AM315" s="141"/>
      <c r="AN315" s="141"/>
    </row>
    <row r="316" spans="3:40" x14ac:dyDescent="0.3">
      <c r="F316" s="192"/>
      <c r="H316" s="192"/>
      <c r="I316" s="192"/>
      <c r="J316" s="217"/>
      <c r="K316" s="217"/>
      <c r="L316" s="192"/>
      <c r="M316" s="192"/>
      <c r="N316" s="192"/>
      <c r="O316" s="192"/>
      <c r="P316" s="192"/>
      <c r="Q316" s="192"/>
      <c r="R316" s="192"/>
      <c r="V316" s="192"/>
      <c r="Y316" s="192"/>
      <c r="Z316" s="217"/>
      <c r="AA316" s="192"/>
      <c r="AB316" s="192"/>
      <c r="AC316" s="192"/>
      <c r="AD316" s="192"/>
      <c r="AE316" s="192"/>
      <c r="AF316" s="192"/>
      <c r="AI316" s="192"/>
      <c r="AJ316" s="192"/>
      <c r="AK316" s="194"/>
      <c r="AL316" s="192"/>
      <c r="AM316" s="141"/>
      <c r="AN316" s="141"/>
    </row>
    <row r="318" spans="3:40" x14ac:dyDescent="0.3">
      <c r="C318" s="99"/>
      <c r="F318" s="110"/>
      <c r="H318" s="110"/>
      <c r="I318" s="110"/>
      <c r="J318" s="217"/>
      <c r="K318" s="217"/>
      <c r="L318" s="110"/>
      <c r="M318" s="110"/>
      <c r="N318" s="141"/>
      <c r="O318" s="141"/>
      <c r="P318" s="110"/>
      <c r="Q318" s="110"/>
      <c r="R318" s="110"/>
      <c r="S318" s="110"/>
      <c r="T318" s="99"/>
      <c r="V318" s="110"/>
      <c r="Y318" s="110"/>
      <c r="Z318" s="217"/>
      <c r="AA318" s="110"/>
      <c r="AB318" s="110"/>
      <c r="AC318" s="141"/>
      <c r="AD318" s="141"/>
      <c r="AE318" s="110"/>
      <c r="AF318" s="110"/>
      <c r="AH318" s="141"/>
      <c r="AI318" s="110"/>
      <c r="AJ318" s="110"/>
      <c r="AL318" s="110"/>
      <c r="AM318" s="141"/>
      <c r="AN318" s="141"/>
    </row>
    <row r="319" spans="3:40" x14ac:dyDescent="0.3">
      <c r="F319" s="192"/>
      <c r="H319" s="192"/>
      <c r="I319" s="192"/>
      <c r="J319" s="217"/>
      <c r="K319" s="217"/>
      <c r="L319" s="192"/>
      <c r="M319" s="192"/>
      <c r="N319" s="192"/>
      <c r="O319" s="192"/>
      <c r="P319" s="192"/>
      <c r="Q319" s="192"/>
      <c r="R319" s="192"/>
      <c r="S319" s="110"/>
      <c r="V319" s="192"/>
      <c r="Y319" s="192"/>
      <c r="Z319" s="217"/>
      <c r="AA319" s="192"/>
      <c r="AB319" s="192"/>
      <c r="AC319" s="192"/>
      <c r="AD319" s="192"/>
      <c r="AE319" s="192"/>
      <c r="AF319" s="192"/>
      <c r="AI319" s="192"/>
      <c r="AJ319" s="192"/>
      <c r="AK319" s="194"/>
      <c r="AL319" s="192"/>
      <c r="AM319" s="141"/>
      <c r="AN319" s="141"/>
    </row>
    <row r="320" spans="3:40" x14ac:dyDescent="0.3">
      <c r="C320" s="99"/>
      <c r="F320" s="172"/>
      <c r="H320" s="172"/>
      <c r="I320" s="172"/>
      <c r="J320" s="217"/>
      <c r="K320" s="217"/>
      <c r="L320" s="110"/>
      <c r="M320" s="110"/>
      <c r="N320" s="141"/>
      <c r="O320" s="141"/>
      <c r="P320" s="110"/>
      <c r="Q320" s="110"/>
      <c r="R320" s="110"/>
      <c r="S320" s="110"/>
      <c r="T320" s="99"/>
      <c r="V320" s="172"/>
      <c r="Y320" s="172"/>
      <c r="Z320" s="217"/>
      <c r="AA320" s="110"/>
      <c r="AB320" s="110"/>
      <c r="AC320" s="141"/>
      <c r="AD320" s="141"/>
      <c r="AE320" s="110"/>
      <c r="AF320" s="110"/>
      <c r="AI320" s="110"/>
      <c r="AJ320" s="110"/>
      <c r="AL320" s="110"/>
      <c r="AM320" s="141"/>
      <c r="AN320" s="141"/>
    </row>
    <row r="322" spans="3:40" x14ac:dyDescent="0.3">
      <c r="C322" s="99"/>
      <c r="F322" s="172"/>
      <c r="H322" s="172"/>
      <c r="I322" s="172"/>
      <c r="J322" s="181"/>
      <c r="K322" s="181"/>
      <c r="L322" s="110"/>
      <c r="M322" s="110"/>
      <c r="N322" s="141"/>
      <c r="O322" s="141"/>
      <c r="R322" s="110"/>
      <c r="T322" s="99"/>
      <c r="V322" s="110"/>
      <c r="Y322" s="172"/>
      <c r="Z322" s="181"/>
      <c r="AA322" s="110"/>
      <c r="AB322" s="110"/>
      <c r="AC322" s="141"/>
      <c r="AD322" s="141"/>
      <c r="AE322" s="110"/>
      <c r="AF322" s="110"/>
      <c r="AH322" s="207"/>
      <c r="AL322" s="110"/>
      <c r="AM322" s="141"/>
      <c r="AN322" s="141"/>
    </row>
    <row r="323" spans="3:40" x14ac:dyDescent="0.3">
      <c r="F323" s="192"/>
      <c r="H323" s="110"/>
      <c r="I323" s="110"/>
      <c r="J323" s="217"/>
      <c r="K323" s="217"/>
      <c r="L323" s="192"/>
      <c r="M323" s="192"/>
      <c r="N323" s="192"/>
      <c r="O323" s="192"/>
      <c r="P323" s="192"/>
      <c r="Q323" s="192"/>
      <c r="R323" s="192"/>
      <c r="V323" s="192"/>
      <c r="Y323" s="110"/>
      <c r="Z323" s="217"/>
      <c r="AA323" s="192"/>
      <c r="AB323" s="192"/>
      <c r="AC323" s="192"/>
      <c r="AD323" s="192"/>
      <c r="AE323" s="192"/>
      <c r="AF323" s="192"/>
      <c r="AI323" s="192"/>
      <c r="AJ323" s="192"/>
      <c r="AK323" s="194"/>
      <c r="AL323" s="192"/>
      <c r="AM323" s="141"/>
      <c r="AN323" s="141"/>
    </row>
    <row r="324" spans="3:40" x14ac:dyDescent="0.3">
      <c r="C324" s="99"/>
      <c r="F324" s="172"/>
      <c r="H324" s="172"/>
      <c r="I324" s="172"/>
      <c r="J324" s="227"/>
      <c r="K324" s="227"/>
      <c r="L324" s="110"/>
      <c r="M324" s="110"/>
      <c r="N324" s="141"/>
      <c r="O324" s="141"/>
      <c r="P324" s="110"/>
      <c r="Q324" s="110"/>
      <c r="R324" s="110"/>
      <c r="S324" s="110"/>
      <c r="T324" s="99"/>
      <c r="V324" s="172"/>
      <c r="Y324" s="172"/>
      <c r="Z324" s="227"/>
      <c r="AA324" s="110"/>
      <c r="AB324" s="110"/>
      <c r="AC324" s="141"/>
      <c r="AD324" s="141"/>
      <c r="AE324" s="110"/>
      <c r="AF324" s="110"/>
      <c r="AH324" s="141"/>
      <c r="AI324" s="110"/>
      <c r="AJ324" s="110"/>
      <c r="AL324" s="110"/>
      <c r="AM324" s="141"/>
      <c r="AN324" s="141"/>
    </row>
    <row r="325" spans="3:40" x14ac:dyDescent="0.3">
      <c r="C325" s="99"/>
      <c r="F325" s="172"/>
      <c r="H325" s="172"/>
      <c r="I325" s="172"/>
      <c r="J325" s="181"/>
      <c r="K325" s="181"/>
      <c r="L325" s="110"/>
      <c r="M325" s="110"/>
      <c r="N325" s="141"/>
      <c r="O325" s="141"/>
      <c r="P325" s="110"/>
      <c r="Q325" s="110"/>
      <c r="R325" s="110"/>
      <c r="T325" s="99"/>
      <c r="V325" s="172"/>
      <c r="Y325" s="110"/>
      <c r="Z325" s="181"/>
      <c r="AA325" s="110"/>
      <c r="AB325" s="110"/>
      <c r="AC325" s="141"/>
      <c r="AD325" s="141"/>
      <c r="AE325" s="110"/>
      <c r="AF325" s="110"/>
      <c r="AH325" s="207"/>
      <c r="AI325" s="110"/>
      <c r="AJ325" s="110"/>
      <c r="AL325" s="110"/>
      <c r="AM325" s="141"/>
      <c r="AN325" s="141"/>
    </row>
    <row r="326" spans="3:40" x14ac:dyDescent="0.3">
      <c r="C326" s="99"/>
      <c r="F326" s="172"/>
      <c r="H326" s="172"/>
      <c r="I326" s="172"/>
      <c r="J326" s="181"/>
      <c r="K326" s="181"/>
      <c r="L326" s="110"/>
      <c r="M326" s="110"/>
      <c r="N326" s="141"/>
      <c r="O326" s="141"/>
      <c r="P326" s="110"/>
      <c r="Q326" s="110"/>
      <c r="R326" s="110"/>
      <c r="T326" s="99"/>
      <c r="V326" s="172"/>
      <c r="Y326" s="110"/>
      <c r="Z326" s="181"/>
      <c r="AA326" s="110"/>
      <c r="AB326" s="110"/>
      <c r="AC326" s="141"/>
      <c r="AD326" s="141"/>
      <c r="AE326" s="110"/>
      <c r="AF326" s="110"/>
      <c r="AH326" s="207"/>
      <c r="AI326" s="110"/>
      <c r="AJ326" s="110"/>
      <c r="AL326" s="110"/>
      <c r="AM326" s="141"/>
      <c r="AN326" s="141"/>
    </row>
    <row r="327" spans="3:40" x14ac:dyDescent="0.3">
      <c r="F327" s="192"/>
      <c r="H327" s="192"/>
      <c r="I327" s="192"/>
      <c r="J327" s="217"/>
      <c r="K327" s="217"/>
      <c r="L327" s="192"/>
      <c r="M327" s="192"/>
      <c r="N327" s="192"/>
      <c r="O327" s="192"/>
      <c r="P327" s="192"/>
      <c r="Q327" s="192"/>
      <c r="R327" s="192"/>
      <c r="V327" s="192"/>
      <c r="Y327" s="192"/>
      <c r="Z327" s="217"/>
      <c r="AA327" s="192"/>
      <c r="AB327" s="192"/>
      <c r="AC327" s="192"/>
      <c r="AD327" s="192"/>
      <c r="AE327" s="192"/>
      <c r="AF327" s="192"/>
      <c r="AI327" s="192"/>
      <c r="AJ327" s="192"/>
      <c r="AK327" s="194"/>
      <c r="AL327" s="192"/>
      <c r="AM327" s="141"/>
      <c r="AN327" s="141"/>
    </row>
    <row r="328" spans="3:40" x14ac:dyDescent="0.3">
      <c r="C328" s="99"/>
      <c r="F328" s="110"/>
      <c r="H328" s="110"/>
      <c r="I328" s="110"/>
      <c r="J328" s="198"/>
      <c r="K328" s="198"/>
      <c r="L328" s="110"/>
      <c r="M328" s="110"/>
      <c r="N328" s="141"/>
      <c r="O328" s="141"/>
      <c r="P328" s="110"/>
      <c r="Q328" s="110"/>
      <c r="R328" s="110"/>
      <c r="T328" s="99"/>
      <c r="V328" s="110"/>
      <c r="Y328" s="110"/>
      <c r="Z328" s="198"/>
      <c r="AA328" s="110"/>
      <c r="AB328" s="110"/>
      <c r="AC328" s="141"/>
      <c r="AD328" s="141"/>
      <c r="AE328" s="110"/>
      <c r="AF328" s="110"/>
      <c r="AH328" s="207"/>
      <c r="AI328" s="110"/>
      <c r="AJ328" s="110"/>
      <c r="AL328" s="110"/>
      <c r="AM328" s="141"/>
      <c r="AN328" s="141"/>
    </row>
    <row r="329" spans="3:40" x14ac:dyDescent="0.3">
      <c r="F329" s="192"/>
      <c r="H329" s="192"/>
      <c r="I329" s="192"/>
      <c r="J329" s="217"/>
      <c r="K329" s="217"/>
      <c r="L329" s="192"/>
      <c r="M329" s="192"/>
      <c r="N329" s="192"/>
      <c r="O329" s="192"/>
      <c r="P329" s="192"/>
      <c r="Q329" s="192"/>
      <c r="R329" s="192"/>
      <c r="V329" s="192"/>
      <c r="Y329" s="192"/>
      <c r="Z329" s="217"/>
      <c r="AA329" s="192"/>
      <c r="AB329" s="192"/>
      <c r="AC329" s="192"/>
      <c r="AD329" s="192"/>
      <c r="AE329" s="192"/>
      <c r="AF329" s="192"/>
      <c r="AI329" s="192"/>
      <c r="AJ329" s="192"/>
      <c r="AK329" s="194"/>
      <c r="AL329" s="192"/>
      <c r="AM329" s="141"/>
      <c r="AN329" s="141"/>
    </row>
    <row r="330" spans="3:40" x14ac:dyDescent="0.3">
      <c r="C330" s="99"/>
      <c r="F330" s="110"/>
      <c r="H330" s="110"/>
      <c r="I330" s="110"/>
      <c r="J330" s="198"/>
      <c r="K330" s="198"/>
      <c r="L330" s="110"/>
      <c r="M330" s="110"/>
      <c r="N330" s="141"/>
      <c r="O330" s="141"/>
      <c r="P330" s="110"/>
      <c r="Q330" s="110"/>
      <c r="R330" s="110"/>
      <c r="T330" s="99"/>
      <c r="V330" s="110"/>
      <c r="Y330" s="110"/>
      <c r="Z330" s="198"/>
      <c r="AA330" s="110"/>
      <c r="AB330" s="110"/>
      <c r="AC330" s="141"/>
      <c r="AD330" s="141"/>
      <c r="AE330" s="110"/>
      <c r="AF330" s="110"/>
      <c r="AH330" s="207"/>
      <c r="AI330" s="110"/>
      <c r="AJ330" s="110"/>
      <c r="AL330" s="110"/>
      <c r="AM330" s="141"/>
      <c r="AN330" s="141"/>
    </row>
    <row r="331" spans="3:40" x14ac:dyDescent="0.3">
      <c r="C331" s="99"/>
      <c r="F331" s="110"/>
      <c r="H331" s="172"/>
      <c r="I331" s="172"/>
      <c r="J331" s="222"/>
      <c r="K331" s="222"/>
      <c r="L331" s="110"/>
      <c r="M331" s="110"/>
      <c r="N331" s="141"/>
      <c r="O331" s="141"/>
      <c r="P331" s="110"/>
      <c r="Q331" s="110"/>
      <c r="R331" s="110"/>
      <c r="T331" s="99"/>
      <c r="V331" s="110"/>
      <c r="Y331" s="110"/>
      <c r="Z331" s="216"/>
      <c r="AA331" s="110"/>
      <c r="AB331" s="110"/>
      <c r="AC331" s="141"/>
      <c r="AD331" s="141"/>
      <c r="AE331" s="110"/>
      <c r="AF331" s="110"/>
      <c r="AH331" s="207"/>
      <c r="AI331" s="110"/>
      <c r="AJ331" s="110"/>
      <c r="AL331" s="110"/>
      <c r="AM331" s="141"/>
      <c r="AN331" s="141"/>
    </row>
    <row r="332" spans="3:40" x14ac:dyDescent="0.3">
      <c r="F332" s="192"/>
      <c r="H332" s="192"/>
      <c r="I332" s="192"/>
      <c r="J332" s="217"/>
      <c r="K332" s="217"/>
      <c r="L332" s="192"/>
      <c r="M332" s="192"/>
      <c r="N332" s="192"/>
      <c r="O332" s="192"/>
      <c r="P332" s="192"/>
      <c r="Q332" s="192"/>
      <c r="R332" s="192"/>
      <c r="V332" s="192"/>
      <c r="Y332" s="192"/>
      <c r="Z332" s="217"/>
      <c r="AA332" s="192"/>
      <c r="AB332" s="192"/>
      <c r="AC332" s="192"/>
      <c r="AD332" s="192"/>
      <c r="AE332" s="192"/>
      <c r="AF332" s="192"/>
      <c r="AI332" s="192"/>
      <c r="AJ332" s="192"/>
      <c r="AK332" s="194"/>
      <c r="AL332" s="192"/>
      <c r="AM332" s="141"/>
      <c r="AN332" s="141"/>
    </row>
    <row r="334" spans="3:40" x14ac:dyDescent="0.3">
      <c r="C334" s="99"/>
      <c r="F334" s="110"/>
      <c r="H334" s="110"/>
      <c r="I334" s="110"/>
      <c r="J334" s="217"/>
      <c r="K334" s="217"/>
      <c r="L334" s="110"/>
      <c r="M334" s="110"/>
      <c r="N334" s="141"/>
      <c r="O334" s="141"/>
      <c r="P334" s="110"/>
      <c r="Q334" s="110"/>
      <c r="R334" s="110"/>
      <c r="S334" s="110"/>
      <c r="T334" s="99"/>
      <c r="V334" s="110"/>
      <c r="Y334" s="110"/>
      <c r="Z334" s="217"/>
      <c r="AA334" s="110"/>
      <c r="AB334" s="110"/>
      <c r="AC334" s="141"/>
      <c r="AD334" s="141"/>
      <c r="AE334" s="110"/>
      <c r="AF334" s="110"/>
      <c r="AH334" s="141"/>
      <c r="AI334" s="110"/>
      <c r="AJ334" s="110"/>
      <c r="AL334" s="110"/>
      <c r="AM334" s="141"/>
      <c r="AN334" s="141"/>
    </row>
    <row r="335" spans="3:40" x14ac:dyDescent="0.3">
      <c r="F335" s="192"/>
      <c r="H335" s="192"/>
      <c r="I335" s="192"/>
      <c r="J335" s="217"/>
      <c r="K335" s="217"/>
      <c r="L335" s="192"/>
      <c r="M335" s="192"/>
      <c r="N335" s="192"/>
      <c r="O335" s="192"/>
      <c r="P335" s="192"/>
      <c r="Q335" s="192"/>
      <c r="R335" s="192"/>
      <c r="S335" s="110"/>
      <c r="V335" s="192"/>
      <c r="Y335" s="192"/>
      <c r="Z335" s="217"/>
      <c r="AA335" s="192"/>
      <c r="AB335" s="192"/>
      <c r="AC335" s="192"/>
      <c r="AD335" s="192"/>
      <c r="AE335" s="192"/>
      <c r="AF335" s="192"/>
      <c r="AI335" s="192"/>
      <c r="AJ335" s="192"/>
      <c r="AK335" s="194"/>
      <c r="AL335" s="192"/>
      <c r="AM335" s="141"/>
      <c r="AN335" s="141"/>
    </row>
    <row r="336" spans="3:40" x14ac:dyDescent="0.3">
      <c r="C336" s="99"/>
      <c r="T336" s="99"/>
    </row>
    <row r="337" spans="1:40" x14ac:dyDescent="0.3">
      <c r="C337" s="99"/>
      <c r="F337" s="110"/>
      <c r="H337" s="110"/>
      <c r="I337" s="110"/>
      <c r="L337" s="110"/>
      <c r="M337" s="110"/>
      <c r="N337" s="141"/>
      <c r="O337" s="141"/>
      <c r="P337" s="172"/>
      <c r="Q337" s="172"/>
      <c r="R337" s="110"/>
      <c r="T337" s="99"/>
      <c r="V337" s="110"/>
      <c r="Y337" s="110"/>
      <c r="AA337" s="110"/>
      <c r="AB337" s="110"/>
      <c r="AC337" s="141"/>
      <c r="AD337" s="141"/>
      <c r="AE337" s="110"/>
      <c r="AF337" s="110"/>
      <c r="AH337" s="141"/>
      <c r="AI337" s="172"/>
      <c r="AJ337" s="172"/>
      <c r="AL337" s="110"/>
      <c r="AM337" s="141"/>
      <c r="AN337" s="141"/>
    </row>
    <row r="338" spans="1:40" x14ac:dyDescent="0.3">
      <c r="F338" s="192"/>
      <c r="H338" s="192"/>
      <c r="I338" s="192"/>
      <c r="J338" s="217"/>
      <c r="K338" s="217"/>
      <c r="L338" s="192"/>
      <c r="M338" s="192"/>
      <c r="N338" s="192"/>
      <c r="O338" s="192"/>
      <c r="P338" s="192"/>
      <c r="Q338" s="192"/>
      <c r="R338" s="192"/>
      <c r="V338" s="192"/>
      <c r="Y338" s="192"/>
      <c r="Z338" s="217"/>
      <c r="AA338" s="192"/>
      <c r="AB338" s="192"/>
      <c r="AC338" s="192"/>
      <c r="AD338" s="192"/>
      <c r="AE338" s="192"/>
      <c r="AF338" s="192"/>
      <c r="AI338" s="192"/>
      <c r="AJ338" s="192"/>
      <c r="AK338" s="194"/>
      <c r="AL338" s="192"/>
    </row>
    <row r="340" spans="1:40" x14ac:dyDescent="0.3">
      <c r="C340" s="99"/>
      <c r="L340" s="110"/>
      <c r="M340" s="110"/>
      <c r="N340" s="110"/>
      <c r="O340" s="110"/>
      <c r="P340" s="110"/>
      <c r="Q340" s="110"/>
      <c r="R340" s="110"/>
      <c r="S340" s="110"/>
      <c r="T340" s="99"/>
      <c r="AA340" s="110"/>
      <c r="AB340" s="110"/>
      <c r="AC340" s="110"/>
      <c r="AD340" s="110"/>
      <c r="AI340" s="110"/>
      <c r="AJ340" s="110"/>
      <c r="AL340" s="110"/>
    </row>
    <row r="341" spans="1:40" x14ac:dyDescent="0.3">
      <c r="A341" s="99"/>
    </row>
    <row r="343" spans="1:40" x14ac:dyDescent="0.3">
      <c r="H343" s="99"/>
      <c r="I343" s="99"/>
      <c r="Y343" s="99"/>
    </row>
    <row r="345" spans="1:40" x14ac:dyDescent="0.3">
      <c r="L345" s="99"/>
      <c r="M345" s="99"/>
      <c r="AA345" s="99"/>
      <c r="AB345" s="99"/>
    </row>
    <row r="346" spans="1:40" x14ac:dyDescent="0.3">
      <c r="R346" s="99"/>
      <c r="AK346" s="190"/>
      <c r="AL346" s="99"/>
    </row>
    <row r="347" spans="1:40" x14ac:dyDescent="0.3">
      <c r="R347" s="99"/>
      <c r="AK347" s="190"/>
      <c r="AL347" s="99"/>
    </row>
    <row r="348" spans="1:40" x14ac:dyDescent="0.3">
      <c r="A348" s="99"/>
      <c r="R348" s="99"/>
      <c r="AK348" s="190"/>
      <c r="AL348" s="99"/>
    </row>
    <row r="349" spans="1:40" x14ac:dyDescent="0.3">
      <c r="L349" s="99"/>
      <c r="M349" s="99"/>
      <c r="AA349" s="99"/>
      <c r="AB349" s="99"/>
    </row>
    <row r="350" spans="1:40" x14ac:dyDescent="0.3">
      <c r="A350" s="101"/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T350" s="101"/>
      <c r="U350" s="101"/>
      <c r="V350" s="101"/>
      <c r="W350" s="101"/>
      <c r="X350" s="101"/>
      <c r="Y350" s="101"/>
      <c r="Z350" s="101"/>
      <c r="AA350" s="101"/>
      <c r="AB350" s="101"/>
      <c r="AC350" s="101"/>
      <c r="AD350" s="101"/>
      <c r="AE350" s="101"/>
      <c r="AF350" s="101"/>
      <c r="AG350" s="191"/>
      <c r="AH350" s="101"/>
      <c r="AI350" s="101"/>
      <c r="AJ350" s="101"/>
      <c r="AK350" s="191"/>
      <c r="AL350" s="101"/>
      <c r="AM350" s="101"/>
      <c r="AN350" s="101"/>
    </row>
    <row r="351" spans="1:40" x14ac:dyDescent="0.3">
      <c r="L351" s="102"/>
      <c r="M351" s="102"/>
      <c r="N351" s="102"/>
      <c r="O351" s="102"/>
      <c r="R351" s="102"/>
      <c r="AA351" s="102"/>
      <c r="AB351" s="102"/>
      <c r="AC351" s="102"/>
      <c r="AD351" s="102"/>
      <c r="AE351" s="102"/>
      <c r="AF351" s="102"/>
      <c r="AG351" s="151"/>
      <c r="AH351" s="102"/>
      <c r="AK351" s="151"/>
      <c r="AL351" s="102"/>
      <c r="AM351" s="102"/>
      <c r="AN351" s="102"/>
    </row>
    <row r="352" spans="1:40" x14ac:dyDescent="0.3">
      <c r="L352" s="102"/>
      <c r="M352" s="102"/>
      <c r="N352" s="102"/>
      <c r="O352" s="102"/>
      <c r="R352" s="102"/>
      <c r="Z352" s="102"/>
      <c r="AA352" s="102"/>
      <c r="AB352" s="102"/>
      <c r="AC352" s="102"/>
      <c r="AD352" s="102"/>
      <c r="AE352" s="102"/>
      <c r="AF352" s="102"/>
      <c r="AG352" s="151"/>
      <c r="AH352" s="102"/>
      <c r="AK352" s="151"/>
      <c r="AL352" s="102"/>
      <c r="AM352" s="102"/>
      <c r="AN352" s="102"/>
    </row>
    <row r="353" spans="1:40" x14ac:dyDescent="0.3">
      <c r="A353" s="102"/>
      <c r="C353" s="102"/>
      <c r="D353" s="102"/>
      <c r="E353" s="102"/>
      <c r="F353" s="102"/>
      <c r="J353" s="102"/>
      <c r="K353" s="102"/>
      <c r="L353" s="102"/>
      <c r="M353" s="102"/>
      <c r="N353" s="102"/>
      <c r="O353" s="102"/>
      <c r="P353" s="102"/>
      <c r="Q353" s="102"/>
      <c r="R353" s="102"/>
      <c r="T353" s="102"/>
      <c r="U353" s="102"/>
      <c r="V353" s="102"/>
      <c r="Z353" s="102"/>
      <c r="AA353" s="102"/>
      <c r="AB353" s="102"/>
      <c r="AC353" s="102"/>
      <c r="AD353" s="102"/>
      <c r="AE353" s="102"/>
      <c r="AF353" s="102"/>
      <c r="AG353" s="151"/>
      <c r="AH353" s="102"/>
      <c r="AI353" s="102"/>
      <c r="AJ353" s="102"/>
      <c r="AK353" s="151"/>
      <c r="AL353" s="102"/>
      <c r="AM353" s="102"/>
      <c r="AN353" s="102"/>
    </row>
    <row r="354" spans="1:40" x14ac:dyDescent="0.3">
      <c r="A354" s="102"/>
      <c r="C354" s="102"/>
      <c r="D354" s="102"/>
      <c r="E354" s="102"/>
      <c r="F354" s="102"/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T354" s="102"/>
      <c r="U354" s="102"/>
      <c r="V354" s="102"/>
      <c r="Y354" s="102"/>
      <c r="Z354" s="102"/>
      <c r="AA354" s="102"/>
      <c r="AB354" s="102"/>
      <c r="AC354" s="102"/>
      <c r="AD354" s="102"/>
      <c r="AE354" s="102"/>
      <c r="AF354" s="102"/>
      <c r="AG354" s="151"/>
      <c r="AH354" s="102"/>
      <c r="AI354" s="102"/>
      <c r="AJ354" s="102"/>
      <c r="AK354" s="151"/>
      <c r="AL354" s="102"/>
      <c r="AM354" s="102"/>
      <c r="AN354" s="102"/>
    </row>
    <row r="355" spans="1:40" x14ac:dyDescent="0.3">
      <c r="C355" s="102"/>
      <c r="D355" s="102"/>
      <c r="E355" s="102"/>
      <c r="F355" s="102"/>
      <c r="H355" s="102"/>
      <c r="I355" s="102"/>
      <c r="J355" s="102"/>
      <c r="K355" s="102"/>
      <c r="L355" s="102"/>
      <c r="M355" s="102"/>
      <c r="N355" s="102"/>
      <c r="O355" s="102"/>
      <c r="P355" s="102"/>
      <c r="Q355" s="102"/>
      <c r="R355" s="102"/>
      <c r="T355" s="102"/>
      <c r="U355" s="102"/>
      <c r="V355" s="102"/>
      <c r="Y355" s="102"/>
      <c r="Z355" s="102"/>
      <c r="AA355" s="102"/>
      <c r="AB355" s="102"/>
      <c r="AC355" s="102"/>
      <c r="AD355" s="102"/>
      <c r="AE355" s="102"/>
      <c r="AF355" s="102"/>
      <c r="AG355" s="151"/>
      <c r="AH355" s="102"/>
      <c r="AI355" s="102"/>
      <c r="AJ355" s="102"/>
      <c r="AK355" s="151"/>
      <c r="AL355" s="102"/>
      <c r="AM355" s="102"/>
      <c r="AN355" s="102"/>
    </row>
    <row r="356" spans="1:40" x14ac:dyDescent="0.3">
      <c r="A356" s="101"/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T356" s="101"/>
      <c r="U356" s="101"/>
      <c r="V356" s="101"/>
      <c r="W356" s="101"/>
      <c r="X356" s="101"/>
      <c r="Y356" s="101"/>
      <c r="Z356" s="101"/>
      <c r="AA356" s="101"/>
      <c r="AB356" s="101"/>
      <c r="AC356" s="101"/>
      <c r="AD356" s="101"/>
      <c r="AE356" s="101"/>
      <c r="AF356" s="101"/>
      <c r="AG356" s="191"/>
      <c r="AH356" s="101"/>
      <c r="AI356" s="101"/>
      <c r="AJ356" s="101"/>
      <c r="AK356" s="191"/>
      <c r="AL356" s="101"/>
      <c r="AM356" s="101"/>
      <c r="AN356" s="101"/>
    </row>
    <row r="357" spans="1:40" x14ac:dyDescent="0.3">
      <c r="H357" s="102"/>
      <c r="I357" s="102"/>
      <c r="J357" s="102"/>
      <c r="K357" s="102"/>
      <c r="L357" s="102"/>
      <c r="M357" s="102"/>
      <c r="N357" s="102"/>
      <c r="O357" s="102"/>
      <c r="P357" s="102"/>
      <c r="Q357" s="102"/>
      <c r="R357" s="102"/>
      <c r="Y357" s="102"/>
      <c r="Z357" s="102"/>
      <c r="AA357" s="102"/>
      <c r="AB357" s="102"/>
      <c r="AC357" s="102"/>
      <c r="AD357" s="102"/>
      <c r="AE357" s="102"/>
      <c r="AF357" s="102"/>
      <c r="AG357" s="151"/>
      <c r="AH357" s="102"/>
      <c r="AI357" s="102"/>
      <c r="AJ357" s="102"/>
      <c r="AK357" s="151"/>
      <c r="AL357" s="102"/>
      <c r="AM357" s="102"/>
      <c r="AN357" s="102"/>
    </row>
    <row r="358" spans="1:40" x14ac:dyDescent="0.3">
      <c r="C358" s="99"/>
      <c r="D358" s="99"/>
      <c r="E358" s="99"/>
      <c r="T358" s="99"/>
      <c r="U358" s="99"/>
    </row>
    <row r="359" spans="1:40" x14ac:dyDescent="0.3">
      <c r="D359" s="99"/>
      <c r="E359" s="99"/>
      <c r="U359" s="99"/>
    </row>
    <row r="361" spans="1:40" x14ac:dyDescent="0.3">
      <c r="C361" s="99"/>
      <c r="T361" s="99"/>
    </row>
    <row r="362" spans="1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72"/>
      <c r="W362" s="110"/>
      <c r="X362" s="110"/>
      <c r="Y362" s="172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1:40" x14ac:dyDescent="0.3">
      <c r="C363" s="99"/>
      <c r="F363" s="110"/>
      <c r="H363" s="110"/>
      <c r="I363" s="110"/>
      <c r="J363" s="217"/>
      <c r="K363" s="217"/>
      <c r="L363" s="110"/>
      <c r="M363" s="110"/>
      <c r="N363" s="141"/>
      <c r="O363" s="141"/>
      <c r="P363" s="110"/>
      <c r="Q363" s="110"/>
      <c r="R363" s="110"/>
      <c r="T363" s="99"/>
      <c r="V363" s="172"/>
      <c r="W363" s="110"/>
      <c r="X363" s="110"/>
      <c r="Y363" s="172"/>
      <c r="Z363" s="217"/>
      <c r="AA363" s="110"/>
      <c r="AB363" s="110"/>
      <c r="AC363" s="141"/>
      <c r="AD363" s="141"/>
      <c r="AE363" s="110"/>
      <c r="AF363" s="110"/>
      <c r="AH363" s="207"/>
      <c r="AI363" s="110"/>
      <c r="AJ363" s="110"/>
      <c r="AL363" s="110"/>
      <c r="AM363" s="141"/>
      <c r="AN363" s="141"/>
    </row>
    <row r="364" spans="1:40" x14ac:dyDescent="0.3">
      <c r="C364" s="99"/>
      <c r="F364" s="172"/>
      <c r="H364" s="172"/>
      <c r="I364" s="172"/>
      <c r="J364" s="228"/>
      <c r="K364" s="228"/>
      <c r="L364" s="110"/>
      <c r="M364" s="110"/>
      <c r="N364" s="141"/>
      <c r="O364" s="141"/>
      <c r="P364" s="110"/>
      <c r="Q364" s="110"/>
      <c r="R364" s="110"/>
      <c r="T364" s="99"/>
      <c r="V364" s="172"/>
      <c r="W364" s="110"/>
      <c r="X364" s="110"/>
      <c r="Y364" s="172"/>
      <c r="Z364" s="228"/>
      <c r="AA364" s="110"/>
      <c r="AB364" s="110"/>
      <c r="AC364" s="141"/>
      <c r="AD364" s="141"/>
      <c r="AE364" s="110"/>
      <c r="AF364" s="110"/>
      <c r="AH364" s="207"/>
      <c r="AI364" s="110"/>
      <c r="AJ364" s="110"/>
      <c r="AL364" s="110"/>
      <c r="AM364" s="141"/>
      <c r="AN364" s="141"/>
    </row>
    <row r="365" spans="1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72"/>
      <c r="W365" s="110"/>
      <c r="X365" s="110"/>
      <c r="Y365" s="172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1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72"/>
      <c r="W366" s="110"/>
      <c r="X366" s="110"/>
      <c r="Y366" s="172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1:40" x14ac:dyDescent="0.3">
      <c r="C367" s="99"/>
      <c r="F367" s="110"/>
      <c r="H367" s="110"/>
      <c r="I367" s="110"/>
      <c r="J367" s="228"/>
      <c r="K367" s="228"/>
      <c r="L367" s="110"/>
      <c r="M367" s="110"/>
      <c r="N367" s="141"/>
      <c r="O367" s="141"/>
      <c r="P367" s="110"/>
      <c r="Q367" s="110"/>
      <c r="R367" s="110"/>
      <c r="T367" s="99"/>
      <c r="V367" s="172"/>
      <c r="W367" s="110"/>
      <c r="X367" s="110"/>
      <c r="Y367" s="172"/>
      <c r="Z367" s="228"/>
      <c r="AA367" s="110"/>
      <c r="AB367" s="110"/>
      <c r="AC367" s="141"/>
      <c r="AD367" s="141"/>
      <c r="AE367" s="110"/>
      <c r="AF367" s="110"/>
      <c r="AH367" s="207"/>
      <c r="AI367" s="110"/>
      <c r="AJ367" s="110"/>
      <c r="AL367" s="110"/>
      <c r="AM367" s="141"/>
      <c r="AN367" s="141"/>
    </row>
    <row r="368" spans="1:40" x14ac:dyDescent="0.3">
      <c r="C368" s="99"/>
      <c r="F368" s="110"/>
      <c r="H368" s="110"/>
      <c r="I368" s="110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72"/>
      <c r="W368" s="110"/>
      <c r="X368" s="110"/>
      <c r="Y368" s="172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F369" s="210"/>
      <c r="H369" s="230"/>
      <c r="I369" s="230"/>
      <c r="J369" s="228"/>
      <c r="K369" s="228"/>
      <c r="L369" s="210"/>
      <c r="M369" s="210"/>
      <c r="N369" s="192"/>
      <c r="O369" s="192"/>
      <c r="P369" s="210"/>
      <c r="Q369" s="210"/>
      <c r="R369" s="210"/>
      <c r="V369" s="210"/>
      <c r="W369" s="110"/>
      <c r="X369" s="110"/>
      <c r="Y369" s="210"/>
      <c r="Z369" s="228"/>
      <c r="AA369" s="210"/>
      <c r="AB369" s="210"/>
      <c r="AC369" s="211"/>
      <c r="AD369" s="211"/>
      <c r="AE369" s="210"/>
      <c r="AF369" s="210"/>
      <c r="AH369" s="207"/>
      <c r="AI369" s="210"/>
      <c r="AJ369" s="210"/>
      <c r="AK369" s="191"/>
      <c r="AL369" s="210"/>
      <c r="AM369" s="141"/>
      <c r="AN369" s="141"/>
    </row>
    <row r="370" spans="3:40" x14ac:dyDescent="0.3">
      <c r="C370" s="99"/>
      <c r="F370" s="110"/>
      <c r="H370" s="110"/>
      <c r="I370" s="110"/>
      <c r="J370" s="228"/>
      <c r="K370" s="228"/>
      <c r="L370" s="110"/>
      <c r="M370" s="110"/>
      <c r="N370" s="207"/>
      <c r="O370" s="207"/>
      <c r="P370" s="110"/>
      <c r="Q370" s="110"/>
      <c r="R370" s="110"/>
      <c r="T370" s="102"/>
      <c r="V370" s="110"/>
      <c r="W370" s="110"/>
      <c r="X370" s="110"/>
      <c r="Y370" s="110"/>
      <c r="Z370" s="228"/>
      <c r="AA370" s="110"/>
      <c r="AB370" s="110"/>
      <c r="AC370" s="207"/>
      <c r="AD370" s="207"/>
      <c r="AE370" s="110"/>
      <c r="AF370" s="110"/>
      <c r="AH370" s="207"/>
      <c r="AI370" s="110"/>
      <c r="AJ370" s="110"/>
      <c r="AL370" s="110"/>
      <c r="AM370" s="141"/>
      <c r="AN370" s="141"/>
    </row>
    <row r="371" spans="3:40" x14ac:dyDescent="0.3">
      <c r="F371" s="101"/>
      <c r="H371" s="101"/>
      <c r="I371" s="101"/>
      <c r="L371" s="101"/>
      <c r="M371" s="101"/>
      <c r="N371" s="211"/>
      <c r="O371" s="211"/>
      <c r="P371" s="210"/>
      <c r="Q371" s="210"/>
      <c r="R371" s="210"/>
      <c r="V371" s="210"/>
      <c r="Y371" s="210"/>
      <c r="Z371" s="217"/>
      <c r="AA371" s="210"/>
      <c r="AB371" s="210"/>
      <c r="AC371" s="210"/>
      <c r="AD371" s="210"/>
      <c r="AE371" s="210"/>
      <c r="AF371" s="210"/>
      <c r="AI371" s="210"/>
      <c r="AJ371" s="210"/>
      <c r="AK371" s="191"/>
      <c r="AL371" s="210"/>
      <c r="AM371" s="211"/>
      <c r="AN371" s="211"/>
    </row>
    <row r="376" spans="3:40" x14ac:dyDescent="0.3">
      <c r="N376" s="110"/>
      <c r="O376" s="110"/>
      <c r="P376" s="110"/>
      <c r="Q376" s="110"/>
      <c r="R376" s="110"/>
      <c r="V376" s="110"/>
      <c r="Y376" s="110"/>
      <c r="Z376" s="19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D377" s="99"/>
      <c r="E377" s="99"/>
      <c r="J377" s="163"/>
      <c r="K377" s="163"/>
      <c r="T377" s="99"/>
      <c r="U377" s="99"/>
      <c r="Z377" s="163"/>
      <c r="AE377" s="110"/>
      <c r="AF377" s="110"/>
      <c r="AI377" s="110"/>
      <c r="AJ377" s="110"/>
      <c r="AL377" s="110"/>
      <c r="AM377" s="141"/>
      <c r="AN377" s="141"/>
    </row>
    <row r="378" spans="3:40" x14ac:dyDescent="0.3">
      <c r="D378" s="99"/>
      <c r="E378" s="99"/>
      <c r="F378" s="110"/>
      <c r="H378" s="110"/>
      <c r="I378" s="110"/>
      <c r="J378" s="228"/>
      <c r="K378" s="228"/>
      <c r="L378" s="110"/>
      <c r="M378" s="110"/>
      <c r="N378" s="141"/>
      <c r="O378" s="141"/>
      <c r="P378" s="110"/>
      <c r="Q378" s="110"/>
      <c r="R378" s="110"/>
      <c r="U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F379" s="110"/>
      <c r="H379" s="110"/>
      <c r="I379" s="110"/>
      <c r="J379" s="217"/>
      <c r="K379" s="217"/>
      <c r="L379" s="110"/>
      <c r="M379" s="110"/>
      <c r="N379" s="110"/>
      <c r="O379" s="110"/>
      <c r="P379" s="110"/>
      <c r="Q379" s="110"/>
      <c r="R379" s="110"/>
      <c r="V379" s="110"/>
      <c r="Y379" s="110"/>
      <c r="Z379" s="217"/>
      <c r="AA379" s="110"/>
      <c r="AB379" s="110"/>
      <c r="AC379" s="110"/>
      <c r="AD379" s="110"/>
      <c r="AE379" s="110"/>
      <c r="AF379" s="110"/>
      <c r="AH379" s="207"/>
      <c r="AI379" s="172"/>
      <c r="AJ379" s="172"/>
      <c r="AL379" s="110"/>
      <c r="AM379" s="141"/>
      <c r="AN379" s="141"/>
    </row>
    <row r="380" spans="3:40" x14ac:dyDescent="0.3">
      <c r="C380" s="99"/>
      <c r="F380" s="172"/>
      <c r="H380" s="172"/>
      <c r="I380" s="172"/>
      <c r="J380" s="216"/>
      <c r="K380" s="216"/>
      <c r="L380" s="110"/>
      <c r="M380" s="110"/>
      <c r="N380" s="141"/>
      <c r="O380" s="141"/>
      <c r="P380" s="110"/>
      <c r="Q380" s="110"/>
      <c r="R380" s="110"/>
      <c r="T380" s="99"/>
      <c r="V380" s="172"/>
      <c r="Y380" s="172"/>
      <c r="Z380" s="216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F381" s="101"/>
      <c r="H381" s="101"/>
      <c r="I381" s="101"/>
      <c r="L381" s="101"/>
      <c r="M381" s="101"/>
      <c r="N381" s="101"/>
      <c r="O381" s="101"/>
      <c r="P381" s="101"/>
      <c r="Q381" s="101"/>
      <c r="R381" s="101"/>
      <c r="V381" s="101"/>
      <c r="Y381" s="101"/>
      <c r="AA381" s="101"/>
      <c r="AB381" s="101"/>
      <c r="AC381" s="101"/>
      <c r="AD381" s="101"/>
      <c r="AE381" s="101"/>
      <c r="AF381" s="101"/>
      <c r="AG381" s="191"/>
      <c r="AH381" s="101"/>
      <c r="AI381" s="101"/>
      <c r="AJ381" s="101"/>
      <c r="AK381" s="191"/>
      <c r="AL381" s="101"/>
      <c r="AM381" s="101"/>
      <c r="AN381" s="101"/>
    </row>
    <row r="382" spans="3:40" x14ac:dyDescent="0.3">
      <c r="C382" s="102"/>
      <c r="F382" s="172"/>
      <c r="H382" s="172"/>
      <c r="I382" s="172"/>
      <c r="J382" s="181"/>
      <c r="K382" s="181"/>
      <c r="L382" s="172"/>
      <c r="M382" s="172"/>
      <c r="N382" s="141"/>
      <c r="O382" s="141"/>
      <c r="P382" s="172"/>
      <c r="Q382" s="172"/>
      <c r="R382" s="172"/>
      <c r="T382" s="102"/>
      <c r="V382" s="110"/>
      <c r="Y382" s="110"/>
      <c r="Z382" s="198"/>
      <c r="AA382" s="110"/>
      <c r="AB382" s="110"/>
      <c r="AC382" s="141"/>
      <c r="AD382" s="141"/>
      <c r="AH382" s="207"/>
      <c r="AI382" s="110"/>
      <c r="AJ382" s="110"/>
      <c r="AL382" s="110"/>
      <c r="AM382" s="141"/>
      <c r="AN382" s="141"/>
    </row>
    <row r="383" spans="3:40" x14ac:dyDescent="0.3">
      <c r="F383" s="210"/>
      <c r="H383" s="210"/>
      <c r="I383" s="210"/>
      <c r="J383" s="217"/>
      <c r="K383" s="217"/>
      <c r="L383" s="210"/>
      <c r="M383" s="210"/>
      <c r="N383" s="210"/>
      <c r="O383" s="210"/>
      <c r="P383" s="210"/>
      <c r="Q383" s="210"/>
      <c r="R383" s="210"/>
      <c r="V383" s="101"/>
      <c r="Y383" s="101"/>
      <c r="AA383" s="101"/>
      <c r="AB383" s="101"/>
      <c r="AC383" s="101"/>
      <c r="AD383" s="101"/>
      <c r="AE383" s="101"/>
      <c r="AF383" s="101"/>
      <c r="AG383" s="191"/>
      <c r="AH383" s="101"/>
      <c r="AI383" s="101"/>
      <c r="AJ383" s="101"/>
      <c r="AK383" s="191"/>
      <c r="AL383" s="101"/>
      <c r="AM383" s="101"/>
      <c r="AN383" s="101"/>
    </row>
    <row r="384" spans="3:40" x14ac:dyDescent="0.3">
      <c r="F384" s="172"/>
      <c r="H384" s="172"/>
      <c r="I384" s="172"/>
      <c r="J384" s="227"/>
      <c r="K384" s="227"/>
      <c r="L384" s="110"/>
      <c r="M384" s="110"/>
      <c r="N384" s="141"/>
      <c r="O384" s="141"/>
      <c r="P384" s="110"/>
      <c r="Q384" s="110"/>
      <c r="R384" s="110"/>
    </row>
    <row r="385" spans="1:40" x14ac:dyDescent="0.3">
      <c r="A385" s="99"/>
      <c r="F385" s="172"/>
      <c r="H385" s="172"/>
      <c r="I385" s="172"/>
      <c r="J385" s="181"/>
      <c r="K385" s="181"/>
      <c r="L385" s="110"/>
      <c r="M385" s="110"/>
      <c r="N385" s="141"/>
      <c r="O385" s="141"/>
      <c r="P385" s="110"/>
      <c r="Q385" s="110"/>
      <c r="R385" s="110"/>
    </row>
    <row r="386" spans="1:40" x14ac:dyDescent="0.3">
      <c r="F386" s="172"/>
      <c r="H386" s="172"/>
      <c r="I386" s="172"/>
      <c r="J386" s="181"/>
      <c r="K386" s="181"/>
      <c r="L386" s="110"/>
      <c r="M386" s="110"/>
      <c r="N386" s="141"/>
      <c r="O386" s="141"/>
      <c r="P386" s="110"/>
      <c r="Q386" s="110"/>
      <c r="R386" s="110"/>
    </row>
    <row r="387" spans="1:40" x14ac:dyDescent="0.3">
      <c r="A387" s="99"/>
    </row>
    <row r="390" spans="1:40" x14ac:dyDescent="0.3">
      <c r="H390" s="99"/>
      <c r="I390" s="99"/>
      <c r="Y390" s="99"/>
    </row>
    <row r="392" spans="1:40" x14ac:dyDescent="0.3">
      <c r="L392" s="99"/>
      <c r="M392" s="99"/>
      <c r="AA392" s="99"/>
      <c r="AB392" s="99"/>
    </row>
    <row r="393" spans="1:40" x14ac:dyDescent="0.3">
      <c r="R393" s="99"/>
      <c r="AK393" s="190"/>
      <c r="AL393" s="99"/>
    </row>
    <row r="394" spans="1:40" x14ac:dyDescent="0.3">
      <c r="R394" s="99"/>
      <c r="AK394" s="190"/>
      <c r="AL394" s="99"/>
    </row>
    <row r="395" spans="1:40" x14ac:dyDescent="0.3">
      <c r="A395" s="99"/>
      <c r="R395" s="99"/>
      <c r="AK395" s="190"/>
      <c r="AL395" s="99"/>
    </row>
    <row r="396" spans="1:40" x14ac:dyDescent="0.3">
      <c r="L396" s="99"/>
      <c r="M396" s="99"/>
      <c r="AA396" s="99"/>
      <c r="AB396" s="99"/>
    </row>
    <row r="397" spans="1:40" x14ac:dyDescent="0.3">
      <c r="A397" s="101"/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T397" s="101"/>
      <c r="U397" s="101"/>
      <c r="V397" s="101"/>
      <c r="W397" s="101"/>
      <c r="X397" s="101"/>
      <c r="Y397" s="101"/>
      <c r="Z397" s="101"/>
      <c r="AA397" s="101"/>
      <c r="AB397" s="101"/>
      <c r="AC397" s="101"/>
      <c r="AD397" s="101"/>
      <c r="AE397" s="101"/>
      <c r="AF397" s="101"/>
      <c r="AG397" s="191"/>
      <c r="AH397" s="101"/>
      <c r="AI397" s="101"/>
      <c r="AJ397" s="101"/>
      <c r="AK397" s="191"/>
      <c r="AL397" s="101"/>
      <c r="AM397" s="101"/>
      <c r="AN397" s="101"/>
    </row>
    <row r="398" spans="1:40" x14ac:dyDescent="0.3">
      <c r="L398" s="102"/>
      <c r="M398" s="102"/>
      <c r="N398" s="102"/>
      <c r="O398" s="102"/>
      <c r="R398" s="102"/>
      <c r="AA398" s="102"/>
      <c r="AB398" s="102"/>
      <c r="AC398" s="102"/>
      <c r="AD398" s="102"/>
      <c r="AE398" s="102"/>
      <c r="AF398" s="102"/>
      <c r="AG398" s="151"/>
      <c r="AH398" s="102"/>
      <c r="AK398" s="151"/>
      <c r="AL398" s="102"/>
      <c r="AM398" s="102"/>
      <c r="AN398" s="102"/>
    </row>
    <row r="399" spans="1:40" x14ac:dyDescent="0.3">
      <c r="L399" s="102"/>
      <c r="M399" s="102"/>
      <c r="N399" s="102"/>
      <c r="O399" s="102"/>
      <c r="R399" s="102"/>
      <c r="Z399" s="102"/>
      <c r="AA399" s="102"/>
      <c r="AB399" s="102"/>
      <c r="AC399" s="102"/>
      <c r="AD399" s="102"/>
      <c r="AE399" s="102"/>
      <c r="AF399" s="102"/>
      <c r="AG399" s="151"/>
      <c r="AH399" s="102"/>
      <c r="AK399" s="151"/>
      <c r="AL399" s="102"/>
      <c r="AM399" s="102"/>
      <c r="AN399" s="102"/>
    </row>
    <row r="400" spans="1:40" x14ac:dyDescent="0.3">
      <c r="A400" s="102"/>
      <c r="C400" s="102"/>
      <c r="D400" s="102"/>
      <c r="E400" s="102"/>
      <c r="F400" s="102"/>
      <c r="J400" s="102"/>
      <c r="K400" s="102"/>
      <c r="L400" s="102"/>
      <c r="M400" s="102"/>
      <c r="N400" s="102"/>
      <c r="O400" s="102"/>
      <c r="P400" s="102"/>
      <c r="Q400" s="102"/>
      <c r="R400" s="102"/>
      <c r="T400" s="102"/>
      <c r="U400" s="102"/>
      <c r="V400" s="102"/>
      <c r="Z400" s="102"/>
      <c r="AA400" s="102"/>
      <c r="AB400" s="102"/>
      <c r="AC400" s="102"/>
      <c r="AD400" s="102"/>
      <c r="AE400" s="102"/>
      <c r="AF400" s="102"/>
      <c r="AG400" s="151"/>
      <c r="AH400" s="102"/>
      <c r="AI400" s="102"/>
      <c r="AJ400" s="102"/>
      <c r="AK400" s="151"/>
      <c r="AL400" s="102"/>
      <c r="AM400" s="102"/>
      <c r="AN400" s="102"/>
    </row>
    <row r="401" spans="1:40" x14ac:dyDescent="0.3">
      <c r="A401" s="102"/>
      <c r="C401" s="102"/>
      <c r="D401" s="102"/>
      <c r="E401" s="102"/>
      <c r="F401" s="102"/>
      <c r="H401" s="102"/>
      <c r="I401" s="102"/>
      <c r="J401" s="102"/>
      <c r="K401" s="102"/>
      <c r="L401" s="102"/>
      <c r="M401" s="102"/>
      <c r="N401" s="102"/>
      <c r="O401" s="102"/>
      <c r="P401" s="102"/>
      <c r="Q401" s="102"/>
      <c r="R401" s="102"/>
      <c r="T401" s="102"/>
      <c r="U401" s="102"/>
      <c r="V401" s="102"/>
      <c r="Y401" s="102"/>
      <c r="Z401" s="102"/>
      <c r="AA401" s="102"/>
      <c r="AB401" s="102"/>
      <c r="AC401" s="102"/>
      <c r="AD401" s="102"/>
      <c r="AE401" s="102"/>
      <c r="AF401" s="102"/>
      <c r="AG401" s="151"/>
      <c r="AH401" s="102"/>
      <c r="AI401" s="102"/>
      <c r="AJ401" s="102"/>
      <c r="AK401" s="151"/>
      <c r="AL401" s="102"/>
      <c r="AM401" s="102"/>
      <c r="AN401" s="102"/>
    </row>
    <row r="402" spans="1:40" x14ac:dyDescent="0.3">
      <c r="C402" s="102"/>
      <c r="D402" s="102"/>
      <c r="E402" s="102"/>
      <c r="F402" s="102"/>
      <c r="H402" s="102"/>
      <c r="I402" s="102"/>
      <c r="J402" s="102"/>
      <c r="K402" s="102"/>
      <c r="L402" s="102"/>
      <c r="M402" s="102"/>
      <c r="N402" s="102"/>
      <c r="O402" s="102"/>
      <c r="P402" s="102"/>
      <c r="Q402" s="102"/>
      <c r="R402" s="102"/>
      <c r="T402" s="102"/>
      <c r="U402" s="102"/>
      <c r="V402" s="102"/>
      <c r="Y402" s="102"/>
      <c r="Z402" s="102"/>
      <c r="AA402" s="102"/>
      <c r="AB402" s="102"/>
      <c r="AC402" s="102"/>
      <c r="AD402" s="102"/>
      <c r="AE402" s="102"/>
      <c r="AF402" s="102"/>
      <c r="AG402" s="151"/>
      <c r="AH402" s="102"/>
      <c r="AI402" s="102"/>
      <c r="AJ402" s="102"/>
      <c r="AK402" s="151"/>
      <c r="AL402" s="102"/>
      <c r="AM402" s="102"/>
      <c r="AN402" s="102"/>
    </row>
    <row r="403" spans="1:40" x14ac:dyDescent="0.3">
      <c r="A403" s="101"/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T403" s="101"/>
      <c r="U403" s="101"/>
      <c r="V403" s="101"/>
      <c r="W403" s="101"/>
      <c r="X403" s="101"/>
      <c r="Y403" s="101"/>
      <c r="Z403" s="101"/>
      <c r="AA403" s="101"/>
      <c r="AB403" s="101"/>
      <c r="AC403" s="101"/>
      <c r="AD403" s="101"/>
      <c r="AE403" s="101"/>
      <c r="AF403" s="101"/>
      <c r="AG403" s="191"/>
      <c r="AH403" s="101"/>
      <c r="AI403" s="101"/>
      <c r="AJ403" s="101"/>
      <c r="AK403" s="191"/>
      <c r="AL403" s="101"/>
      <c r="AM403" s="101"/>
      <c r="AN403" s="101"/>
    </row>
    <row r="404" spans="1:40" x14ac:dyDescent="0.3">
      <c r="H404" s="102"/>
      <c r="I404" s="102"/>
      <c r="J404" s="102"/>
      <c r="K404" s="102"/>
      <c r="L404" s="102"/>
      <c r="M404" s="102"/>
      <c r="N404" s="102"/>
      <c r="O404" s="102"/>
      <c r="P404" s="102"/>
      <c r="Q404" s="102"/>
      <c r="R404" s="102"/>
      <c r="Y404" s="102"/>
      <c r="Z404" s="102"/>
      <c r="AA404" s="102"/>
      <c r="AB404" s="102"/>
      <c r="AC404" s="102"/>
      <c r="AD404" s="102"/>
      <c r="AE404" s="102"/>
      <c r="AF404" s="102"/>
      <c r="AG404" s="151"/>
      <c r="AH404" s="102"/>
      <c r="AI404" s="102"/>
      <c r="AJ404" s="102"/>
      <c r="AK404" s="151"/>
      <c r="AL404" s="102"/>
      <c r="AM404" s="102"/>
      <c r="AN404" s="102"/>
    </row>
    <row r="405" spans="1:40" x14ac:dyDescent="0.3">
      <c r="C405" s="99"/>
      <c r="D405" s="99"/>
      <c r="E405" s="99"/>
      <c r="T405" s="99"/>
      <c r="U405" s="99"/>
    </row>
    <row r="407" spans="1:40" x14ac:dyDescent="0.3">
      <c r="C407" s="99"/>
      <c r="T407" s="99"/>
    </row>
    <row r="408" spans="1:40" x14ac:dyDescent="0.3">
      <c r="C408" s="99"/>
      <c r="F408" s="172"/>
      <c r="H408" s="172"/>
      <c r="I408" s="172"/>
      <c r="J408" s="217"/>
      <c r="K408" s="217"/>
      <c r="L408" s="110"/>
      <c r="M408" s="110"/>
      <c r="N408" s="141"/>
      <c r="O408" s="141"/>
      <c r="P408" s="110"/>
      <c r="Q408" s="110"/>
      <c r="R408" s="110"/>
      <c r="T408" s="99"/>
      <c r="V408" s="172"/>
      <c r="Y408" s="172"/>
      <c r="Z408" s="217"/>
      <c r="AA408" s="110"/>
      <c r="AB408" s="110"/>
      <c r="AC408" s="141"/>
      <c r="AD408" s="141"/>
      <c r="AE408" s="110"/>
      <c r="AF408" s="110"/>
      <c r="AH408" s="207"/>
      <c r="AI408" s="110"/>
      <c r="AJ408" s="110"/>
      <c r="AL408" s="110"/>
      <c r="AM408" s="141"/>
      <c r="AN408" s="141"/>
    </row>
    <row r="409" spans="1:40" x14ac:dyDescent="0.3">
      <c r="C409" s="99"/>
      <c r="T409" s="99"/>
    </row>
    <row r="410" spans="1:40" x14ac:dyDescent="0.3">
      <c r="C410" s="99"/>
      <c r="F410" s="172"/>
      <c r="H410" s="172"/>
      <c r="I410" s="172"/>
      <c r="J410" s="228"/>
      <c r="K410" s="228"/>
      <c r="L410" s="110"/>
      <c r="M410" s="110"/>
      <c r="N410" s="141"/>
      <c r="O410" s="141"/>
      <c r="P410" s="110"/>
      <c r="Q410" s="110"/>
      <c r="R410" s="110"/>
      <c r="T410" s="99"/>
      <c r="V410" s="110"/>
      <c r="Y410" s="110"/>
      <c r="Z410" s="228"/>
      <c r="AA410" s="110"/>
      <c r="AB410" s="110"/>
      <c r="AC410" s="141"/>
      <c r="AD410" s="141"/>
      <c r="AE410" s="110"/>
      <c r="AF410" s="110"/>
      <c r="AH410" s="207"/>
      <c r="AI410" s="110"/>
      <c r="AJ410" s="110"/>
      <c r="AL410" s="110"/>
      <c r="AM410" s="141"/>
      <c r="AN410" s="141"/>
    </row>
    <row r="411" spans="1:40" x14ac:dyDescent="0.3">
      <c r="C411" s="99"/>
      <c r="F411" s="172"/>
      <c r="H411" s="172"/>
      <c r="I411" s="172"/>
      <c r="J411" s="228"/>
      <c r="K411" s="228"/>
      <c r="L411" s="110"/>
      <c r="M411" s="110"/>
      <c r="N411" s="141"/>
      <c r="O411" s="141"/>
      <c r="P411" s="110"/>
      <c r="Q411" s="110"/>
      <c r="R411" s="110"/>
      <c r="T411" s="99"/>
      <c r="V411" s="110"/>
      <c r="Y411" s="110"/>
      <c r="Z411" s="228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1:40" x14ac:dyDescent="0.3">
      <c r="C412" s="99"/>
      <c r="F412" s="172"/>
      <c r="H412" s="172"/>
      <c r="I412" s="172"/>
      <c r="J412" s="228"/>
      <c r="K412" s="228"/>
      <c r="L412" s="110"/>
      <c r="M412" s="110"/>
      <c r="N412" s="141"/>
      <c r="O412" s="141"/>
      <c r="P412" s="110"/>
      <c r="Q412" s="110"/>
      <c r="R412" s="110"/>
      <c r="T412" s="99"/>
      <c r="V412" s="110"/>
      <c r="Y412" s="110"/>
      <c r="Z412" s="228"/>
      <c r="AA412" s="110"/>
      <c r="AB412" s="110"/>
      <c r="AC412" s="141"/>
      <c r="AD412" s="141"/>
      <c r="AE412" s="110"/>
      <c r="AF412" s="110"/>
      <c r="AH412" s="207"/>
      <c r="AI412" s="110"/>
      <c r="AJ412" s="110"/>
      <c r="AL412" s="110"/>
      <c r="AM412" s="141"/>
      <c r="AN412" s="141"/>
    </row>
    <row r="413" spans="1:40" x14ac:dyDescent="0.3">
      <c r="C413" s="99"/>
      <c r="F413" s="172"/>
      <c r="H413" s="172"/>
      <c r="I413" s="172"/>
      <c r="J413" s="228"/>
      <c r="K413" s="228"/>
      <c r="L413" s="110"/>
      <c r="M413" s="110"/>
      <c r="N413" s="141"/>
      <c r="O413" s="141"/>
      <c r="P413" s="110"/>
      <c r="Q413" s="110"/>
      <c r="R413" s="110"/>
      <c r="T413" s="99"/>
      <c r="V413" s="110"/>
      <c r="Y413" s="110"/>
      <c r="Z413" s="228"/>
      <c r="AA413" s="110"/>
      <c r="AB413" s="110"/>
      <c r="AC413" s="141"/>
      <c r="AD413" s="141"/>
      <c r="AE413" s="110"/>
      <c r="AF413" s="110"/>
      <c r="AH413" s="207"/>
      <c r="AI413" s="110"/>
      <c r="AJ413" s="110"/>
      <c r="AL413" s="110"/>
      <c r="AM413" s="141"/>
      <c r="AN413" s="141"/>
    </row>
    <row r="414" spans="1:40" x14ac:dyDescent="0.3">
      <c r="C414" s="99"/>
      <c r="J414" s="163"/>
      <c r="K414" s="163"/>
      <c r="T414" s="99"/>
      <c r="Z414" s="163"/>
    </row>
    <row r="415" spans="1:40" x14ac:dyDescent="0.3">
      <c r="C415" s="99"/>
      <c r="F415" s="172"/>
      <c r="H415" s="172"/>
      <c r="I415" s="172"/>
      <c r="J415" s="228"/>
      <c r="K415" s="228"/>
      <c r="L415" s="110"/>
      <c r="M415" s="110"/>
      <c r="N415" s="141"/>
      <c r="O415" s="141"/>
      <c r="P415" s="110"/>
      <c r="Q415" s="110"/>
      <c r="R415" s="110"/>
      <c r="T415" s="99"/>
      <c r="V415" s="110"/>
      <c r="Y415" s="110"/>
      <c r="Z415" s="228"/>
      <c r="AA415" s="110"/>
      <c r="AB415" s="110"/>
      <c r="AC415" s="141"/>
      <c r="AD415" s="141"/>
      <c r="AE415" s="110"/>
      <c r="AF415" s="110"/>
      <c r="AH415" s="207"/>
      <c r="AI415" s="110"/>
      <c r="AJ415" s="110"/>
      <c r="AL415" s="110"/>
      <c r="AM415" s="141"/>
      <c r="AN415" s="141"/>
    </row>
    <row r="416" spans="1:40" x14ac:dyDescent="0.3">
      <c r="C416" s="99"/>
      <c r="F416" s="172"/>
      <c r="H416" s="172"/>
      <c r="I416" s="172"/>
      <c r="J416" s="228"/>
      <c r="K416" s="228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8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3:40" x14ac:dyDescent="0.3">
      <c r="C417" s="99"/>
      <c r="F417" s="172"/>
      <c r="H417" s="172"/>
      <c r="I417" s="172"/>
      <c r="J417" s="228"/>
      <c r="K417" s="228"/>
      <c r="L417" s="110"/>
      <c r="M417" s="110"/>
      <c r="N417" s="141"/>
      <c r="O417" s="141"/>
      <c r="P417" s="110"/>
      <c r="Q417" s="110"/>
      <c r="R417" s="110"/>
      <c r="T417" s="99"/>
      <c r="V417" s="110"/>
      <c r="Y417" s="110"/>
      <c r="Z417" s="228"/>
      <c r="AA417" s="110"/>
      <c r="AB417" s="110"/>
      <c r="AC417" s="141"/>
      <c r="AD417" s="141"/>
      <c r="AE417" s="110"/>
      <c r="AF417" s="110"/>
      <c r="AH417" s="207"/>
      <c r="AI417" s="110"/>
      <c r="AJ417" s="110"/>
      <c r="AL417" s="110"/>
      <c r="AM417" s="141"/>
      <c r="AN417" s="141"/>
    </row>
    <row r="418" spans="3:40" x14ac:dyDescent="0.3">
      <c r="C418" s="99"/>
      <c r="J418" s="163"/>
      <c r="K418" s="163"/>
      <c r="T418" s="99"/>
      <c r="Z418" s="163"/>
    </row>
    <row r="419" spans="3:40" x14ac:dyDescent="0.3">
      <c r="C419" s="99"/>
      <c r="F419" s="172"/>
      <c r="H419" s="172"/>
      <c r="I419" s="172"/>
      <c r="J419" s="228"/>
      <c r="K419" s="228"/>
      <c r="L419" s="110"/>
      <c r="M419" s="110"/>
      <c r="N419" s="141"/>
      <c r="O419" s="141"/>
      <c r="P419" s="110"/>
      <c r="Q419" s="110"/>
      <c r="R419" s="110"/>
      <c r="T419" s="99"/>
      <c r="V419" s="110"/>
      <c r="Y419" s="110"/>
      <c r="Z419" s="228"/>
      <c r="AA419" s="110"/>
      <c r="AB419" s="110"/>
      <c r="AC419" s="141"/>
      <c r="AD419" s="141"/>
      <c r="AE419" s="110"/>
      <c r="AF419" s="110"/>
      <c r="AH419" s="207"/>
      <c r="AI419" s="110"/>
      <c r="AJ419" s="110"/>
      <c r="AL419" s="110"/>
      <c r="AM419" s="141"/>
      <c r="AN419" s="141"/>
    </row>
    <row r="420" spans="3:40" x14ac:dyDescent="0.3">
      <c r="C420" s="99"/>
      <c r="F420" s="172"/>
      <c r="H420" s="172"/>
      <c r="I420" s="172"/>
      <c r="J420" s="228"/>
      <c r="K420" s="228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28"/>
      <c r="AA420" s="110"/>
      <c r="AB420" s="110"/>
      <c r="AC420" s="141"/>
      <c r="AD420" s="141"/>
      <c r="AE420" s="110"/>
      <c r="AF420" s="110"/>
      <c r="AH420" s="207"/>
      <c r="AI420" s="110"/>
      <c r="AJ420" s="110"/>
      <c r="AL420" s="110"/>
      <c r="AM420" s="141"/>
      <c r="AN420" s="141"/>
    </row>
    <row r="421" spans="3:40" x14ac:dyDescent="0.3">
      <c r="C421" s="99"/>
      <c r="J421" s="163"/>
      <c r="K421" s="163"/>
      <c r="T421" s="99"/>
      <c r="Z421" s="163"/>
    </row>
    <row r="422" spans="3:40" x14ac:dyDescent="0.3">
      <c r="C422" s="99"/>
      <c r="F422" s="172"/>
      <c r="H422" s="172"/>
      <c r="I422" s="172"/>
      <c r="J422" s="228"/>
      <c r="K422" s="228"/>
      <c r="L422" s="110"/>
      <c r="M422" s="110"/>
      <c r="N422" s="141"/>
      <c r="O422" s="141"/>
      <c r="P422" s="110"/>
      <c r="Q422" s="110"/>
      <c r="R422" s="110"/>
      <c r="T422" s="99"/>
      <c r="V422" s="110"/>
      <c r="Y422" s="110"/>
      <c r="Z422" s="228"/>
      <c r="AA422" s="110"/>
      <c r="AB422" s="110"/>
      <c r="AC422" s="141"/>
      <c r="AD422" s="141"/>
      <c r="AE422" s="110"/>
      <c r="AF422" s="110"/>
      <c r="AH422" s="207"/>
      <c r="AI422" s="110"/>
      <c r="AJ422" s="110"/>
      <c r="AL422" s="110"/>
      <c r="AM422" s="141"/>
      <c r="AN422" s="141"/>
    </row>
    <row r="423" spans="3:40" x14ac:dyDescent="0.3">
      <c r="C423" s="99"/>
      <c r="F423" s="172"/>
      <c r="H423" s="172"/>
      <c r="I423" s="172"/>
      <c r="J423" s="228"/>
      <c r="K423" s="228"/>
      <c r="L423" s="110"/>
      <c r="M423" s="110"/>
      <c r="N423" s="141"/>
      <c r="O423" s="141"/>
      <c r="P423" s="110"/>
      <c r="Q423" s="110"/>
      <c r="R423" s="110"/>
      <c r="T423" s="99"/>
      <c r="V423" s="110"/>
      <c r="Y423" s="110"/>
      <c r="Z423" s="228"/>
      <c r="AA423" s="110"/>
      <c r="AB423" s="110"/>
      <c r="AC423" s="141"/>
      <c r="AD423" s="141"/>
      <c r="AE423" s="110"/>
      <c r="AF423" s="110"/>
      <c r="AH423" s="207"/>
      <c r="AI423" s="110"/>
      <c r="AJ423" s="110"/>
      <c r="AL423" s="110"/>
      <c r="AM423" s="141"/>
      <c r="AN423" s="141"/>
    </row>
    <row r="424" spans="3:40" x14ac:dyDescent="0.3">
      <c r="C424" s="99"/>
      <c r="F424" s="172"/>
      <c r="H424" s="172"/>
      <c r="I424" s="172"/>
      <c r="J424" s="228"/>
      <c r="K424" s="228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8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3:40" x14ac:dyDescent="0.3">
      <c r="F425" s="192"/>
      <c r="H425" s="192"/>
      <c r="I425" s="192"/>
      <c r="J425" s="228"/>
      <c r="K425" s="228"/>
      <c r="L425" s="192"/>
      <c r="M425" s="192"/>
      <c r="N425" s="192"/>
      <c r="O425" s="192"/>
      <c r="P425" s="192"/>
      <c r="Q425" s="192"/>
      <c r="R425" s="192"/>
      <c r="V425" s="192"/>
      <c r="Y425" s="192"/>
      <c r="Z425" s="228"/>
      <c r="AA425" s="192"/>
      <c r="AB425" s="192"/>
      <c r="AC425" s="192"/>
      <c r="AD425" s="192"/>
      <c r="AE425" s="192"/>
      <c r="AF425" s="192"/>
      <c r="AI425" s="192"/>
      <c r="AJ425" s="192"/>
      <c r="AK425" s="194"/>
      <c r="AL425" s="192"/>
    </row>
    <row r="426" spans="3:40" x14ac:dyDescent="0.3">
      <c r="C426" s="102"/>
      <c r="F426" s="110"/>
      <c r="H426" s="110"/>
      <c r="I426" s="110"/>
      <c r="J426" s="163"/>
      <c r="K426" s="163"/>
      <c r="L426" s="110"/>
      <c r="M426" s="110"/>
      <c r="N426" s="207"/>
      <c r="O426" s="207"/>
      <c r="P426" s="110"/>
      <c r="Q426" s="110"/>
      <c r="R426" s="110"/>
      <c r="T426" s="102"/>
      <c r="V426" s="110"/>
      <c r="Y426" s="110"/>
      <c r="Z426" s="163"/>
      <c r="AA426" s="110"/>
      <c r="AB426" s="110"/>
      <c r="AC426" s="110"/>
      <c r="AD426" s="110"/>
      <c r="AE426" s="110"/>
      <c r="AF426" s="110"/>
      <c r="AH426" s="207"/>
      <c r="AI426" s="110"/>
      <c r="AJ426" s="110"/>
      <c r="AL426" s="110"/>
      <c r="AM426" s="141"/>
      <c r="AN426" s="141"/>
    </row>
    <row r="427" spans="3:40" x14ac:dyDescent="0.3">
      <c r="F427" s="192"/>
      <c r="H427" s="192"/>
      <c r="I427" s="192"/>
      <c r="J427" s="228"/>
      <c r="K427" s="228"/>
      <c r="L427" s="192"/>
      <c r="M427" s="192"/>
      <c r="N427" s="192"/>
      <c r="O427" s="192"/>
      <c r="P427" s="192"/>
      <c r="Q427" s="192"/>
      <c r="R427" s="192"/>
      <c r="V427" s="192"/>
      <c r="Y427" s="192"/>
      <c r="Z427" s="228"/>
      <c r="AA427" s="192"/>
      <c r="AB427" s="192"/>
      <c r="AC427" s="192"/>
      <c r="AD427" s="192"/>
      <c r="AE427" s="192"/>
      <c r="AF427" s="192"/>
      <c r="AI427" s="192"/>
      <c r="AJ427" s="192"/>
      <c r="AK427" s="194"/>
      <c r="AL427" s="192"/>
    </row>
    <row r="428" spans="3:40" x14ac:dyDescent="0.3">
      <c r="C428" s="99"/>
      <c r="J428" s="163"/>
      <c r="K428" s="163"/>
      <c r="T428" s="99"/>
      <c r="Z428" s="163"/>
    </row>
    <row r="429" spans="3:40" x14ac:dyDescent="0.3">
      <c r="C429" s="99"/>
      <c r="J429" s="163"/>
      <c r="K429" s="163"/>
      <c r="T429" s="99"/>
      <c r="Z429" s="163"/>
    </row>
    <row r="430" spans="3:40" x14ac:dyDescent="0.3">
      <c r="C430" s="99"/>
      <c r="F430" s="172"/>
      <c r="H430" s="172"/>
      <c r="I430" s="172"/>
      <c r="J430" s="228"/>
      <c r="K430" s="228"/>
      <c r="L430" s="110"/>
      <c r="M430" s="110"/>
      <c r="N430" s="141"/>
      <c r="O430" s="141"/>
      <c r="P430" s="110"/>
      <c r="Q430" s="110"/>
      <c r="R430" s="110"/>
      <c r="T430" s="99"/>
      <c r="V430" s="110"/>
      <c r="Y430" s="110"/>
      <c r="Z430" s="228"/>
      <c r="AA430" s="110"/>
      <c r="AB430" s="110"/>
      <c r="AC430" s="141"/>
      <c r="AD430" s="141"/>
      <c r="AE430" s="110"/>
      <c r="AF430" s="110"/>
      <c r="AH430" s="207"/>
      <c r="AI430" s="110"/>
      <c r="AJ430" s="110"/>
      <c r="AL430" s="110"/>
      <c r="AM430" s="141"/>
      <c r="AN430" s="141"/>
    </row>
    <row r="431" spans="3:40" x14ac:dyDescent="0.3">
      <c r="C431" s="99"/>
      <c r="F431" s="172"/>
      <c r="H431" s="172"/>
      <c r="I431" s="172"/>
      <c r="J431" s="228"/>
      <c r="K431" s="228"/>
      <c r="L431" s="110"/>
      <c r="M431" s="110"/>
      <c r="N431" s="141"/>
      <c r="O431" s="141"/>
      <c r="P431" s="110"/>
      <c r="Q431" s="110"/>
      <c r="R431" s="110"/>
      <c r="T431" s="99"/>
      <c r="V431" s="110"/>
      <c r="Y431" s="110"/>
      <c r="Z431" s="228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3:40" x14ac:dyDescent="0.3">
      <c r="C432" s="99"/>
      <c r="F432" s="172"/>
      <c r="H432" s="172"/>
      <c r="I432" s="172"/>
      <c r="J432" s="228"/>
      <c r="K432" s="228"/>
      <c r="L432" s="110"/>
      <c r="M432" s="110"/>
      <c r="N432" s="141"/>
      <c r="O432" s="141"/>
      <c r="P432" s="110"/>
      <c r="Q432" s="110"/>
      <c r="R432" s="110"/>
      <c r="T432" s="99"/>
      <c r="V432" s="110"/>
      <c r="Y432" s="110"/>
      <c r="Z432" s="228"/>
      <c r="AA432" s="110"/>
      <c r="AB432" s="110"/>
      <c r="AC432" s="141"/>
      <c r="AD432" s="141"/>
      <c r="AE432" s="110"/>
      <c r="AF432" s="110"/>
      <c r="AH432" s="207"/>
      <c r="AI432" s="110"/>
      <c r="AJ432" s="110"/>
      <c r="AL432" s="110"/>
      <c r="AM432" s="141"/>
      <c r="AN432" s="141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8"/>
      <c r="K434" s="228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8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C435" s="99"/>
      <c r="F435" s="172"/>
      <c r="H435" s="172"/>
      <c r="I435" s="172"/>
      <c r="J435" s="228"/>
      <c r="K435" s="228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8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3:40" x14ac:dyDescent="0.3">
      <c r="C436" s="99"/>
      <c r="F436" s="172"/>
      <c r="H436" s="172"/>
      <c r="I436" s="172"/>
      <c r="J436" s="228"/>
      <c r="K436" s="228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Z436" s="228"/>
      <c r="AA436" s="110"/>
      <c r="AB436" s="110"/>
      <c r="AC436" s="141"/>
      <c r="AD436" s="141"/>
      <c r="AE436" s="110"/>
      <c r="AF436" s="110"/>
      <c r="AH436" s="207"/>
      <c r="AI436" s="110"/>
      <c r="AJ436" s="110"/>
      <c r="AL436" s="110"/>
      <c r="AM436" s="141"/>
      <c r="AN436" s="141"/>
    </row>
    <row r="437" spans="3:40" x14ac:dyDescent="0.3">
      <c r="C437" s="99"/>
      <c r="J437" s="163"/>
      <c r="K437" s="163"/>
      <c r="T437" s="99"/>
      <c r="Z437" s="163"/>
    </row>
    <row r="438" spans="3:40" x14ac:dyDescent="0.3">
      <c r="C438" s="99"/>
      <c r="F438" s="172"/>
      <c r="H438" s="172"/>
      <c r="I438" s="172"/>
      <c r="J438" s="228"/>
      <c r="K438" s="228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8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C439" s="99"/>
      <c r="F439" s="172"/>
      <c r="H439" s="172"/>
      <c r="I439" s="172"/>
      <c r="J439" s="228"/>
      <c r="K439" s="228"/>
      <c r="L439" s="110"/>
      <c r="M439" s="110"/>
      <c r="N439" s="141"/>
      <c r="O439" s="141"/>
      <c r="P439" s="110"/>
      <c r="Q439" s="110"/>
      <c r="R439" s="110"/>
      <c r="T439" s="99"/>
      <c r="V439" s="110"/>
      <c r="Y439" s="110"/>
      <c r="Z439" s="228"/>
      <c r="AA439" s="110"/>
      <c r="AB439" s="110"/>
      <c r="AC439" s="141"/>
      <c r="AD439" s="141"/>
      <c r="AE439" s="110"/>
      <c r="AF439" s="110"/>
      <c r="AH439" s="207"/>
      <c r="AI439" s="110"/>
      <c r="AJ439" s="110"/>
      <c r="AL439" s="110"/>
      <c r="AM439" s="141"/>
      <c r="AN439" s="141"/>
    </row>
    <row r="440" spans="3:40" x14ac:dyDescent="0.3">
      <c r="C440" s="99"/>
      <c r="F440" s="172"/>
      <c r="H440" s="172"/>
      <c r="I440" s="172"/>
      <c r="J440" s="228"/>
      <c r="K440" s="228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Z440" s="228"/>
      <c r="AA440" s="110"/>
      <c r="AB440" s="110"/>
      <c r="AC440" s="141"/>
      <c r="AD440" s="141"/>
      <c r="AE440" s="110"/>
      <c r="AF440" s="110"/>
      <c r="AH440" s="207"/>
      <c r="AI440" s="110"/>
      <c r="AJ440" s="110"/>
      <c r="AL440" s="110"/>
      <c r="AM440" s="141"/>
      <c r="AN440" s="141"/>
    </row>
    <row r="441" spans="3:40" x14ac:dyDescent="0.3">
      <c r="C441" s="99"/>
      <c r="F441" s="172"/>
      <c r="H441" s="172"/>
      <c r="I441" s="172"/>
      <c r="J441" s="228"/>
      <c r="K441" s="228"/>
      <c r="L441" s="110"/>
      <c r="M441" s="110"/>
      <c r="N441" s="141"/>
      <c r="O441" s="141"/>
      <c r="P441" s="110"/>
      <c r="Q441" s="110"/>
      <c r="R441" s="110"/>
      <c r="T441" s="99"/>
      <c r="V441" s="110"/>
      <c r="Y441" s="110"/>
      <c r="Z441" s="228"/>
      <c r="AA441" s="110"/>
      <c r="AB441" s="110"/>
      <c r="AC441" s="141"/>
      <c r="AD441" s="141"/>
      <c r="AE441" s="110"/>
      <c r="AF441" s="110"/>
      <c r="AH441" s="207"/>
      <c r="AI441" s="110"/>
      <c r="AJ441" s="110"/>
      <c r="AL441" s="110"/>
      <c r="AM441" s="141"/>
      <c r="AN441" s="141"/>
    </row>
    <row r="442" spans="3:40" x14ac:dyDescent="0.3">
      <c r="C442" s="99"/>
      <c r="J442" s="163"/>
      <c r="K442" s="163"/>
      <c r="T442" s="99"/>
      <c r="Z442" s="163"/>
    </row>
    <row r="443" spans="3:40" x14ac:dyDescent="0.3">
      <c r="C443" s="99"/>
      <c r="F443" s="172"/>
      <c r="H443" s="172"/>
      <c r="I443" s="172"/>
      <c r="J443" s="228"/>
      <c r="K443" s="228"/>
      <c r="L443" s="110"/>
      <c r="M443" s="110"/>
      <c r="N443" s="141"/>
      <c r="O443" s="141"/>
      <c r="P443" s="110"/>
      <c r="Q443" s="110"/>
      <c r="R443" s="110"/>
      <c r="T443" s="99"/>
      <c r="V443" s="110"/>
      <c r="Y443" s="110"/>
      <c r="Z443" s="228"/>
      <c r="AA443" s="110"/>
      <c r="AB443" s="110"/>
      <c r="AC443" s="141"/>
      <c r="AD443" s="141"/>
      <c r="AE443" s="110"/>
      <c r="AF443" s="110"/>
      <c r="AH443" s="207"/>
      <c r="AI443" s="110"/>
      <c r="AJ443" s="110"/>
      <c r="AL443" s="110"/>
      <c r="AM443" s="141"/>
      <c r="AN443" s="141"/>
    </row>
    <row r="444" spans="3:40" x14ac:dyDescent="0.3">
      <c r="C444" s="99"/>
      <c r="F444" s="172"/>
      <c r="H444" s="172"/>
      <c r="I444" s="172"/>
      <c r="J444" s="228"/>
      <c r="K444" s="228"/>
      <c r="L444" s="110"/>
      <c r="M444" s="110"/>
      <c r="N444" s="141"/>
      <c r="O444" s="141"/>
      <c r="P444" s="110"/>
      <c r="Q444" s="110"/>
      <c r="R444" s="110"/>
      <c r="T444" s="99"/>
      <c r="V444" s="110"/>
      <c r="Y444" s="110"/>
      <c r="Z444" s="228"/>
      <c r="AA444" s="110"/>
      <c r="AB444" s="110"/>
      <c r="AC444" s="141"/>
      <c r="AD444" s="141"/>
      <c r="AE444" s="110"/>
      <c r="AF444" s="110"/>
      <c r="AH444" s="207"/>
      <c r="AI444" s="110"/>
      <c r="AJ444" s="110"/>
      <c r="AL444" s="110"/>
      <c r="AM444" s="141"/>
      <c r="AN444" s="141"/>
    </row>
    <row r="445" spans="3:40" x14ac:dyDescent="0.3">
      <c r="C445" s="99"/>
      <c r="F445" s="172"/>
      <c r="H445" s="172"/>
      <c r="I445" s="172"/>
      <c r="J445" s="228"/>
      <c r="K445" s="228"/>
      <c r="L445" s="110"/>
      <c r="M445" s="110"/>
      <c r="N445" s="141"/>
      <c r="O445" s="141"/>
      <c r="P445" s="110"/>
      <c r="Q445" s="110"/>
      <c r="R445" s="110"/>
      <c r="T445" s="99"/>
      <c r="V445" s="110"/>
      <c r="Y445" s="110"/>
      <c r="Z445" s="228"/>
      <c r="AA445" s="110"/>
      <c r="AB445" s="110"/>
      <c r="AC445" s="141"/>
      <c r="AD445" s="141"/>
      <c r="AE445" s="110"/>
      <c r="AF445" s="110"/>
      <c r="AH445" s="207"/>
      <c r="AI445" s="110"/>
      <c r="AJ445" s="110"/>
      <c r="AL445" s="110"/>
      <c r="AM445" s="141"/>
      <c r="AN445" s="141"/>
    </row>
    <row r="446" spans="3:40" x14ac:dyDescent="0.3">
      <c r="C446" s="99"/>
      <c r="F446" s="172"/>
      <c r="H446" s="172"/>
      <c r="I446" s="172"/>
      <c r="J446" s="228"/>
      <c r="K446" s="228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8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C447" s="99"/>
      <c r="F447" s="172"/>
      <c r="H447" s="172"/>
      <c r="I447" s="172"/>
      <c r="J447" s="228"/>
      <c r="K447" s="228"/>
      <c r="L447" s="110"/>
      <c r="M447" s="110"/>
      <c r="N447" s="141"/>
      <c r="O447" s="141"/>
      <c r="P447" s="110"/>
      <c r="Q447" s="110"/>
      <c r="R447" s="110"/>
      <c r="T447" s="99"/>
      <c r="V447" s="110"/>
      <c r="Y447" s="110"/>
      <c r="Z447" s="228"/>
      <c r="AA447" s="110"/>
      <c r="AB447" s="110"/>
      <c r="AC447" s="141"/>
      <c r="AD447" s="141"/>
      <c r="AE447" s="110"/>
      <c r="AF447" s="110"/>
      <c r="AH447" s="207"/>
      <c r="AI447" s="110"/>
      <c r="AJ447" s="110"/>
      <c r="AL447" s="110"/>
      <c r="AM447" s="141"/>
      <c r="AN447" s="141"/>
    </row>
    <row r="448" spans="3:40" x14ac:dyDescent="0.3">
      <c r="F448" s="192"/>
      <c r="H448" s="192"/>
      <c r="I448" s="192"/>
      <c r="J448" s="217"/>
      <c r="K448" s="217"/>
      <c r="L448" s="192"/>
      <c r="M448" s="192"/>
      <c r="N448" s="192"/>
      <c r="O448" s="192"/>
      <c r="P448" s="192"/>
      <c r="Q448" s="192"/>
      <c r="R448" s="192"/>
      <c r="V448" s="192"/>
      <c r="Y448" s="192"/>
      <c r="Z448" s="228"/>
      <c r="AA448" s="192"/>
      <c r="AB448" s="192"/>
      <c r="AC448" s="192"/>
      <c r="AD448" s="192"/>
      <c r="AE448" s="192"/>
      <c r="AF448" s="192"/>
      <c r="AI448" s="192"/>
      <c r="AJ448" s="192"/>
      <c r="AK448" s="194"/>
      <c r="AL448" s="192"/>
    </row>
    <row r="449" spans="1:40" x14ac:dyDescent="0.3">
      <c r="C449" s="99"/>
      <c r="F449" s="110"/>
      <c r="H449" s="110"/>
      <c r="I449" s="110"/>
      <c r="L449" s="110"/>
      <c r="M449" s="110"/>
      <c r="N449" s="207"/>
      <c r="O449" s="207"/>
      <c r="P449" s="110"/>
      <c r="Q449" s="110"/>
      <c r="R449" s="110"/>
      <c r="T449" s="99"/>
      <c r="V449" s="110"/>
      <c r="Y449" s="110"/>
      <c r="AA449" s="110"/>
      <c r="AB449" s="110"/>
      <c r="AC449" s="141"/>
      <c r="AD449" s="141"/>
      <c r="AE449" s="110"/>
      <c r="AF449" s="110"/>
      <c r="AH449" s="207"/>
      <c r="AI449" s="110"/>
      <c r="AJ449" s="110"/>
      <c r="AL449" s="110"/>
      <c r="AM449" s="141"/>
      <c r="AN449" s="141"/>
    </row>
    <row r="450" spans="1:40" x14ac:dyDescent="0.3">
      <c r="F450" s="192"/>
      <c r="H450" s="192"/>
      <c r="I450" s="192"/>
      <c r="J450" s="217"/>
      <c r="K450" s="217"/>
      <c r="L450" s="192"/>
      <c r="M450" s="192"/>
      <c r="N450" s="192"/>
      <c r="O450" s="192"/>
      <c r="P450" s="192"/>
      <c r="Q450" s="192"/>
      <c r="R450" s="192"/>
      <c r="V450" s="192"/>
      <c r="Y450" s="192"/>
      <c r="Z450" s="217"/>
      <c r="AA450" s="192"/>
      <c r="AB450" s="192"/>
      <c r="AC450" s="192"/>
      <c r="AD450" s="192"/>
      <c r="AE450" s="192"/>
      <c r="AF450" s="192"/>
      <c r="AI450" s="192"/>
      <c r="AJ450" s="192"/>
      <c r="AK450" s="194"/>
      <c r="AL450" s="192"/>
    </row>
    <row r="451" spans="1:40" x14ac:dyDescent="0.3">
      <c r="C451" s="99"/>
      <c r="T451" s="99"/>
    </row>
    <row r="452" spans="1:40" x14ac:dyDescent="0.3">
      <c r="C452" s="99"/>
      <c r="F452" s="172"/>
      <c r="H452" s="172"/>
      <c r="I452" s="172"/>
      <c r="J452" s="181"/>
      <c r="K452" s="181"/>
      <c r="L452" s="110"/>
      <c r="M452" s="110"/>
      <c r="N452" s="141"/>
      <c r="O452" s="141"/>
      <c r="P452" s="110"/>
      <c r="Q452" s="110"/>
      <c r="R452" s="110"/>
      <c r="T452" s="99"/>
      <c r="V452" s="110"/>
      <c r="Y452" s="110"/>
      <c r="Z452" s="181"/>
      <c r="AA452" s="110"/>
      <c r="AB452" s="110"/>
      <c r="AC452" s="141"/>
      <c r="AD452" s="141"/>
      <c r="AE452" s="110"/>
      <c r="AF452" s="110"/>
      <c r="AH452" s="207"/>
      <c r="AI452" s="110"/>
      <c r="AJ452" s="110"/>
      <c r="AL452" s="110"/>
      <c r="AM452" s="141"/>
      <c r="AN452" s="141"/>
    </row>
    <row r="453" spans="1:40" x14ac:dyDescent="0.3">
      <c r="C453" s="99"/>
      <c r="F453" s="172"/>
      <c r="H453" s="172"/>
      <c r="I453" s="172"/>
      <c r="J453" s="181"/>
      <c r="K453" s="181"/>
      <c r="L453" s="110"/>
      <c r="M453" s="110"/>
      <c r="N453" s="141"/>
      <c r="O453" s="141"/>
      <c r="P453" s="110"/>
      <c r="Q453" s="110"/>
      <c r="R453" s="110"/>
      <c r="T453" s="99"/>
      <c r="V453" s="110"/>
      <c r="Y453" s="110"/>
      <c r="Z453" s="181"/>
      <c r="AA453" s="110"/>
      <c r="AB453" s="110"/>
      <c r="AC453" s="141"/>
      <c r="AD453" s="141"/>
      <c r="AE453" s="110"/>
      <c r="AF453" s="110"/>
      <c r="AH453" s="207"/>
      <c r="AI453" s="110"/>
      <c r="AJ453" s="110"/>
      <c r="AL453" s="110"/>
      <c r="AM453" s="141"/>
      <c r="AN453" s="141"/>
    </row>
    <row r="454" spans="1:40" x14ac:dyDescent="0.3">
      <c r="F454" s="192"/>
      <c r="H454" s="110"/>
      <c r="I454" s="110"/>
      <c r="J454" s="217"/>
      <c r="K454" s="217"/>
      <c r="L454" s="192"/>
      <c r="M454" s="192"/>
      <c r="N454" s="192"/>
      <c r="O454" s="192"/>
      <c r="P454" s="192"/>
      <c r="Q454" s="192"/>
      <c r="R454" s="192"/>
      <c r="V454" s="192"/>
      <c r="Y454" s="110"/>
      <c r="Z454" s="217"/>
      <c r="AA454" s="192"/>
      <c r="AB454" s="192"/>
      <c r="AC454" s="192"/>
      <c r="AD454" s="192"/>
      <c r="AE454" s="192"/>
      <c r="AF454" s="192"/>
      <c r="AI454" s="192"/>
      <c r="AJ454" s="192"/>
      <c r="AK454" s="194"/>
      <c r="AL454" s="192"/>
    </row>
    <row r="455" spans="1:40" x14ac:dyDescent="0.3">
      <c r="F455" s="110"/>
      <c r="H455" s="110"/>
      <c r="I455" s="110"/>
      <c r="J455" s="217"/>
      <c r="K455" s="217"/>
      <c r="L455" s="110"/>
      <c r="M455" s="110"/>
      <c r="N455" s="110"/>
      <c r="O455" s="110"/>
      <c r="P455" s="110"/>
      <c r="Q455" s="110"/>
      <c r="R455" s="110"/>
      <c r="V455" s="110"/>
      <c r="Y455" s="110"/>
      <c r="Z455" s="217"/>
      <c r="AA455" s="110"/>
      <c r="AB455" s="110"/>
      <c r="AC455" s="110"/>
      <c r="AD455" s="110"/>
      <c r="AE455" s="110"/>
      <c r="AF455" s="110"/>
      <c r="AI455" s="110"/>
      <c r="AJ455" s="110"/>
      <c r="AL455" s="110"/>
    </row>
    <row r="456" spans="1:40" x14ac:dyDescent="0.3">
      <c r="C456" s="99"/>
      <c r="F456" s="110"/>
      <c r="H456" s="110"/>
      <c r="I456" s="110"/>
      <c r="L456" s="110"/>
      <c r="M456" s="110"/>
      <c r="N456" s="141"/>
      <c r="O456" s="141"/>
      <c r="P456" s="110"/>
      <c r="Q456" s="110"/>
      <c r="R456" s="110"/>
      <c r="T456" s="99"/>
      <c r="V456" s="110"/>
      <c r="Y456" s="110"/>
      <c r="AA456" s="110"/>
      <c r="AB456" s="110"/>
      <c r="AC456" s="141"/>
      <c r="AD456" s="141"/>
      <c r="AE456" s="110"/>
      <c r="AF456" s="110"/>
      <c r="AH456" s="207"/>
      <c r="AI456" s="172"/>
      <c r="AJ456" s="172"/>
      <c r="AL456" s="110"/>
      <c r="AM456" s="141"/>
      <c r="AN456" s="141"/>
    </row>
    <row r="457" spans="1:40" x14ac:dyDescent="0.3">
      <c r="F457" s="192"/>
      <c r="H457" s="192"/>
      <c r="I457" s="192"/>
      <c r="J457" s="217"/>
      <c r="K457" s="217"/>
      <c r="L457" s="192"/>
      <c r="M457" s="192"/>
      <c r="N457" s="192"/>
      <c r="O457" s="192"/>
      <c r="P457" s="192"/>
      <c r="Q457" s="192"/>
      <c r="R457" s="192"/>
      <c r="V457" s="192"/>
      <c r="Y457" s="192"/>
      <c r="Z457" s="217"/>
      <c r="AA457" s="192"/>
      <c r="AB457" s="192"/>
      <c r="AC457" s="192"/>
      <c r="AD457" s="192"/>
      <c r="AE457" s="192"/>
      <c r="AF457" s="192"/>
      <c r="AI457" s="192"/>
      <c r="AJ457" s="192"/>
      <c r="AK457" s="194"/>
      <c r="AL457" s="192"/>
    </row>
    <row r="459" spans="1:40" x14ac:dyDescent="0.3">
      <c r="A459" s="99"/>
      <c r="T459" s="99"/>
    </row>
    <row r="460" spans="1:40" x14ac:dyDescent="0.3">
      <c r="A460" s="99"/>
      <c r="T460" s="99"/>
    </row>
    <row r="461" spans="1:40" x14ac:dyDescent="0.3">
      <c r="A461" s="99"/>
      <c r="T461" s="99"/>
    </row>
    <row r="462" spans="1:40" x14ac:dyDescent="0.3">
      <c r="A462" s="99"/>
      <c r="T462" s="99"/>
    </row>
    <row r="463" spans="1:40" x14ac:dyDescent="0.3">
      <c r="A463" s="99"/>
      <c r="T463" s="99"/>
    </row>
    <row r="464" spans="1:40" x14ac:dyDescent="0.3">
      <c r="A464" s="99"/>
      <c r="T464" s="99"/>
    </row>
    <row r="465" spans="1:40" x14ac:dyDescent="0.3">
      <c r="A465" s="99"/>
      <c r="T465" s="99"/>
    </row>
    <row r="466" spans="1:40" x14ac:dyDescent="0.3">
      <c r="A466" s="99"/>
      <c r="T466" s="99"/>
    </row>
    <row r="467" spans="1:40" x14ac:dyDescent="0.3">
      <c r="A467" s="99"/>
      <c r="T467" s="99"/>
    </row>
    <row r="469" spans="1:40" x14ac:dyDescent="0.3">
      <c r="A469" s="99"/>
    </row>
    <row r="471" spans="1:40" x14ac:dyDescent="0.3">
      <c r="H471" s="99"/>
      <c r="I471" s="99"/>
      <c r="Y471" s="99"/>
    </row>
    <row r="473" spans="1:40" x14ac:dyDescent="0.3">
      <c r="L473" s="99"/>
      <c r="M473" s="99"/>
      <c r="AA473" s="99"/>
      <c r="AB473" s="99"/>
    </row>
    <row r="474" spans="1:40" x14ac:dyDescent="0.3">
      <c r="R474" s="99"/>
      <c r="AK474" s="190"/>
      <c r="AL474" s="99"/>
    </row>
    <row r="475" spans="1:40" x14ac:dyDescent="0.3">
      <c r="R475" s="99"/>
      <c r="AK475" s="190"/>
      <c r="AL475" s="99"/>
    </row>
    <row r="476" spans="1:40" x14ac:dyDescent="0.3">
      <c r="A476" s="99"/>
      <c r="R476" s="99"/>
      <c r="AK476" s="190"/>
      <c r="AL476" s="99"/>
    </row>
    <row r="477" spans="1:40" x14ac:dyDescent="0.3">
      <c r="L477" s="99"/>
      <c r="M477" s="99"/>
      <c r="AA477" s="99"/>
      <c r="AB477" s="99"/>
    </row>
    <row r="478" spans="1:40" x14ac:dyDescent="0.3">
      <c r="A478" s="101"/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91"/>
      <c r="AH478" s="101"/>
      <c r="AI478" s="101"/>
      <c r="AJ478" s="101"/>
      <c r="AK478" s="191"/>
      <c r="AL478" s="101"/>
      <c r="AM478" s="101"/>
      <c r="AN478" s="101"/>
    </row>
    <row r="479" spans="1:40" x14ac:dyDescent="0.3">
      <c r="L479" s="102"/>
      <c r="M479" s="102"/>
      <c r="N479" s="102"/>
      <c r="O479" s="102"/>
      <c r="R479" s="102"/>
      <c r="AA479" s="102"/>
      <c r="AB479" s="102"/>
      <c r="AC479" s="102"/>
      <c r="AD479" s="102"/>
      <c r="AE479" s="102"/>
      <c r="AF479" s="102"/>
      <c r="AG479" s="151"/>
      <c r="AH479" s="102"/>
      <c r="AK479" s="151"/>
      <c r="AL479" s="102"/>
      <c r="AM479" s="102"/>
      <c r="AN479" s="102"/>
    </row>
    <row r="480" spans="1:40" x14ac:dyDescent="0.3">
      <c r="L480" s="102"/>
      <c r="M480" s="102"/>
      <c r="N480" s="102"/>
      <c r="O480" s="102"/>
      <c r="R480" s="102"/>
      <c r="Z480" s="102"/>
      <c r="AA480" s="102"/>
      <c r="AB480" s="102"/>
      <c r="AC480" s="102"/>
      <c r="AD480" s="102"/>
      <c r="AE480" s="102"/>
      <c r="AF480" s="102"/>
      <c r="AG480" s="151"/>
      <c r="AH480" s="102"/>
      <c r="AK480" s="151"/>
      <c r="AL480" s="102"/>
      <c r="AM480" s="102"/>
      <c r="AN480" s="102"/>
    </row>
    <row r="481" spans="1:40" x14ac:dyDescent="0.3">
      <c r="A481" s="102"/>
      <c r="C481" s="102"/>
      <c r="D481" s="102"/>
      <c r="E481" s="102"/>
      <c r="F481" s="102"/>
      <c r="J481" s="102"/>
      <c r="K481" s="102"/>
      <c r="L481" s="102"/>
      <c r="M481" s="102"/>
      <c r="N481" s="102"/>
      <c r="O481" s="102"/>
      <c r="P481" s="102"/>
      <c r="Q481" s="102"/>
      <c r="R481" s="102"/>
      <c r="T481" s="102"/>
      <c r="U481" s="102"/>
      <c r="V481" s="102"/>
      <c r="Z481" s="102"/>
      <c r="AA481" s="102"/>
      <c r="AB481" s="102"/>
      <c r="AC481" s="102"/>
      <c r="AD481" s="102"/>
      <c r="AE481" s="102"/>
      <c r="AF481" s="102"/>
      <c r="AG481" s="151"/>
      <c r="AH481" s="102"/>
      <c r="AI481" s="102"/>
      <c r="AJ481" s="102"/>
      <c r="AK481" s="151"/>
      <c r="AL481" s="102"/>
      <c r="AM481" s="102"/>
      <c r="AN481" s="102"/>
    </row>
    <row r="482" spans="1:40" x14ac:dyDescent="0.3">
      <c r="A482" s="102"/>
      <c r="C482" s="102"/>
      <c r="D482" s="102"/>
      <c r="E482" s="102"/>
      <c r="F482" s="102"/>
      <c r="H482" s="102"/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T482" s="102"/>
      <c r="U482" s="102"/>
      <c r="V482" s="102"/>
      <c r="Y482" s="102"/>
      <c r="Z482" s="102"/>
      <c r="AA482" s="102"/>
      <c r="AB482" s="102"/>
      <c r="AC482" s="102"/>
      <c r="AD482" s="102"/>
      <c r="AE482" s="102"/>
      <c r="AF482" s="102"/>
      <c r="AG482" s="151"/>
      <c r="AH482" s="102"/>
      <c r="AI482" s="102"/>
      <c r="AJ482" s="102"/>
      <c r="AK482" s="151"/>
      <c r="AL482" s="102"/>
      <c r="AM482" s="102"/>
      <c r="AN482" s="102"/>
    </row>
    <row r="483" spans="1:40" x14ac:dyDescent="0.3">
      <c r="C483" s="102"/>
      <c r="D483" s="102"/>
      <c r="E483" s="102"/>
      <c r="F483" s="102"/>
      <c r="H483" s="102"/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T483" s="102"/>
      <c r="U483" s="102"/>
      <c r="V483" s="102"/>
      <c r="Y483" s="102"/>
      <c r="Z483" s="102"/>
      <c r="AA483" s="102"/>
      <c r="AB483" s="102"/>
      <c r="AC483" s="102"/>
      <c r="AD483" s="102"/>
      <c r="AE483" s="102"/>
      <c r="AF483" s="102"/>
      <c r="AG483" s="151"/>
      <c r="AH483" s="102"/>
      <c r="AI483" s="102"/>
      <c r="AJ483" s="102"/>
      <c r="AK483" s="151"/>
      <c r="AL483" s="102"/>
      <c r="AM483" s="102"/>
      <c r="AN483" s="102"/>
    </row>
    <row r="484" spans="1:40" x14ac:dyDescent="0.3">
      <c r="A484" s="101"/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91"/>
      <c r="AH484" s="101"/>
      <c r="AI484" s="101"/>
      <c r="AJ484" s="101"/>
      <c r="AK484" s="191"/>
      <c r="AL484" s="101"/>
      <c r="AM484" s="101"/>
      <c r="AN484" s="101"/>
    </row>
    <row r="485" spans="1:40" x14ac:dyDescent="0.3">
      <c r="H485" s="102"/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Y485" s="102"/>
      <c r="Z485" s="102"/>
      <c r="AA485" s="102"/>
      <c r="AB485" s="102"/>
      <c r="AC485" s="102"/>
      <c r="AD485" s="102"/>
      <c r="AE485" s="102"/>
      <c r="AF485" s="102"/>
      <c r="AG485" s="151"/>
      <c r="AH485" s="102"/>
      <c r="AI485" s="102"/>
      <c r="AJ485" s="102"/>
      <c r="AK485" s="151"/>
      <c r="AL485" s="102"/>
      <c r="AM485" s="102"/>
      <c r="AN485" s="102"/>
    </row>
    <row r="486" spans="1:40" x14ac:dyDescent="0.3">
      <c r="C486" s="99"/>
      <c r="D486" s="99"/>
      <c r="E486" s="99"/>
      <c r="T486" s="99"/>
      <c r="U486" s="99"/>
    </row>
    <row r="487" spans="1:40" x14ac:dyDescent="0.3">
      <c r="D487" s="99"/>
      <c r="E487" s="99"/>
      <c r="U487" s="99"/>
    </row>
    <row r="489" spans="1:40" x14ac:dyDescent="0.3">
      <c r="C489" s="99"/>
      <c r="F489" s="110"/>
      <c r="J489" s="209"/>
      <c r="K489" s="209"/>
      <c r="L489" s="110"/>
      <c r="M489" s="110"/>
      <c r="R489" s="110"/>
      <c r="T489" s="99"/>
      <c r="V489" s="110"/>
      <c r="Z489" s="209"/>
      <c r="AA489" s="110"/>
      <c r="AB489" s="110"/>
      <c r="AH489" s="110"/>
      <c r="AL489" s="110"/>
    </row>
    <row r="490" spans="1:40" x14ac:dyDescent="0.3">
      <c r="C490" s="99"/>
      <c r="F490" s="110"/>
      <c r="R490" s="110"/>
      <c r="T490" s="99"/>
      <c r="V490" s="110"/>
      <c r="AH490" s="110"/>
      <c r="AL490" s="110"/>
    </row>
    <row r="491" spans="1:40" x14ac:dyDescent="0.3">
      <c r="AI491" s="110"/>
      <c r="AJ491" s="110"/>
      <c r="AL491" s="110"/>
      <c r="AM491" s="141"/>
      <c r="AN491" s="141"/>
    </row>
    <row r="492" spans="1:40" x14ac:dyDescent="0.3">
      <c r="C492" s="99"/>
      <c r="F492" s="172"/>
      <c r="H492" s="172"/>
      <c r="I492" s="172"/>
      <c r="J492" s="227"/>
      <c r="K492" s="227"/>
      <c r="L492" s="110"/>
      <c r="M492" s="110"/>
      <c r="N492" s="141"/>
      <c r="O492" s="141"/>
      <c r="P492" s="110"/>
      <c r="Q492" s="110"/>
      <c r="R492" s="110"/>
      <c r="T492" s="99"/>
      <c r="V492" s="110"/>
      <c r="Y492" s="110"/>
      <c r="Z492" s="227"/>
      <c r="AA492" s="110"/>
      <c r="AB492" s="110"/>
      <c r="AC492" s="141"/>
      <c r="AD492" s="141"/>
      <c r="AE492" s="110"/>
      <c r="AF492" s="110"/>
      <c r="AH492" s="207"/>
      <c r="AI492" s="110"/>
      <c r="AJ492" s="110"/>
      <c r="AL492" s="110"/>
      <c r="AM492" s="141"/>
      <c r="AN492" s="141"/>
    </row>
    <row r="493" spans="1:40" x14ac:dyDescent="0.3">
      <c r="F493" s="110"/>
      <c r="H493" s="110"/>
      <c r="I493" s="110"/>
      <c r="J493" s="198"/>
      <c r="K493" s="198"/>
      <c r="L493" s="110"/>
      <c r="M493" s="110"/>
      <c r="P493" s="110"/>
      <c r="Q493" s="110"/>
      <c r="R493" s="110"/>
      <c r="V493" s="110"/>
      <c r="Y493" s="110"/>
      <c r="Z493" s="198"/>
      <c r="AA493" s="110"/>
      <c r="AB493" s="110"/>
      <c r="AI493" s="110"/>
      <c r="AJ493" s="110"/>
      <c r="AL493" s="110"/>
      <c r="AM493" s="141"/>
      <c r="AN493" s="141"/>
    </row>
    <row r="494" spans="1:40" x14ac:dyDescent="0.3">
      <c r="F494" s="110"/>
      <c r="R494" s="110"/>
      <c r="V494" s="110"/>
      <c r="AL494" s="110"/>
      <c r="AM494" s="141"/>
      <c r="AN494" s="141"/>
    </row>
    <row r="495" spans="1:40" x14ac:dyDescent="0.3">
      <c r="C495" s="99"/>
      <c r="F495" s="110"/>
      <c r="J495" s="209"/>
      <c r="K495" s="209"/>
      <c r="L495" s="110"/>
      <c r="M495" s="110"/>
      <c r="N495" s="141"/>
      <c r="O495" s="141"/>
      <c r="R495" s="110"/>
      <c r="T495" s="99"/>
      <c r="V495" s="110"/>
      <c r="Z495" s="209"/>
      <c r="AA495" s="110"/>
      <c r="AB495" s="110"/>
      <c r="AC495" s="141"/>
      <c r="AD495" s="141"/>
      <c r="AL495" s="110"/>
      <c r="AM495" s="141"/>
      <c r="AN495" s="141"/>
    </row>
    <row r="496" spans="1:40" x14ac:dyDescent="0.3">
      <c r="C496" s="99"/>
      <c r="F496" s="110"/>
      <c r="H496" s="110"/>
      <c r="I496" s="110"/>
      <c r="J496" s="209"/>
      <c r="K496" s="209"/>
      <c r="L496" s="110"/>
      <c r="M496" s="110"/>
      <c r="N496" s="141"/>
      <c r="O496" s="141"/>
      <c r="P496" s="110"/>
      <c r="Q496" s="110"/>
      <c r="R496" s="110"/>
      <c r="T496" s="99"/>
      <c r="V496" s="110"/>
      <c r="Y496" s="110"/>
      <c r="Z496" s="209"/>
      <c r="AA496" s="110"/>
      <c r="AB496" s="110"/>
      <c r="AC496" s="141"/>
      <c r="AD496" s="141"/>
      <c r="AI496" s="110"/>
      <c r="AJ496" s="110"/>
      <c r="AL496" s="110"/>
      <c r="AM496" s="141"/>
      <c r="AN496" s="141"/>
    </row>
    <row r="497" spans="1:40" x14ac:dyDescent="0.3">
      <c r="C497" s="99"/>
      <c r="T497" s="99"/>
      <c r="AM497" s="141"/>
      <c r="AN497" s="141"/>
    </row>
    <row r="498" spans="1:40" x14ac:dyDescent="0.3">
      <c r="C498" s="99"/>
      <c r="T498" s="99"/>
      <c r="AM498" s="141"/>
      <c r="AN498" s="141"/>
    </row>
    <row r="499" spans="1:40" x14ac:dyDescent="0.3">
      <c r="AM499" s="141"/>
      <c r="AN499" s="141"/>
    </row>
    <row r="500" spans="1:40" x14ac:dyDescent="0.3">
      <c r="C500" s="99"/>
      <c r="F500" s="172"/>
      <c r="H500" s="172"/>
      <c r="I500" s="172"/>
      <c r="J500" s="227"/>
      <c r="K500" s="227"/>
      <c r="L500" s="110"/>
      <c r="M500" s="110"/>
      <c r="N500" s="141"/>
      <c r="O500" s="141"/>
      <c r="P500" s="110"/>
      <c r="Q500" s="110"/>
      <c r="R500" s="110"/>
      <c r="T500" s="99"/>
      <c r="V500" s="110"/>
      <c r="Y500" s="110"/>
      <c r="Z500" s="227"/>
      <c r="AA500" s="110"/>
      <c r="AB500" s="110"/>
      <c r="AC500" s="141"/>
      <c r="AD500" s="141"/>
      <c r="AE500" s="110"/>
      <c r="AF500" s="110"/>
      <c r="AH500" s="207"/>
      <c r="AI500" s="110"/>
      <c r="AJ500" s="110"/>
      <c r="AL500" s="110"/>
      <c r="AM500" s="141"/>
      <c r="AN500" s="141"/>
    </row>
    <row r="501" spans="1:40" x14ac:dyDescent="0.3">
      <c r="F501" s="192"/>
      <c r="H501" s="192"/>
      <c r="I501" s="192"/>
      <c r="J501" s="217"/>
      <c r="K501" s="217"/>
      <c r="L501" s="192"/>
      <c r="M501" s="192"/>
      <c r="N501" s="192"/>
      <c r="O501" s="192"/>
      <c r="P501" s="192"/>
      <c r="Q501" s="192"/>
      <c r="R501" s="192"/>
      <c r="V501" s="192"/>
      <c r="Y501" s="192"/>
      <c r="Z501" s="217"/>
      <c r="AA501" s="192"/>
      <c r="AB501" s="192"/>
      <c r="AC501" s="192"/>
      <c r="AD501" s="192"/>
      <c r="AE501" s="192"/>
      <c r="AF501" s="192"/>
      <c r="AI501" s="192"/>
      <c r="AJ501" s="192"/>
      <c r="AK501" s="194"/>
      <c r="AL501" s="192"/>
      <c r="AM501" s="141"/>
      <c r="AN501" s="141"/>
    </row>
    <row r="502" spans="1:40" x14ac:dyDescent="0.3">
      <c r="H502" s="110"/>
      <c r="I502" s="110"/>
      <c r="Y502" s="110"/>
      <c r="AM502" s="141"/>
      <c r="AN502" s="141"/>
    </row>
    <row r="503" spans="1:40" x14ac:dyDescent="0.3">
      <c r="C503" s="99"/>
      <c r="F503" s="110"/>
      <c r="H503" s="110"/>
      <c r="I503" s="110"/>
      <c r="L503" s="110"/>
      <c r="M503" s="110"/>
      <c r="N503" s="141"/>
      <c r="O503" s="141"/>
      <c r="P503" s="172"/>
      <c r="Q503" s="172"/>
      <c r="R503" s="110"/>
      <c r="T503" s="99"/>
      <c r="V503" s="110"/>
      <c r="Y503" s="110"/>
      <c r="AA503" s="110"/>
      <c r="AB503" s="110"/>
      <c r="AC503" s="141"/>
      <c r="AD503" s="141"/>
      <c r="AE503" s="110"/>
      <c r="AF503" s="110"/>
      <c r="AH503" s="207"/>
      <c r="AI503" s="172"/>
      <c r="AJ503" s="172"/>
      <c r="AL503" s="110"/>
      <c r="AM503" s="141"/>
      <c r="AN503" s="141"/>
    </row>
    <row r="504" spans="1:40" x14ac:dyDescent="0.3">
      <c r="F504" s="192"/>
      <c r="H504" s="192"/>
      <c r="I504" s="192"/>
      <c r="J504" s="217"/>
      <c r="K504" s="217"/>
      <c r="L504" s="192"/>
      <c r="M504" s="192"/>
      <c r="N504" s="192"/>
      <c r="O504" s="192"/>
      <c r="P504" s="192"/>
      <c r="Q504" s="192"/>
      <c r="R504" s="192"/>
      <c r="V504" s="192"/>
      <c r="Y504" s="192"/>
      <c r="Z504" s="217"/>
      <c r="AA504" s="192"/>
      <c r="AB504" s="192"/>
      <c r="AC504" s="192"/>
      <c r="AD504" s="192"/>
      <c r="AE504" s="192"/>
      <c r="AF504" s="192"/>
      <c r="AI504" s="192"/>
      <c r="AJ504" s="192"/>
      <c r="AK504" s="194"/>
      <c r="AL504" s="192"/>
      <c r="AM504" s="141"/>
      <c r="AN504" s="141"/>
    </row>
    <row r="506" spans="1:40" x14ac:dyDescent="0.3">
      <c r="F506" s="110"/>
      <c r="H506" s="110"/>
      <c r="I506" s="110"/>
      <c r="J506" s="198"/>
      <c r="K506" s="198"/>
      <c r="L506" s="110"/>
      <c r="M506" s="110"/>
      <c r="N506" s="110"/>
      <c r="O506" s="110"/>
      <c r="P506" s="110"/>
      <c r="Q506" s="110"/>
      <c r="R506" s="110"/>
      <c r="V506" s="110"/>
      <c r="Y506" s="110"/>
      <c r="Z506" s="198"/>
      <c r="AA506" s="110"/>
      <c r="AB506" s="110"/>
      <c r="AC506" s="110"/>
      <c r="AD506" s="110"/>
      <c r="AE506" s="110"/>
      <c r="AF506" s="110"/>
      <c r="AH506" s="110"/>
      <c r="AI506" s="110"/>
      <c r="AJ506" s="110"/>
      <c r="AL506" s="110"/>
    </row>
    <row r="507" spans="1:40" x14ac:dyDescent="0.3">
      <c r="A507" s="99"/>
    </row>
    <row r="509" spans="1:40" x14ac:dyDescent="0.3">
      <c r="H509" s="99"/>
      <c r="I509" s="99"/>
      <c r="Y509" s="99"/>
    </row>
    <row r="511" spans="1:40" x14ac:dyDescent="0.3">
      <c r="L511" s="99"/>
      <c r="M511" s="99"/>
      <c r="AA511" s="99"/>
      <c r="AB511" s="99"/>
    </row>
    <row r="512" spans="1:40" x14ac:dyDescent="0.3">
      <c r="R512" s="99"/>
      <c r="AK512" s="190"/>
      <c r="AL512" s="99"/>
    </row>
    <row r="513" spans="1:40" x14ac:dyDescent="0.3">
      <c r="R513" s="99"/>
      <c r="AK513" s="190"/>
      <c r="AL513" s="99"/>
    </row>
    <row r="514" spans="1:40" x14ac:dyDescent="0.3">
      <c r="A514" s="99"/>
      <c r="R514" s="99"/>
      <c r="AK514" s="190"/>
      <c r="AL514" s="99"/>
    </row>
    <row r="515" spans="1:40" x14ac:dyDescent="0.3">
      <c r="L515" s="99"/>
      <c r="M515" s="99"/>
      <c r="AA515" s="99"/>
      <c r="AB515" s="99"/>
    </row>
    <row r="516" spans="1:40" x14ac:dyDescent="0.3">
      <c r="A516" s="101"/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T516" s="101"/>
      <c r="U516" s="101"/>
      <c r="V516" s="101"/>
      <c r="W516" s="101"/>
      <c r="X516" s="101"/>
      <c r="Y516" s="101"/>
      <c r="Z516" s="101"/>
      <c r="AA516" s="101"/>
      <c r="AB516" s="101"/>
      <c r="AC516" s="101"/>
      <c r="AD516" s="101"/>
      <c r="AE516" s="101"/>
      <c r="AF516" s="101"/>
      <c r="AG516" s="191"/>
      <c r="AH516" s="101"/>
      <c r="AI516" s="101"/>
      <c r="AJ516" s="101"/>
      <c r="AK516" s="191"/>
      <c r="AL516" s="101"/>
      <c r="AM516" s="101"/>
      <c r="AN516" s="101"/>
    </row>
    <row r="517" spans="1:40" x14ac:dyDescent="0.3">
      <c r="L517" s="102"/>
      <c r="M517" s="102"/>
      <c r="N517" s="102"/>
      <c r="O517" s="102"/>
      <c r="R517" s="102"/>
      <c r="AA517" s="102"/>
      <c r="AB517" s="102"/>
      <c r="AC517" s="102"/>
      <c r="AD517" s="102"/>
      <c r="AE517" s="102"/>
      <c r="AF517" s="102"/>
      <c r="AG517" s="151"/>
      <c r="AH517" s="102"/>
      <c r="AK517" s="151"/>
      <c r="AL517" s="102"/>
      <c r="AM517" s="102"/>
      <c r="AN517" s="102"/>
    </row>
    <row r="518" spans="1:40" x14ac:dyDescent="0.3">
      <c r="L518" s="102"/>
      <c r="M518" s="102"/>
      <c r="N518" s="102"/>
      <c r="O518" s="102"/>
      <c r="R518" s="102"/>
      <c r="Z518" s="102"/>
      <c r="AA518" s="102"/>
      <c r="AB518" s="102"/>
      <c r="AC518" s="102"/>
      <c r="AD518" s="102"/>
      <c r="AE518" s="102"/>
      <c r="AF518" s="102"/>
      <c r="AG518" s="151"/>
      <c r="AH518" s="102"/>
      <c r="AK518" s="151"/>
      <c r="AL518" s="102"/>
      <c r="AM518" s="102"/>
      <c r="AN518" s="102"/>
    </row>
    <row r="519" spans="1:40" x14ac:dyDescent="0.3">
      <c r="A519" s="102"/>
      <c r="C519" s="102"/>
      <c r="D519" s="102"/>
      <c r="E519" s="102"/>
      <c r="F519" s="102"/>
      <c r="J519" s="102"/>
      <c r="K519" s="102"/>
      <c r="L519" s="102"/>
      <c r="M519" s="102"/>
      <c r="N519" s="102"/>
      <c r="O519" s="102"/>
      <c r="P519" s="102"/>
      <c r="Q519" s="102"/>
      <c r="R519" s="102"/>
      <c r="T519" s="102"/>
      <c r="U519" s="102"/>
      <c r="V519" s="102"/>
      <c r="Z519" s="102"/>
      <c r="AA519" s="102"/>
      <c r="AB519" s="102"/>
      <c r="AC519" s="102"/>
      <c r="AD519" s="102"/>
      <c r="AE519" s="102"/>
      <c r="AF519" s="102"/>
      <c r="AG519" s="151"/>
      <c r="AH519" s="102"/>
      <c r="AI519" s="102"/>
      <c r="AJ519" s="102"/>
      <c r="AK519" s="151"/>
      <c r="AL519" s="102"/>
      <c r="AM519" s="102"/>
      <c r="AN519" s="102"/>
    </row>
    <row r="520" spans="1:40" x14ac:dyDescent="0.3">
      <c r="A520" s="102"/>
      <c r="C520" s="102"/>
      <c r="D520" s="102"/>
      <c r="E520" s="102"/>
      <c r="F520" s="102"/>
      <c r="H520" s="102"/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T520" s="102"/>
      <c r="U520" s="102"/>
      <c r="V520" s="102"/>
      <c r="Y520" s="102"/>
      <c r="Z520" s="102"/>
      <c r="AA520" s="102"/>
      <c r="AB520" s="102"/>
      <c r="AC520" s="102"/>
      <c r="AD520" s="102"/>
      <c r="AE520" s="102"/>
      <c r="AF520" s="102"/>
      <c r="AG520" s="151"/>
      <c r="AH520" s="102"/>
      <c r="AI520" s="102"/>
      <c r="AJ520" s="102"/>
      <c r="AK520" s="151"/>
      <c r="AL520" s="102"/>
      <c r="AM520" s="102"/>
      <c r="AN520" s="102"/>
    </row>
    <row r="521" spans="1:40" x14ac:dyDescent="0.3">
      <c r="C521" s="102"/>
      <c r="D521" s="102"/>
      <c r="E521" s="102"/>
      <c r="F521" s="102"/>
      <c r="H521" s="102"/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T521" s="102"/>
      <c r="U521" s="102"/>
      <c r="V521" s="102"/>
      <c r="Y521" s="102"/>
      <c r="Z521" s="102"/>
      <c r="AA521" s="102"/>
      <c r="AB521" s="102"/>
      <c r="AC521" s="102"/>
      <c r="AD521" s="102"/>
      <c r="AE521" s="102"/>
      <c r="AF521" s="102"/>
      <c r="AG521" s="151"/>
      <c r="AH521" s="102"/>
      <c r="AI521" s="102"/>
      <c r="AJ521" s="102"/>
      <c r="AK521" s="151"/>
      <c r="AL521" s="102"/>
      <c r="AM521" s="102"/>
      <c r="AN521" s="102"/>
    </row>
    <row r="522" spans="1:40" x14ac:dyDescent="0.3">
      <c r="A522" s="101"/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T522" s="101"/>
      <c r="U522" s="101"/>
      <c r="V522" s="101"/>
      <c r="W522" s="101"/>
      <c r="X522" s="101"/>
      <c r="Y522" s="101"/>
      <c r="Z522" s="101"/>
      <c r="AA522" s="101"/>
      <c r="AB522" s="101"/>
      <c r="AC522" s="101"/>
      <c r="AD522" s="101"/>
      <c r="AE522" s="101"/>
      <c r="AF522" s="101"/>
      <c r="AG522" s="191"/>
      <c r="AH522" s="101"/>
      <c r="AI522" s="101"/>
      <c r="AJ522" s="101"/>
      <c r="AK522" s="191"/>
      <c r="AL522" s="101"/>
      <c r="AM522" s="101"/>
      <c r="AN522" s="101"/>
    </row>
    <row r="523" spans="1:40" x14ac:dyDescent="0.3">
      <c r="H523" s="102"/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Y523" s="102"/>
      <c r="Z523" s="102"/>
      <c r="AA523" s="102"/>
      <c r="AB523" s="102"/>
      <c r="AC523" s="102"/>
      <c r="AD523" s="102"/>
      <c r="AE523" s="102"/>
      <c r="AF523" s="102"/>
      <c r="AG523" s="151"/>
      <c r="AH523" s="102"/>
      <c r="AI523" s="102"/>
      <c r="AJ523" s="102"/>
      <c r="AK523" s="151"/>
      <c r="AL523" s="102"/>
      <c r="AM523" s="102"/>
      <c r="AN523" s="102"/>
    </row>
    <row r="524" spans="1:40" x14ac:dyDescent="0.3">
      <c r="C524" s="99"/>
      <c r="D524" s="99"/>
      <c r="E524" s="99"/>
      <c r="T524" s="99"/>
      <c r="U524" s="99"/>
      <c r="V524" s="110"/>
      <c r="W524" s="110"/>
      <c r="X524" s="110"/>
      <c r="Y524" s="110"/>
      <c r="Z524" s="227"/>
    </row>
    <row r="526" spans="1:40" x14ac:dyDescent="0.3">
      <c r="C526" s="99"/>
      <c r="T526" s="99"/>
      <c r="V526" s="110"/>
      <c r="W526" s="110"/>
      <c r="X526" s="110"/>
      <c r="Y526" s="110"/>
      <c r="Z526" s="227"/>
    </row>
    <row r="527" spans="1:40" x14ac:dyDescent="0.3">
      <c r="C527" s="99"/>
      <c r="F527" s="172"/>
      <c r="H527" s="172"/>
      <c r="I527" s="172"/>
      <c r="J527" s="228"/>
      <c r="K527" s="228"/>
      <c r="L527" s="110"/>
      <c r="M527" s="110"/>
      <c r="N527" s="141"/>
      <c r="O527" s="141"/>
      <c r="P527" s="110"/>
      <c r="Q527" s="110"/>
      <c r="R527" s="110"/>
      <c r="T527" s="99"/>
      <c r="V527" s="110"/>
      <c r="W527" s="110"/>
      <c r="X527" s="110"/>
      <c r="Y527" s="110"/>
      <c r="Z527" s="228"/>
      <c r="AA527" s="110"/>
      <c r="AB527" s="110"/>
      <c r="AC527" s="141"/>
      <c r="AD527" s="141"/>
      <c r="AE527" s="110"/>
      <c r="AF527" s="110"/>
      <c r="AH527" s="207"/>
      <c r="AI527" s="110"/>
      <c r="AJ527" s="110"/>
      <c r="AL527" s="110"/>
      <c r="AM527" s="141"/>
      <c r="AN527" s="141"/>
    </row>
    <row r="528" spans="1:40" x14ac:dyDescent="0.3">
      <c r="C528" s="99"/>
      <c r="F528" s="172"/>
      <c r="H528" s="172"/>
      <c r="I528" s="172"/>
      <c r="J528" s="228"/>
      <c r="K528" s="228"/>
      <c r="L528" s="110"/>
      <c r="M528" s="110"/>
      <c r="N528" s="141"/>
      <c r="O528" s="141"/>
      <c r="P528" s="110"/>
      <c r="Q528" s="110"/>
      <c r="R528" s="110"/>
      <c r="T528" s="99"/>
      <c r="V528" s="110"/>
      <c r="W528" s="110"/>
      <c r="X528" s="110"/>
      <c r="Y528" s="110"/>
      <c r="Z528" s="228"/>
      <c r="AA528" s="110"/>
      <c r="AB528" s="110"/>
      <c r="AC528" s="141"/>
      <c r="AD528" s="141"/>
      <c r="AE528" s="110"/>
      <c r="AF528" s="110"/>
      <c r="AH528" s="207"/>
      <c r="AI528" s="110"/>
      <c r="AJ528" s="110"/>
      <c r="AL528" s="110"/>
      <c r="AM528" s="141"/>
      <c r="AN528" s="141"/>
    </row>
    <row r="529" spans="1:40" x14ac:dyDescent="0.3">
      <c r="C529" s="99"/>
      <c r="F529" s="172"/>
      <c r="H529" s="172"/>
      <c r="I529" s="172"/>
      <c r="J529" s="228"/>
      <c r="K529" s="228"/>
      <c r="L529" s="110"/>
      <c r="M529" s="110"/>
      <c r="N529" s="141"/>
      <c r="O529" s="141"/>
      <c r="P529" s="110"/>
      <c r="Q529" s="110"/>
      <c r="R529" s="110"/>
      <c r="T529" s="99"/>
      <c r="V529" s="110"/>
      <c r="W529" s="110"/>
      <c r="X529" s="110"/>
      <c r="Y529" s="110"/>
      <c r="Z529" s="228"/>
      <c r="AA529" s="110"/>
      <c r="AB529" s="110"/>
      <c r="AC529" s="141"/>
      <c r="AD529" s="141"/>
      <c r="AE529" s="110"/>
      <c r="AF529" s="110"/>
      <c r="AH529" s="207"/>
      <c r="AI529" s="110"/>
      <c r="AJ529" s="110"/>
      <c r="AL529" s="110"/>
      <c r="AM529" s="141"/>
      <c r="AN529" s="141"/>
    </row>
    <row r="530" spans="1:40" x14ac:dyDescent="0.3">
      <c r="C530" s="99"/>
      <c r="F530" s="172"/>
      <c r="H530" s="172"/>
      <c r="I530" s="172"/>
      <c r="J530" s="228"/>
      <c r="K530" s="228"/>
      <c r="L530" s="110"/>
      <c r="M530" s="110"/>
      <c r="N530" s="141"/>
      <c r="O530" s="141"/>
      <c r="P530" s="110"/>
      <c r="Q530" s="110"/>
      <c r="R530" s="110"/>
      <c r="T530" s="99"/>
      <c r="V530" s="110"/>
      <c r="W530" s="110"/>
      <c r="X530" s="110"/>
      <c r="Y530" s="110"/>
      <c r="Z530" s="228"/>
      <c r="AA530" s="110"/>
      <c r="AB530" s="110"/>
      <c r="AC530" s="141"/>
      <c r="AD530" s="141"/>
      <c r="AE530" s="110"/>
      <c r="AF530" s="110"/>
      <c r="AH530" s="207"/>
      <c r="AI530" s="110"/>
      <c r="AJ530" s="110"/>
      <c r="AL530" s="110"/>
      <c r="AM530" s="141"/>
      <c r="AN530" s="141"/>
    </row>
    <row r="531" spans="1:40" x14ac:dyDescent="0.3">
      <c r="J531" s="163"/>
      <c r="K531" s="163"/>
      <c r="V531" s="110"/>
      <c r="W531" s="110"/>
      <c r="X531" s="110"/>
      <c r="Y531" s="110"/>
      <c r="Z531" s="228"/>
    </row>
    <row r="532" spans="1:40" x14ac:dyDescent="0.3">
      <c r="C532" s="99"/>
      <c r="F532" s="172"/>
      <c r="H532" s="172"/>
      <c r="I532" s="172"/>
      <c r="J532" s="228"/>
      <c r="K532" s="228"/>
      <c r="L532" s="110"/>
      <c r="M532" s="110"/>
      <c r="N532" s="141"/>
      <c r="O532" s="141"/>
      <c r="P532" s="110"/>
      <c r="Q532" s="110"/>
      <c r="R532" s="110"/>
      <c r="T532" s="99"/>
      <c r="V532" s="110"/>
      <c r="W532" s="110"/>
      <c r="X532" s="110"/>
      <c r="Y532" s="110"/>
      <c r="Z532" s="228"/>
      <c r="AA532" s="110"/>
      <c r="AB532" s="110"/>
      <c r="AC532" s="141"/>
      <c r="AD532" s="141"/>
      <c r="AE532" s="110"/>
      <c r="AF532" s="110"/>
      <c r="AH532" s="207"/>
      <c r="AI532" s="110"/>
      <c r="AJ532" s="110"/>
      <c r="AL532" s="110"/>
      <c r="AM532" s="207"/>
      <c r="AN532" s="207"/>
    </row>
    <row r="533" spans="1:40" x14ac:dyDescent="0.3">
      <c r="C533" s="99"/>
      <c r="J533" s="163"/>
      <c r="K533" s="163"/>
      <c r="T533" s="99"/>
      <c r="V533" s="110"/>
      <c r="W533" s="110"/>
      <c r="X533" s="110"/>
      <c r="Y533" s="110"/>
      <c r="Z533" s="228"/>
    </row>
    <row r="534" spans="1:40" x14ac:dyDescent="0.3">
      <c r="C534" s="99"/>
      <c r="F534" s="172"/>
      <c r="H534" s="172"/>
      <c r="I534" s="172"/>
      <c r="J534" s="228"/>
      <c r="K534" s="228"/>
      <c r="L534" s="110"/>
      <c r="M534" s="110"/>
      <c r="N534" s="141"/>
      <c r="O534" s="141"/>
      <c r="P534" s="110"/>
      <c r="Q534" s="110"/>
      <c r="R534" s="110"/>
      <c r="T534" s="99"/>
      <c r="V534" s="110"/>
      <c r="W534" s="110"/>
      <c r="X534" s="110"/>
      <c r="Y534" s="110"/>
      <c r="Z534" s="228"/>
      <c r="AA534" s="110"/>
      <c r="AB534" s="110"/>
      <c r="AC534" s="141"/>
      <c r="AD534" s="141"/>
      <c r="AE534" s="110"/>
      <c r="AF534" s="110"/>
      <c r="AH534" s="207"/>
      <c r="AI534" s="110"/>
      <c r="AJ534" s="110"/>
      <c r="AL534" s="110"/>
      <c r="AM534" s="207"/>
      <c r="AN534" s="207"/>
    </row>
    <row r="535" spans="1:40" x14ac:dyDescent="0.3">
      <c r="J535" s="163"/>
      <c r="K535" s="163"/>
      <c r="Z535" s="163"/>
    </row>
    <row r="536" spans="1:40" x14ac:dyDescent="0.3">
      <c r="C536" s="99"/>
      <c r="J536" s="163"/>
      <c r="K536" s="163"/>
      <c r="T536" s="99"/>
      <c r="V536" s="110"/>
      <c r="W536" s="110"/>
      <c r="X536" s="110"/>
      <c r="Y536" s="110"/>
      <c r="Z536" s="228"/>
    </row>
    <row r="537" spans="1:40" x14ac:dyDescent="0.3">
      <c r="C537" s="99"/>
      <c r="F537" s="172"/>
      <c r="H537" s="172"/>
      <c r="I537" s="172"/>
      <c r="J537" s="228"/>
      <c r="K537" s="228"/>
      <c r="L537" s="110"/>
      <c r="M537" s="110"/>
      <c r="N537" s="141"/>
      <c r="O537" s="141"/>
      <c r="P537" s="110"/>
      <c r="Q537" s="110"/>
      <c r="R537" s="110"/>
      <c r="T537" s="99"/>
      <c r="V537" s="110"/>
      <c r="W537" s="110"/>
      <c r="X537" s="110"/>
      <c r="Y537" s="110"/>
      <c r="Z537" s="228"/>
      <c r="AA537" s="110"/>
      <c r="AB537" s="110"/>
      <c r="AC537" s="141"/>
      <c r="AD537" s="141"/>
      <c r="AE537" s="110"/>
      <c r="AF537" s="110"/>
      <c r="AH537" s="207"/>
      <c r="AI537" s="110"/>
      <c r="AJ537" s="110"/>
      <c r="AL537" s="110"/>
      <c r="AM537" s="207"/>
      <c r="AN537" s="207"/>
    </row>
    <row r="538" spans="1:40" x14ac:dyDescent="0.3">
      <c r="C538" s="99"/>
      <c r="F538" s="172"/>
      <c r="H538" s="172"/>
      <c r="I538" s="172"/>
      <c r="J538" s="228"/>
      <c r="K538" s="228"/>
      <c r="L538" s="110"/>
      <c r="M538" s="110"/>
      <c r="N538" s="141"/>
      <c r="O538" s="141"/>
      <c r="P538" s="110"/>
      <c r="Q538" s="110"/>
      <c r="R538" s="110"/>
      <c r="T538" s="99"/>
      <c r="V538" s="110"/>
      <c r="W538" s="110"/>
      <c r="X538" s="110"/>
      <c r="Y538" s="110"/>
      <c r="Z538" s="228"/>
      <c r="AA538" s="110"/>
      <c r="AB538" s="110"/>
      <c r="AC538" s="141"/>
      <c r="AD538" s="141"/>
      <c r="AE538" s="110"/>
      <c r="AF538" s="110"/>
      <c r="AH538" s="207"/>
      <c r="AI538" s="110"/>
      <c r="AJ538" s="110"/>
      <c r="AL538" s="110"/>
      <c r="AM538" s="207"/>
      <c r="AN538" s="207"/>
    </row>
    <row r="539" spans="1:40" x14ac:dyDescent="0.3">
      <c r="F539" s="192"/>
      <c r="H539" s="192"/>
      <c r="I539" s="192"/>
      <c r="J539" s="228"/>
      <c r="K539" s="228"/>
      <c r="L539" s="192"/>
      <c r="M539" s="192"/>
      <c r="N539" s="192"/>
      <c r="O539" s="192"/>
      <c r="P539" s="192"/>
      <c r="Q539" s="192"/>
      <c r="R539" s="192"/>
      <c r="V539" s="192"/>
      <c r="Y539" s="192"/>
      <c r="Z539" s="217"/>
      <c r="AA539" s="192"/>
      <c r="AB539" s="192"/>
      <c r="AC539" s="192"/>
      <c r="AD539" s="192"/>
      <c r="AE539" s="192"/>
      <c r="AF539" s="192"/>
      <c r="AI539" s="192"/>
      <c r="AJ539" s="192"/>
      <c r="AK539" s="194"/>
      <c r="AL539" s="192"/>
    </row>
    <row r="540" spans="1:40" x14ac:dyDescent="0.3">
      <c r="C540" s="99"/>
      <c r="F540" s="110"/>
      <c r="H540" s="110"/>
      <c r="I540" s="110"/>
      <c r="L540" s="110"/>
      <c r="M540" s="110"/>
      <c r="N540" s="141"/>
      <c r="O540" s="141"/>
      <c r="P540" s="172"/>
      <c r="Q540" s="172"/>
      <c r="R540" s="110"/>
      <c r="T540" s="99"/>
      <c r="V540" s="110"/>
      <c r="W540" s="110"/>
      <c r="X540" s="110"/>
      <c r="Y540" s="110"/>
      <c r="Z540" s="227"/>
      <c r="AA540" s="110"/>
      <c r="AB540" s="110"/>
      <c r="AC540" s="141"/>
      <c r="AD540" s="141"/>
      <c r="AE540" s="110"/>
      <c r="AF540" s="110"/>
      <c r="AH540" s="207"/>
      <c r="AI540" s="172"/>
      <c r="AJ540" s="172"/>
      <c r="AL540" s="110"/>
      <c r="AM540" s="207"/>
      <c r="AN540" s="207"/>
    </row>
    <row r="541" spans="1:40" x14ac:dyDescent="0.3">
      <c r="F541" s="192"/>
      <c r="H541" s="192"/>
      <c r="I541" s="192"/>
      <c r="J541" s="217"/>
      <c r="K541" s="217"/>
      <c r="L541" s="192"/>
      <c r="M541" s="192"/>
      <c r="N541" s="192"/>
      <c r="O541" s="192"/>
      <c r="P541" s="192"/>
      <c r="Q541" s="192"/>
      <c r="R541" s="192"/>
      <c r="V541" s="192"/>
      <c r="Y541" s="192"/>
      <c r="Z541" s="217"/>
      <c r="AA541" s="192"/>
      <c r="AB541" s="192"/>
      <c r="AC541" s="192"/>
      <c r="AD541" s="192"/>
      <c r="AE541" s="192"/>
      <c r="AF541" s="192"/>
      <c r="AI541" s="192"/>
      <c r="AJ541" s="192"/>
      <c r="AK541" s="194"/>
      <c r="AL541" s="192"/>
    </row>
    <row r="544" spans="1:40" x14ac:dyDescent="0.3">
      <c r="A544" s="99"/>
    </row>
    <row r="546" spans="1:40" x14ac:dyDescent="0.3">
      <c r="H546" s="99"/>
      <c r="I546" s="99"/>
      <c r="Y546" s="99"/>
    </row>
    <row r="548" spans="1:40" x14ac:dyDescent="0.3">
      <c r="L548" s="99"/>
      <c r="M548" s="99"/>
      <c r="AA548" s="99"/>
      <c r="AB548" s="99"/>
    </row>
    <row r="549" spans="1:40" x14ac:dyDescent="0.3">
      <c r="R549" s="99"/>
      <c r="AK549" s="190"/>
      <c r="AL549" s="99"/>
    </row>
    <row r="550" spans="1:40" x14ac:dyDescent="0.3">
      <c r="R550" s="99"/>
      <c r="AK550" s="190"/>
      <c r="AL550" s="99"/>
    </row>
    <row r="551" spans="1:40" x14ac:dyDescent="0.3">
      <c r="A551" s="99"/>
      <c r="R551" s="99"/>
      <c r="AK551" s="190"/>
      <c r="AL551" s="99"/>
    </row>
    <row r="552" spans="1:40" x14ac:dyDescent="0.3">
      <c r="L552" s="99"/>
      <c r="M552" s="99"/>
      <c r="AA552" s="99"/>
      <c r="AB552" s="99"/>
    </row>
    <row r="553" spans="1:40" x14ac:dyDescent="0.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91"/>
      <c r="AH553" s="101"/>
      <c r="AI553" s="101"/>
      <c r="AJ553" s="101"/>
      <c r="AK553" s="191"/>
      <c r="AL553" s="101"/>
      <c r="AM553" s="101"/>
      <c r="AN553" s="101"/>
    </row>
    <row r="554" spans="1:40" x14ac:dyDescent="0.3">
      <c r="L554" s="102"/>
      <c r="M554" s="102"/>
      <c r="N554" s="102"/>
      <c r="O554" s="102"/>
      <c r="R554" s="102"/>
      <c r="AA554" s="102"/>
      <c r="AB554" s="102"/>
      <c r="AC554" s="102"/>
      <c r="AD554" s="102"/>
      <c r="AE554" s="102"/>
      <c r="AF554" s="102"/>
      <c r="AG554" s="151"/>
      <c r="AH554" s="102"/>
      <c r="AK554" s="151"/>
      <c r="AL554" s="102"/>
      <c r="AM554" s="102"/>
      <c r="AN554" s="102"/>
    </row>
    <row r="555" spans="1:40" x14ac:dyDescent="0.3">
      <c r="L555" s="102"/>
      <c r="M555" s="102"/>
      <c r="N555" s="102"/>
      <c r="O555" s="102"/>
      <c r="R555" s="102"/>
      <c r="Z555" s="102"/>
      <c r="AA555" s="102"/>
      <c r="AB555" s="102"/>
      <c r="AC555" s="102"/>
      <c r="AD555" s="102"/>
      <c r="AE555" s="102"/>
      <c r="AF555" s="102"/>
      <c r="AG555" s="151"/>
      <c r="AH555" s="102"/>
      <c r="AK555" s="151"/>
      <c r="AL555" s="102"/>
      <c r="AM555" s="102"/>
      <c r="AN555" s="102"/>
    </row>
    <row r="556" spans="1:40" x14ac:dyDescent="0.3">
      <c r="A556" s="102"/>
      <c r="C556" s="102"/>
      <c r="D556" s="102"/>
      <c r="E556" s="102"/>
      <c r="F556" s="102"/>
      <c r="J556" s="102"/>
      <c r="K556" s="102"/>
      <c r="L556" s="102"/>
      <c r="M556" s="102"/>
      <c r="N556" s="102"/>
      <c r="O556" s="102"/>
      <c r="P556" s="102"/>
      <c r="Q556" s="102"/>
      <c r="R556" s="102"/>
      <c r="T556" s="102"/>
      <c r="U556" s="102"/>
      <c r="V556" s="102"/>
      <c r="Z556" s="102"/>
      <c r="AA556" s="102"/>
      <c r="AB556" s="102"/>
      <c r="AC556" s="102"/>
      <c r="AD556" s="102"/>
      <c r="AE556" s="102"/>
      <c r="AF556" s="102"/>
      <c r="AG556" s="151"/>
      <c r="AH556" s="102"/>
      <c r="AI556" s="102"/>
      <c r="AJ556" s="102"/>
      <c r="AK556" s="151"/>
      <c r="AL556" s="102"/>
      <c r="AM556" s="102"/>
      <c r="AN556" s="102"/>
    </row>
    <row r="557" spans="1:40" x14ac:dyDescent="0.3">
      <c r="A557" s="102"/>
      <c r="C557" s="102"/>
      <c r="D557" s="102"/>
      <c r="E557" s="102"/>
      <c r="F557" s="102"/>
      <c r="H557" s="102"/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T557" s="102"/>
      <c r="U557" s="102"/>
      <c r="V557" s="102"/>
      <c r="Y557" s="102"/>
      <c r="Z557" s="102"/>
      <c r="AA557" s="102"/>
      <c r="AB557" s="102"/>
      <c r="AC557" s="102"/>
      <c r="AD557" s="102"/>
      <c r="AE557" s="102"/>
      <c r="AF557" s="102"/>
      <c r="AG557" s="151"/>
      <c r="AH557" s="102"/>
      <c r="AI557" s="102"/>
      <c r="AJ557" s="102"/>
      <c r="AK557" s="151"/>
      <c r="AL557" s="102"/>
      <c r="AM557" s="102"/>
      <c r="AN557" s="102"/>
    </row>
    <row r="558" spans="1:40" x14ac:dyDescent="0.3">
      <c r="C558" s="102"/>
      <c r="D558" s="102"/>
      <c r="E558" s="102"/>
      <c r="F558" s="102"/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T558" s="102"/>
      <c r="U558" s="102"/>
      <c r="V558" s="102"/>
      <c r="Y558" s="102"/>
      <c r="Z558" s="102"/>
      <c r="AA558" s="102"/>
      <c r="AB558" s="102"/>
      <c r="AC558" s="102"/>
      <c r="AD558" s="102"/>
      <c r="AE558" s="102"/>
      <c r="AF558" s="102"/>
      <c r="AG558" s="151"/>
      <c r="AH558" s="102"/>
      <c r="AI558" s="102"/>
      <c r="AJ558" s="102"/>
      <c r="AK558" s="151"/>
      <c r="AL558" s="102"/>
      <c r="AM558" s="102"/>
      <c r="AN558" s="102"/>
    </row>
    <row r="559" spans="1:40" x14ac:dyDescent="0.3">
      <c r="A559" s="10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91"/>
      <c r="AH559" s="101"/>
      <c r="AI559" s="101"/>
      <c r="AJ559" s="101"/>
      <c r="AK559" s="191"/>
      <c r="AL559" s="101"/>
      <c r="AM559" s="101"/>
      <c r="AN559" s="101"/>
    </row>
    <row r="560" spans="1:40" x14ac:dyDescent="0.3"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Y560" s="102"/>
      <c r="Z560" s="102"/>
      <c r="AA560" s="102"/>
      <c r="AB560" s="102"/>
      <c r="AC560" s="102"/>
      <c r="AD560" s="102"/>
      <c r="AE560" s="102"/>
      <c r="AF560" s="102"/>
      <c r="AG560" s="151"/>
      <c r="AH560" s="102"/>
      <c r="AI560" s="102"/>
      <c r="AJ560" s="102"/>
      <c r="AK560" s="151"/>
      <c r="AL560" s="102"/>
      <c r="AM560" s="102"/>
      <c r="AN560" s="102"/>
    </row>
    <row r="561" spans="3:40" x14ac:dyDescent="0.3">
      <c r="C561" s="99"/>
      <c r="D561" s="99"/>
      <c r="E561" s="99"/>
      <c r="T561" s="99"/>
      <c r="U561" s="99"/>
    </row>
    <row r="563" spans="3:40" x14ac:dyDescent="0.3">
      <c r="C563" s="99"/>
      <c r="T563" s="99"/>
    </row>
    <row r="564" spans="3:40" x14ac:dyDescent="0.3">
      <c r="C564" s="99"/>
      <c r="T564" s="99"/>
    </row>
    <row r="565" spans="3:40" x14ac:dyDescent="0.3">
      <c r="C565" s="99"/>
      <c r="F565" s="172"/>
      <c r="H565" s="172"/>
      <c r="I565" s="172"/>
      <c r="J565" s="228"/>
      <c r="K565" s="228"/>
      <c r="L565" s="110"/>
      <c r="M565" s="110"/>
      <c r="N565" s="141"/>
      <c r="O565" s="141"/>
      <c r="P565" s="110"/>
      <c r="Q565" s="110"/>
      <c r="R565" s="110"/>
      <c r="T565" s="99"/>
      <c r="V565" s="110"/>
      <c r="W565" s="110"/>
      <c r="X565" s="110"/>
      <c r="Y565" s="110"/>
      <c r="Z565" s="228"/>
      <c r="AA565" s="110"/>
      <c r="AB565" s="110"/>
      <c r="AC565" s="141"/>
      <c r="AD565" s="141"/>
      <c r="AE565" s="110"/>
      <c r="AF565" s="110"/>
      <c r="AH565" s="207"/>
      <c r="AI565" s="110"/>
      <c r="AJ565" s="110"/>
      <c r="AL565" s="110"/>
      <c r="AM565" s="207"/>
      <c r="AN565" s="207"/>
    </row>
    <row r="566" spans="3:40" x14ac:dyDescent="0.3">
      <c r="C566" s="99"/>
      <c r="F566" s="110"/>
      <c r="H566" s="110"/>
      <c r="I566" s="110"/>
      <c r="J566" s="163"/>
      <c r="K566" s="163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163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207"/>
      <c r="AN566" s="207"/>
    </row>
    <row r="567" spans="3:40" x14ac:dyDescent="0.3">
      <c r="C567" s="99"/>
      <c r="F567" s="110"/>
      <c r="H567" s="110"/>
      <c r="I567" s="110"/>
      <c r="J567" s="163"/>
      <c r="K567" s="163"/>
      <c r="L567" s="110"/>
      <c r="M567" s="110"/>
      <c r="N567" s="141"/>
      <c r="O567" s="141"/>
      <c r="P567" s="110"/>
      <c r="Q567" s="110"/>
      <c r="R567" s="110"/>
      <c r="T567" s="99"/>
      <c r="V567" s="110"/>
      <c r="W567" s="110"/>
      <c r="X567" s="110"/>
      <c r="Y567" s="110"/>
      <c r="Z567" s="163"/>
      <c r="AA567" s="110"/>
      <c r="AB567" s="110"/>
      <c r="AC567" s="141"/>
      <c r="AD567" s="141"/>
      <c r="AE567" s="110"/>
      <c r="AF567" s="110"/>
      <c r="AH567" s="207"/>
      <c r="AI567" s="110"/>
      <c r="AJ567" s="110"/>
      <c r="AL567" s="110"/>
      <c r="AM567" s="207"/>
      <c r="AN567" s="207"/>
    </row>
    <row r="568" spans="3:40" x14ac:dyDescent="0.3">
      <c r="C568" s="99"/>
      <c r="F568" s="110"/>
      <c r="H568" s="110"/>
      <c r="I568" s="110"/>
      <c r="J568" s="163"/>
      <c r="K568" s="163"/>
      <c r="T568" s="99"/>
      <c r="V568" s="110"/>
      <c r="Z568" s="163"/>
    </row>
    <row r="569" spans="3:40" x14ac:dyDescent="0.3">
      <c r="C569" s="99"/>
      <c r="F569" s="172"/>
      <c r="H569" s="172"/>
      <c r="I569" s="172"/>
      <c r="J569" s="228"/>
      <c r="K569" s="228"/>
      <c r="L569" s="110"/>
      <c r="M569" s="110"/>
      <c r="N569" s="141"/>
      <c r="O569" s="141"/>
      <c r="P569" s="110"/>
      <c r="Q569" s="110"/>
      <c r="R569" s="110"/>
      <c r="T569" s="99"/>
      <c r="V569" s="110"/>
      <c r="W569" s="110"/>
      <c r="X569" s="110"/>
      <c r="Y569" s="110"/>
      <c r="Z569" s="228"/>
      <c r="AA569" s="110"/>
      <c r="AB569" s="110"/>
      <c r="AC569" s="141"/>
      <c r="AD569" s="141"/>
      <c r="AE569" s="110"/>
      <c r="AF569" s="110"/>
      <c r="AH569" s="207"/>
      <c r="AI569" s="110"/>
      <c r="AJ569" s="110"/>
      <c r="AL569" s="110"/>
      <c r="AM569" s="207"/>
      <c r="AN569" s="207"/>
    </row>
    <row r="570" spans="3:40" x14ac:dyDescent="0.3">
      <c r="C570" s="99"/>
      <c r="F570" s="110"/>
      <c r="H570" s="110"/>
      <c r="I570" s="110"/>
      <c r="J570" s="163"/>
      <c r="K570" s="163"/>
      <c r="T570" s="99"/>
      <c r="V570" s="110"/>
      <c r="W570" s="110"/>
      <c r="X570" s="110"/>
      <c r="Y570" s="110"/>
      <c r="Z570" s="163"/>
      <c r="AC570" s="141"/>
      <c r="AD570" s="141"/>
      <c r="AE570" s="110"/>
      <c r="AF570" s="110"/>
      <c r="AH570" s="207"/>
      <c r="AI570" s="110"/>
      <c r="AJ570" s="110"/>
      <c r="AL570" s="110"/>
      <c r="AM570" s="207"/>
      <c r="AN570" s="207"/>
    </row>
    <row r="571" spans="3:40" x14ac:dyDescent="0.3">
      <c r="C571" s="99"/>
      <c r="F571" s="172"/>
      <c r="H571" s="172"/>
      <c r="I571" s="172"/>
      <c r="J571" s="228"/>
      <c r="K571" s="228"/>
      <c r="L571" s="110"/>
      <c r="M571" s="110"/>
      <c r="N571" s="141"/>
      <c r="O571" s="141"/>
      <c r="P571" s="110"/>
      <c r="Q571" s="110"/>
      <c r="R571" s="110"/>
      <c r="T571" s="99"/>
      <c r="V571" s="110"/>
      <c r="W571" s="110"/>
      <c r="X571" s="110"/>
      <c r="Y571" s="110"/>
      <c r="Z571" s="228"/>
      <c r="AA571" s="110"/>
      <c r="AB571" s="110"/>
      <c r="AC571" s="141"/>
      <c r="AD571" s="141"/>
      <c r="AE571" s="110"/>
      <c r="AF571" s="110"/>
      <c r="AH571" s="207"/>
      <c r="AI571" s="110"/>
      <c r="AJ571" s="110"/>
      <c r="AL571" s="110"/>
      <c r="AM571" s="207"/>
      <c r="AN571" s="207"/>
    </row>
    <row r="572" spans="3:40" x14ac:dyDescent="0.3">
      <c r="C572" s="99"/>
      <c r="F572" s="110"/>
      <c r="H572" s="110"/>
      <c r="I572" s="110"/>
      <c r="J572" s="163"/>
      <c r="K572" s="163"/>
      <c r="L572" s="110"/>
      <c r="M572" s="110"/>
      <c r="N572" s="141"/>
      <c r="O572" s="141"/>
      <c r="P572" s="110"/>
      <c r="Q572" s="110"/>
      <c r="R572" s="110"/>
      <c r="T572" s="99"/>
      <c r="V572" s="110"/>
      <c r="W572" s="110"/>
      <c r="X572" s="110"/>
      <c r="Y572" s="110"/>
      <c r="Z572" s="163"/>
      <c r="AA572" s="110"/>
      <c r="AB572" s="110"/>
      <c r="AC572" s="141"/>
      <c r="AD572" s="141"/>
      <c r="AE572" s="110"/>
      <c r="AF572" s="110"/>
      <c r="AH572" s="207"/>
      <c r="AI572" s="110"/>
      <c r="AJ572" s="110"/>
      <c r="AL572" s="110"/>
      <c r="AM572" s="207"/>
      <c r="AN572" s="207"/>
    </row>
    <row r="573" spans="3:40" x14ac:dyDescent="0.3">
      <c r="F573" s="110"/>
      <c r="H573" s="110"/>
      <c r="I573" s="110"/>
      <c r="J573" s="163"/>
      <c r="K573" s="163"/>
      <c r="Z573" s="163"/>
    </row>
    <row r="574" spans="3:40" x14ac:dyDescent="0.3">
      <c r="C574" s="99"/>
      <c r="F574" s="110"/>
      <c r="H574" s="172"/>
      <c r="I574" s="172"/>
      <c r="J574" s="228"/>
      <c r="K574" s="228"/>
      <c r="L574" s="110"/>
      <c r="M574" s="110"/>
      <c r="N574" s="141"/>
      <c r="O574" s="141"/>
      <c r="P574" s="110"/>
      <c r="Q574" s="110"/>
      <c r="R574" s="110"/>
      <c r="T574" s="99"/>
      <c r="V574" s="110"/>
      <c r="W574" s="110"/>
      <c r="X574" s="110"/>
      <c r="Y574" s="110"/>
      <c r="Z574" s="228"/>
      <c r="AA574" s="110"/>
      <c r="AB574" s="110"/>
      <c r="AC574" s="141"/>
      <c r="AD574" s="141"/>
      <c r="AE574" s="110"/>
      <c r="AF574" s="110"/>
      <c r="AH574" s="207"/>
      <c r="AI574" s="110"/>
      <c r="AJ574" s="110"/>
      <c r="AL574" s="110"/>
      <c r="AM574" s="207"/>
      <c r="AN574" s="207"/>
    </row>
    <row r="575" spans="3:40" x14ac:dyDescent="0.3">
      <c r="F575" s="192"/>
      <c r="H575" s="192"/>
      <c r="I575" s="192"/>
      <c r="J575" s="228"/>
      <c r="K575" s="228"/>
      <c r="L575" s="192"/>
      <c r="M575" s="192"/>
      <c r="N575" s="192"/>
      <c r="O575" s="192"/>
      <c r="P575" s="192"/>
      <c r="Q575" s="192"/>
      <c r="R575" s="192"/>
      <c r="V575" s="192"/>
      <c r="Y575" s="192"/>
      <c r="Z575" s="228"/>
      <c r="AA575" s="192"/>
      <c r="AB575" s="192"/>
      <c r="AC575" s="192"/>
      <c r="AD575" s="192"/>
      <c r="AE575" s="192"/>
      <c r="AF575" s="192"/>
      <c r="AI575" s="192"/>
      <c r="AJ575" s="192"/>
      <c r="AK575" s="194"/>
      <c r="AL575" s="192"/>
    </row>
    <row r="576" spans="3:40" x14ac:dyDescent="0.3">
      <c r="C576" s="99"/>
      <c r="F576" s="110"/>
      <c r="H576" s="110"/>
      <c r="I576" s="110"/>
      <c r="J576" s="163"/>
      <c r="K576" s="163"/>
      <c r="L576" s="110"/>
      <c r="M576" s="110"/>
      <c r="P576" s="110"/>
      <c r="Q576" s="110"/>
      <c r="R576" s="110"/>
      <c r="T576" s="99"/>
      <c r="V576" s="110"/>
      <c r="Y576" s="110"/>
      <c r="Z576" s="163"/>
      <c r="AA576" s="110"/>
      <c r="AB576" s="110"/>
      <c r="AC576" s="207"/>
      <c r="AD576" s="207"/>
      <c r="AE576" s="110"/>
      <c r="AF576" s="110"/>
      <c r="AH576" s="207"/>
      <c r="AI576" s="110"/>
      <c r="AJ576" s="110"/>
      <c r="AL576" s="110"/>
      <c r="AM576" s="207"/>
      <c r="AN576" s="207"/>
    </row>
    <row r="577" spans="1:40" x14ac:dyDescent="0.3">
      <c r="F577" s="192"/>
      <c r="H577" s="192"/>
      <c r="I577" s="192"/>
      <c r="J577" s="228"/>
      <c r="K577" s="228"/>
      <c r="L577" s="192"/>
      <c r="M577" s="192"/>
      <c r="N577" s="192"/>
      <c r="O577" s="192"/>
      <c r="P577" s="192"/>
      <c r="Q577" s="192"/>
      <c r="R577" s="192"/>
      <c r="V577" s="192"/>
      <c r="Y577" s="192"/>
      <c r="Z577" s="228"/>
      <c r="AA577" s="192"/>
      <c r="AB577" s="192"/>
      <c r="AC577" s="192"/>
      <c r="AD577" s="192"/>
      <c r="AE577" s="192"/>
      <c r="AF577" s="192"/>
      <c r="AI577" s="192"/>
      <c r="AJ577" s="192"/>
      <c r="AK577" s="194"/>
      <c r="AL577" s="192"/>
    </row>
    <row r="578" spans="1:40" x14ac:dyDescent="0.3">
      <c r="J578" s="163"/>
      <c r="K578" s="163"/>
      <c r="Z578" s="163"/>
    </row>
    <row r="579" spans="1:40" x14ac:dyDescent="0.3">
      <c r="C579" s="99"/>
      <c r="J579" s="163"/>
      <c r="K579" s="163"/>
      <c r="T579" s="99"/>
      <c r="Z579" s="163"/>
    </row>
    <row r="580" spans="1:40" x14ac:dyDescent="0.3">
      <c r="C580" s="99"/>
      <c r="J580" s="163"/>
      <c r="K580" s="163"/>
      <c r="T580" s="99"/>
      <c r="Z580" s="163"/>
    </row>
    <row r="581" spans="1:40" x14ac:dyDescent="0.3">
      <c r="C581" s="99"/>
      <c r="F581" s="172"/>
      <c r="H581" s="172"/>
      <c r="I581" s="172"/>
      <c r="J581" s="228"/>
      <c r="K581" s="228"/>
      <c r="L581" s="110"/>
      <c r="M581" s="110"/>
      <c r="N581" s="141"/>
      <c r="O581" s="141"/>
      <c r="P581" s="110"/>
      <c r="Q581" s="110"/>
      <c r="R581" s="110"/>
      <c r="T581" s="99"/>
      <c r="V581" s="110"/>
      <c r="W581" s="110"/>
      <c r="X581" s="110"/>
      <c r="Y581" s="110"/>
      <c r="Z581" s="228"/>
      <c r="AA581" s="110"/>
      <c r="AB581" s="110"/>
      <c r="AC581" s="141"/>
      <c r="AD581" s="141"/>
      <c r="AE581" s="110"/>
      <c r="AF581" s="110"/>
      <c r="AH581" s="207"/>
      <c r="AI581" s="110"/>
      <c r="AJ581" s="110"/>
      <c r="AL581" s="110"/>
      <c r="AM581" s="207"/>
      <c r="AN581" s="207"/>
    </row>
    <row r="582" spans="1:40" x14ac:dyDescent="0.3">
      <c r="C582" s="99"/>
      <c r="J582" s="163"/>
      <c r="K582" s="163"/>
      <c r="T582" s="99"/>
      <c r="Z582" s="163"/>
    </row>
    <row r="583" spans="1:40" x14ac:dyDescent="0.3">
      <c r="C583" s="99"/>
      <c r="F583" s="172"/>
      <c r="H583" s="172"/>
      <c r="I583" s="172"/>
      <c r="J583" s="228"/>
      <c r="K583" s="228"/>
      <c r="L583" s="110"/>
      <c r="M583" s="110"/>
      <c r="N583" s="141"/>
      <c r="O583" s="141"/>
      <c r="P583" s="110"/>
      <c r="Q583" s="110"/>
      <c r="R583" s="110"/>
      <c r="T583" s="99"/>
      <c r="V583" s="110"/>
      <c r="W583" s="110"/>
      <c r="X583" s="110"/>
      <c r="Y583" s="110"/>
      <c r="Z583" s="228"/>
      <c r="AA583" s="110"/>
      <c r="AB583" s="110"/>
      <c r="AC583" s="141"/>
      <c r="AD583" s="141"/>
      <c r="AE583" s="110"/>
      <c r="AF583" s="110"/>
      <c r="AH583" s="207"/>
      <c r="AI583" s="110"/>
      <c r="AJ583" s="110"/>
      <c r="AL583" s="110"/>
      <c r="AM583" s="207"/>
      <c r="AN583" s="207"/>
    </row>
    <row r="584" spans="1:40" x14ac:dyDescent="0.3">
      <c r="F584" s="192"/>
      <c r="H584" s="192"/>
      <c r="I584" s="192"/>
      <c r="J584" s="228"/>
      <c r="K584" s="228"/>
      <c r="L584" s="192"/>
      <c r="M584" s="192"/>
      <c r="N584" s="192"/>
      <c r="O584" s="192"/>
      <c r="P584" s="192"/>
      <c r="Q584" s="192"/>
      <c r="R584" s="192"/>
      <c r="V584" s="192"/>
      <c r="Y584" s="192"/>
      <c r="Z584" s="228"/>
      <c r="AA584" s="192"/>
      <c r="AB584" s="192"/>
      <c r="AC584" s="192"/>
      <c r="AD584" s="192"/>
      <c r="AE584" s="192"/>
      <c r="AF584" s="192"/>
      <c r="AI584" s="192"/>
      <c r="AJ584" s="192"/>
      <c r="AK584" s="194"/>
      <c r="AL584" s="192"/>
    </row>
    <row r="585" spans="1:40" x14ac:dyDescent="0.3">
      <c r="C585" s="99"/>
      <c r="F585" s="110"/>
      <c r="H585" s="110"/>
      <c r="I585" s="110"/>
      <c r="J585" s="163"/>
      <c r="K585" s="163"/>
      <c r="L585" s="110"/>
      <c r="M585" s="110"/>
      <c r="N585" s="207"/>
      <c r="O585" s="207"/>
      <c r="P585" s="110"/>
      <c r="Q585" s="110"/>
      <c r="R585" s="110"/>
      <c r="T585" s="99"/>
      <c r="V585" s="110"/>
      <c r="Y585" s="110"/>
      <c r="Z585" s="163"/>
      <c r="AA585" s="110"/>
      <c r="AB585" s="110"/>
      <c r="AC585" s="207"/>
      <c r="AD585" s="207"/>
      <c r="AE585" s="110"/>
      <c r="AF585" s="110"/>
      <c r="AH585" s="207"/>
      <c r="AI585" s="110"/>
      <c r="AJ585" s="110"/>
      <c r="AL585" s="110"/>
      <c r="AM585" s="207"/>
      <c r="AN585" s="207"/>
    </row>
    <row r="586" spans="1:40" x14ac:dyDescent="0.3">
      <c r="F586" s="192"/>
      <c r="H586" s="192"/>
      <c r="I586" s="192"/>
      <c r="J586" s="228"/>
      <c r="K586" s="228"/>
      <c r="L586" s="192"/>
      <c r="M586" s="192"/>
      <c r="N586" s="192"/>
      <c r="O586" s="192"/>
      <c r="P586" s="192"/>
      <c r="Q586" s="192"/>
      <c r="R586" s="192"/>
      <c r="V586" s="192"/>
      <c r="Y586" s="192"/>
      <c r="Z586" s="217"/>
      <c r="AA586" s="192"/>
      <c r="AB586" s="192"/>
      <c r="AC586" s="192"/>
      <c r="AD586" s="192"/>
      <c r="AE586" s="192"/>
      <c r="AF586" s="192"/>
      <c r="AI586" s="192"/>
      <c r="AJ586" s="192"/>
      <c r="AK586" s="194"/>
      <c r="AL586" s="192"/>
    </row>
    <row r="587" spans="1:40" x14ac:dyDescent="0.3">
      <c r="J587" s="163"/>
      <c r="K587" s="163"/>
    </row>
    <row r="588" spans="1:40" x14ac:dyDescent="0.3">
      <c r="C588" s="99"/>
      <c r="F588" s="110"/>
      <c r="H588" s="110"/>
      <c r="I588" s="110"/>
      <c r="J588" s="163"/>
      <c r="K588" s="163"/>
      <c r="L588" s="110"/>
      <c r="M588" s="110"/>
      <c r="N588" s="141"/>
      <c r="O588" s="141"/>
      <c r="P588" s="172"/>
      <c r="Q588" s="172"/>
      <c r="R588" s="110"/>
      <c r="T588" s="99"/>
      <c r="V588" s="110"/>
      <c r="Y588" s="110"/>
      <c r="AA588" s="110"/>
      <c r="AB588" s="110"/>
      <c r="AC588" s="207"/>
      <c r="AD588" s="207"/>
      <c r="AE588" s="110"/>
      <c r="AF588" s="110"/>
      <c r="AH588" s="207"/>
      <c r="AI588" s="172"/>
      <c r="AJ588" s="172"/>
      <c r="AL588" s="110"/>
      <c r="AM588" s="207"/>
      <c r="AN588" s="207"/>
    </row>
    <row r="589" spans="1:40" x14ac:dyDescent="0.3">
      <c r="F589" s="192"/>
      <c r="H589" s="192"/>
      <c r="I589" s="192"/>
      <c r="J589" s="228"/>
      <c r="K589" s="228"/>
      <c r="L589" s="192"/>
      <c r="M589" s="192"/>
      <c r="N589" s="192"/>
      <c r="O589" s="192"/>
      <c r="P589" s="192"/>
      <c r="Q589" s="192"/>
      <c r="R589" s="192"/>
      <c r="V589" s="192"/>
      <c r="Y589" s="192"/>
      <c r="Z589" s="217"/>
      <c r="AA589" s="192"/>
      <c r="AB589" s="192"/>
      <c r="AC589" s="192"/>
      <c r="AD589" s="192"/>
      <c r="AE589" s="192"/>
      <c r="AF589" s="192"/>
      <c r="AI589" s="192"/>
      <c r="AJ589" s="192"/>
      <c r="AK589" s="194"/>
      <c r="AL589" s="192"/>
    </row>
    <row r="592" spans="1:40" x14ac:dyDescent="0.3">
      <c r="A592" s="99"/>
    </row>
    <row r="594" spans="1:40" x14ac:dyDescent="0.3">
      <c r="H594" s="99"/>
      <c r="I594" s="99"/>
      <c r="Y594" s="99"/>
    </row>
    <row r="596" spans="1:40" x14ac:dyDescent="0.3">
      <c r="L596" s="99"/>
      <c r="M596" s="99"/>
      <c r="AA596" s="99"/>
      <c r="AB596" s="99"/>
    </row>
    <row r="597" spans="1:40" x14ac:dyDescent="0.3">
      <c r="R597" s="99"/>
      <c r="AK597" s="190"/>
      <c r="AL597" s="99"/>
    </row>
    <row r="598" spans="1:40" x14ac:dyDescent="0.3">
      <c r="R598" s="99"/>
      <c r="AK598" s="190"/>
      <c r="AL598" s="99"/>
    </row>
    <row r="599" spans="1:40" x14ac:dyDescent="0.3">
      <c r="A599" s="99"/>
      <c r="R599" s="99"/>
      <c r="AK599" s="190"/>
      <c r="AL599" s="99"/>
    </row>
    <row r="600" spans="1:40" x14ac:dyDescent="0.3">
      <c r="L600" s="99"/>
      <c r="M600" s="99"/>
      <c r="AA600" s="99"/>
      <c r="AB600" s="99"/>
    </row>
    <row r="601" spans="1:40" x14ac:dyDescent="0.3">
      <c r="A601" s="10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T601" s="101"/>
      <c r="U601" s="101"/>
      <c r="V601" s="101"/>
      <c r="W601" s="101"/>
      <c r="X601" s="101"/>
      <c r="Y601" s="101"/>
      <c r="Z601" s="101"/>
      <c r="AA601" s="101"/>
      <c r="AB601" s="101"/>
      <c r="AC601" s="101"/>
      <c r="AD601" s="101"/>
      <c r="AE601" s="101"/>
      <c r="AF601" s="101"/>
      <c r="AG601" s="191"/>
      <c r="AH601" s="101"/>
      <c r="AI601" s="101"/>
      <c r="AJ601" s="101"/>
      <c r="AK601" s="191"/>
      <c r="AL601" s="101"/>
      <c r="AM601" s="101"/>
      <c r="AN601" s="101"/>
    </row>
    <row r="602" spans="1:40" x14ac:dyDescent="0.3">
      <c r="L602" s="102"/>
      <c r="M602" s="102"/>
      <c r="N602" s="102"/>
      <c r="O602" s="102"/>
      <c r="R602" s="102"/>
      <c r="AA602" s="102"/>
      <c r="AB602" s="102"/>
      <c r="AC602" s="102"/>
      <c r="AD602" s="102"/>
      <c r="AE602" s="102"/>
      <c r="AF602" s="102"/>
      <c r="AG602" s="151"/>
      <c r="AH602" s="102"/>
      <c r="AK602" s="151"/>
      <c r="AL602" s="102"/>
      <c r="AM602" s="102"/>
      <c r="AN602" s="102"/>
    </row>
    <row r="603" spans="1:40" x14ac:dyDescent="0.3">
      <c r="L603" s="102"/>
      <c r="M603" s="102"/>
      <c r="N603" s="102"/>
      <c r="O603" s="102"/>
      <c r="R603" s="102"/>
      <c r="Z603" s="102"/>
      <c r="AA603" s="102"/>
      <c r="AB603" s="102"/>
      <c r="AC603" s="102"/>
      <c r="AD603" s="102"/>
      <c r="AE603" s="102"/>
      <c r="AF603" s="102"/>
      <c r="AG603" s="151"/>
      <c r="AH603" s="102"/>
      <c r="AK603" s="151"/>
      <c r="AL603" s="102"/>
      <c r="AM603" s="102"/>
      <c r="AN603" s="102"/>
    </row>
    <row r="604" spans="1:40" x14ac:dyDescent="0.3">
      <c r="A604" s="102"/>
      <c r="C604" s="102"/>
      <c r="D604" s="102"/>
      <c r="E604" s="102"/>
      <c r="F604" s="102"/>
      <c r="J604" s="102"/>
      <c r="K604" s="102"/>
      <c r="L604" s="102"/>
      <c r="M604" s="102"/>
      <c r="N604" s="102"/>
      <c r="O604" s="102"/>
      <c r="P604" s="102"/>
      <c r="Q604" s="102"/>
      <c r="R604" s="102"/>
      <c r="T604" s="102"/>
      <c r="U604" s="102"/>
      <c r="V604" s="102"/>
      <c r="Z604" s="102"/>
      <c r="AA604" s="102"/>
      <c r="AB604" s="102"/>
      <c r="AC604" s="102"/>
      <c r="AD604" s="102"/>
      <c r="AE604" s="102"/>
      <c r="AF604" s="102"/>
      <c r="AG604" s="151"/>
      <c r="AH604" s="102"/>
      <c r="AI604" s="102"/>
      <c r="AJ604" s="102"/>
      <c r="AK604" s="151"/>
      <c r="AL604" s="102"/>
      <c r="AM604" s="102"/>
      <c r="AN604" s="102"/>
    </row>
    <row r="605" spans="1:40" x14ac:dyDescent="0.3">
      <c r="A605" s="102"/>
      <c r="C605" s="102"/>
      <c r="D605" s="102"/>
      <c r="E605" s="102"/>
      <c r="F605" s="102"/>
      <c r="H605" s="102"/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T605" s="102"/>
      <c r="U605" s="102"/>
      <c r="V605" s="102"/>
      <c r="Y605" s="102"/>
      <c r="Z605" s="102"/>
      <c r="AA605" s="102"/>
      <c r="AB605" s="102"/>
      <c r="AC605" s="102"/>
      <c r="AD605" s="102"/>
      <c r="AE605" s="102"/>
      <c r="AF605" s="102"/>
      <c r="AG605" s="151"/>
      <c r="AH605" s="102"/>
      <c r="AI605" s="102"/>
      <c r="AJ605" s="102"/>
      <c r="AK605" s="151"/>
      <c r="AL605" s="102"/>
      <c r="AM605" s="102"/>
      <c r="AN605" s="102"/>
    </row>
    <row r="606" spans="1:40" x14ac:dyDescent="0.3">
      <c r="C606" s="102"/>
      <c r="D606" s="102"/>
      <c r="E606" s="102"/>
      <c r="F606" s="102"/>
      <c r="H606" s="102"/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T606" s="102"/>
      <c r="U606" s="102"/>
      <c r="V606" s="102"/>
      <c r="Y606" s="102"/>
      <c r="Z606" s="102"/>
      <c r="AA606" s="102"/>
      <c r="AB606" s="102"/>
      <c r="AC606" s="102"/>
      <c r="AD606" s="102"/>
      <c r="AE606" s="102"/>
      <c r="AF606" s="102"/>
      <c r="AG606" s="151"/>
      <c r="AH606" s="102"/>
      <c r="AI606" s="102"/>
      <c r="AJ606" s="102"/>
      <c r="AK606" s="151"/>
      <c r="AL606" s="102"/>
      <c r="AM606" s="102"/>
      <c r="AN606" s="102"/>
    </row>
    <row r="607" spans="1:40" x14ac:dyDescent="0.3">
      <c r="A607" s="101"/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T607" s="101"/>
      <c r="U607" s="101"/>
      <c r="V607" s="101"/>
      <c r="W607" s="101"/>
      <c r="X607" s="101"/>
      <c r="Y607" s="101"/>
      <c r="Z607" s="101"/>
      <c r="AA607" s="101"/>
      <c r="AB607" s="101"/>
      <c r="AC607" s="101"/>
      <c r="AD607" s="101"/>
      <c r="AE607" s="101"/>
      <c r="AF607" s="101"/>
      <c r="AG607" s="191"/>
      <c r="AH607" s="101"/>
      <c r="AI607" s="101"/>
      <c r="AJ607" s="101"/>
      <c r="AK607" s="191"/>
      <c r="AL607" s="101"/>
      <c r="AM607" s="101"/>
      <c r="AN607" s="101"/>
    </row>
    <row r="608" spans="1:40" x14ac:dyDescent="0.3"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Y608" s="102"/>
      <c r="Z608" s="102"/>
      <c r="AA608" s="102"/>
      <c r="AB608" s="102"/>
      <c r="AC608" s="102"/>
      <c r="AD608" s="102"/>
      <c r="AE608" s="102"/>
      <c r="AF608" s="102"/>
      <c r="AG608" s="151"/>
      <c r="AH608" s="102"/>
      <c r="AI608" s="102"/>
      <c r="AJ608" s="102"/>
      <c r="AK608" s="151"/>
      <c r="AL608" s="102"/>
      <c r="AM608" s="102"/>
      <c r="AN608" s="102"/>
    </row>
    <row r="609" spans="3:40" x14ac:dyDescent="0.3">
      <c r="C609" s="99"/>
      <c r="D609" s="99"/>
      <c r="E609" s="99"/>
      <c r="T609" s="99"/>
      <c r="U609" s="99"/>
    </row>
    <row r="611" spans="3:40" x14ac:dyDescent="0.3">
      <c r="C611" s="99"/>
      <c r="D611" s="99"/>
      <c r="E611" s="99"/>
      <c r="T611" s="99"/>
      <c r="U611" s="99"/>
    </row>
    <row r="612" spans="3:40" x14ac:dyDescent="0.3">
      <c r="C612" s="99"/>
      <c r="T612" s="99"/>
    </row>
    <row r="613" spans="3:40" x14ac:dyDescent="0.3">
      <c r="C613" s="99"/>
      <c r="T613" s="99"/>
    </row>
    <row r="614" spans="3:40" x14ac:dyDescent="0.3">
      <c r="C614" s="99"/>
      <c r="F614" s="172"/>
      <c r="H614" s="172"/>
      <c r="I614" s="172"/>
      <c r="J614" s="228"/>
      <c r="K614" s="228"/>
      <c r="L614" s="110"/>
      <c r="M614" s="110"/>
      <c r="N614" s="141"/>
      <c r="O614" s="141"/>
      <c r="P614" s="110"/>
      <c r="Q614" s="110"/>
      <c r="R614" s="110"/>
      <c r="T614" s="99"/>
      <c r="V614" s="110"/>
      <c r="W614" s="110"/>
      <c r="X614" s="110"/>
      <c r="Y614" s="110"/>
      <c r="Z614" s="228"/>
      <c r="AA614" s="110"/>
      <c r="AB614" s="110"/>
      <c r="AC614" s="141"/>
      <c r="AD614" s="141"/>
      <c r="AE614" s="110"/>
      <c r="AF614" s="110"/>
      <c r="AH614" s="207"/>
      <c r="AI614" s="110"/>
      <c r="AJ614" s="110"/>
      <c r="AL614" s="110"/>
      <c r="AM614" s="141"/>
      <c r="AN614" s="141"/>
    </row>
    <row r="615" spans="3:40" x14ac:dyDescent="0.3">
      <c r="C615" s="99"/>
      <c r="J615" s="163"/>
      <c r="K615" s="163"/>
      <c r="T615" s="99"/>
      <c r="V615" s="110"/>
      <c r="W615" s="110"/>
      <c r="X615" s="110"/>
      <c r="Y615" s="110"/>
      <c r="Z615" s="228"/>
    </row>
    <row r="616" spans="3:40" x14ac:dyDescent="0.3">
      <c r="C616" s="99"/>
      <c r="F616" s="172"/>
      <c r="H616" s="172"/>
      <c r="I616" s="172"/>
      <c r="J616" s="228"/>
      <c r="K616" s="228"/>
      <c r="L616" s="110"/>
      <c r="M616" s="110"/>
      <c r="N616" s="141"/>
      <c r="O616" s="141"/>
      <c r="P616" s="110"/>
      <c r="Q616" s="110"/>
      <c r="R616" s="110"/>
      <c r="T616" s="99"/>
      <c r="V616" s="110"/>
      <c r="W616" s="110"/>
      <c r="X616" s="110"/>
      <c r="Y616" s="110"/>
      <c r="Z616" s="228"/>
      <c r="AA616" s="110"/>
      <c r="AB616" s="110"/>
      <c r="AC616" s="141"/>
      <c r="AD616" s="141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C617" s="99"/>
      <c r="J617" s="163"/>
      <c r="K617" s="163"/>
      <c r="T617" s="99"/>
      <c r="V617" s="110"/>
      <c r="W617" s="110"/>
      <c r="X617" s="110"/>
      <c r="Y617" s="110"/>
      <c r="Z617" s="228"/>
    </row>
    <row r="618" spans="3:40" x14ac:dyDescent="0.3">
      <c r="C618" s="99"/>
      <c r="F618" s="172"/>
      <c r="H618" s="172"/>
      <c r="I618" s="172"/>
      <c r="J618" s="228"/>
      <c r="K618" s="228"/>
      <c r="L618" s="110"/>
      <c r="M618" s="110"/>
      <c r="N618" s="141"/>
      <c r="O618" s="141"/>
      <c r="P618" s="110"/>
      <c r="Q618" s="110"/>
      <c r="R618" s="110"/>
      <c r="T618" s="99"/>
      <c r="V618" s="110"/>
      <c r="W618" s="110"/>
      <c r="X618" s="110"/>
      <c r="Y618" s="110"/>
      <c r="Z618" s="228"/>
      <c r="AA618" s="110"/>
      <c r="AB618" s="110"/>
      <c r="AC618" s="141"/>
      <c r="AD618" s="141"/>
      <c r="AE618" s="110"/>
      <c r="AF618" s="110"/>
      <c r="AH618" s="207"/>
      <c r="AI618" s="110"/>
      <c r="AJ618" s="110"/>
      <c r="AL618" s="110"/>
      <c r="AM618" s="141"/>
      <c r="AN618" s="141"/>
    </row>
    <row r="619" spans="3:40" x14ac:dyDescent="0.3">
      <c r="C619" s="99"/>
      <c r="J619" s="163"/>
      <c r="K619" s="163"/>
      <c r="T619" s="99"/>
      <c r="V619" s="110"/>
      <c r="W619" s="110"/>
      <c r="X619" s="110"/>
      <c r="Y619" s="110"/>
      <c r="Z619" s="228"/>
    </row>
    <row r="620" spans="3:40" x14ac:dyDescent="0.3">
      <c r="C620" s="99"/>
      <c r="F620" s="172"/>
      <c r="H620" s="172"/>
      <c r="I620" s="172"/>
      <c r="J620" s="228"/>
      <c r="K620" s="228"/>
      <c r="L620" s="110"/>
      <c r="M620" s="110"/>
      <c r="N620" s="141"/>
      <c r="O620" s="141"/>
      <c r="P620" s="110"/>
      <c r="Q620" s="110"/>
      <c r="R620" s="110"/>
      <c r="T620" s="99"/>
      <c r="V620" s="110"/>
      <c r="W620" s="110"/>
      <c r="X620" s="110"/>
      <c r="Y620" s="110"/>
      <c r="Z620" s="228"/>
      <c r="AA620" s="110"/>
      <c r="AB620" s="110"/>
      <c r="AC620" s="141"/>
      <c r="AD620" s="141"/>
      <c r="AE620" s="110"/>
      <c r="AF620" s="110"/>
      <c r="AH620" s="207"/>
      <c r="AI620" s="110"/>
      <c r="AJ620" s="110"/>
      <c r="AL620" s="110"/>
      <c r="AM620" s="141"/>
      <c r="AN620" s="141"/>
    </row>
    <row r="621" spans="3:40" x14ac:dyDescent="0.3">
      <c r="C621" s="99"/>
      <c r="J621" s="163"/>
      <c r="K621" s="163"/>
      <c r="T621" s="99"/>
      <c r="V621" s="110"/>
      <c r="W621" s="110"/>
      <c r="X621" s="110"/>
      <c r="Y621" s="110"/>
      <c r="Z621" s="228"/>
    </row>
    <row r="622" spans="3:40" x14ac:dyDescent="0.3">
      <c r="C622" s="99"/>
      <c r="F622" s="172"/>
      <c r="H622" s="172"/>
      <c r="I622" s="172"/>
      <c r="J622" s="228"/>
      <c r="K622" s="228"/>
      <c r="L622" s="110"/>
      <c r="M622" s="110"/>
      <c r="N622" s="141"/>
      <c r="O622" s="141"/>
      <c r="P622" s="110"/>
      <c r="Q622" s="110"/>
      <c r="R622" s="110"/>
      <c r="T622" s="99"/>
      <c r="V622" s="110"/>
      <c r="W622" s="110"/>
      <c r="X622" s="110"/>
      <c r="Y622" s="110"/>
      <c r="Z622" s="228"/>
      <c r="AA622" s="110"/>
      <c r="AB622" s="110"/>
      <c r="AC622" s="141"/>
      <c r="AD622" s="141"/>
      <c r="AE622" s="110"/>
      <c r="AF622" s="110"/>
      <c r="AH622" s="207"/>
      <c r="AI622" s="110"/>
      <c r="AJ622" s="110"/>
      <c r="AL622" s="110"/>
      <c r="AM622" s="141"/>
      <c r="AN622" s="141"/>
    </row>
    <row r="623" spans="3:40" x14ac:dyDescent="0.3">
      <c r="C623" s="99"/>
      <c r="J623" s="163"/>
      <c r="K623" s="163"/>
      <c r="T623" s="99"/>
      <c r="V623" s="110"/>
      <c r="W623" s="110"/>
      <c r="X623" s="110"/>
      <c r="Y623" s="110"/>
      <c r="Z623" s="228"/>
    </row>
    <row r="624" spans="3:40" x14ac:dyDescent="0.3">
      <c r="C624" s="99"/>
      <c r="F624" s="172"/>
      <c r="H624" s="172"/>
      <c r="I624" s="172"/>
      <c r="J624" s="228"/>
      <c r="K624" s="228"/>
      <c r="L624" s="110"/>
      <c r="M624" s="110"/>
      <c r="N624" s="141"/>
      <c r="O624" s="141"/>
      <c r="P624" s="110"/>
      <c r="Q624" s="110"/>
      <c r="R624" s="110"/>
      <c r="T624" s="99"/>
      <c r="V624" s="110"/>
      <c r="W624" s="110"/>
      <c r="X624" s="110"/>
      <c r="Y624" s="110"/>
      <c r="Z624" s="228"/>
      <c r="AA624" s="110"/>
      <c r="AB624" s="110"/>
      <c r="AC624" s="141"/>
      <c r="AD624" s="141"/>
      <c r="AE624" s="110"/>
      <c r="AF624" s="110"/>
      <c r="AH624" s="207"/>
      <c r="AI624" s="110"/>
      <c r="AJ624" s="110"/>
      <c r="AL624" s="110"/>
      <c r="AM624" s="141"/>
      <c r="AN624" s="141"/>
    </row>
    <row r="625" spans="3:40" x14ac:dyDescent="0.3">
      <c r="F625" s="192"/>
      <c r="H625" s="192"/>
      <c r="I625" s="192"/>
      <c r="J625" s="228"/>
      <c r="K625" s="228"/>
      <c r="L625" s="192"/>
      <c r="M625" s="192"/>
      <c r="N625" s="192"/>
      <c r="O625" s="192"/>
      <c r="P625" s="192"/>
      <c r="Q625" s="192"/>
      <c r="R625" s="192"/>
      <c r="V625" s="192"/>
      <c r="Y625" s="192"/>
      <c r="Z625" s="228"/>
      <c r="AA625" s="192"/>
      <c r="AB625" s="192"/>
      <c r="AC625" s="192"/>
      <c r="AD625" s="192"/>
      <c r="AE625" s="192"/>
      <c r="AF625" s="192"/>
      <c r="AI625" s="192"/>
      <c r="AJ625" s="192"/>
      <c r="AK625" s="194"/>
      <c r="AL625" s="192"/>
      <c r="AM625" s="141"/>
      <c r="AN625" s="141"/>
    </row>
    <row r="626" spans="3:40" x14ac:dyDescent="0.3">
      <c r="C626" s="99"/>
      <c r="F626" s="110"/>
      <c r="H626" s="110"/>
      <c r="I626" s="110"/>
      <c r="J626" s="163"/>
      <c r="K626" s="163"/>
      <c r="L626" s="110"/>
      <c r="M626" s="110"/>
      <c r="N626" s="141"/>
      <c r="O626" s="141"/>
      <c r="P626" s="172"/>
      <c r="Q626" s="172"/>
      <c r="R626" s="110"/>
      <c r="T626" s="99"/>
      <c r="V626" s="110"/>
      <c r="W626" s="110"/>
      <c r="X626" s="110"/>
      <c r="Y626" s="110"/>
      <c r="Z626" s="228"/>
      <c r="AA626" s="110"/>
      <c r="AB626" s="110"/>
      <c r="AC626" s="141"/>
      <c r="AD626" s="141"/>
      <c r="AE626" s="110"/>
      <c r="AF626" s="110"/>
      <c r="AH626" s="207"/>
      <c r="AI626" s="172"/>
      <c r="AJ626" s="172"/>
      <c r="AL626" s="110"/>
      <c r="AM626" s="141"/>
      <c r="AN626" s="141"/>
    </row>
    <row r="627" spans="3:40" x14ac:dyDescent="0.3">
      <c r="F627" s="192"/>
      <c r="H627" s="192"/>
      <c r="I627" s="192"/>
      <c r="J627" s="228"/>
      <c r="K627" s="228"/>
      <c r="L627" s="192"/>
      <c r="M627" s="192"/>
      <c r="N627" s="192"/>
      <c r="O627" s="192"/>
      <c r="P627" s="192"/>
      <c r="Q627" s="192"/>
      <c r="R627" s="192"/>
      <c r="V627" s="192"/>
      <c r="Y627" s="192"/>
      <c r="Z627" s="228"/>
      <c r="AA627" s="192"/>
      <c r="AB627" s="192"/>
      <c r="AC627" s="192"/>
      <c r="AD627" s="192"/>
      <c r="AE627" s="192"/>
      <c r="AF627" s="192"/>
      <c r="AI627" s="192"/>
      <c r="AJ627" s="192"/>
      <c r="AK627" s="194"/>
      <c r="AL627" s="192"/>
    </row>
    <row r="628" spans="3:40" x14ac:dyDescent="0.3">
      <c r="C628" s="99"/>
      <c r="D628" s="99"/>
      <c r="E628" s="99"/>
      <c r="J628" s="163"/>
      <c r="K628" s="163"/>
      <c r="T628" s="99"/>
      <c r="U628" s="99"/>
      <c r="V628" s="110"/>
      <c r="W628" s="110"/>
      <c r="X628" s="110"/>
      <c r="Y628" s="110"/>
      <c r="Z628" s="228"/>
    </row>
    <row r="629" spans="3:40" x14ac:dyDescent="0.3">
      <c r="C629" s="99"/>
      <c r="J629" s="163"/>
      <c r="K629" s="163"/>
      <c r="T629" s="99"/>
      <c r="V629" s="110"/>
      <c r="W629" s="110"/>
      <c r="X629" s="110"/>
      <c r="Y629" s="110"/>
      <c r="Z629" s="228"/>
    </row>
    <row r="630" spans="3:40" x14ac:dyDescent="0.3">
      <c r="C630" s="99"/>
      <c r="J630" s="163"/>
      <c r="K630" s="163"/>
      <c r="T630" s="99"/>
      <c r="V630" s="110"/>
      <c r="W630" s="110"/>
      <c r="X630" s="110"/>
      <c r="Y630" s="110"/>
      <c r="Z630" s="228"/>
    </row>
    <row r="631" spans="3:40" x14ac:dyDescent="0.3">
      <c r="C631" s="99"/>
      <c r="F631" s="172"/>
      <c r="H631" s="172"/>
      <c r="I631" s="172"/>
      <c r="J631" s="228"/>
      <c r="K631" s="228"/>
      <c r="L631" s="110"/>
      <c r="M631" s="110"/>
      <c r="N631" s="141"/>
      <c r="O631" s="141"/>
      <c r="P631" s="110"/>
      <c r="Q631" s="110"/>
      <c r="R631" s="110"/>
      <c r="T631" s="99"/>
      <c r="V631" s="110"/>
      <c r="W631" s="110"/>
      <c r="X631" s="110"/>
      <c r="Y631" s="110"/>
      <c r="Z631" s="228"/>
      <c r="AA631" s="110"/>
      <c r="AB631" s="110"/>
      <c r="AC631" s="141"/>
      <c r="AD631" s="141"/>
      <c r="AE631" s="110"/>
      <c r="AF631" s="110"/>
      <c r="AH631" s="207"/>
      <c r="AI631" s="110"/>
      <c r="AJ631" s="110"/>
      <c r="AL631" s="110"/>
      <c r="AM631" s="141"/>
      <c r="AN631" s="141"/>
    </row>
    <row r="632" spans="3:40" x14ac:dyDescent="0.3">
      <c r="C632" s="99"/>
      <c r="J632" s="163"/>
      <c r="K632" s="163"/>
      <c r="T632" s="99"/>
      <c r="V632" s="110"/>
      <c r="W632" s="110"/>
      <c r="X632" s="110"/>
      <c r="Y632" s="110"/>
      <c r="Z632" s="228"/>
    </row>
    <row r="633" spans="3:40" x14ac:dyDescent="0.3">
      <c r="C633" s="99"/>
      <c r="F633" s="172"/>
      <c r="H633" s="172"/>
      <c r="I633" s="172"/>
      <c r="J633" s="228"/>
      <c r="K633" s="228"/>
      <c r="L633" s="110"/>
      <c r="M633" s="110"/>
      <c r="N633" s="141"/>
      <c r="O633" s="141"/>
      <c r="P633" s="110"/>
      <c r="Q633" s="110"/>
      <c r="R633" s="110"/>
      <c r="T633" s="99"/>
      <c r="V633" s="110"/>
      <c r="W633" s="110"/>
      <c r="X633" s="110"/>
      <c r="Y633" s="110"/>
      <c r="Z633" s="228"/>
      <c r="AA633" s="110"/>
      <c r="AB633" s="110"/>
      <c r="AC633" s="141"/>
      <c r="AD633" s="141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F634" s="192"/>
      <c r="H634" s="192"/>
      <c r="I634" s="192"/>
      <c r="J634" s="228"/>
      <c r="K634" s="228"/>
      <c r="L634" s="192"/>
      <c r="M634" s="192"/>
      <c r="N634" s="192"/>
      <c r="O634" s="192"/>
      <c r="P634" s="192"/>
      <c r="Q634" s="192"/>
      <c r="R634" s="192"/>
      <c r="V634" s="192"/>
      <c r="Y634" s="192"/>
      <c r="Z634" s="217"/>
      <c r="AA634" s="192"/>
      <c r="AB634" s="192"/>
      <c r="AC634" s="192"/>
      <c r="AD634" s="192"/>
      <c r="AE634" s="192"/>
      <c r="AF634" s="192"/>
      <c r="AI634" s="192"/>
      <c r="AJ634" s="192"/>
      <c r="AK634" s="194"/>
      <c r="AL634" s="192"/>
    </row>
    <row r="635" spans="3:40" x14ac:dyDescent="0.3">
      <c r="C635" s="99"/>
      <c r="F635" s="110"/>
      <c r="H635" s="110"/>
      <c r="I635" s="110"/>
      <c r="L635" s="110"/>
      <c r="M635" s="110"/>
      <c r="N635" s="141"/>
      <c r="O635" s="141"/>
      <c r="P635" s="172"/>
      <c r="Q635" s="172"/>
      <c r="R635" s="110"/>
      <c r="T635" s="99"/>
      <c r="V635" s="110"/>
      <c r="W635" s="110"/>
      <c r="X635" s="110"/>
      <c r="Y635" s="110"/>
      <c r="Z635" s="227"/>
      <c r="AA635" s="110"/>
      <c r="AB635" s="110"/>
      <c r="AC635" s="141"/>
      <c r="AD635" s="141"/>
      <c r="AE635" s="110"/>
      <c r="AF635" s="110"/>
      <c r="AH635" s="207"/>
      <c r="AI635" s="172"/>
      <c r="AJ635" s="172"/>
      <c r="AL635" s="110"/>
      <c r="AM635" s="141"/>
      <c r="AN635" s="141"/>
    </row>
    <row r="636" spans="3:40" x14ac:dyDescent="0.3">
      <c r="F636" s="192"/>
      <c r="H636" s="192"/>
      <c r="I636" s="192"/>
      <c r="J636" s="217"/>
      <c r="K636" s="217"/>
      <c r="L636" s="192"/>
      <c r="M636" s="192"/>
      <c r="N636" s="192"/>
      <c r="O636" s="192"/>
      <c r="P636" s="192"/>
      <c r="Q636" s="192"/>
      <c r="R636" s="192"/>
      <c r="V636" s="192"/>
      <c r="Y636" s="192"/>
      <c r="Z636" s="217"/>
      <c r="AA636" s="192"/>
      <c r="AB636" s="192"/>
      <c r="AC636" s="192"/>
      <c r="AD636" s="192"/>
      <c r="AE636" s="192"/>
      <c r="AF636" s="192"/>
      <c r="AI636" s="192"/>
      <c r="AJ636" s="192"/>
      <c r="AK636" s="194"/>
      <c r="AL636" s="192"/>
    </row>
    <row r="637" spans="3:40" x14ac:dyDescent="0.3">
      <c r="C637" s="99"/>
      <c r="D637" s="99"/>
      <c r="E637" s="99"/>
      <c r="T637" s="99"/>
      <c r="U637" s="99"/>
      <c r="V637" s="110"/>
      <c r="W637" s="110"/>
      <c r="X637" s="110"/>
      <c r="Y637" s="110"/>
      <c r="Z637" s="227"/>
    </row>
    <row r="638" spans="3:40" x14ac:dyDescent="0.3">
      <c r="C638" s="99"/>
      <c r="T638" s="99"/>
      <c r="V638" s="110"/>
      <c r="W638" s="110"/>
      <c r="X638" s="110"/>
      <c r="Y638" s="110"/>
      <c r="Z638" s="227"/>
    </row>
    <row r="639" spans="3:40" x14ac:dyDescent="0.3">
      <c r="C639" s="99"/>
      <c r="F639" s="172"/>
      <c r="H639" s="172"/>
      <c r="I639" s="172"/>
      <c r="J639" s="227"/>
      <c r="K639" s="227"/>
      <c r="L639" s="110"/>
      <c r="M639" s="110"/>
      <c r="N639" s="141"/>
      <c r="O639" s="141"/>
      <c r="P639" s="110"/>
      <c r="Q639" s="110"/>
      <c r="R639" s="110"/>
      <c r="T639" s="99"/>
      <c r="V639" s="110"/>
      <c r="W639" s="110"/>
      <c r="X639" s="110"/>
      <c r="Y639" s="110"/>
      <c r="Z639" s="227"/>
      <c r="AA639" s="110"/>
      <c r="AB639" s="110"/>
      <c r="AC639" s="141"/>
      <c r="AD639" s="141"/>
      <c r="AE639" s="110"/>
      <c r="AF639" s="110"/>
      <c r="AH639" s="207"/>
      <c r="AI639" s="110"/>
      <c r="AJ639" s="110"/>
      <c r="AL639" s="110"/>
      <c r="AM639" s="141"/>
      <c r="AN639" s="141"/>
    </row>
    <row r="640" spans="3:40" x14ac:dyDescent="0.3">
      <c r="C640" s="99"/>
      <c r="T640" s="99"/>
      <c r="V640" s="110"/>
      <c r="W640" s="110"/>
      <c r="X640" s="110"/>
      <c r="Y640" s="110"/>
      <c r="Z640" s="227"/>
    </row>
    <row r="641" spans="1:40" x14ac:dyDescent="0.3">
      <c r="C641" s="99"/>
      <c r="F641" s="172"/>
      <c r="H641" s="172"/>
      <c r="I641" s="172"/>
      <c r="J641" s="227"/>
      <c r="K641" s="227"/>
      <c r="L641" s="110"/>
      <c r="M641" s="110"/>
      <c r="N641" s="141"/>
      <c r="O641" s="141"/>
      <c r="P641" s="110"/>
      <c r="Q641" s="110"/>
      <c r="R641" s="110"/>
      <c r="T641" s="99"/>
      <c r="V641" s="110"/>
      <c r="W641" s="110"/>
      <c r="X641" s="110"/>
      <c r="Y641" s="110"/>
      <c r="Z641" s="227"/>
      <c r="AA641" s="110"/>
      <c r="AB641" s="110"/>
      <c r="AC641" s="141"/>
      <c r="AD641" s="141"/>
      <c r="AE641" s="110"/>
      <c r="AF641" s="110"/>
      <c r="AH641" s="207"/>
      <c r="AI641" s="110"/>
      <c r="AJ641" s="110"/>
      <c r="AL641" s="110"/>
      <c r="AM641" s="141"/>
      <c r="AN641" s="141"/>
    </row>
    <row r="642" spans="1:40" x14ac:dyDescent="0.3">
      <c r="C642" s="99"/>
      <c r="T642" s="99"/>
      <c r="V642" s="110"/>
      <c r="W642" s="110"/>
      <c r="X642" s="110"/>
      <c r="Y642" s="110"/>
      <c r="Z642" s="227"/>
    </row>
    <row r="643" spans="1:40" x14ac:dyDescent="0.3">
      <c r="C643" s="99"/>
      <c r="F643" s="172"/>
      <c r="H643" s="172"/>
      <c r="I643" s="172"/>
      <c r="J643" s="227"/>
      <c r="K643" s="227"/>
      <c r="L643" s="110"/>
      <c r="M643" s="110"/>
      <c r="N643" s="141"/>
      <c r="O643" s="141"/>
      <c r="P643" s="110"/>
      <c r="Q643" s="110"/>
      <c r="R643" s="110"/>
      <c r="T643" s="99"/>
      <c r="V643" s="110"/>
      <c r="W643" s="110"/>
      <c r="X643" s="110"/>
      <c r="Y643" s="110"/>
      <c r="Z643" s="227"/>
      <c r="AA643" s="110"/>
      <c r="AB643" s="110"/>
      <c r="AC643" s="141"/>
      <c r="AD643" s="141"/>
      <c r="AE643" s="110"/>
      <c r="AF643" s="110"/>
      <c r="AH643" s="207"/>
      <c r="AI643" s="110"/>
      <c r="AJ643" s="110"/>
      <c r="AL643" s="110"/>
      <c r="AM643" s="141"/>
      <c r="AN643" s="141"/>
    </row>
    <row r="644" spans="1:40" x14ac:dyDescent="0.3">
      <c r="C644" s="99"/>
      <c r="T644" s="99"/>
      <c r="V644" s="110"/>
      <c r="W644" s="110"/>
      <c r="X644" s="110"/>
      <c r="Y644" s="110"/>
      <c r="Z644" s="227"/>
    </row>
    <row r="645" spans="1:40" x14ac:dyDescent="0.3">
      <c r="C645" s="99"/>
      <c r="F645" s="172"/>
      <c r="H645" s="172"/>
      <c r="I645" s="172"/>
      <c r="J645" s="227"/>
      <c r="K645" s="227"/>
      <c r="L645" s="110"/>
      <c r="M645" s="110"/>
      <c r="N645" s="141"/>
      <c r="O645" s="141"/>
      <c r="P645" s="110"/>
      <c r="Q645" s="110"/>
      <c r="R645" s="110"/>
      <c r="T645" s="99"/>
      <c r="V645" s="110"/>
      <c r="W645" s="110"/>
      <c r="X645" s="110"/>
      <c r="Y645" s="110"/>
      <c r="Z645" s="227"/>
      <c r="AA645" s="110"/>
      <c r="AB645" s="110"/>
      <c r="AC645" s="141"/>
      <c r="AD645" s="141"/>
      <c r="AE645" s="110"/>
      <c r="AF645" s="110"/>
      <c r="AH645" s="207"/>
      <c r="AI645" s="110"/>
      <c r="AJ645" s="110"/>
      <c r="AL645" s="110"/>
      <c r="AM645" s="141"/>
      <c r="AN645" s="141"/>
    </row>
    <row r="646" spans="1:40" x14ac:dyDescent="0.3">
      <c r="F646" s="192"/>
      <c r="H646" s="192"/>
      <c r="I646" s="192"/>
      <c r="J646" s="217"/>
      <c r="K646" s="217"/>
      <c r="L646" s="192"/>
      <c r="M646" s="192"/>
      <c r="N646" s="192"/>
      <c r="O646" s="192"/>
      <c r="P646" s="192"/>
      <c r="Q646" s="192"/>
      <c r="R646" s="192"/>
      <c r="V646" s="192"/>
      <c r="Y646" s="192"/>
      <c r="Z646" s="217"/>
      <c r="AA646" s="192"/>
      <c r="AB646" s="192"/>
      <c r="AC646" s="192"/>
      <c r="AD646" s="192"/>
      <c r="AE646" s="192"/>
      <c r="AF646" s="192"/>
      <c r="AI646" s="192"/>
      <c r="AJ646" s="192"/>
      <c r="AK646" s="194"/>
      <c r="AL646" s="192"/>
    </row>
    <row r="647" spans="1:40" x14ac:dyDescent="0.3">
      <c r="C647" s="99"/>
      <c r="F647" s="110"/>
      <c r="H647" s="110"/>
      <c r="I647" s="110"/>
      <c r="L647" s="110"/>
      <c r="M647" s="110"/>
      <c r="N647" s="141"/>
      <c r="O647" s="141"/>
      <c r="P647" s="172"/>
      <c r="Q647" s="172"/>
      <c r="R647" s="110"/>
      <c r="T647" s="99"/>
      <c r="V647" s="110"/>
      <c r="W647" s="110"/>
      <c r="X647" s="110"/>
      <c r="Y647" s="110"/>
      <c r="Z647" s="227"/>
      <c r="AA647" s="110"/>
      <c r="AB647" s="110"/>
      <c r="AC647" s="141"/>
      <c r="AD647" s="141"/>
      <c r="AE647" s="110"/>
      <c r="AF647" s="110"/>
      <c r="AH647" s="207"/>
      <c r="AI647" s="172"/>
      <c r="AJ647" s="172"/>
      <c r="AL647" s="110"/>
      <c r="AM647" s="141"/>
      <c r="AN647" s="141"/>
    </row>
    <row r="648" spans="1:40" x14ac:dyDescent="0.3">
      <c r="F648" s="192"/>
      <c r="H648" s="192"/>
      <c r="I648" s="192"/>
      <c r="J648" s="217"/>
      <c r="K648" s="217"/>
      <c r="L648" s="192"/>
      <c r="M648" s="192"/>
      <c r="N648" s="192"/>
      <c r="O648" s="192"/>
      <c r="P648" s="192"/>
      <c r="Q648" s="192"/>
      <c r="R648" s="192"/>
      <c r="V648" s="192"/>
      <c r="Y648" s="192"/>
      <c r="Z648" s="217"/>
      <c r="AA648" s="192"/>
      <c r="AB648" s="192"/>
      <c r="AC648" s="192"/>
      <c r="AD648" s="192"/>
      <c r="AE648" s="192"/>
      <c r="AF648" s="192"/>
      <c r="AI648" s="192"/>
      <c r="AJ648" s="192"/>
      <c r="AK648" s="194"/>
      <c r="AL648" s="192"/>
    </row>
    <row r="649" spans="1:40" x14ac:dyDescent="0.3">
      <c r="C649" s="99"/>
      <c r="F649" s="110"/>
      <c r="H649" s="110"/>
      <c r="I649" s="110"/>
      <c r="L649" s="110"/>
      <c r="M649" s="110"/>
      <c r="N649" s="141"/>
      <c r="O649" s="141"/>
      <c r="P649" s="110"/>
      <c r="Q649" s="110"/>
      <c r="R649" s="110"/>
      <c r="T649" s="99"/>
      <c r="V649" s="110"/>
      <c r="W649" s="110"/>
      <c r="X649" s="110"/>
      <c r="Y649" s="110"/>
      <c r="AA649" s="110"/>
      <c r="AB649" s="110"/>
      <c r="AC649" s="141"/>
      <c r="AD649" s="141"/>
      <c r="AE649" s="110"/>
      <c r="AF649" s="110"/>
      <c r="AH649" s="207"/>
      <c r="AI649" s="110"/>
      <c r="AJ649" s="110"/>
      <c r="AL649" s="110"/>
      <c r="AM649" s="207"/>
      <c r="AN649" s="207"/>
    </row>
    <row r="650" spans="1:40" x14ac:dyDescent="0.3">
      <c r="F650" s="192"/>
      <c r="H650" s="192"/>
      <c r="I650" s="192"/>
      <c r="J650" s="217"/>
      <c r="K650" s="217"/>
      <c r="L650" s="192"/>
      <c r="M650" s="192"/>
      <c r="N650" s="192"/>
      <c r="O650" s="192"/>
      <c r="P650" s="192"/>
      <c r="Q650" s="192"/>
      <c r="R650" s="192"/>
      <c r="V650" s="192"/>
      <c r="Y650" s="192"/>
      <c r="Z650" s="217"/>
      <c r="AA650" s="192"/>
      <c r="AB650" s="192"/>
      <c r="AC650" s="192"/>
      <c r="AD650" s="192"/>
      <c r="AE650" s="192"/>
      <c r="AF650" s="192"/>
      <c r="AI650" s="192"/>
      <c r="AJ650" s="192"/>
      <c r="AK650" s="194"/>
      <c r="AL650" s="192"/>
    </row>
    <row r="653" spans="1:40" x14ac:dyDescent="0.3">
      <c r="A653" s="99"/>
    </row>
    <row r="655" spans="1:40" x14ac:dyDescent="0.3">
      <c r="H655" s="99"/>
      <c r="I655" s="99"/>
      <c r="Y655" s="99"/>
    </row>
    <row r="657" spans="1:40" x14ac:dyDescent="0.3">
      <c r="L657" s="99"/>
      <c r="M657" s="99"/>
      <c r="AA657" s="99"/>
      <c r="AB657" s="99"/>
    </row>
    <row r="658" spans="1:40" x14ac:dyDescent="0.3">
      <c r="R658" s="99"/>
      <c r="AK658" s="190"/>
      <c r="AL658" s="99"/>
    </row>
    <row r="659" spans="1:40" x14ac:dyDescent="0.3">
      <c r="R659" s="99"/>
      <c r="AK659" s="190"/>
      <c r="AL659" s="99"/>
    </row>
    <row r="660" spans="1:40" x14ac:dyDescent="0.3">
      <c r="A660" s="99"/>
      <c r="R660" s="99"/>
      <c r="AK660" s="190"/>
      <c r="AL660" s="99"/>
    </row>
    <row r="661" spans="1:40" x14ac:dyDescent="0.3">
      <c r="L661" s="99"/>
      <c r="M661" s="99"/>
      <c r="AA661" s="99"/>
      <c r="AB661" s="99"/>
    </row>
    <row r="662" spans="1:40" x14ac:dyDescent="0.3">
      <c r="A662" s="101"/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T662" s="101"/>
      <c r="U662" s="101"/>
      <c r="V662" s="101"/>
      <c r="W662" s="101"/>
      <c r="X662" s="101"/>
      <c r="Y662" s="101"/>
      <c r="Z662" s="101"/>
      <c r="AA662" s="101"/>
      <c r="AB662" s="101"/>
      <c r="AC662" s="101"/>
      <c r="AD662" s="101"/>
      <c r="AE662" s="101"/>
      <c r="AF662" s="101"/>
      <c r="AG662" s="191"/>
      <c r="AH662" s="101"/>
      <c r="AI662" s="101"/>
      <c r="AJ662" s="101"/>
      <c r="AK662" s="191"/>
      <c r="AL662" s="101"/>
      <c r="AM662" s="101"/>
      <c r="AN662" s="101"/>
    </row>
    <row r="663" spans="1:40" x14ac:dyDescent="0.3">
      <c r="L663" s="102"/>
      <c r="M663" s="102"/>
      <c r="N663" s="102"/>
      <c r="O663" s="102"/>
      <c r="R663" s="102"/>
      <c r="AA663" s="102"/>
      <c r="AB663" s="102"/>
      <c r="AC663" s="102"/>
      <c r="AD663" s="102"/>
      <c r="AE663" s="102"/>
      <c r="AF663" s="102"/>
      <c r="AG663" s="151"/>
      <c r="AH663" s="102"/>
      <c r="AK663" s="151"/>
      <c r="AL663" s="102"/>
      <c r="AM663" s="102"/>
      <c r="AN663" s="102"/>
    </row>
    <row r="664" spans="1:40" x14ac:dyDescent="0.3">
      <c r="L664" s="102"/>
      <c r="M664" s="102"/>
      <c r="N664" s="102"/>
      <c r="O664" s="102"/>
      <c r="R664" s="102"/>
      <c r="Z664" s="102"/>
      <c r="AA664" s="102"/>
      <c r="AB664" s="102"/>
      <c r="AC664" s="102"/>
      <c r="AD664" s="102"/>
      <c r="AE664" s="102"/>
      <c r="AF664" s="102"/>
      <c r="AG664" s="151"/>
      <c r="AH664" s="102"/>
      <c r="AK664" s="151"/>
      <c r="AL664" s="102"/>
      <c r="AM664" s="102"/>
      <c r="AN664" s="102"/>
    </row>
    <row r="665" spans="1:40" x14ac:dyDescent="0.3">
      <c r="A665" s="102"/>
      <c r="C665" s="102"/>
      <c r="D665" s="102"/>
      <c r="E665" s="102"/>
      <c r="F665" s="102"/>
      <c r="J665" s="102"/>
      <c r="K665" s="102"/>
      <c r="L665" s="102"/>
      <c r="M665" s="102"/>
      <c r="N665" s="102"/>
      <c r="O665" s="102"/>
      <c r="P665" s="102"/>
      <c r="Q665" s="102"/>
      <c r="R665" s="102"/>
      <c r="T665" s="102"/>
      <c r="U665" s="102"/>
      <c r="V665" s="102"/>
      <c r="Z665" s="102"/>
      <c r="AA665" s="102"/>
      <c r="AB665" s="102"/>
      <c r="AC665" s="102"/>
      <c r="AD665" s="102"/>
      <c r="AE665" s="102"/>
      <c r="AF665" s="102"/>
      <c r="AG665" s="151"/>
      <c r="AH665" s="102"/>
      <c r="AI665" s="102"/>
      <c r="AJ665" s="102"/>
      <c r="AK665" s="151"/>
      <c r="AL665" s="102"/>
      <c r="AM665" s="102"/>
      <c r="AN665" s="102"/>
    </row>
    <row r="666" spans="1:40" x14ac:dyDescent="0.3">
      <c r="A666" s="102"/>
      <c r="C666" s="102"/>
      <c r="D666" s="102"/>
      <c r="E666" s="102"/>
      <c r="F666" s="102"/>
      <c r="H666" s="102"/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T666" s="102"/>
      <c r="U666" s="102"/>
      <c r="V666" s="102"/>
      <c r="Y666" s="102"/>
      <c r="Z666" s="102"/>
      <c r="AA666" s="102"/>
      <c r="AB666" s="102"/>
      <c r="AC666" s="102"/>
      <c r="AD666" s="102"/>
      <c r="AE666" s="102"/>
      <c r="AF666" s="102"/>
      <c r="AG666" s="151"/>
      <c r="AH666" s="102"/>
      <c r="AI666" s="102"/>
      <c r="AJ666" s="102"/>
      <c r="AK666" s="151"/>
      <c r="AL666" s="102"/>
      <c r="AM666" s="102"/>
      <c r="AN666" s="102"/>
    </row>
    <row r="667" spans="1:40" x14ac:dyDescent="0.3">
      <c r="C667" s="102"/>
      <c r="D667" s="102"/>
      <c r="E667" s="102"/>
      <c r="F667" s="102"/>
      <c r="H667" s="102"/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T667" s="102"/>
      <c r="U667" s="102"/>
      <c r="V667" s="102"/>
      <c r="Y667" s="102"/>
      <c r="Z667" s="102"/>
      <c r="AA667" s="102"/>
      <c r="AB667" s="102"/>
      <c r="AC667" s="102"/>
      <c r="AD667" s="102"/>
      <c r="AE667" s="102"/>
      <c r="AF667" s="102"/>
      <c r="AG667" s="151"/>
      <c r="AH667" s="102"/>
      <c r="AI667" s="102"/>
      <c r="AJ667" s="102"/>
      <c r="AK667" s="151"/>
      <c r="AL667" s="102"/>
      <c r="AM667" s="102"/>
      <c r="AN667" s="102"/>
    </row>
    <row r="668" spans="1:40" x14ac:dyDescent="0.3">
      <c r="A668" s="101"/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T668" s="101"/>
      <c r="U668" s="101"/>
      <c r="V668" s="101"/>
      <c r="W668" s="101"/>
      <c r="X668" s="101"/>
      <c r="Y668" s="101"/>
      <c r="Z668" s="101"/>
      <c r="AA668" s="101"/>
      <c r="AB668" s="101"/>
      <c r="AC668" s="101"/>
      <c r="AD668" s="101"/>
      <c r="AE668" s="101"/>
      <c r="AF668" s="101"/>
      <c r="AG668" s="191"/>
      <c r="AH668" s="101"/>
      <c r="AI668" s="101"/>
      <c r="AJ668" s="101"/>
      <c r="AK668" s="191"/>
      <c r="AL668" s="101"/>
      <c r="AM668" s="101"/>
      <c r="AN668" s="101"/>
    </row>
    <row r="669" spans="1:40" x14ac:dyDescent="0.3">
      <c r="H669" s="102"/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Y669" s="102"/>
      <c r="Z669" s="102"/>
      <c r="AA669" s="102"/>
      <c r="AB669" s="102"/>
      <c r="AC669" s="102"/>
      <c r="AD669" s="102"/>
      <c r="AE669" s="102"/>
      <c r="AF669" s="102"/>
      <c r="AG669" s="151"/>
      <c r="AH669" s="102"/>
      <c r="AI669" s="102"/>
      <c r="AJ669" s="102"/>
      <c r="AK669" s="151"/>
      <c r="AL669" s="102"/>
      <c r="AM669" s="102"/>
      <c r="AN669" s="102"/>
    </row>
    <row r="670" spans="1:40" x14ac:dyDescent="0.3">
      <c r="C670" s="99"/>
      <c r="D670" s="99"/>
      <c r="E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U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1:40" x14ac:dyDescent="0.3">
      <c r="F671" s="192"/>
      <c r="H671" s="192"/>
      <c r="I671" s="192"/>
      <c r="J671" s="217"/>
      <c r="K671" s="217"/>
      <c r="L671" s="192"/>
      <c r="M671" s="192"/>
      <c r="N671" s="192"/>
      <c r="O671" s="192"/>
      <c r="P671" s="192"/>
      <c r="Q671" s="192"/>
      <c r="R671" s="192"/>
      <c r="V671" s="192"/>
      <c r="Y671" s="192"/>
      <c r="Z671" s="217"/>
      <c r="AA671" s="192"/>
      <c r="AB671" s="192"/>
      <c r="AC671" s="192"/>
      <c r="AD671" s="192"/>
      <c r="AE671" s="192"/>
      <c r="AF671" s="192"/>
      <c r="AI671" s="192"/>
      <c r="AJ671" s="192"/>
      <c r="AK671" s="194"/>
      <c r="AL671" s="192"/>
      <c r="AM671" s="141"/>
      <c r="AN671" s="141"/>
    </row>
    <row r="672" spans="1:40" x14ac:dyDescent="0.3">
      <c r="C672" s="99"/>
      <c r="F672" s="110"/>
      <c r="H672" s="110"/>
      <c r="I672" s="110"/>
      <c r="J672" s="198"/>
      <c r="K672" s="198"/>
      <c r="L672" s="110"/>
      <c r="M672" s="110"/>
      <c r="N672" s="198"/>
      <c r="O672" s="198"/>
      <c r="P672" s="110"/>
      <c r="Q672" s="110"/>
      <c r="R672" s="110"/>
      <c r="T672" s="99"/>
      <c r="V672" s="110"/>
      <c r="Y672" s="110"/>
      <c r="Z672" s="198"/>
      <c r="AA672" s="110"/>
      <c r="AB672" s="110"/>
      <c r="AC672" s="198"/>
      <c r="AD672" s="198"/>
      <c r="AE672" s="110"/>
      <c r="AF672" s="110"/>
      <c r="AH672" s="207"/>
      <c r="AI672" s="110"/>
      <c r="AJ672" s="110"/>
      <c r="AL672" s="110"/>
      <c r="AM672" s="141"/>
      <c r="AN672" s="141"/>
    </row>
    <row r="673" spans="3:40" x14ac:dyDescent="0.3">
      <c r="F673" s="110"/>
      <c r="H673" s="110"/>
      <c r="I673" s="110"/>
      <c r="J673" s="198"/>
      <c r="K673" s="198"/>
      <c r="L673" s="110"/>
      <c r="M673" s="110"/>
      <c r="N673" s="198"/>
      <c r="O673" s="198"/>
      <c r="P673" s="110"/>
      <c r="Q673" s="110"/>
      <c r="R673" s="110"/>
      <c r="V673" s="110"/>
      <c r="Y673" s="110"/>
      <c r="Z673" s="198"/>
      <c r="AA673" s="110"/>
      <c r="AB673" s="110"/>
      <c r="AC673" s="198"/>
      <c r="AD673" s="198"/>
      <c r="AH673" s="207"/>
      <c r="AI673" s="110"/>
      <c r="AJ673" s="110"/>
      <c r="AL673" s="110"/>
      <c r="AM673" s="141"/>
      <c r="AN673" s="141"/>
    </row>
    <row r="674" spans="3:40" x14ac:dyDescent="0.3">
      <c r="C674" s="99"/>
      <c r="D674" s="99"/>
      <c r="E674" s="99"/>
      <c r="F674" s="110"/>
      <c r="H674" s="110"/>
      <c r="I674" s="110"/>
      <c r="J674" s="198"/>
      <c r="K674" s="198"/>
      <c r="L674" s="110"/>
      <c r="M674" s="110"/>
      <c r="N674" s="198"/>
      <c r="O674" s="198"/>
      <c r="P674" s="110"/>
      <c r="Q674" s="110"/>
      <c r="R674" s="110"/>
      <c r="T674" s="99"/>
      <c r="U674" s="99"/>
      <c r="V674" s="110"/>
      <c r="Y674" s="110"/>
      <c r="Z674" s="198"/>
      <c r="AA674" s="110"/>
      <c r="AB674" s="110"/>
      <c r="AC674" s="198"/>
      <c r="AD674" s="198"/>
      <c r="AE674" s="110"/>
      <c r="AF674" s="110"/>
      <c r="AH674" s="207"/>
      <c r="AI674" s="110"/>
      <c r="AJ674" s="110"/>
      <c r="AL674" s="110"/>
      <c r="AM674" s="141"/>
      <c r="AN674" s="141"/>
    </row>
    <row r="675" spans="3:40" x14ac:dyDescent="0.3">
      <c r="C675" s="99"/>
      <c r="D675" s="99"/>
      <c r="E675" s="99"/>
      <c r="F675" s="110"/>
      <c r="H675" s="110"/>
      <c r="I675" s="110"/>
      <c r="J675" s="198"/>
      <c r="K675" s="198"/>
      <c r="L675" s="110"/>
      <c r="M675" s="110"/>
      <c r="N675" s="198"/>
      <c r="O675" s="198"/>
      <c r="P675" s="110"/>
      <c r="Q675" s="110"/>
      <c r="R675" s="110"/>
      <c r="T675" s="99"/>
      <c r="U675" s="99"/>
      <c r="V675" s="110"/>
      <c r="Y675" s="110"/>
      <c r="Z675" s="198"/>
      <c r="AA675" s="110"/>
      <c r="AB675" s="110"/>
      <c r="AC675" s="198"/>
      <c r="AD675" s="198"/>
      <c r="AE675" s="110"/>
      <c r="AF675" s="110"/>
      <c r="AH675" s="207"/>
      <c r="AI675" s="110"/>
      <c r="AJ675" s="110"/>
      <c r="AL675" s="110"/>
      <c r="AM675" s="141"/>
      <c r="AN675" s="141"/>
    </row>
    <row r="676" spans="3:40" x14ac:dyDescent="0.3">
      <c r="C676" s="99"/>
      <c r="D676" s="99"/>
      <c r="E676" s="99"/>
      <c r="F676" s="110"/>
      <c r="H676" s="110"/>
      <c r="I676" s="110"/>
      <c r="J676" s="198"/>
      <c r="K676" s="198"/>
      <c r="L676" s="110"/>
      <c r="M676" s="110"/>
      <c r="N676" s="198"/>
      <c r="O676" s="198"/>
      <c r="P676" s="110"/>
      <c r="Q676" s="110"/>
      <c r="R676" s="110"/>
      <c r="T676" s="99"/>
      <c r="U676" s="99"/>
      <c r="V676" s="110"/>
      <c r="Y676" s="110"/>
      <c r="Z676" s="198"/>
      <c r="AA676" s="110"/>
      <c r="AB676" s="110"/>
      <c r="AC676" s="198"/>
      <c r="AD676" s="198"/>
      <c r="AE676" s="110"/>
      <c r="AF676" s="110"/>
      <c r="AH676" s="207"/>
      <c r="AI676" s="110"/>
      <c r="AJ676" s="110"/>
      <c r="AL676" s="110"/>
      <c r="AM676" s="141"/>
      <c r="AN676" s="141"/>
    </row>
    <row r="677" spans="3:40" x14ac:dyDescent="0.3">
      <c r="C677" s="99"/>
      <c r="D677" s="99"/>
      <c r="E677" s="99"/>
      <c r="F677" s="110"/>
      <c r="H677" s="110"/>
      <c r="I677" s="110"/>
      <c r="J677" s="198"/>
      <c r="K677" s="198"/>
      <c r="L677" s="110"/>
      <c r="M677" s="110"/>
      <c r="N677" s="198"/>
      <c r="O677" s="198"/>
      <c r="P677" s="110"/>
      <c r="Q677" s="110"/>
      <c r="R677" s="110"/>
      <c r="T677" s="99"/>
      <c r="U677" s="99"/>
      <c r="V677" s="110"/>
      <c r="Y677" s="110"/>
      <c r="Z677" s="198"/>
      <c r="AA677" s="110"/>
      <c r="AB677" s="110"/>
      <c r="AC677" s="198"/>
      <c r="AD677" s="198"/>
      <c r="AE677" s="110"/>
      <c r="AF677" s="110"/>
      <c r="AH677" s="207"/>
      <c r="AI677" s="110"/>
      <c r="AJ677" s="110"/>
      <c r="AL677" s="110"/>
      <c r="AM677" s="141"/>
      <c r="AN677" s="141"/>
    </row>
    <row r="678" spans="3:40" x14ac:dyDescent="0.3">
      <c r="C678" s="99"/>
      <c r="D678" s="99"/>
      <c r="E678" s="99"/>
      <c r="F678" s="110"/>
      <c r="H678" s="110"/>
      <c r="I678" s="110"/>
      <c r="J678" s="198"/>
      <c r="K678" s="198"/>
      <c r="L678" s="110"/>
      <c r="M678" s="110"/>
      <c r="N678" s="198"/>
      <c r="O678" s="198"/>
      <c r="P678" s="110"/>
      <c r="Q678" s="110"/>
      <c r="R678" s="110"/>
      <c r="T678" s="99"/>
      <c r="U678" s="99"/>
      <c r="V678" s="110"/>
      <c r="Y678" s="110"/>
      <c r="Z678" s="198"/>
      <c r="AA678" s="110"/>
      <c r="AB678" s="110"/>
      <c r="AC678" s="198"/>
      <c r="AD678" s="198"/>
      <c r="AE678" s="110"/>
      <c r="AF678" s="110"/>
      <c r="AH678" s="207"/>
      <c r="AI678" s="110"/>
      <c r="AJ678" s="110"/>
      <c r="AL678" s="110"/>
      <c r="AM678" s="141"/>
      <c r="AN678" s="141"/>
    </row>
    <row r="679" spans="3:40" x14ac:dyDescent="0.3">
      <c r="C679" s="99"/>
      <c r="D679" s="99"/>
      <c r="E679" s="99"/>
      <c r="F679" s="110"/>
      <c r="H679" s="110"/>
      <c r="I679" s="110"/>
      <c r="J679" s="198"/>
      <c r="K679" s="198"/>
      <c r="L679" s="110"/>
      <c r="M679" s="110"/>
      <c r="N679" s="198"/>
      <c r="O679" s="198"/>
      <c r="P679" s="110"/>
      <c r="Q679" s="110"/>
      <c r="R679" s="110"/>
      <c r="T679" s="99"/>
      <c r="U679" s="99"/>
      <c r="V679" s="110"/>
      <c r="Y679" s="110"/>
      <c r="Z679" s="198"/>
      <c r="AA679" s="110"/>
      <c r="AB679" s="110"/>
      <c r="AC679" s="198"/>
      <c r="AD679" s="198"/>
      <c r="AE679" s="110"/>
      <c r="AF679" s="110"/>
      <c r="AH679" s="207"/>
      <c r="AI679" s="110"/>
      <c r="AJ679" s="110"/>
      <c r="AL679" s="110"/>
      <c r="AM679" s="141"/>
      <c r="AN679" s="141"/>
    </row>
    <row r="680" spans="3:40" x14ac:dyDescent="0.3">
      <c r="F680" s="192"/>
      <c r="H680" s="192"/>
      <c r="I680" s="192"/>
      <c r="J680" s="217"/>
      <c r="K680" s="217"/>
      <c r="L680" s="192"/>
      <c r="M680" s="192"/>
      <c r="N680" s="192"/>
      <c r="O680" s="192"/>
      <c r="P680" s="192"/>
      <c r="Q680" s="192"/>
      <c r="R680" s="192"/>
      <c r="V680" s="192"/>
      <c r="Y680" s="192"/>
      <c r="Z680" s="217"/>
      <c r="AA680" s="192"/>
      <c r="AB680" s="192"/>
      <c r="AC680" s="192"/>
      <c r="AD680" s="192"/>
      <c r="AE680" s="192"/>
      <c r="AF680" s="192"/>
      <c r="AI680" s="192"/>
      <c r="AJ680" s="192"/>
      <c r="AK680" s="194"/>
      <c r="AL680" s="192"/>
      <c r="AM680" s="141"/>
      <c r="AN680" s="141"/>
    </row>
    <row r="681" spans="3:40" x14ac:dyDescent="0.3">
      <c r="C681" s="99"/>
      <c r="F681" s="110"/>
      <c r="H681" s="110"/>
      <c r="I681" s="110"/>
      <c r="J681" s="198"/>
      <c r="K681" s="198"/>
      <c r="L681" s="110"/>
      <c r="M681" s="110"/>
      <c r="N681" s="198"/>
      <c r="O681" s="198"/>
      <c r="P681" s="110"/>
      <c r="Q681" s="110"/>
      <c r="R681" s="110"/>
      <c r="T681" s="99"/>
      <c r="V681" s="110"/>
      <c r="Y681" s="110"/>
      <c r="Z681" s="198"/>
      <c r="AA681" s="110"/>
      <c r="AB681" s="110"/>
      <c r="AC681" s="198"/>
      <c r="AD681" s="198"/>
      <c r="AE681" s="110"/>
      <c r="AF681" s="110"/>
      <c r="AH681" s="207"/>
      <c r="AI681" s="110"/>
      <c r="AJ681" s="110"/>
      <c r="AL681" s="110"/>
      <c r="AM681" s="141"/>
      <c r="AN681" s="141"/>
    </row>
    <row r="682" spans="3:40" x14ac:dyDescent="0.3">
      <c r="F682" s="110"/>
      <c r="H682" s="110"/>
      <c r="I682" s="110"/>
      <c r="J682" s="198"/>
      <c r="K682" s="198"/>
      <c r="L682" s="110"/>
      <c r="M682" s="110"/>
      <c r="N682" s="198"/>
      <c r="O682" s="198"/>
      <c r="P682" s="110"/>
      <c r="Q682" s="110"/>
      <c r="R682" s="110"/>
      <c r="V682" s="110"/>
      <c r="Y682" s="110"/>
      <c r="Z682" s="198"/>
      <c r="AA682" s="110"/>
      <c r="AB682" s="110"/>
      <c r="AC682" s="198"/>
      <c r="AD682" s="198"/>
      <c r="AH682" s="207"/>
      <c r="AI682" s="110"/>
      <c r="AJ682" s="110"/>
      <c r="AL682" s="110"/>
      <c r="AM682" s="141"/>
      <c r="AN682" s="141"/>
    </row>
    <row r="683" spans="3:40" x14ac:dyDescent="0.3">
      <c r="C683" s="99"/>
      <c r="D683" s="99"/>
      <c r="E683" s="99"/>
      <c r="F683" s="110"/>
      <c r="H683" s="110"/>
      <c r="I683" s="110"/>
      <c r="J683" s="198"/>
      <c r="K683" s="198"/>
      <c r="L683" s="110"/>
      <c r="M683" s="110"/>
      <c r="N683" s="198"/>
      <c r="O683" s="198"/>
      <c r="P683" s="110"/>
      <c r="Q683" s="110"/>
      <c r="R683" s="110"/>
      <c r="T683" s="99"/>
      <c r="U683" s="99"/>
      <c r="V683" s="110"/>
      <c r="Y683" s="110"/>
      <c r="Z683" s="198"/>
      <c r="AA683" s="110"/>
      <c r="AB683" s="110"/>
      <c r="AC683" s="198"/>
      <c r="AD683" s="198"/>
      <c r="AE683" s="110"/>
      <c r="AF683" s="110"/>
      <c r="AH683" s="207"/>
      <c r="AI683" s="110"/>
      <c r="AJ683" s="110"/>
      <c r="AL683" s="110"/>
      <c r="AM683" s="141"/>
      <c r="AN683" s="141"/>
    </row>
    <row r="684" spans="3:40" x14ac:dyDescent="0.3">
      <c r="F684" s="192"/>
      <c r="H684" s="192"/>
      <c r="I684" s="192"/>
      <c r="J684" s="217"/>
      <c r="K684" s="217"/>
      <c r="L684" s="192"/>
      <c r="M684" s="192"/>
      <c r="N684" s="192"/>
      <c r="O684" s="192"/>
      <c r="P684" s="192"/>
      <c r="Q684" s="192"/>
      <c r="R684" s="192"/>
      <c r="V684" s="192"/>
      <c r="Y684" s="192"/>
      <c r="Z684" s="217"/>
      <c r="AA684" s="192"/>
      <c r="AB684" s="192"/>
      <c r="AC684" s="192"/>
      <c r="AD684" s="192"/>
      <c r="AE684" s="192"/>
      <c r="AF684" s="192"/>
      <c r="AI684" s="192"/>
      <c r="AJ684" s="192"/>
      <c r="AK684" s="194"/>
      <c r="AL684" s="192"/>
      <c r="AM684" s="141"/>
      <c r="AN684" s="141"/>
    </row>
    <row r="685" spans="3:40" x14ac:dyDescent="0.3">
      <c r="C685" s="99"/>
      <c r="F685" s="110"/>
      <c r="H685" s="110"/>
      <c r="I685" s="110"/>
      <c r="J685" s="198"/>
      <c r="K685" s="198"/>
      <c r="L685" s="110"/>
      <c r="M685" s="110"/>
      <c r="N685" s="198"/>
      <c r="O685" s="198"/>
      <c r="P685" s="110"/>
      <c r="Q685" s="110"/>
      <c r="R685" s="110"/>
      <c r="T685" s="99"/>
      <c r="V685" s="110"/>
      <c r="Y685" s="110"/>
      <c r="Z685" s="198"/>
      <c r="AA685" s="110"/>
      <c r="AB685" s="110"/>
      <c r="AC685" s="198"/>
      <c r="AD685" s="198"/>
      <c r="AE685" s="110"/>
      <c r="AF685" s="110"/>
      <c r="AH685" s="207"/>
      <c r="AI685" s="110"/>
      <c r="AJ685" s="110"/>
      <c r="AL685" s="110"/>
      <c r="AM685" s="141"/>
      <c r="AN685" s="141"/>
    </row>
    <row r="686" spans="3:40" x14ac:dyDescent="0.3">
      <c r="F686" s="110"/>
      <c r="H686" s="110"/>
      <c r="I686" s="110"/>
      <c r="J686" s="198"/>
      <c r="K686" s="198"/>
      <c r="L686" s="110"/>
      <c r="M686" s="110"/>
      <c r="N686" s="198"/>
      <c r="O686" s="198"/>
      <c r="P686" s="110"/>
      <c r="Q686" s="110"/>
      <c r="R686" s="110"/>
      <c r="V686" s="110"/>
      <c r="Y686" s="110"/>
      <c r="Z686" s="198"/>
      <c r="AA686" s="110"/>
      <c r="AB686" s="110"/>
      <c r="AC686" s="198"/>
      <c r="AD686" s="198"/>
      <c r="AH686" s="207"/>
      <c r="AI686" s="110"/>
      <c r="AJ686" s="110"/>
      <c r="AL686" s="110"/>
      <c r="AM686" s="141"/>
      <c r="AN686" s="141"/>
    </row>
    <row r="687" spans="3:40" x14ac:dyDescent="0.3">
      <c r="C687" s="99"/>
      <c r="D687" s="99"/>
      <c r="E687" s="99"/>
      <c r="F687" s="110"/>
      <c r="H687" s="110"/>
      <c r="I687" s="110"/>
      <c r="J687" s="198"/>
      <c r="K687" s="198"/>
      <c r="L687" s="110"/>
      <c r="M687" s="110"/>
      <c r="N687" s="198"/>
      <c r="O687" s="198"/>
      <c r="P687" s="110"/>
      <c r="Q687" s="110"/>
      <c r="R687" s="110"/>
      <c r="T687" s="99"/>
      <c r="U687" s="99"/>
      <c r="V687" s="110"/>
      <c r="Y687" s="110"/>
      <c r="Z687" s="198"/>
      <c r="AA687" s="110"/>
      <c r="AB687" s="110"/>
      <c r="AC687" s="198"/>
      <c r="AD687" s="198"/>
      <c r="AE687" s="110"/>
      <c r="AF687" s="110"/>
      <c r="AH687" s="207"/>
      <c r="AI687" s="110"/>
      <c r="AJ687" s="110"/>
      <c r="AL687" s="110"/>
      <c r="AM687" s="141"/>
      <c r="AN687" s="141"/>
    </row>
    <row r="688" spans="3:40" x14ac:dyDescent="0.3">
      <c r="C688" s="99"/>
      <c r="D688" s="99"/>
      <c r="E688" s="99"/>
      <c r="F688" s="110"/>
      <c r="G688" s="110"/>
      <c r="H688" s="110"/>
      <c r="I688" s="110"/>
      <c r="J688" s="198"/>
      <c r="K688" s="198"/>
      <c r="L688" s="110"/>
      <c r="M688" s="110"/>
      <c r="N688" s="198"/>
      <c r="O688" s="198"/>
      <c r="P688" s="110"/>
      <c r="Q688" s="110"/>
      <c r="R688" s="110"/>
      <c r="T688" s="99"/>
      <c r="U688" s="99"/>
      <c r="V688" s="110"/>
      <c r="W688" s="110"/>
      <c r="X688" s="110"/>
      <c r="Y688" s="110"/>
      <c r="Z688" s="198"/>
      <c r="AA688" s="110"/>
      <c r="AB688" s="110"/>
      <c r="AC688" s="198"/>
      <c r="AD688" s="198"/>
      <c r="AE688" s="110"/>
      <c r="AF688" s="110"/>
      <c r="AH688" s="207"/>
      <c r="AI688" s="110"/>
      <c r="AJ688" s="110"/>
      <c r="AL688" s="110"/>
      <c r="AM688" s="141"/>
      <c r="AN688" s="141"/>
    </row>
    <row r="689" spans="3:40" x14ac:dyDescent="0.3">
      <c r="C689" s="99"/>
      <c r="D689" s="99"/>
      <c r="E689" s="99"/>
      <c r="F689" s="110"/>
      <c r="G689" s="110"/>
      <c r="H689" s="110"/>
      <c r="I689" s="110"/>
      <c r="J689" s="198"/>
      <c r="K689" s="198"/>
      <c r="L689" s="110"/>
      <c r="M689" s="110"/>
      <c r="N689" s="198"/>
      <c r="O689" s="198"/>
      <c r="P689" s="110"/>
      <c r="Q689" s="110"/>
      <c r="R689" s="110"/>
      <c r="T689" s="99"/>
      <c r="U689" s="99"/>
      <c r="V689" s="110"/>
      <c r="W689" s="110"/>
      <c r="X689" s="110"/>
      <c r="Y689" s="110"/>
      <c r="Z689" s="198"/>
      <c r="AA689" s="110"/>
      <c r="AB689" s="110"/>
      <c r="AC689" s="198"/>
      <c r="AD689" s="198"/>
      <c r="AE689" s="110"/>
      <c r="AF689" s="110"/>
      <c r="AH689" s="207"/>
      <c r="AI689" s="110"/>
      <c r="AJ689" s="110"/>
      <c r="AL689" s="110"/>
      <c r="AM689" s="141"/>
      <c r="AN689" s="141"/>
    </row>
    <row r="690" spans="3:40" x14ac:dyDescent="0.3">
      <c r="C690" s="99"/>
      <c r="D690" s="99"/>
      <c r="E690" s="99"/>
      <c r="F690" s="110"/>
      <c r="H690" s="110"/>
      <c r="I690" s="110"/>
      <c r="J690" s="198"/>
      <c r="K690" s="198"/>
      <c r="L690" s="110"/>
      <c r="M690" s="110"/>
      <c r="N690" s="198"/>
      <c r="O690" s="198"/>
      <c r="P690" s="110"/>
      <c r="Q690" s="110"/>
      <c r="R690" s="110"/>
      <c r="T690" s="99"/>
      <c r="U690" s="99"/>
      <c r="V690" s="110"/>
      <c r="Y690" s="110"/>
      <c r="Z690" s="198"/>
      <c r="AA690" s="110"/>
      <c r="AB690" s="110"/>
      <c r="AC690" s="198"/>
      <c r="AD690" s="198"/>
      <c r="AE690" s="110"/>
      <c r="AF690" s="110"/>
      <c r="AH690" s="207"/>
      <c r="AI690" s="110"/>
      <c r="AJ690" s="110"/>
      <c r="AL690" s="110"/>
      <c r="AM690" s="141"/>
      <c r="AN690" s="141"/>
    </row>
    <row r="691" spans="3:40" x14ac:dyDescent="0.3">
      <c r="C691" s="99"/>
      <c r="D691" s="99"/>
      <c r="E691" s="99"/>
      <c r="F691" s="110"/>
      <c r="H691" s="110"/>
      <c r="I691" s="110"/>
      <c r="J691" s="198"/>
      <c r="K691" s="198"/>
      <c r="L691" s="110"/>
      <c r="M691" s="110"/>
      <c r="N691" s="198"/>
      <c r="O691" s="198"/>
      <c r="P691" s="110"/>
      <c r="Q691" s="110"/>
      <c r="R691" s="110"/>
      <c r="T691" s="99"/>
      <c r="U691" s="99"/>
      <c r="V691" s="110"/>
      <c r="Y691" s="110"/>
      <c r="Z691" s="198"/>
      <c r="AA691" s="110"/>
      <c r="AB691" s="110"/>
      <c r="AC691" s="198"/>
      <c r="AD691" s="198"/>
      <c r="AE691" s="110"/>
      <c r="AF691" s="110"/>
      <c r="AH691" s="207"/>
      <c r="AI691" s="110"/>
      <c r="AJ691" s="110"/>
      <c r="AL691" s="110"/>
      <c r="AM691" s="141"/>
      <c r="AN691" s="141"/>
    </row>
    <row r="692" spans="3:40" x14ac:dyDescent="0.3">
      <c r="C692" s="99"/>
      <c r="D692" s="99"/>
      <c r="E692" s="99"/>
      <c r="F692" s="110"/>
      <c r="H692" s="110"/>
      <c r="I692" s="110"/>
      <c r="J692" s="198"/>
      <c r="K692" s="198"/>
      <c r="L692" s="110"/>
      <c r="M692" s="110"/>
      <c r="N692" s="198"/>
      <c r="O692" s="198"/>
      <c r="P692" s="110"/>
      <c r="Q692" s="110"/>
      <c r="R692" s="110"/>
      <c r="T692" s="99"/>
      <c r="U692" s="99"/>
      <c r="V692" s="110"/>
      <c r="Y692" s="110"/>
      <c r="Z692" s="198"/>
      <c r="AA692" s="110"/>
      <c r="AB692" s="110"/>
      <c r="AC692" s="198"/>
      <c r="AD692" s="198"/>
      <c r="AE692" s="110"/>
      <c r="AF692" s="110"/>
      <c r="AH692" s="207"/>
      <c r="AI692" s="110"/>
      <c r="AJ692" s="110"/>
      <c r="AL692" s="110"/>
      <c r="AM692" s="141"/>
      <c r="AN692" s="141"/>
    </row>
    <row r="693" spans="3:40" x14ac:dyDescent="0.3">
      <c r="C693" s="99"/>
      <c r="D693" s="99"/>
      <c r="E693" s="99"/>
      <c r="F693" s="110"/>
      <c r="H693" s="110"/>
      <c r="I693" s="110"/>
      <c r="J693" s="198"/>
      <c r="K693" s="198"/>
      <c r="L693" s="110"/>
      <c r="M693" s="110"/>
      <c r="N693" s="198"/>
      <c r="O693" s="198"/>
      <c r="P693" s="110"/>
      <c r="Q693" s="110"/>
      <c r="R693" s="110"/>
      <c r="T693" s="99"/>
      <c r="U693" s="99"/>
      <c r="V693" s="110"/>
      <c r="Y693" s="110"/>
      <c r="Z693" s="198"/>
      <c r="AA693" s="110"/>
      <c r="AB693" s="110"/>
      <c r="AC693" s="198"/>
      <c r="AD693" s="198"/>
      <c r="AE693" s="110"/>
      <c r="AF693" s="110"/>
      <c r="AH693" s="207"/>
      <c r="AI693" s="110"/>
      <c r="AJ693" s="110"/>
      <c r="AL693" s="110"/>
      <c r="AM693" s="141"/>
      <c r="AN693" s="141"/>
    </row>
    <row r="694" spans="3:40" x14ac:dyDescent="0.3">
      <c r="F694" s="192"/>
      <c r="H694" s="192"/>
      <c r="I694" s="192"/>
      <c r="J694" s="217"/>
      <c r="K694" s="217"/>
      <c r="L694" s="192"/>
      <c r="M694" s="192"/>
      <c r="N694" s="192"/>
      <c r="O694" s="192"/>
      <c r="P694" s="192"/>
      <c r="Q694" s="192"/>
      <c r="R694" s="192"/>
      <c r="V694" s="192"/>
      <c r="Y694" s="192"/>
      <c r="Z694" s="217"/>
      <c r="AA694" s="192"/>
      <c r="AB694" s="192"/>
      <c r="AC694" s="192"/>
      <c r="AD694" s="192"/>
      <c r="AE694" s="192"/>
      <c r="AF694" s="192"/>
      <c r="AI694" s="192"/>
      <c r="AJ694" s="192"/>
      <c r="AK694" s="194"/>
      <c r="AL694" s="192"/>
      <c r="AM694" s="141"/>
      <c r="AN694" s="141"/>
    </row>
    <row r="695" spans="3:40" x14ac:dyDescent="0.3">
      <c r="C695" s="99"/>
      <c r="F695" s="110"/>
      <c r="H695" s="110"/>
      <c r="I695" s="110"/>
      <c r="J695" s="198"/>
      <c r="K695" s="198"/>
      <c r="L695" s="110"/>
      <c r="M695" s="110"/>
      <c r="N695" s="198"/>
      <c r="O695" s="198"/>
      <c r="P695" s="110"/>
      <c r="Q695" s="110"/>
      <c r="R695" s="110"/>
      <c r="T695" s="99"/>
      <c r="V695" s="110"/>
      <c r="Y695" s="110"/>
      <c r="Z695" s="198"/>
      <c r="AA695" s="110"/>
      <c r="AB695" s="110"/>
      <c r="AC695" s="198"/>
      <c r="AD695" s="198"/>
      <c r="AE695" s="110"/>
      <c r="AF695" s="110"/>
      <c r="AH695" s="207"/>
      <c r="AI695" s="110"/>
      <c r="AJ695" s="110"/>
      <c r="AL695" s="110"/>
      <c r="AM695" s="141"/>
      <c r="AN695" s="141"/>
    </row>
    <row r="696" spans="3:40" x14ac:dyDescent="0.3">
      <c r="V696" s="110"/>
      <c r="Y696" s="110"/>
      <c r="Z696" s="217"/>
      <c r="AA696" s="110"/>
      <c r="AB696" s="110"/>
      <c r="AC696" s="110"/>
      <c r="AD696" s="110"/>
      <c r="AE696" s="110"/>
      <c r="AF696" s="110"/>
      <c r="AI696" s="110"/>
      <c r="AJ696" s="110"/>
      <c r="AL696" s="110"/>
      <c r="AM696" s="141"/>
      <c r="AN696" s="141"/>
    </row>
    <row r="697" spans="3:40" x14ac:dyDescent="0.3">
      <c r="C697" s="99"/>
      <c r="D697" s="99"/>
      <c r="E697" s="99"/>
      <c r="L697" s="110"/>
      <c r="M697" s="110"/>
      <c r="N697" s="198"/>
      <c r="O697" s="198"/>
      <c r="R697" s="110"/>
      <c r="T697" s="99"/>
      <c r="U697" s="99"/>
      <c r="AA697" s="110"/>
      <c r="AB697" s="110"/>
      <c r="AC697" s="198"/>
      <c r="AD697" s="198"/>
      <c r="AE697" s="110"/>
      <c r="AF697" s="110"/>
      <c r="AH697" s="207"/>
      <c r="AL697" s="110"/>
      <c r="AM697" s="141"/>
      <c r="AN697" s="141"/>
    </row>
    <row r="698" spans="3:40" x14ac:dyDescent="0.3">
      <c r="D698" s="99"/>
      <c r="E698" s="99"/>
      <c r="F698" s="172"/>
      <c r="H698" s="172"/>
      <c r="I698" s="172"/>
      <c r="J698" s="198"/>
      <c r="K698" s="198"/>
      <c r="L698" s="110"/>
      <c r="M698" s="110"/>
      <c r="N698" s="198"/>
      <c r="O698" s="198"/>
      <c r="P698" s="172"/>
      <c r="Q698" s="172"/>
      <c r="R698" s="110"/>
      <c r="U698" s="99"/>
      <c r="V698" s="110"/>
      <c r="Y698" s="110"/>
      <c r="Z698" s="198"/>
      <c r="AA698" s="110"/>
      <c r="AB698" s="110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3:40" x14ac:dyDescent="0.3">
      <c r="F699" s="192"/>
      <c r="H699" s="192"/>
      <c r="I699" s="192"/>
      <c r="J699" s="217"/>
      <c r="K699" s="217"/>
      <c r="L699" s="192"/>
      <c r="M699" s="192"/>
      <c r="N699" s="192"/>
      <c r="O699" s="192"/>
      <c r="P699" s="192"/>
      <c r="Q699" s="192"/>
      <c r="R699" s="192"/>
      <c r="V699" s="192"/>
      <c r="Y699" s="192"/>
      <c r="Z699" s="217"/>
      <c r="AA699" s="192"/>
      <c r="AB699" s="192"/>
      <c r="AC699" s="192"/>
      <c r="AD699" s="192"/>
      <c r="AE699" s="192"/>
      <c r="AF699" s="192"/>
      <c r="AI699" s="192"/>
      <c r="AJ699" s="192"/>
      <c r="AK699" s="194"/>
      <c r="AL699" s="192"/>
      <c r="AM699" s="141"/>
      <c r="AN699" s="141"/>
    </row>
    <row r="700" spans="3:40" x14ac:dyDescent="0.3">
      <c r="C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3:40" x14ac:dyDescent="0.3">
      <c r="F701" s="110"/>
      <c r="H701" s="110"/>
      <c r="I701" s="110"/>
      <c r="J701" s="198"/>
      <c r="K701" s="198"/>
      <c r="L701" s="110"/>
      <c r="M701" s="110"/>
      <c r="N701" s="198"/>
      <c r="O701" s="198"/>
      <c r="P701" s="110"/>
      <c r="Q701" s="110"/>
      <c r="R701" s="110"/>
      <c r="V701" s="110"/>
      <c r="Y701" s="110"/>
      <c r="Z701" s="198"/>
      <c r="AA701" s="110"/>
      <c r="AB701" s="110"/>
      <c r="AC701" s="198"/>
      <c r="AD701" s="198"/>
      <c r="AH701" s="207"/>
      <c r="AI701" s="110"/>
      <c r="AJ701" s="110"/>
      <c r="AL701" s="110"/>
      <c r="AM701" s="141"/>
      <c r="AN701" s="141"/>
    </row>
    <row r="702" spans="3:40" x14ac:dyDescent="0.3">
      <c r="D702" s="99"/>
      <c r="E702" s="99"/>
      <c r="F702" s="110"/>
      <c r="H702" s="110"/>
      <c r="I702" s="110"/>
      <c r="J702" s="198"/>
      <c r="K702" s="198"/>
      <c r="L702" s="172"/>
      <c r="M702" s="172"/>
      <c r="N702" s="198"/>
      <c r="O702" s="198"/>
      <c r="P702" s="110"/>
      <c r="Q702" s="110"/>
      <c r="R702" s="110"/>
      <c r="U702" s="99"/>
      <c r="V702" s="110"/>
      <c r="Y702" s="110"/>
      <c r="Z702" s="198"/>
      <c r="AA702" s="172"/>
      <c r="AB702" s="172"/>
      <c r="AC702" s="198"/>
      <c r="AD702" s="198"/>
      <c r="AE702" s="110"/>
      <c r="AF702" s="110"/>
      <c r="AH702" s="207"/>
      <c r="AI702" s="110"/>
      <c r="AJ702" s="110"/>
      <c r="AL702" s="110"/>
      <c r="AM702" s="141"/>
      <c r="AN702" s="141"/>
    </row>
    <row r="703" spans="3:40" x14ac:dyDescent="0.3">
      <c r="D703" s="99"/>
      <c r="E703" s="99"/>
      <c r="F703" s="110"/>
      <c r="H703" s="110"/>
      <c r="I703" s="110"/>
      <c r="J703" s="198"/>
      <c r="K703" s="198"/>
      <c r="L703" s="172"/>
      <c r="M703" s="172"/>
      <c r="N703" s="198"/>
      <c r="O703" s="198"/>
      <c r="P703" s="110"/>
      <c r="Q703" s="110"/>
      <c r="R703" s="110"/>
      <c r="U703" s="99"/>
      <c r="V703" s="110"/>
      <c r="Y703" s="110"/>
      <c r="Z703" s="198"/>
      <c r="AA703" s="172"/>
      <c r="AB703" s="172"/>
      <c r="AC703" s="198"/>
      <c r="AD703" s="198"/>
      <c r="AE703" s="110"/>
      <c r="AF703" s="110"/>
      <c r="AH703" s="207"/>
      <c r="AI703" s="110"/>
      <c r="AJ703" s="110"/>
      <c r="AL703" s="110"/>
      <c r="AM703" s="141"/>
      <c r="AN703" s="141"/>
    </row>
    <row r="704" spans="3:40" x14ac:dyDescent="0.3">
      <c r="D704" s="99"/>
      <c r="E704" s="99"/>
      <c r="F704" s="110"/>
      <c r="H704" s="110"/>
      <c r="I704" s="110"/>
      <c r="J704" s="198"/>
      <c r="K704" s="198"/>
      <c r="L704" s="172"/>
      <c r="M704" s="172"/>
      <c r="N704" s="198"/>
      <c r="O704" s="198"/>
      <c r="P704" s="110"/>
      <c r="Q704" s="110"/>
      <c r="R704" s="110"/>
      <c r="U704" s="99"/>
      <c r="V704" s="110"/>
      <c r="Y704" s="110"/>
      <c r="Z704" s="198"/>
      <c r="AA704" s="172"/>
      <c r="AB704" s="172"/>
      <c r="AC704" s="198"/>
      <c r="AD704" s="198"/>
      <c r="AE704" s="110"/>
      <c r="AF704" s="110"/>
      <c r="AH704" s="207"/>
      <c r="AI704" s="110"/>
      <c r="AJ704" s="110"/>
      <c r="AL704" s="110"/>
      <c r="AM704" s="141"/>
      <c r="AN704" s="141"/>
    </row>
    <row r="705" spans="1:40" x14ac:dyDescent="0.3">
      <c r="F705" s="192"/>
      <c r="H705" s="192"/>
      <c r="I705" s="192"/>
      <c r="J705" s="217"/>
      <c r="K705" s="217"/>
      <c r="L705" s="192"/>
      <c r="M705" s="192"/>
      <c r="N705" s="192"/>
      <c r="O705" s="192"/>
      <c r="P705" s="192"/>
      <c r="Q705" s="192"/>
      <c r="R705" s="192"/>
      <c r="V705" s="192"/>
      <c r="Y705" s="192"/>
      <c r="Z705" s="217"/>
      <c r="AA705" s="192"/>
      <c r="AB705" s="192"/>
      <c r="AC705" s="192"/>
      <c r="AD705" s="192"/>
      <c r="AE705" s="192"/>
      <c r="AF705" s="192"/>
      <c r="AI705" s="192"/>
      <c r="AJ705" s="192"/>
      <c r="AK705" s="194"/>
      <c r="AL705" s="192"/>
      <c r="AM705" s="141"/>
      <c r="AN705" s="141"/>
    </row>
    <row r="706" spans="1:40" x14ac:dyDescent="0.3">
      <c r="C706" s="99"/>
      <c r="F706" s="110"/>
      <c r="H706" s="110"/>
      <c r="I706" s="110"/>
      <c r="J706" s="198"/>
      <c r="K706" s="198"/>
      <c r="L706" s="110"/>
      <c r="M706" s="110"/>
      <c r="N706" s="198"/>
      <c r="O706" s="198"/>
      <c r="P706" s="110"/>
      <c r="Q706" s="110"/>
      <c r="R706" s="110"/>
      <c r="T706" s="99"/>
      <c r="V706" s="110"/>
      <c r="Y706" s="110"/>
      <c r="Z706" s="198"/>
      <c r="AA706" s="110"/>
      <c r="AB706" s="110"/>
      <c r="AC706" s="198"/>
      <c r="AD706" s="198"/>
      <c r="AE706" s="110"/>
      <c r="AF706" s="110"/>
      <c r="AH706" s="207"/>
      <c r="AI706" s="110"/>
      <c r="AJ706" s="110"/>
      <c r="AL706" s="110"/>
      <c r="AM706" s="141"/>
      <c r="AN706" s="141"/>
    </row>
    <row r="707" spans="1:40" x14ac:dyDescent="0.3">
      <c r="F707" s="110"/>
      <c r="H707" s="110"/>
      <c r="I707" s="110"/>
      <c r="J707" s="198"/>
      <c r="K707" s="198"/>
      <c r="L707" s="110"/>
      <c r="M707" s="110"/>
      <c r="N707" s="198"/>
      <c r="O707" s="198"/>
      <c r="P707" s="110"/>
      <c r="Q707" s="110"/>
      <c r="R707" s="110"/>
      <c r="V707" s="110"/>
      <c r="Y707" s="110"/>
      <c r="Z707" s="198"/>
      <c r="AA707" s="110"/>
      <c r="AB707" s="110"/>
      <c r="AC707" s="198"/>
      <c r="AD707" s="198"/>
      <c r="AH707" s="207"/>
      <c r="AI707" s="110"/>
      <c r="AJ707" s="110"/>
      <c r="AL707" s="110"/>
      <c r="AM707" s="141"/>
      <c r="AN707" s="141"/>
    </row>
    <row r="708" spans="1:40" x14ac:dyDescent="0.3">
      <c r="C708" s="99"/>
      <c r="F708" s="110"/>
      <c r="H708" s="110"/>
      <c r="I708" s="110"/>
      <c r="J708" s="198"/>
      <c r="K708" s="198"/>
      <c r="L708" s="110"/>
      <c r="M708" s="110"/>
      <c r="N708" s="198"/>
      <c r="O708" s="198"/>
      <c r="P708" s="110"/>
      <c r="Q708" s="110"/>
      <c r="R708" s="110"/>
      <c r="T708" s="99"/>
      <c r="V708" s="110"/>
      <c r="Y708" s="110"/>
      <c r="Z708" s="198"/>
      <c r="AA708" s="110"/>
      <c r="AB708" s="110"/>
      <c r="AC708" s="198"/>
      <c r="AD708" s="198"/>
      <c r="AE708" s="110"/>
      <c r="AF708" s="110"/>
      <c r="AH708" s="207"/>
      <c r="AI708" s="110"/>
      <c r="AJ708" s="110"/>
      <c r="AL708" s="110"/>
      <c r="AM708" s="141"/>
      <c r="AN708" s="141"/>
    </row>
    <row r="709" spans="1:40" x14ac:dyDescent="0.3">
      <c r="F709" s="192"/>
      <c r="H709" s="192"/>
      <c r="I709" s="192"/>
      <c r="J709" s="217"/>
      <c r="K709" s="217"/>
      <c r="L709" s="192"/>
      <c r="M709" s="192"/>
      <c r="N709" s="192"/>
      <c r="O709" s="192"/>
      <c r="P709" s="192"/>
      <c r="Q709" s="192"/>
      <c r="R709" s="192"/>
      <c r="V709" s="192"/>
      <c r="Y709" s="192"/>
      <c r="Z709" s="217"/>
      <c r="AA709" s="192"/>
      <c r="AB709" s="192"/>
      <c r="AC709" s="192"/>
      <c r="AD709" s="192"/>
      <c r="AE709" s="192"/>
      <c r="AF709" s="192"/>
      <c r="AI709" s="192"/>
      <c r="AJ709" s="192"/>
      <c r="AK709" s="194"/>
      <c r="AL709" s="192"/>
    </row>
    <row r="711" spans="1:40" x14ac:dyDescent="0.3">
      <c r="C711" s="99"/>
      <c r="L711" s="110"/>
      <c r="M711" s="110"/>
      <c r="P711" s="110"/>
      <c r="Q711" s="110"/>
      <c r="R711" s="110"/>
      <c r="T711" s="99"/>
    </row>
    <row r="712" spans="1:40" x14ac:dyDescent="0.3">
      <c r="A712" s="99"/>
      <c r="L712" s="110"/>
      <c r="M712" s="110"/>
      <c r="P712" s="110"/>
      <c r="Q712" s="110"/>
      <c r="R712" s="110"/>
    </row>
    <row r="713" spans="1:40" x14ac:dyDescent="0.3">
      <c r="L713" s="110"/>
      <c r="M713" s="110"/>
      <c r="P713" s="110"/>
      <c r="Q713" s="110"/>
      <c r="R713" s="110"/>
    </row>
    <row r="714" spans="1:40" x14ac:dyDescent="0.3">
      <c r="L714" s="110"/>
      <c r="M714" s="110"/>
      <c r="P714" s="110"/>
      <c r="Q714" s="110"/>
      <c r="R714" s="110"/>
    </row>
    <row r="715" spans="1:40" x14ac:dyDescent="0.3">
      <c r="L715" s="110"/>
      <c r="M715" s="110"/>
      <c r="P715" s="110"/>
      <c r="Q715" s="110"/>
      <c r="R715" s="110"/>
    </row>
    <row r="716" spans="1:40" x14ac:dyDescent="0.3">
      <c r="L716" s="110"/>
      <c r="M716" s="110"/>
      <c r="P716" s="110"/>
      <c r="Q716" s="110"/>
      <c r="R716" s="110"/>
    </row>
    <row r="717" spans="1:40" x14ac:dyDescent="0.3">
      <c r="L717" s="110"/>
      <c r="M717" s="110"/>
      <c r="P717" s="110"/>
      <c r="Q717" s="110"/>
      <c r="R717" s="110"/>
    </row>
    <row r="750" spans="49:49" x14ac:dyDescent="0.3">
      <c r="AW750" s="110"/>
    </row>
    <row r="751" spans="49:49" x14ac:dyDescent="0.3">
      <c r="AW751" s="110"/>
    </row>
    <row r="752" spans="49:49" x14ac:dyDescent="0.3">
      <c r="AW752" s="110"/>
    </row>
    <row r="753" spans="49:49" x14ac:dyDescent="0.3">
      <c r="AW753" s="110"/>
    </row>
    <row r="754" spans="49:49" x14ac:dyDescent="0.3">
      <c r="AW754" s="110"/>
    </row>
    <row r="755" spans="49:49" x14ac:dyDescent="0.3">
      <c r="AW755" s="110"/>
    </row>
    <row r="758" spans="49:49" x14ac:dyDescent="0.3">
      <c r="AW758" s="110"/>
    </row>
    <row r="759" spans="49:49" x14ac:dyDescent="0.3">
      <c r="AW759" s="110"/>
    </row>
    <row r="760" spans="49:49" x14ac:dyDescent="0.3">
      <c r="AW760" s="110"/>
    </row>
    <row r="761" spans="49:49" x14ac:dyDescent="0.3">
      <c r="AW761" s="110"/>
    </row>
    <row r="762" spans="49:49" x14ac:dyDescent="0.3">
      <c r="AW762" s="110"/>
    </row>
    <row r="763" spans="49:49" x14ac:dyDescent="0.3">
      <c r="AW763" s="110"/>
    </row>
    <row r="764" spans="49:49" x14ac:dyDescent="0.3">
      <c r="AW764" s="110"/>
    </row>
    <row r="765" spans="49:49" x14ac:dyDescent="0.3">
      <c r="AW765" s="110"/>
    </row>
    <row r="768" spans="49:49" x14ac:dyDescent="0.3">
      <c r="AW768" s="110"/>
    </row>
    <row r="769" spans="49:51" x14ac:dyDescent="0.3">
      <c r="AW769" s="110"/>
    </row>
    <row r="772" spans="49:51" x14ac:dyDescent="0.3">
      <c r="AW772" s="110"/>
    </row>
    <row r="773" spans="49:51" x14ac:dyDescent="0.3">
      <c r="AW773" s="110"/>
    </row>
    <row r="774" spans="49:51" x14ac:dyDescent="0.3">
      <c r="AW774" s="110"/>
    </row>
    <row r="775" spans="49:51" x14ac:dyDescent="0.3">
      <c r="AW775" s="110"/>
    </row>
    <row r="783" spans="49:51" x14ac:dyDescent="0.3">
      <c r="AY783" s="99"/>
    </row>
    <row r="784" spans="49:51" x14ac:dyDescent="0.3">
      <c r="AY784" s="99"/>
    </row>
    <row r="785" spans="45:69" x14ac:dyDescent="0.3">
      <c r="BD785" s="99"/>
    </row>
    <row r="786" spans="45:69" x14ac:dyDescent="0.3">
      <c r="BD786" s="99"/>
    </row>
    <row r="787" spans="45:69" x14ac:dyDescent="0.3">
      <c r="AS787" s="99"/>
      <c r="BD787" s="99"/>
    </row>
    <row r="789" spans="45:69" x14ac:dyDescent="0.3">
      <c r="AS789" s="101"/>
      <c r="AT789" s="101"/>
      <c r="AU789" s="101"/>
      <c r="AV789" s="101"/>
      <c r="AW789" s="101"/>
      <c r="AX789" s="101"/>
      <c r="AY789" s="101"/>
      <c r="AZ789" s="101"/>
      <c r="BA789" s="101"/>
      <c r="BB789" s="101"/>
      <c r="BC789" s="101"/>
      <c r="BD789" s="101"/>
      <c r="BE789" s="101"/>
    </row>
    <row r="790" spans="45:69" x14ac:dyDescent="0.3">
      <c r="AX790" s="99"/>
    </row>
    <row r="791" spans="45:69" x14ac:dyDescent="0.3">
      <c r="AX791" s="101"/>
      <c r="AY791" s="101"/>
      <c r="AZ791" s="101"/>
      <c r="BA791" s="101"/>
      <c r="BC791" s="102"/>
      <c r="BD791" s="102"/>
    </row>
    <row r="792" spans="45:69" x14ac:dyDescent="0.3">
      <c r="AV792" s="102"/>
      <c r="AW792" s="102"/>
      <c r="AZ792" s="102"/>
      <c r="BA792" s="102"/>
      <c r="BC792" s="102"/>
      <c r="BD792" s="102"/>
      <c r="BE792" s="102"/>
      <c r="BG792" s="101"/>
      <c r="BH792" s="99"/>
      <c r="BK792" s="101"/>
      <c r="BM792" s="101"/>
      <c r="BN792" s="99"/>
      <c r="BQ792" s="101"/>
    </row>
    <row r="793" spans="45:69" x14ac:dyDescent="0.3"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H793" s="102"/>
      <c r="BI793" s="102"/>
      <c r="BJ793" s="102"/>
      <c r="BN793" s="102"/>
      <c r="BO793" s="102"/>
      <c r="BP793" s="102"/>
    </row>
    <row r="794" spans="45:69" x14ac:dyDescent="0.3">
      <c r="AS794" s="102"/>
      <c r="AU794" s="99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G794" s="102"/>
      <c r="BH794" s="102"/>
      <c r="BI794" s="102"/>
      <c r="BJ794" s="102"/>
      <c r="BK794" s="102"/>
      <c r="BM794" s="102"/>
      <c r="BN794" s="102"/>
      <c r="BO794" s="102"/>
      <c r="BP794" s="102"/>
      <c r="BQ794" s="102"/>
    </row>
    <row r="795" spans="45:69" x14ac:dyDescent="0.3">
      <c r="AS795" s="102"/>
      <c r="AU795" s="99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G795" s="102"/>
      <c r="BH795" s="102"/>
      <c r="BI795" s="102"/>
      <c r="BJ795" s="102"/>
      <c r="BK795" s="102"/>
      <c r="BM795" s="102"/>
      <c r="BN795" s="102"/>
      <c r="BO795" s="102"/>
      <c r="BP795" s="102"/>
      <c r="BQ795" s="102"/>
    </row>
    <row r="796" spans="45:69" x14ac:dyDescent="0.3">
      <c r="AS796" s="101"/>
      <c r="AT796" s="101"/>
      <c r="AU796" s="101"/>
      <c r="AV796" s="101"/>
      <c r="AW796" s="101"/>
      <c r="AX796" s="101"/>
      <c r="AY796" s="101"/>
      <c r="AZ796" s="101"/>
      <c r="BA796" s="101"/>
      <c r="BB796" s="101"/>
      <c r="BC796" s="101"/>
      <c r="BD796" s="101"/>
      <c r="BE796" s="101"/>
      <c r="BG796" s="101"/>
      <c r="BH796" s="101"/>
      <c r="BI796" s="101"/>
      <c r="BJ796" s="101"/>
      <c r="BK796" s="101"/>
      <c r="BM796" s="101"/>
      <c r="BN796" s="101"/>
      <c r="BO796" s="101"/>
      <c r="BP796" s="101"/>
      <c r="BQ796" s="101"/>
    </row>
    <row r="797" spans="45:69" x14ac:dyDescent="0.3"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</row>
    <row r="798" spans="45:69" x14ac:dyDescent="0.3">
      <c r="AU798" s="99"/>
      <c r="AV798" s="102"/>
      <c r="AY798" s="198"/>
    </row>
    <row r="799" spans="45:69" x14ac:dyDescent="0.3">
      <c r="AV799" s="102"/>
      <c r="AW799" s="110"/>
      <c r="AX799" s="163"/>
      <c r="AY799" s="163"/>
      <c r="AZ799" s="163"/>
      <c r="BA799" s="141"/>
      <c r="BB799" s="163"/>
      <c r="BC799" s="198"/>
      <c r="BD799" s="198"/>
      <c r="BE799" s="141"/>
      <c r="BG799" s="163"/>
      <c r="BH799" s="163"/>
      <c r="BI799" s="163"/>
      <c r="BJ799" s="163"/>
      <c r="BK799" s="163"/>
      <c r="BM799" s="163"/>
      <c r="BN799" s="163"/>
      <c r="BO799" s="163"/>
      <c r="BP799" s="163"/>
      <c r="BQ799" s="163"/>
    </row>
    <row r="800" spans="45:69" x14ac:dyDescent="0.3">
      <c r="AV800" s="102"/>
      <c r="AW800" s="110"/>
      <c r="AX800" s="163"/>
      <c r="AY800" s="163"/>
      <c r="AZ800" s="163"/>
      <c r="BA800" s="141"/>
      <c r="BB800" s="163"/>
      <c r="BC800" s="198"/>
      <c r="BD800" s="198"/>
      <c r="BE800" s="141"/>
      <c r="BG800" s="163"/>
      <c r="BH800" s="163"/>
      <c r="BI800" s="163"/>
      <c r="BJ800" s="163"/>
      <c r="BK800" s="163"/>
      <c r="BM800" s="163"/>
      <c r="BN800" s="163"/>
      <c r="BO800" s="163"/>
      <c r="BP800" s="163"/>
      <c r="BQ800" s="163"/>
    </row>
    <row r="801" spans="48:69" x14ac:dyDescent="0.3">
      <c r="AV801" s="102"/>
      <c r="AW801" s="110"/>
      <c r="AX801" s="163"/>
      <c r="AY801" s="163"/>
      <c r="AZ801" s="163"/>
      <c r="BA801" s="141"/>
      <c r="BB801" s="163"/>
      <c r="BC801" s="198"/>
      <c r="BD801" s="198"/>
      <c r="BE801" s="141"/>
      <c r="BG801" s="163"/>
      <c r="BH801" s="163"/>
      <c r="BI801" s="163"/>
      <c r="BJ801" s="163"/>
      <c r="BK801" s="163"/>
      <c r="BM801" s="163"/>
      <c r="BN801" s="163"/>
      <c r="BO801" s="163"/>
      <c r="BP801" s="163"/>
      <c r="BQ801" s="163"/>
    </row>
    <row r="802" spans="48:69" x14ac:dyDescent="0.3">
      <c r="AV802" s="102"/>
      <c r="AW802" s="110"/>
      <c r="AX802" s="163"/>
      <c r="AY802" s="163"/>
      <c r="AZ802" s="163"/>
      <c r="BA802" s="141"/>
      <c r="BB802" s="163"/>
      <c r="BC802" s="198"/>
      <c r="BD802" s="198"/>
      <c r="BE802" s="141"/>
      <c r="BG802" s="163"/>
      <c r="BH802" s="163"/>
      <c r="BI802" s="163"/>
      <c r="BJ802" s="163"/>
      <c r="BK802" s="163"/>
      <c r="BM802" s="163"/>
      <c r="BN802" s="163"/>
      <c r="BO802" s="163"/>
      <c r="BP802" s="163"/>
      <c r="BQ802" s="163"/>
    </row>
    <row r="803" spans="48:69" x14ac:dyDescent="0.3">
      <c r="AV803" s="102"/>
      <c r="AW803" s="110"/>
      <c r="AX803" s="163"/>
      <c r="AY803" s="163"/>
      <c r="AZ803" s="163"/>
      <c r="BA803" s="141"/>
      <c r="BB803" s="163"/>
      <c r="BC803" s="198"/>
      <c r="BD803" s="198"/>
      <c r="BE803" s="141"/>
      <c r="BG803" s="163"/>
      <c r="BH803" s="163"/>
      <c r="BI803" s="163"/>
      <c r="BJ803" s="163"/>
      <c r="BK803" s="163"/>
      <c r="BM803" s="163"/>
      <c r="BN803" s="163"/>
      <c r="BO803" s="163"/>
      <c r="BP803" s="163"/>
      <c r="BQ803" s="163"/>
    </row>
    <row r="804" spans="48:69" x14ac:dyDescent="0.3">
      <c r="AV804" s="102"/>
      <c r="AW804" s="110"/>
      <c r="AX804" s="163"/>
      <c r="AY804" s="163"/>
      <c r="AZ804" s="163"/>
      <c r="BA804" s="141"/>
      <c r="BB804" s="163"/>
      <c r="BC804" s="198"/>
      <c r="BD804" s="198"/>
      <c r="BE804" s="141"/>
      <c r="BG804" s="163"/>
      <c r="BH804" s="163"/>
      <c r="BI804" s="163"/>
      <c r="BJ804" s="163"/>
      <c r="BK804" s="163"/>
      <c r="BM804" s="163"/>
      <c r="BN804" s="163"/>
      <c r="BO804" s="163"/>
      <c r="BP804" s="163"/>
      <c r="BQ804" s="163"/>
    </row>
    <row r="805" spans="48:69" x14ac:dyDescent="0.3">
      <c r="AV805" s="102"/>
      <c r="AW805" s="110"/>
      <c r="AX805" s="163"/>
      <c r="AY805" s="163"/>
      <c r="AZ805" s="163"/>
      <c r="BA805" s="141"/>
      <c r="BB805" s="163"/>
      <c r="BC805" s="198"/>
      <c r="BD805" s="198"/>
      <c r="BE805" s="141"/>
      <c r="BG805" s="163"/>
      <c r="BH805" s="163"/>
      <c r="BI805" s="163"/>
      <c r="BJ805" s="163"/>
      <c r="BK805" s="163"/>
      <c r="BM805" s="163"/>
      <c r="BN805" s="163"/>
      <c r="BO805" s="163"/>
      <c r="BP805" s="163"/>
      <c r="BQ805" s="163"/>
    </row>
    <row r="806" spans="48:69" x14ac:dyDescent="0.3">
      <c r="AY806" s="198"/>
      <c r="AZ806" s="163"/>
      <c r="BA806" s="141"/>
      <c r="BB806" s="163"/>
      <c r="BC806" s="198"/>
      <c r="BD806" s="198"/>
      <c r="BE806" s="141"/>
      <c r="BK806" s="163"/>
      <c r="BQ806" s="163"/>
    </row>
    <row r="807" spans="48:69" x14ac:dyDescent="0.3">
      <c r="AV807" s="102"/>
      <c r="AY807" s="198"/>
      <c r="AZ807" s="163"/>
      <c r="BA807" s="141"/>
      <c r="BB807" s="163"/>
      <c r="BC807" s="198"/>
      <c r="BD807" s="198"/>
      <c r="BE807" s="141"/>
      <c r="BK807" s="163"/>
      <c r="BQ807" s="163"/>
    </row>
    <row r="808" spans="48:69" x14ac:dyDescent="0.3">
      <c r="AV808" s="102"/>
      <c r="AW808" s="110"/>
      <c r="AX808" s="163"/>
      <c r="AY808" s="163"/>
      <c r="AZ808" s="163"/>
      <c r="BA808" s="141"/>
      <c r="BB808" s="163"/>
      <c r="BC808" s="198"/>
      <c r="BD808" s="198"/>
      <c r="BE808" s="141"/>
      <c r="BG808" s="163"/>
      <c r="BH808" s="163"/>
      <c r="BI808" s="163"/>
      <c r="BJ808" s="163"/>
      <c r="BK808" s="163"/>
      <c r="BM808" s="163"/>
      <c r="BN808" s="163"/>
      <c r="BO808" s="163"/>
      <c r="BP808" s="163"/>
      <c r="BQ808" s="163"/>
    </row>
    <row r="809" spans="48:69" x14ac:dyDescent="0.3">
      <c r="AV809" s="102"/>
      <c r="AW809" s="110"/>
      <c r="AX809" s="163"/>
      <c r="AY809" s="163"/>
      <c r="AZ809" s="163"/>
      <c r="BA809" s="141"/>
      <c r="BB809" s="163"/>
      <c r="BC809" s="198"/>
      <c r="BD809" s="198"/>
      <c r="BE809" s="141"/>
      <c r="BG809" s="163"/>
      <c r="BH809" s="163"/>
      <c r="BI809" s="163"/>
      <c r="BJ809" s="163"/>
      <c r="BK809" s="163"/>
      <c r="BM809" s="163"/>
      <c r="BN809" s="163"/>
      <c r="BO809" s="163"/>
      <c r="BP809" s="163"/>
      <c r="BQ809" s="163"/>
    </row>
    <row r="810" spans="48:69" x14ac:dyDescent="0.3">
      <c r="AV810" s="102"/>
      <c r="AW810" s="110"/>
      <c r="AX810" s="163"/>
      <c r="AY810" s="163"/>
      <c r="AZ810" s="163"/>
      <c r="BA810" s="141"/>
      <c r="BB810" s="163"/>
      <c r="BC810" s="198"/>
      <c r="BD810" s="198"/>
      <c r="BE810" s="141"/>
      <c r="BG810" s="163"/>
      <c r="BH810" s="163"/>
      <c r="BI810" s="163"/>
      <c r="BJ810" s="163"/>
      <c r="BK810" s="163"/>
      <c r="BM810" s="163"/>
      <c r="BN810" s="163"/>
      <c r="BO810" s="163"/>
      <c r="BP810" s="163"/>
      <c r="BQ810" s="163"/>
    </row>
    <row r="811" spans="48:69" x14ac:dyDescent="0.3">
      <c r="AV811" s="102"/>
      <c r="AW811" s="110"/>
      <c r="AX811" s="163"/>
      <c r="AY811" s="163"/>
      <c r="AZ811" s="163"/>
      <c r="BA811" s="141"/>
      <c r="BB811" s="163"/>
      <c r="BC811" s="198"/>
      <c r="BD811" s="198"/>
      <c r="BE811" s="141"/>
      <c r="BG811" s="163"/>
      <c r="BH811" s="163"/>
      <c r="BI811" s="163"/>
      <c r="BJ811" s="163"/>
      <c r="BK811" s="163"/>
      <c r="BM811" s="163"/>
      <c r="BN811" s="163"/>
      <c r="BO811" s="163"/>
      <c r="BP811" s="163"/>
      <c r="BQ811" s="163"/>
    </row>
    <row r="812" spans="48:69" x14ac:dyDescent="0.3">
      <c r="AV812" s="102"/>
      <c r="AW812" s="110"/>
      <c r="AX812" s="163"/>
      <c r="AY812" s="163"/>
      <c r="AZ812" s="163"/>
      <c r="BA812" s="141"/>
      <c r="BB812" s="163"/>
      <c r="BC812" s="198"/>
      <c r="BD812" s="198"/>
      <c r="BE812" s="141"/>
      <c r="BG812" s="163"/>
      <c r="BH812" s="163"/>
      <c r="BI812" s="163"/>
      <c r="BJ812" s="163"/>
      <c r="BK812" s="163"/>
      <c r="BM812" s="163"/>
      <c r="BN812" s="163"/>
      <c r="BO812" s="163"/>
      <c r="BP812" s="163"/>
      <c r="BQ812" s="163"/>
    </row>
    <row r="813" spans="48:69" x14ac:dyDescent="0.3">
      <c r="AV813" s="102"/>
      <c r="AW813" s="110"/>
      <c r="AX813" s="163"/>
      <c r="AY813" s="163"/>
      <c r="AZ813" s="163"/>
      <c r="BA813" s="141"/>
      <c r="BB813" s="163"/>
      <c r="BC813" s="198"/>
      <c r="BD813" s="198"/>
      <c r="BE813" s="141"/>
      <c r="BG813" s="163"/>
      <c r="BH813" s="163"/>
      <c r="BI813" s="163"/>
      <c r="BJ813" s="163"/>
      <c r="BK813" s="163"/>
      <c r="BM813" s="163"/>
      <c r="BN813" s="163"/>
      <c r="BO813" s="163"/>
      <c r="BP813" s="163"/>
      <c r="BQ813" s="163"/>
    </row>
    <row r="814" spans="48:69" x14ac:dyDescent="0.3">
      <c r="AV814" s="102"/>
      <c r="AW814" s="110"/>
      <c r="AX814" s="163"/>
      <c r="AY814" s="163"/>
      <c r="AZ814" s="163"/>
      <c r="BA814" s="141"/>
      <c r="BB814" s="163"/>
      <c r="BC814" s="198"/>
      <c r="BD814" s="198"/>
      <c r="BE814" s="141"/>
      <c r="BG814" s="163"/>
      <c r="BH814" s="163"/>
      <c r="BI814" s="163"/>
      <c r="BJ814" s="163"/>
      <c r="BK814" s="163"/>
      <c r="BM814" s="163"/>
      <c r="BN814" s="163"/>
      <c r="BO814" s="163"/>
      <c r="BP814" s="163"/>
      <c r="BQ814" s="163"/>
    </row>
    <row r="815" spans="48:69" x14ac:dyDescent="0.3">
      <c r="AV815" s="102"/>
      <c r="AW815" s="110"/>
      <c r="AX815" s="163"/>
      <c r="AY815" s="163"/>
      <c r="AZ815" s="163"/>
      <c r="BA815" s="141"/>
      <c r="BB815" s="163"/>
      <c r="BC815" s="198"/>
      <c r="BD815" s="198"/>
      <c r="BE815" s="141"/>
      <c r="BG815" s="163"/>
      <c r="BH815" s="163"/>
      <c r="BI815" s="163"/>
      <c r="BJ815" s="163"/>
      <c r="BK815" s="163"/>
      <c r="BM815" s="163"/>
      <c r="BN815" s="163"/>
      <c r="BO815" s="163"/>
      <c r="BP815" s="163"/>
      <c r="BQ815" s="163"/>
    </row>
    <row r="816" spans="48:69" x14ac:dyDescent="0.3">
      <c r="AY816" s="198"/>
      <c r="AZ816" s="163"/>
      <c r="BA816" s="141"/>
      <c r="BB816" s="163"/>
      <c r="BC816" s="198"/>
      <c r="BD816" s="198"/>
      <c r="BE816" s="141"/>
      <c r="BK816" s="163"/>
      <c r="BQ816" s="163"/>
    </row>
    <row r="817" spans="45:75" x14ac:dyDescent="0.3">
      <c r="AU817" s="99"/>
      <c r="AZ817" s="163"/>
      <c r="BB817" s="163"/>
      <c r="BG817" s="163"/>
      <c r="BH817" s="163"/>
      <c r="BJ817" s="163"/>
      <c r="BK817" s="163"/>
    </row>
    <row r="818" spans="45:75" x14ac:dyDescent="0.3">
      <c r="AZ818" s="163"/>
      <c r="BB818" s="163"/>
    </row>
    <row r="819" spans="45:75" x14ac:dyDescent="0.3">
      <c r="AS819" s="99"/>
      <c r="AZ819" s="163"/>
      <c r="BB819" s="163"/>
      <c r="BI819" s="163"/>
    </row>
    <row r="820" spans="45:75" x14ac:dyDescent="0.3">
      <c r="AZ820" s="163"/>
      <c r="BB820" s="163"/>
    </row>
    <row r="821" spans="45:75" x14ac:dyDescent="0.3">
      <c r="AY821" s="163"/>
      <c r="BB821" s="163"/>
    </row>
    <row r="822" spans="45:75" x14ac:dyDescent="0.3">
      <c r="AY822" s="99"/>
      <c r="AZ822" s="163"/>
      <c r="BB822" s="163"/>
    </row>
    <row r="823" spans="45:75" x14ac:dyDescent="0.3">
      <c r="AY823" s="99"/>
      <c r="AZ823" s="163"/>
      <c r="BB823" s="163"/>
    </row>
    <row r="824" spans="45:75" x14ac:dyDescent="0.3">
      <c r="AZ824" s="163"/>
      <c r="BB824" s="163"/>
      <c r="BD824" s="99"/>
    </row>
    <row r="825" spans="45:75" x14ac:dyDescent="0.3">
      <c r="AZ825" s="163"/>
      <c r="BB825" s="163"/>
      <c r="BD825" s="99"/>
    </row>
    <row r="826" spans="45:75" x14ac:dyDescent="0.3">
      <c r="AS826" s="99"/>
      <c r="AZ826" s="163"/>
      <c r="BB826" s="163"/>
      <c r="BD826" s="99"/>
    </row>
    <row r="827" spans="45:75" x14ac:dyDescent="0.3">
      <c r="AZ827" s="163"/>
      <c r="BB827" s="163"/>
    </row>
    <row r="828" spans="45:75" x14ac:dyDescent="0.3">
      <c r="AS828" s="101"/>
      <c r="AT828" s="101"/>
      <c r="AU828" s="101"/>
      <c r="AV828" s="101"/>
      <c r="AW828" s="101"/>
      <c r="AX828" s="101"/>
      <c r="AY828" s="101"/>
      <c r="AZ828" s="212"/>
      <c r="BA828" s="101"/>
      <c r="BB828" s="212"/>
      <c r="BC828" s="101"/>
      <c r="BD828" s="101"/>
      <c r="BE828" s="101"/>
    </row>
    <row r="829" spans="45:75" x14ac:dyDescent="0.3">
      <c r="AX829" s="99"/>
      <c r="AZ829" s="163"/>
      <c r="BB829" s="163"/>
    </row>
    <row r="830" spans="45:75" x14ac:dyDescent="0.3">
      <c r="AX830" s="101"/>
      <c r="AY830" s="101"/>
      <c r="AZ830" s="212"/>
      <c r="BA830" s="101"/>
      <c r="BB830" s="163"/>
      <c r="BC830" s="102"/>
      <c r="BD830" s="102"/>
    </row>
    <row r="831" spans="45:75" x14ac:dyDescent="0.3">
      <c r="AV831" s="102"/>
      <c r="AW831" s="102"/>
      <c r="AZ831" s="213"/>
      <c r="BA831" s="102"/>
      <c r="BB831" s="163"/>
      <c r="BC831" s="102"/>
      <c r="BD831" s="102"/>
      <c r="BE831" s="102"/>
      <c r="BG831" s="101"/>
      <c r="BH831" s="101"/>
      <c r="BI831" s="99"/>
      <c r="BM831" s="101"/>
      <c r="BN831" s="101"/>
      <c r="BP831" s="101"/>
      <c r="BQ831" s="101"/>
      <c r="BR831" s="99"/>
      <c r="BV831" s="101"/>
      <c r="BW831" s="101"/>
    </row>
    <row r="832" spans="45:75" x14ac:dyDescent="0.3">
      <c r="AV832" s="102"/>
      <c r="AW832" s="102"/>
      <c r="AX832" s="102"/>
      <c r="AY832" s="102"/>
      <c r="AZ832" s="213"/>
      <c r="BA832" s="102"/>
      <c r="BB832" s="213"/>
      <c r="BC832" s="102"/>
      <c r="BD832" s="102"/>
      <c r="BE832" s="102"/>
      <c r="BH832" s="102"/>
      <c r="BI832" s="102"/>
      <c r="BJ832" s="102"/>
      <c r="BK832" s="102"/>
      <c r="BL832" s="102"/>
      <c r="BM832" s="102"/>
      <c r="BQ832" s="102"/>
      <c r="BR832" s="102"/>
      <c r="BS832" s="102"/>
      <c r="BT832" s="102"/>
      <c r="BU832" s="102"/>
      <c r="BV832" s="102"/>
    </row>
    <row r="833" spans="45:75" x14ac:dyDescent="0.3">
      <c r="AS833" s="102"/>
      <c r="AU833" s="99"/>
      <c r="AV833" s="102"/>
      <c r="AW833" s="102"/>
      <c r="AX833" s="102"/>
      <c r="AY833" s="102"/>
      <c r="AZ833" s="213"/>
      <c r="BA833" s="102"/>
      <c r="BB833" s="213"/>
      <c r="BC833" s="102"/>
      <c r="BD833" s="102"/>
      <c r="BE833" s="102"/>
      <c r="BG833" s="102"/>
      <c r="BH833" s="102"/>
      <c r="BI833" s="102"/>
      <c r="BJ833" s="102"/>
      <c r="BK833" s="102"/>
      <c r="BL833" s="102"/>
      <c r="BM833" s="102"/>
      <c r="BN833" s="102"/>
      <c r="BP833" s="102"/>
      <c r="BQ833" s="102"/>
      <c r="BR833" s="102"/>
      <c r="BS833" s="102"/>
      <c r="BT833" s="102"/>
      <c r="BU833" s="102"/>
      <c r="BV833" s="102"/>
      <c r="BW833" s="102"/>
    </row>
    <row r="834" spans="45:75" x14ac:dyDescent="0.3">
      <c r="AS834" s="102"/>
      <c r="AU834" s="99"/>
      <c r="AV834" s="102"/>
      <c r="AW834" s="102"/>
      <c r="AX834" s="102"/>
      <c r="AY834" s="102"/>
      <c r="AZ834" s="213"/>
      <c r="BA834" s="102"/>
      <c r="BB834" s="213"/>
      <c r="BC834" s="102"/>
      <c r="BD834" s="102"/>
      <c r="BE834" s="102"/>
      <c r="BG834" s="102"/>
      <c r="BH834" s="102"/>
      <c r="BI834" s="102"/>
      <c r="BJ834" s="102"/>
      <c r="BK834" s="102"/>
      <c r="BL834" s="102"/>
      <c r="BM834" s="102"/>
      <c r="BN834" s="102"/>
      <c r="BP834" s="102"/>
      <c r="BQ834" s="102"/>
      <c r="BR834" s="102"/>
      <c r="BS834" s="102"/>
      <c r="BT834" s="102"/>
      <c r="BU834" s="102"/>
      <c r="BV834" s="102"/>
      <c r="BW834" s="102"/>
    </row>
    <row r="835" spans="45:75" x14ac:dyDescent="0.3">
      <c r="AS835" s="101"/>
      <c r="AT835" s="101"/>
      <c r="AU835" s="101"/>
      <c r="AV835" s="101"/>
      <c r="AW835" s="101"/>
      <c r="AX835" s="101"/>
      <c r="AY835" s="101"/>
      <c r="AZ835" s="212"/>
      <c r="BA835" s="101"/>
      <c r="BB835" s="212"/>
      <c r="BC835" s="101"/>
      <c r="BD835" s="101"/>
      <c r="BE835" s="101"/>
      <c r="BG835" s="101"/>
      <c r="BH835" s="101"/>
      <c r="BI835" s="101"/>
      <c r="BJ835" s="101"/>
      <c r="BK835" s="101"/>
      <c r="BL835" s="101"/>
      <c r="BM835" s="101"/>
      <c r="BN835" s="101"/>
      <c r="BP835" s="101"/>
      <c r="BQ835" s="101"/>
      <c r="BR835" s="101"/>
      <c r="BS835" s="101"/>
      <c r="BT835" s="101"/>
      <c r="BU835" s="101"/>
      <c r="BV835" s="101"/>
      <c r="BW835" s="101"/>
    </row>
    <row r="836" spans="45:75" x14ac:dyDescent="0.3">
      <c r="AV836" s="102"/>
      <c r="AW836" s="102"/>
      <c r="AX836" s="102"/>
      <c r="AY836" s="102"/>
      <c r="AZ836" s="213"/>
      <c r="BA836" s="102"/>
      <c r="BB836" s="213"/>
      <c r="BC836" s="102"/>
      <c r="BD836" s="102"/>
      <c r="BE836" s="102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</row>
    <row r="837" spans="45:75" x14ac:dyDescent="0.3">
      <c r="AU837" s="99"/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</row>
    <row r="838" spans="45:75" x14ac:dyDescent="0.3"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</row>
    <row r="839" spans="45:75" x14ac:dyDescent="0.3"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</row>
    <row r="840" spans="45:75" x14ac:dyDescent="0.3"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</row>
    <row r="841" spans="45:75" x14ac:dyDescent="0.3"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</row>
    <row r="842" spans="45:75" x14ac:dyDescent="0.3"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</row>
    <row r="843" spans="45:75" x14ac:dyDescent="0.3"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</row>
    <row r="844" spans="45:75" x14ac:dyDescent="0.3"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</row>
    <row r="845" spans="45:75" x14ac:dyDescent="0.3"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</row>
    <row r="846" spans="45:75" x14ac:dyDescent="0.3"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</row>
    <row r="847" spans="45:75" x14ac:dyDescent="0.3"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</row>
    <row r="848" spans="45:75" x14ac:dyDescent="0.3">
      <c r="AW848" s="110"/>
      <c r="AX848" s="163"/>
      <c r="AY848" s="163"/>
      <c r="AZ848" s="163"/>
      <c r="BA848" s="207"/>
      <c r="BB848" s="163"/>
      <c r="BC848" s="163"/>
      <c r="BD848" s="163"/>
      <c r="BE848" s="207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</row>
    <row r="849" spans="47:75" x14ac:dyDescent="0.3">
      <c r="AW849" s="110"/>
      <c r="AX849" s="163"/>
      <c r="AY849" s="163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</row>
    <row r="850" spans="47:75" x14ac:dyDescent="0.3">
      <c r="AW850" s="110"/>
      <c r="AX850" s="163"/>
      <c r="AY850" s="163"/>
      <c r="AZ850" s="163"/>
      <c r="BA850" s="207"/>
      <c r="BB850" s="163"/>
      <c r="BC850" s="163"/>
      <c r="BD850" s="163"/>
      <c r="BE850" s="207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</row>
    <row r="851" spans="47:75" x14ac:dyDescent="0.3">
      <c r="AW851" s="110"/>
      <c r="AX851" s="163"/>
      <c r="AY851" s="163"/>
      <c r="AZ851" s="163"/>
      <c r="BA851" s="207"/>
      <c r="BB851" s="163"/>
      <c r="BC851" s="163"/>
      <c r="BD851" s="163"/>
      <c r="BE851" s="207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</row>
    <row r="852" spans="47:75" x14ac:dyDescent="0.3">
      <c r="AW852" s="110"/>
      <c r="AX852" s="163"/>
      <c r="AY852" s="163"/>
      <c r="AZ852" s="163"/>
      <c r="BA852" s="207"/>
      <c r="BB852" s="163"/>
      <c r="BC852" s="163"/>
      <c r="BD852" s="163"/>
      <c r="BE852" s="207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</row>
    <row r="853" spans="47:75" x14ac:dyDescent="0.3">
      <c r="AW853" s="110"/>
      <c r="AX853" s="163"/>
      <c r="AY853" s="163"/>
      <c r="AZ853" s="163"/>
      <c r="BA853" s="207"/>
      <c r="BB853" s="163"/>
      <c r="BC853" s="163"/>
      <c r="BD853" s="163"/>
      <c r="BE853" s="207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</row>
    <row r="854" spans="47:75" x14ac:dyDescent="0.3">
      <c r="AW854" s="110"/>
      <c r="AX854" s="163"/>
      <c r="AY854" s="163"/>
      <c r="AZ854" s="163"/>
      <c r="BA854" s="207"/>
      <c r="BB854" s="163"/>
      <c r="BC854" s="163"/>
      <c r="BD854" s="163"/>
      <c r="BE854" s="207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</row>
    <row r="855" spans="47:75" x14ac:dyDescent="0.3">
      <c r="AW855" s="110"/>
      <c r="AX855" s="163"/>
      <c r="AY855" s="163"/>
      <c r="AZ855" s="163"/>
      <c r="BA855" s="207"/>
      <c r="BB855" s="163"/>
      <c r="BC855" s="163"/>
      <c r="BD855" s="163"/>
      <c r="BE855" s="207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</row>
    <row r="856" spans="47:75" x14ac:dyDescent="0.3">
      <c r="AW856" s="110"/>
      <c r="AX856" s="163"/>
      <c r="AY856" s="163"/>
      <c r="AZ856" s="163"/>
      <c r="BA856" s="207"/>
      <c r="BB856" s="163"/>
      <c r="BC856" s="163"/>
      <c r="BD856" s="163"/>
      <c r="BE856" s="207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</row>
    <row r="857" spans="47:75" x14ac:dyDescent="0.3">
      <c r="AW857" s="110"/>
      <c r="AX857" s="163"/>
      <c r="AY857" s="163"/>
      <c r="AZ857" s="163"/>
      <c r="BA857" s="207"/>
      <c r="BB857" s="163"/>
      <c r="BC857" s="163"/>
      <c r="BD857" s="163"/>
      <c r="BE857" s="207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</row>
    <row r="858" spans="47:75" x14ac:dyDescent="0.3">
      <c r="AW858" s="110"/>
      <c r="AX858" s="163"/>
      <c r="AY858" s="163"/>
      <c r="AZ858" s="163"/>
      <c r="BA858" s="207"/>
      <c r="BB858" s="163"/>
      <c r="BC858" s="163"/>
      <c r="BD858" s="163"/>
      <c r="BE858" s="207"/>
      <c r="BG858" s="101"/>
      <c r="BH858" s="101"/>
      <c r="BI858" s="99"/>
      <c r="BM858" s="101"/>
      <c r="BN858" s="101"/>
      <c r="BO858" s="163"/>
      <c r="BP858" s="101"/>
      <c r="BQ858" s="101"/>
      <c r="BR858" s="99"/>
      <c r="BV858" s="101"/>
      <c r="BW858" s="101"/>
    </row>
    <row r="859" spans="47:75" x14ac:dyDescent="0.3">
      <c r="AU859" s="99"/>
      <c r="AV859" s="102"/>
      <c r="AW859" s="110"/>
      <c r="AX859" s="163"/>
      <c r="AY859" s="163"/>
      <c r="AZ859" s="163"/>
      <c r="BA859" s="207"/>
      <c r="BB859" s="163"/>
      <c r="BC859" s="163"/>
      <c r="BD859" s="163"/>
      <c r="BE859" s="207"/>
      <c r="BG859" s="213"/>
      <c r="BH859" s="163"/>
      <c r="BI859" s="163"/>
      <c r="BJ859" s="163"/>
      <c r="BK859" s="213"/>
      <c r="BL859" s="214"/>
      <c r="BM859" s="163"/>
      <c r="BN859" s="213"/>
      <c r="BO859" s="163"/>
      <c r="BP859" s="213"/>
      <c r="BQ859" s="163"/>
      <c r="BR859" s="163"/>
      <c r="BS859" s="163"/>
      <c r="BT859" s="213"/>
      <c r="BU859" s="214"/>
      <c r="BV859" s="163"/>
      <c r="BW859" s="213"/>
    </row>
    <row r="860" spans="47:75" x14ac:dyDescent="0.3">
      <c r="AV860" s="102"/>
      <c r="AW860" s="110"/>
      <c r="AX860" s="163"/>
      <c r="AY860" s="163"/>
      <c r="AZ860" s="163"/>
      <c r="BA860" s="207"/>
      <c r="BB860" s="163"/>
      <c r="BC860" s="163"/>
      <c r="BD860" s="163"/>
      <c r="BE860" s="207"/>
      <c r="BG860" s="163"/>
      <c r="BH860" s="163"/>
      <c r="BI860" s="163"/>
      <c r="BJ860" s="163"/>
      <c r="BK860" s="163"/>
      <c r="BL860" s="214"/>
      <c r="BM860" s="163"/>
      <c r="BN860" s="163"/>
      <c r="BO860" s="163"/>
      <c r="BP860" s="163"/>
      <c r="BQ860" s="163"/>
      <c r="BR860" s="163"/>
      <c r="BS860" s="163"/>
      <c r="BT860" s="163"/>
      <c r="BU860" s="214"/>
      <c r="BV860" s="163"/>
      <c r="BW860" s="163"/>
    </row>
    <row r="861" spans="47:75" x14ac:dyDescent="0.3">
      <c r="AV861" s="102"/>
      <c r="AW861" s="110"/>
      <c r="AX861" s="163"/>
      <c r="AY861" s="163"/>
      <c r="AZ861" s="163"/>
      <c r="BA861" s="207"/>
      <c r="BB861" s="163"/>
      <c r="BC861" s="163"/>
      <c r="BD861" s="163"/>
      <c r="BE861" s="207"/>
      <c r="BG861" s="163"/>
      <c r="BH861" s="163"/>
      <c r="BI861" s="163"/>
      <c r="BJ861" s="163"/>
      <c r="BK861" s="163"/>
      <c r="BL861" s="214"/>
      <c r="BM861" s="163"/>
      <c r="BN861" s="163"/>
      <c r="BO861" s="163"/>
      <c r="BP861" s="163"/>
      <c r="BQ861" s="163"/>
      <c r="BR861" s="163"/>
      <c r="BS861" s="163"/>
      <c r="BT861" s="163"/>
      <c r="BU861" s="214"/>
      <c r="BV861" s="163"/>
      <c r="BW861" s="163"/>
    </row>
    <row r="862" spans="47:75" x14ac:dyDescent="0.3">
      <c r="AV862" s="102"/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214"/>
      <c r="BM862" s="163"/>
      <c r="BN862" s="163"/>
      <c r="BO862" s="163"/>
      <c r="BP862" s="163"/>
      <c r="BQ862" s="163"/>
      <c r="BR862" s="163"/>
      <c r="BS862" s="163"/>
      <c r="BT862" s="163"/>
      <c r="BU862" s="214"/>
      <c r="BV862" s="163"/>
      <c r="BW862" s="163"/>
    </row>
    <row r="863" spans="47:75" x14ac:dyDescent="0.3"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</row>
    <row r="864" spans="47:75" x14ac:dyDescent="0.3">
      <c r="AU864" s="99"/>
    </row>
    <row r="865" spans="45:74" x14ac:dyDescent="0.3">
      <c r="AU865" s="99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</row>
    <row r="866" spans="45:74" x14ac:dyDescent="0.3">
      <c r="AS866" s="99"/>
      <c r="AZ866" s="163"/>
      <c r="BB866" s="163"/>
    </row>
    <row r="867" spans="45:74" x14ac:dyDescent="0.3">
      <c r="AZ867" s="163"/>
      <c r="BB867" s="163"/>
      <c r="BO867" s="163"/>
      <c r="BP867" s="163"/>
      <c r="BQ867" s="163"/>
      <c r="BR867" s="163"/>
      <c r="BS867" s="163"/>
      <c r="BT867" s="163"/>
      <c r="BU867" s="163"/>
      <c r="BV867" s="163"/>
    </row>
    <row r="868" spans="45:74" x14ac:dyDescent="0.3">
      <c r="AY868" s="163"/>
      <c r="AZ868" s="163"/>
      <c r="BB868" s="163"/>
      <c r="BO868" s="163"/>
      <c r="BP868" s="163"/>
      <c r="BQ868" s="163"/>
      <c r="BR868" s="163"/>
      <c r="BS868" s="163"/>
      <c r="BT868" s="163"/>
      <c r="BU868" s="163"/>
      <c r="BV868" s="163"/>
    </row>
    <row r="869" spans="45:74" x14ac:dyDescent="0.3">
      <c r="AY869" s="99"/>
      <c r="AZ869" s="163"/>
      <c r="BB869" s="163"/>
      <c r="BO869" s="163"/>
      <c r="BP869" s="163"/>
      <c r="BQ869" s="163"/>
      <c r="BR869" s="163"/>
      <c r="BS869" s="163"/>
      <c r="BT869" s="163"/>
      <c r="BU869" s="163"/>
      <c r="BV869" s="163"/>
    </row>
    <row r="870" spans="45:74" x14ac:dyDescent="0.3">
      <c r="AY870" s="99"/>
      <c r="AZ870" s="163"/>
      <c r="BB870" s="163"/>
      <c r="BO870" s="163"/>
      <c r="BP870" s="163"/>
      <c r="BQ870" s="163"/>
      <c r="BR870" s="163"/>
      <c r="BS870" s="163"/>
      <c r="BT870" s="163"/>
      <c r="BU870" s="163"/>
      <c r="BV870" s="163"/>
    </row>
    <row r="871" spans="45:74" x14ac:dyDescent="0.3">
      <c r="AZ871" s="163"/>
      <c r="BB871" s="163"/>
      <c r="BD871" s="99"/>
      <c r="BO871" s="163"/>
      <c r="BP871" s="163"/>
      <c r="BQ871" s="163"/>
      <c r="BR871" s="163"/>
      <c r="BS871" s="163"/>
      <c r="BT871" s="163"/>
      <c r="BU871" s="163"/>
      <c r="BV871" s="163"/>
    </row>
    <row r="872" spans="45:74" x14ac:dyDescent="0.3">
      <c r="AZ872" s="163"/>
      <c r="BB872" s="163"/>
      <c r="BD872" s="99"/>
      <c r="BO872" s="163"/>
      <c r="BP872" s="163"/>
      <c r="BQ872" s="163"/>
      <c r="BR872" s="163"/>
      <c r="BS872" s="163"/>
      <c r="BT872" s="163"/>
      <c r="BU872" s="163"/>
      <c r="BV872" s="163"/>
    </row>
    <row r="873" spans="45:74" x14ac:dyDescent="0.3">
      <c r="AS873" s="99"/>
      <c r="AZ873" s="163"/>
      <c r="BB873" s="163"/>
      <c r="BD873" s="99"/>
      <c r="BO873" s="163"/>
      <c r="BP873" s="163"/>
      <c r="BQ873" s="163"/>
      <c r="BR873" s="163"/>
      <c r="BS873" s="163"/>
      <c r="BT873" s="163"/>
      <c r="BU873" s="163"/>
      <c r="BV873" s="163"/>
    </row>
    <row r="874" spans="45:74" x14ac:dyDescent="0.3">
      <c r="AZ874" s="163"/>
      <c r="BB874" s="163"/>
      <c r="BO874" s="163"/>
      <c r="BP874" s="163"/>
      <c r="BQ874" s="163"/>
      <c r="BR874" s="163"/>
      <c r="BS874" s="163"/>
      <c r="BT874" s="163"/>
      <c r="BU874" s="163"/>
      <c r="BV874" s="163"/>
    </row>
    <row r="875" spans="45:74" x14ac:dyDescent="0.3">
      <c r="AS875" s="101"/>
      <c r="AT875" s="101"/>
      <c r="AU875" s="101"/>
      <c r="AV875" s="101"/>
      <c r="AW875" s="101"/>
      <c r="AX875" s="101"/>
      <c r="AY875" s="101"/>
      <c r="AZ875" s="212"/>
      <c r="BA875" s="101"/>
      <c r="BB875" s="212"/>
      <c r="BC875" s="101"/>
      <c r="BD875" s="101"/>
      <c r="BE875" s="101"/>
      <c r="BO875" s="163"/>
      <c r="BP875" s="163"/>
      <c r="BQ875" s="163"/>
      <c r="BR875" s="163"/>
      <c r="BS875" s="163"/>
      <c r="BT875" s="163"/>
      <c r="BU875" s="163"/>
      <c r="BV875" s="163"/>
    </row>
    <row r="876" spans="45:74" x14ac:dyDescent="0.3">
      <c r="AX876" s="99"/>
      <c r="AZ876" s="163"/>
      <c r="BB876" s="163"/>
      <c r="BO876" s="163"/>
      <c r="BP876" s="163"/>
      <c r="BQ876" s="163"/>
      <c r="BR876" s="163"/>
      <c r="BS876" s="163"/>
      <c r="BT876" s="163"/>
      <c r="BU876" s="163"/>
      <c r="BV876" s="163"/>
    </row>
    <row r="877" spans="45:74" x14ac:dyDescent="0.3">
      <c r="AX877" s="101"/>
      <c r="AY877" s="101"/>
      <c r="AZ877" s="212"/>
      <c r="BA877" s="101"/>
      <c r="BB877" s="163"/>
      <c r="BC877" s="102"/>
      <c r="BD877" s="102"/>
      <c r="BO877" s="163"/>
      <c r="BP877" s="163"/>
      <c r="BQ877" s="163"/>
      <c r="BR877" s="163"/>
      <c r="BS877" s="163"/>
      <c r="BT877" s="163"/>
      <c r="BU877" s="163"/>
      <c r="BV877" s="163"/>
    </row>
    <row r="878" spans="45:74" x14ac:dyDescent="0.3">
      <c r="AV878" s="102"/>
      <c r="AW878" s="102"/>
      <c r="AZ878" s="213"/>
      <c r="BA878" s="102"/>
      <c r="BB878" s="163"/>
      <c r="BC878" s="102"/>
      <c r="BD878" s="102"/>
      <c r="BE878" s="102"/>
      <c r="BG878" s="101"/>
      <c r="BH878" s="99"/>
      <c r="BK878" s="101"/>
      <c r="BM878" s="101"/>
      <c r="BN878" s="99"/>
      <c r="BQ878" s="101"/>
    </row>
    <row r="879" spans="45:74" x14ac:dyDescent="0.3">
      <c r="AV879" s="102"/>
      <c r="AW879" s="102"/>
      <c r="AX879" s="102"/>
      <c r="AY879" s="102"/>
      <c r="AZ879" s="213"/>
      <c r="BA879" s="102"/>
      <c r="BB879" s="213"/>
      <c r="BC879" s="102"/>
      <c r="BD879" s="102"/>
      <c r="BE879" s="102"/>
      <c r="BH879" s="102"/>
      <c r="BI879" s="102"/>
      <c r="BN879" s="102"/>
      <c r="BO879" s="102"/>
    </row>
    <row r="880" spans="45:74" x14ac:dyDescent="0.3">
      <c r="AS880" s="102"/>
      <c r="AU880" s="99"/>
      <c r="AV880" s="102"/>
      <c r="AW880" s="102"/>
      <c r="AX880" s="102"/>
      <c r="AY880" s="102"/>
      <c r="AZ880" s="213"/>
      <c r="BA880" s="102"/>
      <c r="BB880" s="213"/>
      <c r="BC880" s="102"/>
      <c r="BD880" s="102"/>
      <c r="BE880" s="102"/>
      <c r="BG880" s="102"/>
      <c r="BH880" s="102"/>
      <c r="BI880" s="102"/>
      <c r="BJ880" s="102"/>
      <c r="BK880" s="102"/>
      <c r="BM880" s="102"/>
      <c r="BN880" s="102"/>
      <c r="BO880" s="102"/>
      <c r="BP880" s="102"/>
      <c r="BQ880" s="102"/>
    </row>
    <row r="881" spans="45:71" x14ac:dyDescent="0.3">
      <c r="AS881" s="102"/>
      <c r="AU881" s="99"/>
      <c r="AV881" s="102"/>
      <c r="AW881" s="102"/>
      <c r="AX881" s="102"/>
      <c r="AY881" s="102"/>
      <c r="AZ881" s="213"/>
      <c r="BA881" s="102"/>
      <c r="BB881" s="213"/>
      <c r="BC881" s="102"/>
      <c r="BD881" s="102"/>
      <c r="BE881" s="102"/>
      <c r="BG881" s="102"/>
      <c r="BH881" s="102"/>
      <c r="BI881" s="102"/>
      <c r="BJ881" s="102"/>
      <c r="BK881" s="102"/>
      <c r="BM881" s="102"/>
      <c r="BN881" s="102"/>
      <c r="BO881" s="102"/>
      <c r="BP881" s="102"/>
      <c r="BQ881" s="102"/>
    </row>
    <row r="882" spans="45:71" x14ac:dyDescent="0.3">
      <c r="AS882" s="101"/>
      <c r="AT882" s="101"/>
      <c r="AU882" s="101"/>
      <c r="AV882" s="101"/>
      <c r="AW882" s="101"/>
      <c r="AX882" s="101"/>
      <c r="AY882" s="101"/>
      <c r="AZ882" s="212"/>
      <c r="BA882" s="101"/>
      <c r="BB882" s="212"/>
      <c r="BC882" s="101"/>
      <c r="BD882" s="101"/>
      <c r="BE882" s="101"/>
      <c r="BG882" s="101"/>
      <c r="BH882" s="101"/>
      <c r="BI882" s="101"/>
      <c r="BJ882" s="101"/>
      <c r="BK882" s="101"/>
      <c r="BM882" s="101"/>
      <c r="BN882" s="101"/>
      <c r="BO882" s="101"/>
      <c r="BP882" s="101"/>
      <c r="BQ882" s="101"/>
    </row>
    <row r="883" spans="45:71" x14ac:dyDescent="0.3">
      <c r="AV883" s="102"/>
      <c r="AW883" s="102"/>
      <c r="AX883" s="102"/>
      <c r="AY883" s="102"/>
      <c r="AZ883" s="213"/>
      <c r="BA883" s="102"/>
      <c r="BB883" s="213"/>
      <c r="BC883" s="102"/>
      <c r="BD883" s="102"/>
      <c r="BE883" s="102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</row>
    <row r="884" spans="45:71" x14ac:dyDescent="0.3">
      <c r="AT884" s="99"/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</row>
    <row r="885" spans="45:71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</row>
    <row r="886" spans="45:71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</row>
    <row r="887" spans="45:71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</row>
    <row r="888" spans="45:71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</row>
    <row r="889" spans="45:71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</row>
    <row r="890" spans="45:71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</row>
    <row r="891" spans="45:71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</row>
    <row r="892" spans="45:71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</row>
    <row r="893" spans="45:71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</row>
    <row r="894" spans="45:71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</row>
    <row r="895" spans="45:71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</row>
    <row r="896" spans="45:71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</row>
    <row r="897" spans="46:71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</row>
    <row r="898" spans="46:71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</row>
    <row r="899" spans="46:71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</row>
    <row r="900" spans="46:71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</row>
    <row r="901" spans="46:71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</row>
    <row r="902" spans="46:71" x14ac:dyDescent="0.3">
      <c r="AZ902" s="163"/>
      <c r="BB902" s="163"/>
      <c r="BC902" s="163"/>
      <c r="BD902" s="163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</row>
    <row r="903" spans="46:71" x14ac:dyDescent="0.3">
      <c r="AT903" s="99"/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6:71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6:71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6:71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6:71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6:71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6:71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0" spans="46:71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</row>
    <row r="911" spans="46:71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</row>
    <row r="912" spans="46:71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</row>
    <row r="913" spans="45:57" x14ac:dyDescent="0.3"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</row>
    <row r="914" spans="45:57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</row>
    <row r="915" spans="45:57" x14ac:dyDescent="0.3">
      <c r="AV915" s="110"/>
      <c r="AW915" s="110"/>
      <c r="AX915" s="163"/>
      <c r="AY915" s="163"/>
      <c r="AZ915" s="163"/>
      <c r="BA915" s="207"/>
      <c r="BB915" s="163"/>
      <c r="BC915" s="163"/>
      <c r="BD915" s="163"/>
      <c r="BE915" s="207"/>
    </row>
    <row r="916" spans="45:57" x14ac:dyDescent="0.3">
      <c r="AV916" s="110"/>
      <c r="AW916" s="110"/>
      <c r="AX916" s="163"/>
      <c r="AY916" s="163"/>
      <c r="AZ916" s="163"/>
      <c r="BA916" s="207"/>
      <c r="BB916" s="163"/>
      <c r="BC916" s="163"/>
      <c r="BD916" s="163"/>
      <c r="BE916" s="207"/>
    </row>
    <row r="917" spans="45:57" x14ac:dyDescent="0.3">
      <c r="AV917" s="110"/>
      <c r="AW917" s="110"/>
      <c r="AX917" s="163"/>
      <c r="AY917" s="163"/>
      <c r="AZ917" s="163"/>
      <c r="BA917" s="207"/>
      <c r="BB917" s="163"/>
      <c r="BC917" s="163"/>
      <c r="BD917" s="163"/>
      <c r="BE917" s="207"/>
    </row>
    <row r="918" spans="45:57" x14ac:dyDescent="0.3">
      <c r="AV918" s="110"/>
      <c r="AW918" s="110"/>
      <c r="AX918" s="163"/>
      <c r="AY918" s="163"/>
      <c r="AZ918" s="163"/>
      <c r="BA918" s="207"/>
      <c r="BB918" s="163"/>
      <c r="BC918" s="163"/>
      <c r="BD918" s="163"/>
      <c r="BE918" s="207"/>
    </row>
    <row r="919" spans="45:57" x14ac:dyDescent="0.3">
      <c r="AV919" s="110"/>
      <c r="AW919" s="110"/>
      <c r="AX919" s="163"/>
      <c r="AY919" s="163"/>
      <c r="AZ919" s="163"/>
      <c r="BA919" s="207"/>
      <c r="BB919" s="163"/>
      <c r="BC919" s="163"/>
      <c r="BD919" s="163"/>
      <c r="BE919" s="207"/>
    </row>
    <row r="920" spans="45:57" x14ac:dyDescent="0.3">
      <c r="AV920" s="110"/>
      <c r="AW920" s="110"/>
      <c r="AX920" s="163"/>
      <c r="AY920" s="163"/>
      <c r="AZ920" s="163"/>
      <c r="BA920" s="207"/>
      <c r="BB920" s="163"/>
      <c r="BC920" s="163"/>
      <c r="BD920" s="163"/>
      <c r="BE920" s="207"/>
    </row>
    <row r="921" spans="45:57" x14ac:dyDescent="0.3">
      <c r="BB921" s="163"/>
    </row>
    <row r="922" spans="45:57" x14ac:dyDescent="0.3">
      <c r="AU922" s="99"/>
      <c r="BB922" s="163"/>
    </row>
    <row r="923" spans="45:57" x14ac:dyDescent="0.3">
      <c r="AU923" s="99"/>
    </row>
    <row r="924" spans="45:57" x14ac:dyDescent="0.3">
      <c r="AU924" s="99"/>
      <c r="BB924" s="163"/>
    </row>
    <row r="925" spans="45:57" x14ac:dyDescent="0.3">
      <c r="AS925" s="99"/>
      <c r="AZ925" s="163"/>
      <c r="BB925" s="163"/>
    </row>
    <row r="926" spans="45:57" x14ac:dyDescent="0.3">
      <c r="AZ926" s="163"/>
      <c r="BB926" s="163"/>
    </row>
    <row r="927" spans="45:57" x14ac:dyDescent="0.3">
      <c r="AY927" s="163"/>
      <c r="AZ927" s="163"/>
      <c r="BB927" s="163"/>
    </row>
    <row r="928" spans="45:57" x14ac:dyDescent="0.3">
      <c r="AY928" s="99"/>
      <c r="AZ928" s="163"/>
      <c r="BB928" s="163"/>
    </row>
    <row r="929" spans="45:57" x14ac:dyDescent="0.3">
      <c r="AY929" s="99"/>
      <c r="AZ929" s="163"/>
      <c r="BB929" s="163"/>
    </row>
    <row r="930" spans="45:57" x14ac:dyDescent="0.3">
      <c r="AZ930" s="163"/>
      <c r="BB930" s="163"/>
      <c r="BD930" s="99"/>
    </row>
    <row r="931" spans="45:57" x14ac:dyDescent="0.3">
      <c r="AZ931" s="163"/>
      <c r="BB931" s="163"/>
      <c r="BD931" s="99"/>
    </row>
    <row r="932" spans="45:57" x14ac:dyDescent="0.3">
      <c r="AS932" s="99"/>
      <c r="AZ932" s="163"/>
      <c r="BB932" s="163"/>
      <c r="BD932" s="99"/>
    </row>
    <row r="933" spans="45:57" x14ac:dyDescent="0.3">
      <c r="AZ933" s="163"/>
      <c r="BB933" s="163"/>
    </row>
    <row r="934" spans="45:57" x14ac:dyDescent="0.3">
      <c r="AS934" s="101"/>
      <c r="AT934" s="101"/>
      <c r="AU934" s="101"/>
      <c r="AV934" s="101"/>
      <c r="AW934" s="101"/>
      <c r="AX934" s="101"/>
      <c r="AY934" s="101"/>
      <c r="AZ934" s="212"/>
      <c r="BA934" s="101"/>
      <c r="BB934" s="212"/>
      <c r="BC934" s="101"/>
      <c r="BD934" s="101"/>
      <c r="BE934" s="101"/>
    </row>
    <row r="935" spans="45:57" x14ac:dyDescent="0.3">
      <c r="AX935" s="99"/>
      <c r="AZ935" s="163"/>
      <c r="BB935" s="163"/>
    </row>
    <row r="936" spans="45:57" x14ac:dyDescent="0.3">
      <c r="AX936" s="101"/>
      <c r="AY936" s="101"/>
      <c r="AZ936" s="212"/>
      <c r="BA936" s="101"/>
      <c r="BB936" s="163"/>
      <c r="BC936" s="102"/>
      <c r="BD936" s="102"/>
    </row>
    <row r="937" spans="45:57" x14ac:dyDescent="0.3">
      <c r="AV937" s="102"/>
      <c r="AW937" s="102"/>
      <c r="AZ937" s="213"/>
      <c r="BA937" s="102"/>
      <c r="BB937" s="163"/>
      <c r="BC937" s="102"/>
      <c r="BD937" s="102"/>
      <c r="BE937" s="102"/>
    </row>
    <row r="938" spans="45:57" x14ac:dyDescent="0.3">
      <c r="AV938" s="102"/>
      <c r="AW938" s="102"/>
      <c r="AX938" s="102"/>
      <c r="AY938" s="102"/>
      <c r="AZ938" s="213"/>
      <c r="BA938" s="102"/>
      <c r="BB938" s="213"/>
      <c r="BC938" s="102"/>
      <c r="BD938" s="102"/>
      <c r="BE938" s="102"/>
    </row>
    <row r="939" spans="45:57" x14ac:dyDescent="0.3">
      <c r="AS939" s="102"/>
      <c r="AU939" s="99"/>
      <c r="AV939" s="102"/>
      <c r="AW939" s="102"/>
      <c r="AX939" s="102"/>
      <c r="AY939" s="102"/>
      <c r="AZ939" s="213"/>
      <c r="BA939" s="102"/>
      <c r="BB939" s="213"/>
      <c r="BC939" s="102"/>
      <c r="BD939" s="102"/>
      <c r="BE939" s="102"/>
    </row>
    <row r="940" spans="45:57" x14ac:dyDescent="0.3">
      <c r="AS940" s="102"/>
      <c r="AU940" s="99"/>
      <c r="AV940" s="102"/>
      <c r="AW940" s="102"/>
      <c r="AX940" s="102"/>
      <c r="AY940" s="102"/>
      <c r="AZ940" s="213"/>
      <c r="BA940" s="102"/>
      <c r="BB940" s="213"/>
      <c r="BC940" s="102"/>
      <c r="BD940" s="102"/>
      <c r="BE940" s="102"/>
    </row>
    <row r="941" spans="45:57" x14ac:dyDescent="0.3">
      <c r="AS941" s="101"/>
      <c r="AT941" s="101"/>
      <c r="AU941" s="101"/>
      <c r="AV941" s="101"/>
      <c r="AW941" s="101"/>
      <c r="AX941" s="101"/>
      <c r="AY941" s="101"/>
      <c r="AZ941" s="212"/>
      <c r="BA941" s="101"/>
      <c r="BB941" s="212"/>
      <c r="BC941" s="101"/>
      <c r="BD941" s="101"/>
      <c r="BE941" s="101"/>
    </row>
    <row r="942" spans="45:57" x14ac:dyDescent="0.3">
      <c r="AV942" s="102"/>
      <c r="AW942" s="102"/>
      <c r="AX942" s="102"/>
      <c r="AY942" s="102"/>
      <c r="AZ942" s="213"/>
      <c r="BA942" s="102"/>
      <c r="BB942" s="213"/>
      <c r="BC942" s="102"/>
      <c r="BD942" s="102"/>
      <c r="BE942" s="102"/>
    </row>
    <row r="943" spans="45:57" x14ac:dyDescent="0.3">
      <c r="AT943" s="99"/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5:57" x14ac:dyDescent="0.3">
      <c r="AV944" s="110"/>
      <c r="AW944" s="110"/>
      <c r="AX944" s="163"/>
      <c r="AY944" s="163"/>
      <c r="AZ944" s="163"/>
      <c r="BA944" s="207"/>
      <c r="BB944" s="163"/>
      <c r="BC944" s="163"/>
      <c r="BD944" s="163"/>
      <c r="BE944" s="207"/>
    </row>
    <row r="945" spans="46:57" x14ac:dyDescent="0.3">
      <c r="AV945" s="110"/>
      <c r="AW945" s="110"/>
      <c r="AX945" s="163"/>
      <c r="AY945" s="163"/>
      <c r="AZ945" s="163"/>
      <c r="BA945" s="207"/>
      <c r="BB945" s="163"/>
      <c r="BC945" s="163"/>
      <c r="BD945" s="163"/>
      <c r="BE945" s="207"/>
    </row>
    <row r="946" spans="46:57" x14ac:dyDescent="0.3">
      <c r="AV946" s="110"/>
      <c r="AW946" s="110"/>
      <c r="AX946" s="163"/>
      <c r="AY946" s="163"/>
      <c r="AZ946" s="163"/>
      <c r="BA946" s="207"/>
      <c r="BB946" s="163"/>
      <c r="BC946" s="163"/>
      <c r="BD946" s="163"/>
      <c r="BE946" s="207"/>
    </row>
    <row r="947" spans="46:57" x14ac:dyDescent="0.3">
      <c r="AV947" s="110"/>
      <c r="AW947" s="110"/>
      <c r="AX947" s="163"/>
      <c r="AY947" s="163"/>
      <c r="AZ947" s="163"/>
      <c r="BA947" s="207"/>
      <c r="BB947" s="163"/>
      <c r="BC947" s="163"/>
      <c r="BD947" s="163"/>
      <c r="BE947" s="207"/>
    </row>
    <row r="948" spans="46:57" x14ac:dyDescent="0.3">
      <c r="AV948" s="110"/>
      <c r="AW948" s="110"/>
      <c r="AX948" s="163"/>
      <c r="AY948" s="163"/>
      <c r="AZ948" s="163"/>
      <c r="BA948" s="207"/>
      <c r="BB948" s="163"/>
      <c r="BC948" s="163"/>
      <c r="BD948" s="163"/>
      <c r="BE948" s="207"/>
    </row>
    <row r="949" spans="46:57" x14ac:dyDescent="0.3">
      <c r="AV949" s="110"/>
      <c r="AW949" s="110"/>
      <c r="AX949" s="163"/>
      <c r="AY949" s="163"/>
      <c r="AZ949" s="163"/>
      <c r="BA949" s="207"/>
      <c r="BB949" s="163"/>
      <c r="BC949" s="163"/>
      <c r="BD949" s="163"/>
      <c r="BE949" s="207"/>
    </row>
    <row r="950" spans="46:57" x14ac:dyDescent="0.3">
      <c r="AV950" s="110"/>
      <c r="AW950" s="110"/>
      <c r="AX950" s="163"/>
      <c r="AY950" s="163"/>
      <c r="AZ950" s="163"/>
      <c r="BA950" s="207"/>
      <c r="BB950" s="163"/>
      <c r="BC950" s="163"/>
      <c r="BD950" s="163"/>
      <c r="BE950" s="207"/>
    </row>
    <row r="951" spans="46:57" x14ac:dyDescent="0.3">
      <c r="AV951" s="110"/>
      <c r="AW951" s="110"/>
      <c r="AX951" s="163"/>
      <c r="AY951" s="163"/>
      <c r="AZ951" s="163"/>
      <c r="BA951" s="207"/>
      <c r="BB951" s="163"/>
      <c r="BC951" s="163"/>
      <c r="BD951" s="163"/>
      <c r="BE951" s="207"/>
    </row>
    <row r="952" spans="46:57" x14ac:dyDescent="0.3">
      <c r="AV952" s="110"/>
      <c r="AW952" s="110"/>
      <c r="AX952" s="163"/>
      <c r="AY952" s="163"/>
      <c r="AZ952" s="163"/>
      <c r="BA952" s="207"/>
      <c r="BB952" s="163"/>
      <c r="BC952" s="163"/>
      <c r="BD952" s="163"/>
      <c r="BE952" s="207"/>
    </row>
    <row r="953" spans="46:57" x14ac:dyDescent="0.3">
      <c r="AV953" s="110"/>
      <c r="AW953" s="110"/>
      <c r="BB953" s="163"/>
    </row>
    <row r="954" spans="46:57" x14ac:dyDescent="0.3">
      <c r="AT954" s="99"/>
      <c r="AV954" s="110"/>
      <c r="AW954" s="110"/>
      <c r="AX954" s="163"/>
      <c r="AY954" s="163"/>
      <c r="AZ954" s="163"/>
      <c r="BA954" s="207"/>
      <c r="BB954" s="163"/>
      <c r="BC954" s="163"/>
      <c r="BD954" s="163"/>
      <c r="BE954" s="207"/>
    </row>
    <row r="955" spans="46:57" x14ac:dyDescent="0.3">
      <c r="AV955" s="110"/>
      <c r="AW955" s="110"/>
      <c r="AX955" s="163"/>
      <c r="AY955" s="163"/>
      <c r="AZ955" s="163"/>
      <c r="BA955" s="207"/>
      <c r="BB955" s="163"/>
      <c r="BC955" s="163"/>
      <c r="BD955" s="163"/>
      <c r="BE955" s="207"/>
    </row>
    <row r="956" spans="46:57" x14ac:dyDescent="0.3">
      <c r="AV956" s="110"/>
      <c r="AW956" s="110"/>
      <c r="AX956" s="163"/>
      <c r="AY956" s="163"/>
      <c r="AZ956" s="163"/>
      <c r="BA956" s="207"/>
      <c r="BB956" s="163"/>
      <c r="BC956" s="163"/>
      <c r="BD956" s="163"/>
      <c r="BE956" s="207"/>
    </row>
    <row r="957" spans="46:57" x14ac:dyDescent="0.3">
      <c r="AV957" s="110"/>
      <c r="AW957" s="110"/>
      <c r="AX957" s="163"/>
      <c r="AY957" s="163"/>
      <c r="AZ957" s="163"/>
      <c r="BA957" s="207"/>
      <c r="BB957" s="163"/>
      <c r="BC957" s="163"/>
      <c r="BD957" s="163"/>
      <c r="BE957" s="207"/>
    </row>
    <row r="958" spans="46:57" x14ac:dyDescent="0.3">
      <c r="AV958" s="110"/>
      <c r="AW958" s="110"/>
      <c r="AX958" s="163"/>
      <c r="AY958" s="163"/>
      <c r="AZ958" s="163"/>
      <c r="BA958" s="207"/>
      <c r="BB958" s="163"/>
      <c r="BC958" s="163"/>
      <c r="BD958" s="163"/>
      <c r="BE958" s="207"/>
    </row>
    <row r="959" spans="46:57" x14ac:dyDescent="0.3">
      <c r="AV959" s="110"/>
      <c r="AW959" s="110"/>
      <c r="AX959" s="163"/>
      <c r="AY959" s="163"/>
      <c r="AZ959" s="163"/>
      <c r="BA959" s="207"/>
      <c r="BB959" s="163"/>
      <c r="BC959" s="163"/>
      <c r="BD959" s="163"/>
      <c r="BE959" s="207"/>
    </row>
    <row r="960" spans="46:57" x14ac:dyDescent="0.3">
      <c r="AV960" s="110"/>
      <c r="AW960" s="110"/>
      <c r="AX960" s="163"/>
      <c r="AY960" s="163"/>
      <c r="AZ960" s="163"/>
      <c r="BA960" s="207"/>
      <c r="BB960" s="163"/>
      <c r="BC960" s="163"/>
      <c r="BD960" s="163"/>
      <c r="BE960" s="207"/>
    </row>
    <row r="961" spans="45:57" x14ac:dyDescent="0.3">
      <c r="AV961" s="110"/>
      <c r="AW961" s="110"/>
      <c r="AX961" s="163"/>
      <c r="AY961" s="163"/>
      <c r="AZ961" s="163"/>
      <c r="BA961" s="207"/>
      <c r="BB961" s="163"/>
      <c r="BC961" s="163"/>
      <c r="BD961" s="163"/>
      <c r="BE961" s="207"/>
    </row>
    <row r="962" spans="45:57" x14ac:dyDescent="0.3">
      <c r="AV962" s="110"/>
      <c r="AW962" s="110"/>
      <c r="AX962" s="163"/>
      <c r="AY962" s="163"/>
      <c r="AZ962" s="163"/>
      <c r="BA962" s="207"/>
      <c r="BB962" s="163"/>
      <c r="BC962" s="163"/>
      <c r="BD962" s="163"/>
      <c r="BE962" s="207"/>
    </row>
    <row r="963" spans="45:57" x14ac:dyDescent="0.3">
      <c r="AV963" s="110"/>
      <c r="AW963" s="110"/>
      <c r="AX963" s="163"/>
      <c r="AY963" s="163"/>
      <c r="AZ963" s="163"/>
      <c r="BA963" s="207"/>
      <c r="BB963" s="163"/>
      <c r="BC963" s="163"/>
      <c r="BD963" s="163"/>
      <c r="BE963" s="207"/>
    </row>
    <row r="965" spans="45:57" x14ac:dyDescent="0.3">
      <c r="AU965" s="99"/>
    </row>
    <row r="966" spans="45:57" x14ac:dyDescent="0.3">
      <c r="AU966" s="99"/>
    </row>
    <row r="967" spans="45:57" x14ac:dyDescent="0.3">
      <c r="AU967" s="99"/>
    </row>
    <row r="968" spans="45:57" x14ac:dyDescent="0.3">
      <c r="AS968" s="99"/>
    </row>
    <row r="989" spans="52:71" x14ac:dyDescent="0.3">
      <c r="AZ989" s="163"/>
      <c r="BB989" s="163"/>
      <c r="BC989" s="163"/>
      <c r="BD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</row>
    <row r="990" spans="52:71" x14ac:dyDescent="0.3">
      <c r="AZ990" s="163"/>
      <c r="BB990" s="163"/>
      <c r="BC990" s="163"/>
      <c r="BD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</row>
    <row r="991" spans="52:71" x14ac:dyDescent="0.3">
      <c r="AZ991" s="163"/>
      <c r="BB991" s="163"/>
      <c r="BC991" s="163"/>
      <c r="BD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</row>
    <row r="992" spans="52:71" x14ac:dyDescent="0.3">
      <c r="AZ992" s="163"/>
      <c r="BB992" s="163"/>
      <c r="BC992" s="163"/>
      <c r="BD992" s="163"/>
      <c r="BG992" s="163"/>
      <c r="BH992" s="163"/>
      <c r="BI992" s="163"/>
      <c r="BJ992" s="163"/>
      <c r="BK992" s="163"/>
      <c r="BL992" s="163"/>
      <c r="BM992" s="163"/>
      <c r="BN992" s="163"/>
      <c r="BO992" s="163"/>
      <c r="BP992" s="163"/>
      <c r="BQ992" s="163"/>
      <c r="BR992" s="163"/>
      <c r="BS992" s="163"/>
    </row>
    <row r="993" spans="52:71" x14ac:dyDescent="0.3">
      <c r="AZ993" s="163"/>
      <c r="BB993" s="163"/>
      <c r="BC993" s="163"/>
      <c r="BD993" s="163"/>
      <c r="BG993" s="163"/>
      <c r="BH993" s="163"/>
      <c r="BI993" s="163"/>
      <c r="BJ993" s="163"/>
      <c r="BK993" s="163"/>
      <c r="BL993" s="163"/>
      <c r="BM993" s="163"/>
      <c r="BN993" s="163"/>
      <c r="BO993" s="163"/>
      <c r="BP993" s="163"/>
      <c r="BQ993" s="163"/>
      <c r="BR993" s="163"/>
      <c r="BS993" s="163"/>
    </row>
    <row r="994" spans="52:71" x14ac:dyDescent="0.3">
      <c r="AZ994" s="163"/>
      <c r="BB994" s="163"/>
      <c r="BC994" s="163"/>
      <c r="BD994" s="163"/>
      <c r="BG994" s="163"/>
      <c r="BH994" s="163"/>
      <c r="BI994" s="163"/>
      <c r="BJ994" s="163"/>
      <c r="BK994" s="163"/>
      <c r="BL994" s="163"/>
      <c r="BM994" s="163"/>
      <c r="BN994" s="163"/>
      <c r="BO994" s="163"/>
      <c r="BP994" s="163"/>
      <c r="BQ994" s="163"/>
      <c r="BR994" s="163"/>
      <c r="BS994" s="163"/>
    </row>
    <row r="995" spans="52:71" x14ac:dyDescent="0.3">
      <c r="AZ995" s="163"/>
      <c r="BB995" s="163"/>
      <c r="BC995" s="163"/>
      <c r="BD995" s="163"/>
      <c r="BG995" s="163"/>
      <c r="BH995" s="163"/>
      <c r="BI995" s="163"/>
      <c r="BJ995" s="163"/>
      <c r="BK995" s="163"/>
      <c r="BL995" s="163"/>
      <c r="BM995" s="163"/>
      <c r="BN995" s="163"/>
      <c r="BO995" s="163"/>
      <c r="BP995" s="163"/>
      <c r="BQ995" s="163"/>
      <c r="BR995" s="163"/>
      <c r="BS995" s="163"/>
    </row>
    <row r="996" spans="52:71" x14ac:dyDescent="0.3">
      <c r="AZ996" s="163"/>
      <c r="BB996" s="163"/>
      <c r="BC996" s="163"/>
      <c r="BD996" s="163"/>
      <c r="BG996" s="163"/>
      <c r="BH996" s="163"/>
      <c r="BI996" s="163"/>
      <c r="BJ996" s="163"/>
      <c r="BK996" s="163"/>
      <c r="BL996" s="163"/>
      <c r="BM996" s="163"/>
      <c r="BN996" s="163"/>
      <c r="BO996" s="163"/>
      <c r="BP996" s="163"/>
      <c r="BQ996" s="163"/>
      <c r="BR996" s="163"/>
      <c r="BS996" s="163"/>
    </row>
    <row r="997" spans="52:71" x14ac:dyDescent="0.3">
      <c r="AZ997" s="163"/>
      <c r="BB997" s="163"/>
      <c r="BC997" s="163"/>
      <c r="BD997" s="163"/>
      <c r="BG997" s="163"/>
      <c r="BH997" s="163"/>
      <c r="BI997" s="163"/>
      <c r="BJ997" s="163"/>
      <c r="BK997" s="163"/>
      <c r="BL997" s="163"/>
      <c r="BM997" s="163"/>
      <c r="BN997" s="163"/>
      <c r="BO997" s="163"/>
      <c r="BP997" s="163"/>
      <c r="BQ997" s="163"/>
      <c r="BR997" s="163"/>
      <c r="BS997" s="163"/>
    </row>
    <row r="998" spans="52:71" x14ac:dyDescent="0.3">
      <c r="AZ998" s="163"/>
      <c r="BB998" s="163"/>
      <c r="BC998" s="163"/>
      <c r="BD998" s="163"/>
      <c r="BG998" s="163"/>
      <c r="BH998" s="163"/>
      <c r="BI998" s="163"/>
      <c r="BJ998" s="163"/>
      <c r="BK998" s="163"/>
      <c r="BL998" s="163"/>
      <c r="BM998" s="163"/>
      <c r="BN998" s="163"/>
      <c r="BO998" s="163"/>
      <c r="BP998" s="163"/>
      <c r="BQ998" s="163"/>
      <c r="BR998" s="163"/>
      <c r="BS998" s="163"/>
    </row>
    <row r="999" spans="52:71" x14ac:dyDescent="0.3">
      <c r="AZ999" s="163"/>
      <c r="BB999" s="163"/>
      <c r="BC999" s="163"/>
      <c r="BD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</row>
    <row r="1000" spans="52:71" x14ac:dyDescent="0.3">
      <c r="AZ1000" s="163"/>
      <c r="BB1000" s="163"/>
      <c r="BC1000" s="163"/>
      <c r="BD1000" s="163"/>
      <c r="BG1000" s="163"/>
      <c r="BH1000" s="163"/>
      <c r="BI1000" s="163"/>
      <c r="BJ1000" s="163"/>
      <c r="BK1000" s="163"/>
      <c r="BL1000" s="163"/>
      <c r="BM1000" s="163"/>
      <c r="BN1000" s="163"/>
      <c r="BO1000" s="163"/>
      <c r="BP1000" s="163"/>
      <c r="BQ1000" s="163"/>
      <c r="BR1000" s="163"/>
      <c r="BS1000" s="163"/>
    </row>
    <row r="1001" spans="52:71" x14ac:dyDescent="0.3">
      <c r="AZ1001" s="163"/>
      <c r="BG1001" s="163"/>
      <c r="BH1001" s="163"/>
      <c r="BI1001" s="163"/>
      <c r="BJ1001" s="163"/>
      <c r="BK1001" s="163"/>
      <c r="BL1001" s="163"/>
      <c r="BM1001" s="163"/>
      <c r="BN1001" s="163"/>
      <c r="BO1001" s="163"/>
      <c r="BP1001" s="163"/>
      <c r="BQ1001" s="163"/>
      <c r="BR1001" s="163"/>
      <c r="BS1001" s="163"/>
    </row>
    <row r="1002" spans="52:71" x14ac:dyDescent="0.3">
      <c r="AZ1002" s="163"/>
      <c r="BG1002" s="163"/>
      <c r="BH1002" s="163"/>
      <c r="BI1002" s="163"/>
      <c r="BJ1002" s="163"/>
      <c r="BK1002" s="163"/>
      <c r="BL1002" s="163"/>
      <c r="BM1002" s="163"/>
      <c r="BN1002" s="163"/>
      <c r="BO1002" s="163"/>
      <c r="BP1002" s="163"/>
      <c r="BQ1002" s="163"/>
      <c r="BR1002" s="163"/>
      <c r="BS1002" s="163"/>
    </row>
    <row r="1003" spans="52:71" x14ac:dyDescent="0.3">
      <c r="AZ1003" s="163"/>
      <c r="BG1003" s="163"/>
      <c r="BH1003" s="163"/>
      <c r="BI1003" s="163"/>
      <c r="BJ1003" s="163"/>
      <c r="BK1003" s="163"/>
      <c r="BL1003" s="163"/>
      <c r="BM1003" s="163"/>
      <c r="BN1003" s="163"/>
      <c r="BO1003" s="163"/>
      <c r="BP1003" s="163"/>
      <c r="BQ1003" s="163"/>
      <c r="BR1003" s="163"/>
      <c r="BS1003" s="163"/>
    </row>
    <row r="1004" spans="52:71" x14ac:dyDescent="0.3">
      <c r="AZ1004" s="163"/>
      <c r="BG1004" s="163"/>
      <c r="BH1004" s="163"/>
      <c r="BI1004" s="163"/>
      <c r="BJ1004" s="163"/>
      <c r="BK1004" s="163"/>
      <c r="BL1004" s="163"/>
      <c r="BM1004" s="163"/>
      <c r="BN1004" s="163"/>
      <c r="BO1004" s="163"/>
      <c r="BP1004" s="163"/>
      <c r="BQ1004" s="163"/>
      <c r="BR1004" s="163"/>
      <c r="BS1004" s="163"/>
    </row>
    <row r="1005" spans="52:71" x14ac:dyDescent="0.3">
      <c r="AZ1005" s="163"/>
      <c r="BG1005" s="163"/>
      <c r="BH1005" s="163"/>
      <c r="BI1005" s="163"/>
      <c r="BJ1005" s="163"/>
      <c r="BK1005" s="163"/>
      <c r="BL1005" s="163"/>
      <c r="BM1005" s="163"/>
      <c r="BN1005" s="163"/>
      <c r="BO1005" s="163"/>
      <c r="BP1005" s="163"/>
      <c r="BQ1005" s="163"/>
      <c r="BR1005" s="163"/>
      <c r="BS1005" s="163"/>
    </row>
    <row r="1006" spans="52:71" x14ac:dyDescent="0.3">
      <c r="AZ1006" s="163"/>
      <c r="BG1006" s="163"/>
      <c r="BH1006" s="163"/>
      <c r="BI1006" s="163"/>
      <c r="BJ1006" s="163"/>
      <c r="BK1006" s="163"/>
      <c r="BL1006" s="163"/>
      <c r="BM1006" s="163"/>
      <c r="BN1006" s="163"/>
      <c r="BO1006" s="163"/>
      <c r="BP1006" s="163"/>
      <c r="BQ1006" s="163"/>
      <c r="BR1006" s="163"/>
      <c r="BS1006" s="163"/>
    </row>
    <row r="1007" spans="52:71" x14ac:dyDescent="0.3">
      <c r="AZ1007" s="163"/>
      <c r="BG1007" s="163"/>
      <c r="BH1007" s="163"/>
      <c r="BI1007" s="163"/>
      <c r="BJ1007" s="163"/>
      <c r="BK1007" s="163"/>
      <c r="BL1007" s="163"/>
      <c r="BM1007" s="163"/>
      <c r="BN1007" s="163"/>
      <c r="BO1007" s="163"/>
      <c r="BP1007" s="163"/>
      <c r="BQ1007" s="163"/>
      <c r="BR1007" s="163"/>
      <c r="BS1007" s="163"/>
    </row>
    <row r="1008" spans="52:71" x14ac:dyDescent="0.3">
      <c r="AZ1008" s="163"/>
    </row>
    <row r="1009" spans="1:52" x14ac:dyDescent="0.3">
      <c r="AZ1009" s="163"/>
    </row>
    <row r="1023" spans="1:52" x14ac:dyDescent="0.3">
      <c r="A1023" s="99"/>
    </row>
    <row r="1026" spans="1:28" x14ac:dyDescent="0.3">
      <c r="Y1026" s="99"/>
    </row>
    <row r="1027" spans="1:28" x14ac:dyDescent="0.3">
      <c r="A1027" s="99"/>
      <c r="H1027" s="99"/>
      <c r="I1027" s="99"/>
    </row>
    <row r="1028" spans="1:28" x14ac:dyDescent="0.3">
      <c r="A1028" s="99"/>
      <c r="V1028" s="102"/>
      <c r="AA1028" s="102"/>
      <c r="AB1028" s="102"/>
    </row>
    <row r="1029" spans="1:28" x14ac:dyDescent="0.3">
      <c r="A1029" s="99"/>
      <c r="V1029" s="101"/>
      <c r="AA1029" s="101"/>
      <c r="AB1029" s="101"/>
    </row>
    <row r="1030" spans="1:28" x14ac:dyDescent="0.3">
      <c r="A1030" s="99"/>
      <c r="U1030" s="99"/>
      <c r="AA1030" s="102"/>
      <c r="AB1030" s="102"/>
    </row>
    <row r="1031" spans="1:28" x14ac:dyDescent="0.3">
      <c r="A1031" s="99"/>
    </row>
    <row r="1032" spans="1:28" x14ac:dyDescent="0.3">
      <c r="A1032" s="99"/>
      <c r="U1032" s="99"/>
      <c r="AA1032" s="102"/>
      <c r="AB1032" s="102"/>
    </row>
    <row r="1033" spans="1:28" x14ac:dyDescent="0.3">
      <c r="A1033" s="99"/>
    </row>
    <row r="1034" spans="1:28" x14ac:dyDescent="0.3">
      <c r="A1034" s="99"/>
      <c r="U1034" s="99"/>
      <c r="V1034" s="231"/>
      <c r="AA1034" s="102"/>
      <c r="AB1034" s="102"/>
    </row>
    <row r="1035" spans="1:28" x14ac:dyDescent="0.3">
      <c r="A1035" s="99"/>
    </row>
    <row r="1036" spans="1:28" x14ac:dyDescent="0.3">
      <c r="A1036" s="99"/>
      <c r="U1036" s="99"/>
      <c r="AA1036" s="102"/>
      <c r="AB1036" s="102"/>
    </row>
    <row r="1037" spans="1:28" x14ac:dyDescent="0.3">
      <c r="A1037" s="99"/>
    </row>
    <row r="1038" spans="1:28" x14ac:dyDescent="0.3">
      <c r="A1038" s="99"/>
      <c r="U1038" s="99"/>
      <c r="AA1038" s="102"/>
      <c r="AB1038" s="102"/>
    </row>
    <row r="1039" spans="1:28" x14ac:dyDescent="0.3">
      <c r="A1039" s="99"/>
    </row>
    <row r="1040" spans="1:28" x14ac:dyDescent="0.3">
      <c r="A1040" s="99"/>
    </row>
    <row r="1041" spans="1:9" x14ac:dyDescent="0.3">
      <c r="A1041" s="99"/>
    </row>
    <row r="1042" spans="1:9" x14ac:dyDescent="0.3">
      <c r="A1042" s="99"/>
    </row>
    <row r="1043" spans="1:9" x14ac:dyDescent="0.3">
      <c r="A1043" s="99"/>
    </row>
    <row r="1044" spans="1:9" x14ac:dyDescent="0.3">
      <c r="A1044" s="99"/>
    </row>
    <row r="1045" spans="1:9" x14ac:dyDescent="0.3">
      <c r="A1045" s="99"/>
    </row>
    <row r="1046" spans="1:9" x14ac:dyDescent="0.3">
      <c r="A1046" s="99"/>
    </row>
    <row r="1047" spans="1:9" x14ac:dyDescent="0.3">
      <c r="A1047" s="99"/>
    </row>
    <row r="1048" spans="1:9" x14ac:dyDescent="0.3">
      <c r="A1048" s="99"/>
    </row>
    <row r="1049" spans="1:9" x14ac:dyDescent="0.3">
      <c r="A1049" s="99"/>
      <c r="H1049" s="99"/>
      <c r="I1049" s="99"/>
    </row>
    <row r="1052" spans="1:9" x14ac:dyDescent="0.3">
      <c r="A1052" s="99"/>
    </row>
    <row r="1055" spans="1:9" x14ac:dyDescent="0.3">
      <c r="A1055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  <row r="1068" spans="1:1" x14ac:dyDescent="0.3">
      <c r="A1068" s="99"/>
    </row>
    <row r="1069" spans="1:1" x14ac:dyDescent="0.3">
      <c r="A1069" s="99"/>
    </row>
    <row r="1070" spans="1:1" x14ac:dyDescent="0.3">
      <c r="A1070" s="99"/>
    </row>
    <row r="1071" spans="1:1" x14ac:dyDescent="0.3">
      <c r="A1071" s="99"/>
    </row>
    <row r="1072" spans="1:1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77" spans="1:1" x14ac:dyDescent="0.3">
      <c r="A1077" s="99"/>
    </row>
    <row r="1078" spans="1:1" x14ac:dyDescent="0.3">
      <c r="A1078" s="99"/>
    </row>
    <row r="1079" spans="1:1" x14ac:dyDescent="0.3">
      <c r="A1079" s="99"/>
    </row>
    <row r="1080" spans="1:1" x14ac:dyDescent="0.3">
      <c r="A1080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5" spans="1:1" x14ac:dyDescent="0.3">
      <c r="A1085" s="99"/>
    </row>
    <row r="1086" spans="1:1" x14ac:dyDescent="0.3">
      <c r="A1086" s="99"/>
    </row>
    <row r="1087" spans="1:1" x14ac:dyDescent="0.3">
      <c r="A1087" s="99"/>
    </row>
    <row r="1088" spans="1:1" x14ac:dyDescent="0.3">
      <c r="A1088" s="99"/>
    </row>
    <row r="1089" spans="1:1" x14ac:dyDescent="0.3">
      <c r="A1089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7" spans="1:1" x14ac:dyDescent="0.3">
      <c r="A1097" s="99"/>
    </row>
    <row r="1098" spans="1:1" x14ac:dyDescent="0.3">
      <c r="A1098" s="99"/>
    </row>
    <row r="1101" spans="1:1" x14ac:dyDescent="0.3">
      <c r="A1101" s="99"/>
    </row>
    <row r="1103" spans="1:1" x14ac:dyDescent="0.3">
      <c r="A1103" s="99"/>
    </row>
    <row r="1105" spans="1:1" x14ac:dyDescent="0.3">
      <c r="A1105" s="99"/>
    </row>
    <row r="1107" spans="1:1" x14ac:dyDescent="0.3">
      <c r="A1107" s="99"/>
    </row>
    <row r="1110" spans="1:1" x14ac:dyDescent="0.3">
      <c r="A1110" s="99"/>
    </row>
    <row r="1111" spans="1:1" x14ac:dyDescent="0.3">
      <c r="A1111" s="99"/>
    </row>
    <row r="1112" spans="1:1" x14ac:dyDescent="0.3">
      <c r="A1112" s="99"/>
    </row>
    <row r="1113" spans="1:1" x14ac:dyDescent="0.3">
      <c r="A1113" s="99"/>
    </row>
    <row r="1114" spans="1:1" x14ac:dyDescent="0.3">
      <c r="A1114" s="99"/>
    </row>
    <row r="1115" spans="1:1" x14ac:dyDescent="0.3">
      <c r="A1115" s="99"/>
    </row>
    <row r="1116" spans="1:1" x14ac:dyDescent="0.3">
      <c r="A1116" s="99"/>
    </row>
    <row r="1117" spans="1:1" x14ac:dyDescent="0.3">
      <c r="A1117" s="99"/>
    </row>
  </sheetData>
  <pageMargins left="0.5" right="0.5" top="1" bottom="0" header="0" footer="0"/>
  <pageSetup scale="52" orientation="landscape" r:id="rId1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syncVertical="1" syncRef="A1" transitionEvaluation="1" transitionEntry="1" codeName="Sheet123">
    <pageSetUpPr fitToPage="1"/>
  </sheetPr>
  <dimension ref="A1:BW1059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7.6640625" style="98" customWidth="1"/>
    <col min="4" max="4" width="38.08203125" style="98" customWidth="1"/>
    <col min="5" max="5" width="0.66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1.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9.332031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8.08203125" style="98" customWidth="1"/>
    <col min="23" max="23" width="38.08203125" style="98" customWidth="1"/>
    <col min="24" max="24" width="0.66406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3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12 OF "&amp;TEXT(Page_Num_2.3,"00")</f>
        <v>PAGE 12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AK9" s="190"/>
      <c r="AL9" s="99"/>
    </row>
    <row r="10" spans="1:40" x14ac:dyDescent="0.3">
      <c r="A10" s="134" t="str">
        <f>INPUT!B5</f>
        <v>6 Months Actual Ending August 31, 2024</v>
      </c>
      <c r="M10" s="99"/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K11" s="190"/>
      <c r="AL11" s="99"/>
    </row>
    <row r="12" spans="1:40" x14ac:dyDescent="0.3">
      <c r="A12" s="101"/>
      <c r="B12" s="101"/>
      <c r="C12" s="101"/>
      <c r="D12" s="101"/>
      <c r="E12" s="101"/>
      <c r="G12" s="101"/>
      <c r="H12" s="101"/>
      <c r="I12" s="101"/>
      <c r="J12" s="101"/>
      <c r="K12" s="101"/>
      <c r="L12" s="100"/>
      <c r="M12" s="100"/>
      <c r="N12" s="100"/>
      <c r="O12" s="100"/>
      <c r="P12" s="100"/>
      <c r="Q12" s="100"/>
      <c r="R12" s="100"/>
      <c r="AA12" s="99"/>
      <c r="AB12" s="99"/>
    </row>
    <row r="13" spans="1:40" ht="18" customHeight="1" x14ac:dyDescent="0.3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02" t="s">
        <v>6</v>
      </c>
      <c r="M13" s="102"/>
      <c r="N13" s="102" t="s">
        <v>7</v>
      </c>
      <c r="O13" s="102"/>
      <c r="R13" s="102" t="s">
        <v>6</v>
      </c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91"/>
      <c r="AH13" s="101"/>
      <c r="AI13" s="101"/>
      <c r="AJ13" s="101"/>
      <c r="AK13" s="191"/>
      <c r="AL13" s="101"/>
      <c r="AM13" s="101"/>
      <c r="AN13" s="101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Z15" s="102"/>
      <c r="AA15" s="102"/>
      <c r="AB15" s="102"/>
      <c r="AC15" s="102"/>
      <c r="AD15" s="102"/>
      <c r="AE15" s="102"/>
      <c r="AF15" s="102"/>
      <c r="AG15" s="151"/>
      <c r="AH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H18" s="104"/>
      <c r="I18" s="104"/>
      <c r="J18" s="104"/>
      <c r="T18" s="102"/>
      <c r="U18" s="102"/>
      <c r="V18" s="102"/>
      <c r="Y18" s="102"/>
      <c r="Z18" s="102"/>
      <c r="AA18" s="102"/>
      <c r="AB18" s="102"/>
      <c r="AC18" s="102"/>
      <c r="AD18" s="102"/>
      <c r="AE18" s="102"/>
      <c r="AF18" s="102"/>
      <c r="AG18" s="151"/>
      <c r="AH18" s="102"/>
      <c r="AI18" s="102"/>
      <c r="AJ18" s="102"/>
      <c r="AK18" s="151"/>
      <c r="AL18" s="102"/>
      <c r="AM18" s="102"/>
      <c r="AN18" s="102"/>
    </row>
    <row r="19" spans="1:40" ht="17.100000000000001" customHeight="1" x14ac:dyDescent="0.3">
      <c r="A19" s="174"/>
      <c r="B19" s="174"/>
      <c r="C19" s="174"/>
      <c r="D19" s="174"/>
      <c r="E19" s="174"/>
      <c r="F19" s="174"/>
      <c r="G19" s="174"/>
      <c r="H19" s="167" t="s">
        <v>49</v>
      </c>
      <c r="I19" s="166"/>
      <c r="J19" s="167" t="s">
        <v>312</v>
      </c>
      <c r="K19" s="258"/>
      <c r="L19" s="258" t="s">
        <v>50</v>
      </c>
      <c r="M19" s="258"/>
      <c r="N19" s="258" t="s">
        <v>51</v>
      </c>
      <c r="O19" s="258"/>
      <c r="P19" s="258" t="s">
        <v>50</v>
      </c>
      <c r="Q19" s="258"/>
      <c r="R19" s="258" t="s">
        <v>50</v>
      </c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91"/>
      <c r="AH19" s="101"/>
      <c r="AI19" s="101"/>
      <c r="AJ19" s="101"/>
      <c r="AK19" s="191"/>
      <c r="AL19" s="101"/>
      <c r="AM19" s="101"/>
      <c r="AN19" s="101"/>
    </row>
    <row r="20" spans="1:40" x14ac:dyDescent="0.3">
      <c r="A20" s="98">
        <v>1</v>
      </c>
      <c r="C20" s="124" t="s">
        <v>305</v>
      </c>
      <c r="D20" s="134" t="s">
        <v>309</v>
      </c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Y20" s="102"/>
      <c r="Z20" s="102"/>
      <c r="AA20" s="102"/>
      <c r="AB20" s="102"/>
      <c r="AC20" s="102"/>
      <c r="AD20" s="102"/>
      <c r="AE20" s="102"/>
      <c r="AF20" s="102"/>
      <c r="AG20" s="151"/>
      <c r="AH20" s="102"/>
      <c r="AI20" s="102"/>
      <c r="AJ20" s="102"/>
      <c r="AK20" s="151"/>
      <c r="AL20" s="102"/>
      <c r="AM20" s="102"/>
      <c r="AN20" s="102"/>
    </row>
    <row r="21" spans="1:40" x14ac:dyDescent="0.3">
      <c r="A21" s="98">
        <v>2</v>
      </c>
      <c r="C21" s="124"/>
      <c r="D21" s="134" t="s">
        <v>310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  <c r="U21" s="99"/>
    </row>
    <row r="22" spans="1:40" ht="22.5" customHeight="1" x14ac:dyDescent="0.3">
      <c r="C22" s="99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T22" s="99"/>
      <c r="U22" s="99"/>
    </row>
    <row r="23" spans="1:40" x14ac:dyDescent="0.3">
      <c r="A23" s="98">
        <v>3</v>
      </c>
      <c r="C23" s="124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T23" s="99"/>
      <c r="U23" s="99"/>
    </row>
    <row r="24" spans="1:40" x14ac:dyDescent="0.3">
      <c r="A24" s="98">
        <v>4</v>
      </c>
      <c r="C24" s="99" t="s">
        <v>311</v>
      </c>
      <c r="F24" s="172">
        <f>'[10]Forecast BILLS'!$G$71</f>
        <v>24</v>
      </c>
      <c r="G24" s="1"/>
      <c r="H24" s="147"/>
      <c r="I24" s="147"/>
      <c r="J24" s="181">
        <f>INPUT!D154</f>
        <v>183</v>
      </c>
      <c r="K24" s="180"/>
      <c r="L24" s="117">
        <f>ROUND(F24*J24,0)</f>
        <v>4392</v>
      </c>
      <c r="M24" s="106"/>
      <c r="N24" s="236">
        <f>ROUND((L24/$L$39)*100,1)</f>
        <v>0.8</v>
      </c>
      <c r="O24" s="175"/>
      <c r="P24" s="117"/>
      <c r="Q24" s="1"/>
      <c r="R24" s="117">
        <f>L24+P24</f>
        <v>4392</v>
      </c>
    </row>
    <row r="25" spans="1:40" ht="20.100000000000001" customHeight="1" x14ac:dyDescent="0.3">
      <c r="A25" s="98">
        <v>5</v>
      </c>
      <c r="C25" s="124" t="s">
        <v>136</v>
      </c>
      <c r="F25" s="147"/>
      <c r="G25" s="1"/>
      <c r="H25" s="147"/>
      <c r="I25" s="147"/>
      <c r="J25" s="181"/>
      <c r="K25" s="180"/>
      <c r="L25" s="112">
        <f>SUM(L24)</f>
        <v>4392</v>
      </c>
      <c r="M25" s="106"/>
      <c r="N25" s="236">
        <f>ROUND((L25/$L$39)*100,1)</f>
        <v>0.8</v>
      </c>
      <c r="O25" s="175"/>
      <c r="P25" s="112"/>
      <c r="Q25" s="1"/>
      <c r="R25" s="112">
        <f>SUM(R24)</f>
        <v>4392</v>
      </c>
    </row>
    <row r="26" spans="1:40" ht="25.5" customHeight="1" x14ac:dyDescent="0.3">
      <c r="C26" s="99"/>
      <c r="F26" s="147"/>
      <c r="G26" s="1"/>
      <c r="H26" s="147"/>
      <c r="I26" s="147"/>
      <c r="J26" s="181"/>
      <c r="K26" s="180"/>
      <c r="L26" s="106"/>
      <c r="M26" s="106"/>
      <c r="N26" s="175"/>
      <c r="O26" s="175"/>
      <c r="P26" s="106"/>
      <c r="Q26" s="1"/>
      <c r="R26" s="106"/>
    </row>
    <row r="27" spans="1:40" x14ac:dyDescent="0.3">
      <c r="A27" s="98">
        <v>6</v>
      </c>
      <c r="C27" s="124" t="s">
        <v>67</v>
      </c>
      <c r="F27" s="106"/>
      <c r="G27" s="1"/>
      <c r="H27" s="106"/>
      <c r="I27" s="106"/>
      <c r="J27" s="198"/>
      <c r="K27" s="136"/>
      <c r="L27" s="106"/>
      <c r="M27" s="106"/>
      <c r="N27" s="175"/>
      <c r="O27" s="175"/>
      <c r="P27" s="106"/>
      <c r="Q27" s="106"/>
      <c r="R27" s="106"/>
      <c r="S27" s="110"/>
      <c r="T27" s="99"/>
      <c r="AA27" s="110"/>
      <c r="AB27" s="110"/>
      <c r="AC27" s="110"/>
      <c r="AD27" s="110"/>
      <c r="AI27" s="110"/>
      <c r="AJ27" s="110"/>
      <c r="AL27" s="110"/>
    </row>
    <row r="28" spans="1:40" x14ac:dyDescent="0.3">
      <c r="A28" s="98">
        <v>7</v>
      </c>
      <c r="C28" s="99" t="s">
        <v>381</v>
      </c>
      <c r="F28" s="106"/>
      <c r="G28" s="1"/>
      <c r="H28" s="172">
        <f>'[10]Forecast KWH'!$F$68</f>
        <v>12153580</v>
      </c>
      <c r="I28" s="106"/>
      <c r="J28" s="218">
        <f>INPUT!D158</f>
        <v>1.0567999999999999E-2</v>
      </c>
      <c r="K28" s="136"/>
      <c r="L28" s="106">
        <f>ROUND((H28*J28),0)</f>
        <v>128439</v>
      </c>
      <c r="M28" s="106"/>
      <c r="N28" s="175">
        <f>ROUND((L28/$L$39)*100,1)</f>
        <v>21.9</v>
      </c>
      <c r="O28" s="175"/>
      <c r="P28" s="106"/>
      <c r="Q28" s="106"/>
      <c r="R28" s="106">
        <f>L28+P28</f>
        <v>128439</v>
      </c>
      <c r="S28" s="110"/>
      <c r="T28" s="99"/>
      <c r="AA28" s="110"/>
      <c r="AB28" s="110"/>
      <c r="AC28" s="110"/>
      <c r="AD28" s="110"/>
      <c r="AI28" s="110"/>
      <c r="AJ28" s="110"/>
      <c r="AL28" s="110"/>
    </row>
    <row r="29" spans="1:40" x14ac:dyDescent="0.3">
      <c r="A29" s="98">
        <v>8</v>
      </c>
      <c r="C29" s="99" t="s">
        <v>370</v>
      </c>
      <c r="F29" s="106"/>
      <c r="G29" s="1"/>
      <c r="H29" s="147">
        <f>H28</f>
        <v>12153580</v>
      </c>
      <c r="I29" s="147"/>
      <c r="J29" s="189">
        <f>INPUT!D162</f>
        <v>3.4157E-2</v>
      </c>
      <c r="K29" s="185"/>
      <c r="L29" s="106">
        <f>ROUND((H29*J29),0)</f>
        <v>415130</v>
      </c>
      <c r="M29" s="106"/>
      <c r="N29" s="236">
        <f>ROUND((L29/$L$39)*100,1)</f>
        <v>70.900000000000006</v>
      </c>
      <c r="O29" s="175"/>
      <c r="P29" s="110">
        <v>0</v>
      </c>
      <c r="Q29" s="106"/>
      <c r="R29" s="106">
        <f>L29+P29</f>
        <v>415130</v>
      </c>
    </row>
    <row r="30" spans="1:40" ht="20.100000000000001" customHeight="1" x14ac:dyDescent="0.3">
      <c r="A30" s="98">
        <v>9</v>
      </c>
      <c r="C30" s="124" t="s">
        <v>142</v>
      </c>
      <c r="F30" s="117"/>
      <c r="G30" s="1"/>
      <c r="H30" s="112">
        <f>H28</f>
        <v>12153580</v>
      </c>
      <c r="I30" s="106"/>
      <c r="J30" s="239"/>
      <c r="K30" s="171"/>
      <c r="L30" s="112">
        <f>SUM(L28:L29)</f>
        <v>543569</v>
      </c>
      <c r="M30" s="106"/>
      <c r="N30" s="236">
        <f>ROUND((L30/$L$39)*100,1)</f>
        <v>92.9</v>
      </c>
      <c r="O30" s="175"/>
      <c r="P30" s="112">
        <f>P29</f>
        <v>0</v>
      </c>
      <c r="Q30" s="106"/>
      <c r="R30" s="112">
        <f>SUM(R28:R29)</f>
        <v>543569</v>
      </c>
    </row>
    <row r="31" spans="1:40" ht="20.100000000000001" customHeight="1" x14ac:dyDescent="0.3">
      <c r="A31" s="98">
        <v>10</v>
      </c>
      <c r="C31" s="169" t="s">
        <v>459</v>
      </c>
      <c r="F31" s="112">
        <f>F24</f>
        <v>24</v>
      </c>
      <c r="G31" s="1"/>
      <c r="H31" s="112">
        <f>H30</f>
        <v>12153580</v>
      </c>
      <c r="I31" s="106"/>
      <c r="J31" s="239"/>
      <c r="K31" s="171"/>
      <c r="L31" s="112">
        <f>L30+L25</f>
        <v>547961</v>
      </c>
      <c r="M31" s="106"/>
      <c r="N31" s="193">
        <f>ROUND((L31/$L$39)*100,1)</f>
        <v>93.6</v>
      </c>
      <c r="O31" s="175"/>
      <c r="P31" s="112">
        <f>SUM(P30+P25)</f>
        <v>0</v>
      </c>
      <c r="Q31" s="106"/>
      <c r="R31" s="112">
        <f>R30+R25</f>
        <v>547961</v>
      </c>
    </row>
    <row r="32" spans="1:40" ht="15.75" customHeight="1" x14ac:dyDescent="0.3">
      <c r="C32" s="99"/>
      <c r="F32" s="106"/>
      <c r="G32" s="1"/>
      <c r="H32" s="106"/>
      <c r="I32" s="106"/>
      <c r="J32" s="239"/>
      <c r="K32" s="171"/>
      <c r="L32" s="106"/>
      <c r="M32" s="106"/>
      <c r="N32" s="175"/>
      <c r="O32" s="175"/>
      <c r="P32" s="106"/>
      <c r="Q32" s="106"/>
      <c r="R32" s="106"/>
    </row>
    <row r="33" spans="1:47" ht="15.75" customHeight="1" x14ac:dyDescent="0.3">
      <c r="A33" s="98">
        <v>11</v>
      </c>
      <c r="C33" s="124" t="s">
        <v>428</v>
      </c>
      <c r="F33" s="106"/>
      <c r="G33" s="1"/>
      <c r="H33" s="106"/>
      <c r="I33" s="106"/>
      <c r="J33" s="239"/>
      <c r="K33" s="171"/>
      <c r="L33" s="106"/>
      <c r="M33" s="106"/>
      <c r="N33" s="175"/>
      <c r="O33" s="175"/>
      <c r="P33" s="106"/>
      <c r="Q33" s="106"/>
      <c r="R33" s="106"/>
    </row>
    <row r="34" spans="1:47" ht="15.75" customHeight="1" x14ac:dyDescent="0.3">
      <c r="A34" s="98">
        <v>12</v>
      </c>
      <c r="C34" s="176" t="str">
        <f>DSMR_Name</f>
        <v>DEMAND SIDE MANAGEMENT RIDER (DSMR)</v>
      </c>
      <c r="F34" s="106"/>
      <c r="G34" s="1"/>
      <c r="H34" s="106"/>
      <c r="I34" s="106"/>
      <c r="J34" s="189">
        <f>PRO_DSM_TRANS</f>
        <v>5.1400000000000003E-4</v>
      </c>
      <c r="K34" s="171"/>
      <c r="L34" s="106">
        <f>ROUND($H$31*J34,0)</f>
        <v>6247</v>
      </c>
      <c r="M34" s="106"/>
      <c r="N34" s="154">
        <f>ROUND((L34/$L$39)*100,1)</f>
        <v>1.1000000000000001</v>
      </c>
      <c r="O34" s="175"/>
      <c r="P34" s="106"/>
      <c r="Q34" s="106"/>
      <c r="R34" s="106">
        <f>L34+P34</f>
        <v>6247</v>
      </c>
    </row>
    <row r="35" spans="1:47" ht="15.75" customHeight="1" x14ac:dyDescent="0.3">
      <c r="A35" s="98">
        <v>13</v>
      </c>
      <c r="C35" s="176" t="str">
        <f>ESM_Name</f>
        <v>ENVIRONMENTAL SURCHARGE MECHANISM RIDER (ESM)</v>
      </c>
      <c r="F35" s="106"/>
      <c r="G35" s="1"/>
      <c r="H35" s="106"/>
      <c r="I35" s="106"/>
      <c r="J35" s="184">
        <f>PRO_ESM_NONRES</f>
        <v>5.3681872802409589E-3</v>
      </c>
      <c r="K35" s="171"/>
      <c r="L35" s="106">
        <f>ROUND((R31-(PRO_BASE_FUEL*H31)+R34+R36)*J35,0)</f>
        <v>933</v>
      </c>
      <c r="M35" s="106"/>
      <c r="N35" s="154">
        <f>ROUND((L35/$L$39)*100,1)</f>
        <v>0.2</v>
      </c>
      <c r="O35" s="175"/>
      <c r="P35" s="106"/>
      <c r="Q35" s="106"/>
      <c r="R35" s="106">
        <f>L35+P35</f>
        <v>933</v>
      </c>
    </row>
    <row r="36" spans="1:47" ht="15.75" customHeight="1" x14ac:dyDescent="0.3">
      <c r="A36" s="98">
        <v>14</v>
      </c>
      <c r="C36" s="176" t="str">
        <f>PSM_Name</f>
        <v>PROFIT SHARING MECHANISM (PSM)</v>
      </c>
      <c r="F36" s="106"/>
      <c r="G36" s="1"/>
      <c r="H36" s="106"/>
      <c r="I36" s="106"/>
      <c r="J36" s="189">
        <f>PRO_PSM</f>
        <v>2.4750000000000002E-3</v>
      </c>
      <c r="K36" s="171"/>
      <c r="L36" s="117">
        <f>ROUND(H31*PRO_PSM,0)</f>
        <v>30080</v>
      </c>
      <c r="M36" s="106"/>
      <c r="N36" s="156">
        <f>ROUND((L36/$L$39)*100,1)</f>
        <v>5.0999999999999996</v>
      </c>
      <c r="O36" s="175"/>
      <c r="P36" s="117"/>
      <c r="Q36" s="106"/>
      <c r="R36" s="117">
        <f>L36+P36</f>
        <v>30080</v>
      </c>
    </row>
    <row r="37" spans="1:47" ht="20.100000000000001" customHeight="1" x14ac:dyDescent="0.3">
      <c r="A37" s="98">
        <v>15</v>
      </c>
      <c r="C37" s="124" t="s">
        <v>433</v>
      </c>
      <c r="F37" s="117"/>
      <c r="G37" s="1"/>
      <c r="H37" s="117"/>
      <c r="I37" s="106"/>
      <c r="J37" s="186"/>
      <c r="K37" s="171"/>
      <c r="L37" s="112">
        <f>SUM(L34:L36)</f>
        <v>37260</v>
      </c>
      <c r="M37" s="106"/>
      <c r="N37" s="158">
        <f>ROUND((L37/$L$39)*100,1)</f>
        <v>6.4</v>
      </c>
      <c r="O37" s="175"/>
      <c r="P37" s="112"/>
      <c r="Q37" s="106"/>
      <c r="R37" s="112">
        <f>SUM(R34:R36)</f>
        <v>37260</v>
      </c>
    </row>
    <row r="38" spans="1:47" ht="15.75" customHeight="1" x14ac:dyDescent="0.3">
      <c r="C38" s="124"/>
      <c r="F38" s="106"/>
      <c r="G38" s="1"/>
      <c r="H38" s="106"/>
      <c r="I38" s="106"/>
      <c r="J38" s="171"/>
      <c r="K38" s="171"/>
      <c r="L38" s="106"/>
      <c r="M38" s="106"/>
      <c r="N38" s="175"/>
      <c r="O38" s="175"/>
      <c r="P38" s="106"/>
      <c r="Q38" s="106"/>
      <c r="R38" s="106"/>
    </row>
    <row r="39" spans="1:47" ht="20.100000000000001" customHeight="1" thickBot="1" x14ac:dyDescent="0.35">
      <c r="A39" s="98">
        <v>16</v>
      </c>
      <c r="C39" s="169" t="s">
        <v>460</v>
      </c>
      <c r="F39" s="120">
        <f>F31</f>
        <v>24</v>
      </c>
      <c r="G39" s="1"/>
      <c r="H39" s="120">
        <f>H31</f>
        <v>12153580</v>
      </c>
      <c r="I39" s="106"/>
      <c r="J39" s="1"/>
      <c r="K39" s="1"/>
      <c r="L39" s="120">
        <f>L37+L31</f>
        <v>585221</v>
      </c>
      <c r="M39" s="106"/>
      <c r="N39" s="197">
        <v>100</v>
      </c>
      <c r="O39" s="175"/>
      <c r="P39" s="120">
        <f>P37+P31</f>
        <v>0</v>
      </c>
      <c r="Q39" s="147"/>
      <c r="R39" s="120">
        <f>R37+R31</f>
        <v>585221</v>
      </c>
      <c r="V39" s="102"/>
      <c r="W39" s="102"/>
      <c r="X39" s="102"/>
      <c r="Y39" s="102"/>
      <c r="AA39" s="102"/>
      <c r="AB39" s="102"/>
      <c r="AC39" s="102"/>
      <c r="AD39" s="102"/>
      <c r="AE39" s="102"/>
      <c r="AF39" s="102"/>
      <c r="AG39" s="151"/>
      <c r="AH39" s="102"/>
      <c r="AI39" s="102"/>
      <c r="AJ39" s="102"/>
      <c r="AK39" s="151"/>
      <c r="AL39" s="102"/>
      <c r="AM39" s="102"/>
      <c r="AN39" s="102"/>
      <c r="AO39" s="102"/>
      <c r="AP39" s="102"/>
      <c r="AQ39" s="151"/>
      <c r="AS39" s="110"/>
      <c r="AT39" s="110"/>
      <c r="AU39" s="141"/>
    </row>
    <row r="40" spans="1:47" ht="18.75" customHeight="1" thickTop="1" x14ac:dyDescent="0.3"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AA40" s="102"/>
      <c r="AB40" s="102"/>
      <c r="AC40" s="102"/>
      <c r="AD40" s="102"/>
      <c r="AE40" s="102"/>
      <c r="AF40" s="102"/>
      <c r="AG40" s="151"/>
      <c r="AH40" s="102"/>
      <c r="AI40" s="102"/>
      <c r="AJ40" s="102"/>
      <c r="AK40" s="151"/>
      <c r="AL40" s="102"/>
      <c r="AM40" s="102"/>
      <c r="AN40" s="102"/>
      <c r="AO40" s="102"/>
      <c r="AP40" s="102"/>
      <c r="AQ40" s="151"/>
      <c r="AS40" s="110"/>
      <c r="AT40" s="110"/>
      <c r="AU40" s="226"/>
    </row>
    <row r="41" spans="1:47" x14ac:dyDescent="0.3">
      <c r="C41" s="178" t="s">
        <v>59</v>
      </c>
      <c r="F41" s="1"/>
      <c r="G41" s="1"/>
      <c r="H41" s="1"/>
      <c r="I41" s="1"/>
      <c r="J41" s="1"/>
      <c r="K41" s="1"/>
      <c r="L41" s="106"/>
      <c r="M41" s="106"/>
      <c r="N41" s="106"/>
      <c r="O41" s="106"/>
      <c r="P41" s="106"/>
      <c r="Q41" s="106"/>
      <c r="R41" s="106"/>
      <c r="V41" s="99"/>
      <c r="W41" s="99"/>
      <c r="X41" s="99"/>
      <c r="AS41" s="110"/>
      <c r="AT41" s="110"/>
      <c r="AU41" s="141"/>
    </row>
    <row r="42" spans="1:47" ht="18" customHeight="1" x14ac:dyDescent="0.3">
      <c r="A42" s="99"/>
      <c r="C42" s="99"/>
      <c r="W42" s="99"/>
      <c r="X42" s="99"/>
      <c r="AS42" s="110"/>
      <c r="AT42" s="110"/>
      <c r="AU42" s="141"/>
    </row>
    <row r="43" spans="1:47" x14ac:dyDescent="0.3">
      <c r="C43" s="99"/>
      <c r="F43" s="110"/>
      <c r="H43" s="110"/>
      <c r="I43" s="110"/>
      <c r="J43" s="198"/>
      <c r="K43" s="198"/>
      <c r="L43" s="110"/>
      <c r="M43" s="110"/>
      <c r="N43" s="141"/>
      <c r="O43" s="141"/>
      <c r="P43" s="110"/>
      <c r="Q43" s="110"/>
      <c r="R43" s="110"/>
      <c r="AS43" s="110"/>
      <c r="AT43" s="110"/>
      <c r="AU43" s="141"/>
    </row>
    <row r="44" spans="1:47" x14ac:dyDescent="0.3">
      <c r="F44" s="192"/>
      <c r="H44" s="192"/>
      <c r="I44" s="192"/>
      <c r="J44" s="217"/>
      <c r="K44" s="217"/>
      <c r="L44" s="192"/>
      <c r="M44" s="192"/>
      <c r="N44" s="192"/>
      <c r="O44" s="192"/>
      <c r="P44" s="192"/>
      <c r="Q44" s="192"/>
      <c r="R44" s="192"/>
      <c r="V44" s="99"/>
      <c r="Y44" s="110"/>
      <c r="AC44" s="209"/>
      <c r="AD44" s="209"/>
      <c r="AE44" s="110"/>
      <c r="AF44" s="110"/>
      <c r="AO44" s="110"/>
      <c r="AP44" s="110"/>
      <c r="AS44" s="110"/>
      <c r="AT44" s="110"/>
      <c r="AU44" s="141"/>
    </row>
    <row r="45" spans="1:47" x14ac:dyDescent="0.3">
      <c r="C45" s="99"/>
      <c r="F45" s="110"/>
      <c r="H45" s="110"/>
      <c r="I45" s="110"/>
      <c r="J45" s="198"/>
      <c r="K45" s="198"/>
      <c r="L45" s="110"/>
      <c r="M45" s="110"/>
      <c r="N45" s="141"/>
      <c r="O45" s="141"/>
      <c r="P45" s="110"/>
      <c r="Q45" s="110"/>
      <c r="R45" s="110"/>
      <c r="Y45" s="110"/>
      <c r="AO45" s="110"/>
      <c r="AP45" s="110"/>
      <c r="AS45" s="110"/>
      <c r="AT45" s="110"/>
      <c r="AU45" s="141"/>
    </row>
    <row r="46" spans="1:47" x14ac:dyDescent="0.3">
      <c r="A46" s="99"/>
      <c r="F46" s="110"/>
      <c r="H46" s="110"/>
      <c r="I46" s="110"/>
      <c r="J46" s="198"/>
      <c r="K46" s="198"/>
      <c r="L46" s="110"/>
      <c r="M46" s="110"/>
      <c r="N46" s="110"/>
      <c r="O46" s="110"/>
      <c r="P46" s="110"/>
      <c r="Q46" s="110"/>
      <c r="R46" s="110"/>
      <c r="V46" s="99"/>
      <c r="Y46" s="110"/>
      <c r="AA46" s="110"/>
      <c r="AB46" s="110"/>
      <c r="AC46" s="181"/>
      <c r="AD46" s="181"/>
      <c r="AE46" s="110"/>
      <c r="AF46" s="110"/>
      <c r="AH46" s="141"/>
      <c r="AI46" s="110"/>
      <c r="AJ46" s="110"/>
      <c r="AL46" s="207"/>
      <c r="AM46" s="110"/>
      <c r="AN46" s="110"/>
      <c r="AO46" s="110"/>
      <c r="AP46" s="110"/>
      <c r="AR46" s="110"/>
      <c r="AS46" s="110"/>
      <c r="AT46" s="110"/>
      <c r="AU46" s="141"/>
    </row>
    <row r="47" spans="1:47" x14ac:dyDescent="0.3">
      <c r="L47" s="110"/>
      <c r="M47" s="110"/>
      <c r="N47" s="110"/>
      <c r="O47" s="110"/>
      <c r="P47" s="110"/>
      <c r="Q47" s="110"/>
      <c r="R47" s="110"/>
      <c r="T47" s="97" t="str">
        <f>NAME</f>
        <v>DUKE ENERGY KENTUCKY, INC.</v>
      </c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149"/>
      <c r="AH47" s="97"/>
      <c r="AI47" s="97"/>
      <c r="AJ47" s="97"/>
      <c r="AK47" s="149"/>
      <c r="AL47" s="97"/>
      <c r="AM47" s="97"/>
      <c r="AN47" s="97"/>
      <c r="AO47" s="97"/>
      <c r="AP47" s="97"/>
      <c r="AQ47" s="149"/>
      <c r="AR47" s="110"/>
      <c r="AS47" s="110"/>
      <c r="AT47" s="110"/>
      <c r="AU47" s="141"/>
    </row>
    <row r="48" spans="1:47" x14ac:dyDescent="0.3">
      <c r="L48" s="110"/>
      <c r="M48" s="110"/>
      <c r="N48" s="110"/>
      <c r="O48" s="110"/>
      <c r="P48" s="110"/>
      <c r="Q48" s="110"/>
      <c r="R48" s="110"/>
      <c r="T48" s="97" t="str">
        <f>CASE_NO</f>
        <v>CASE NO.   2024-00354</v>
      </c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149"/>
      <c r="AH48" s="97"/>
      <c r="AI48" s="97"/>
      <c r="AJ48" s="97"/>
      <c r="AK48" s="149"/>
      <c r="AL48" s="97"/>
      <c r="AM48" s="97"/>
      <c r="AN48" s="97"/>
      <c r="AO48" s="97"/>
      <c r="AP48" s="97"/>
      <c r="AQ48" s="149"/>
      <c r="AR48" s="110"/>
      <c r="AS48" s="110"/>
      <c r="AT48" s="110"/>
      <c r="AU48" s="141"/>
    </row>
    <row r="49" spans="1:44" x14ac:dyDescent="0.3">
      <c r="H49" s="99"/>
      <c r="I49" s="99"/>
      <c r="T49" s="97" t="str">
        <f>TITLE</f>
        <v>ANNUALIZED BASE YEAR REVENUES AT PROPOSED VS. MOST CURRENT RATES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L49" s="97"/>
      <c r="AM49" s="97"/>
      <c r="AN49" s="97"/>
      <c r="AO49" s="97"/>
      <c r="AP49" s="97"/>
      <c r="AQ49" s="149"/>
      <c r="AR49" s="110"/>
    </row>
    <row r="50" spans="1:44" x14ac:dyDescent="0.3">
      <c r="L50" s="99"/>
      <c r="M50" s="99"/>
      <c r="T50" s="97" t="str">
        <f>DATE</f>
        <v>FOR THE TWELVE MONTHS ENDED February 28, 2025</v>
      </c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149"/>
      <c r="AH50" s="97"/>
      <c r="AI50" s="97"/>
      <c r="AJ50" s="97"/>
      <c r="AK50" s="149"/>
      <c r="AL50" s="97"/>
      <c r="AM50" s="97"/>
      <c r="AN50" s="97"/>
      <c r="AO50" s="97"/>
      <c r="AP50" s="97"/>
      <c r="AQ50" s="149"/>
      <c r="AR50" s="172"/>
    </row>
    <row r="51" spans="1:44" x14ac:dyDescent="0.3">
      <c r="R51" s="99"/>
      <c r="T51" s="97" t="str">
        <f>SERVICE</f>
        <v>(ELECTRIC SERVICE)</v>
      </c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149"/>
      <c r="AH51" s="97"/>
      <c r="AI51" s="97"/>
      <c r="AJ51" s="97"/>
      <c r="AK51" s="149"/>
      <c r="AL51" s="97"/>
      <c r="AM51" s="97"/>
      <c r="AN51" s="97"/>
      <c r="AO51" s="97"/>
      <c r="AP51" s="97"/>
      <c r="AQ51" s="149"/>
      <c r="AR51" s="172"/>
    </row>
    <row r="52" spans="1:44" x14ac:dyDescent="0.3">
      <c r="R52" s="99"/>
      <c r="T52" s="98" t="str">
        <f>DATA_PERIOD</f>
        <v>DATA: __X__ BASE PERIOD   ____FORECASTED PERIOD</v>
      </c>
      <c r="AO52" s="99" t="s">
        <v>157</v>
      </c>
      <c r="AP52" s="99"/>
      <c r="AR52" s="110"/>
    </row>
    <row r="53" spans="1:44" x14ac:dyDescent="0.3">
      <c r="A53" s="99"/>
      <c r="R53" s="99"/>
      <c r="T53" s="98" t="str">
        <f>TYPE</f>
        <v>TYPE OF FILING: _X_ ORIGINAL   ___UPDATED  ___ REVISED</v>
      </c>
      <c r="AO53" s="116" t="str">
        <f>"PAGE 12 OF "&amp;TEXT(Page_Num_2.2,"00")</f>
        <v>PAGE 12 OF 24</v>
      </c>
      <c r="AP53" s="99"/>
      <c r="AR53" s="110"/>
    </row>
    <row r="54" spans="1:44" x14ac:dyDescent="0.3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T54" s="99" t="s">
        <v>170</v>
      </c>
      <c r="AO54" s="99" t="s">
        <v>3</v>
      </c>
      <c r="AP54" s="99"/>
    </row>
    <row r="55" spans="1:44" x14ac:dyDescent="0.3">
      <c r="L55" s="102"/>
      <c r="M55" s="102"/>
      <c r="N55" s="102"/>
      <c r="O55" s="102"/>
      <c r="R55" s="102"/>
      <c r="T55" s="134" t="str">
        <f>TIME</f>
        <v>6 Months Actual and 6 Months Projected with Riders</v>
      </c>
      <c r="AF55" s="99"/>
      <c r="AO55" s="98" t="str">
        <f>WIT</f>
        <v>B. L. Sailers</v>
      </c>
    </row>
    <row r="56" spans="1:44" x14ac:dyDescent="0.3">
      <c r="L56" s="102"/>
      <c r="M56" s="102"/>
      <c r="N56" s="102"/>
      <c r="O56" s="102"/>
      <c r="R56" s="102"/>
      <c r="T56" s="134" t="str">
        <f>INPUT!B5</f>
        <v>6 Months Actual Ending August 31, 2024</v>
      </c>
      <c r="AF56" s="99"/>
    </row>
    <row r="57" spans="1:44" x14ac:dyDescent="0.3">
      <c r="L57" s="102"/>
      <c r="M57" s="102"/>
      <c r="N57" s="102"/>
      <c r="O57" s="102"/>
      <c r="R57" s="102"/>
      <c r="T57" s="97" t="s">
        <v>130</v>
      </c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149"/>
      <c r="AH57" s="97"/>
      <c r="AI57" s="97"/>
      <c r="AJ57" s="97"/>
      <c r="AK57" s="149"/>
      <c r="AL57" s="97"/>
      <c r="AM57" s="97"/>
      <c r="AN57" s="97"/>
      <c r="AO57" s="97"/>
      <c r="AP57" s="97"/>
      <c r="AQ57" s="149"/>
    </row>
    <row r="58" spans="1:44" x14ac:dyDescent="0.3">
      <c r="C58" s="102"/>
      <c r="D58" s="102"/>
      <c r="E58" s="102"/>
      <c r="F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0"/>
      <c r="AF58" s="100"/>
      <c r="AG58" s="150"/>
      <c r="AH58" s="100"/>
      <c r="AI58" s="100"/>
      <c r="AJ58" s="100"/>
      <c r="AK58" s="150"/>
      <c r="AL58" s="100"/>
      <c r="AM58" s="100"/>
      <c r="AN58" s="101"/>
      <c r="AO58" s="101"/>
      <c r="AP58" s="101"/>
      <c r="AQ58" s="191"/>
    </row>
    <row r="59" spans="1:44" ht="18" customHeight="1" x14ac:dyDescent="0.3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02" t="s">
        <v>8</v>
      </c>
      <c r="AF59" s="102"/>
      <c r="AG59" s="151" t="s">
        <v>7</v>
      </c>
      <c r="AH59" s="102"/>
      <c r="AI59" s="102" t="s">
        <v>9</v>
      </c>
      <c r="AJ59" s="102"/>
      <c r="AK59" s="151" t="s">
        <v>10</v>
      </c>
      <c r="AL59" s="102"/>
      <c r="AN59" s="174"/>
      <c r="AO59" s="254" t="s">
        <v>8</v>
      </c>
      <c r="AP59" s="254"/>
      <c r="AQ59" s="255" t="s">
        <v>11</v>
      </c>
    </row>
    <row r="60" spans="1:44" x14ac:dyDescent="0.3"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AC60" s="102" t="s">
        <v>14</v>
      </c>
      <c r="AD60" s="102"/>
      <c r="AE60" s="102" t="s">
        <v>12</v>
      </c>
      <c r="AF60" s="102"/>
      <c r="AG60" s="151" t="s">
        <v>13</v>
      </c>
      <c r="AH60" s="102"/>
      <c r="AI60" s="102" t="s">
        <v>15</v>
      </c>
      <c r="AJ60" s="102"/>
      <c r="AK60" s="151" t="s">
        <v>16</v>
      </c>
      <c r="AL60" s="102"/>
      <c r="AO60" s="102" t="s">
        <v>11</v>
      </c>
      <c r="AP60" s="102"/>
      <c r="AQ60" s="151" t="s">
        <v>9</v>
      </c>
    </row>
    <row r="61" spans="1:44" x14ac:dyDescent="0.3">
      <c r="C61" s="99"/>
      <c r="D61" s="99"/>
      <c r="E61" s="99"/>
      <c r="T61" s="102" t="s">
        <v>17</v>
      </c>
      <c r="V61" s="102" t="s">
        <v>18</v>
      </c>
      <c r="W61" s="102" t="s">
        <v>19</v>
      </c>
      <c r="X61" s="102"/>
      <c r="Y61" s="102" t="s">
        <v>20</v>
      </c>
      <c r="AC61" s="102" t="s">
        <v>8</v>
      </c>
      <c r="AD61" s="102"/>
      <c r="AE61" s="102" t="s">
        <v>593</v>
      </c>
      <c r="AF61" s="102"/>
      <c r="AG61" s="151" t="s">
        <v>593</v>
      </c>
      <c r="AH61" s="102"/>
      <c r="AI61" s="103" t="s">
        <v>708</v>
      </c>
      <c r="AJ61" s="102"/>
      <c r="AK61" s="152" t="s">
        <v>708</v>
      </c>
      <c r="AL61" s="102"/>
      <c r="AM61" s="102" t="s">
        <v>593</v>
      </c>
      <c r="AN61" s="102"/>
      <c r="AO61" s="102" t="s">
        <v>9</v>
      </c>
      <c r="AP61" s="102"/>
      <c r="AQ61" s="151" t="s">
        <v>21</v>
      </c>
    </row>
    <row r="62" spans="1:44" x14ac:dyDescent="0.3">
      <c r="C62" s="99"/>
      <c r="T62" s="102" t="s">
        <v>22</v>
      </c>
      <c r="V62" s="102" t="s">
        <v>23</v>
      </c>
      <c r="W62" s="102" t="s">
        <v>24</v>
      </c>
      <c r="X62" s="102"/>
      <c r="Y62" s="102" t="s">
        <v>25</v>
      </c>
      <c r="AA62" s="102" t="s">
        <v>26</v>
      </c>
      <c r="AB62" s="102"/>
      <c r="AC62" s="102" t="s">
        <v>27</v>
      </c>
      <c r="AD62" s="102"/>
      <c r="AE62" s="102" t="s">
        <v>9</v>
      </c>
      <c r="AF62" s="102"/>
      <c r="AG62" s="151" t="s">
        <v>9</v>
      </c>
      <c r="AH62" s="102"/>
      <c r="AI62" s="131" t="s">
        <v>29</v>
      </c>
      <c r="AJ62" s="131"/>
      <c r="AK62" s="165" t="s">
        <v>30</v>
      </c>
      <c r="AL62" s="102"/>
      <c r="AM62" s="102" t="s">
        <v>365</v>
      </c>
      <c r="AN62" s="102"/>
      <c r="AO62" s="131" t="s">
        <v>31</v>
      </c>
      <c r="AP62" s="131"/>
      <c r="AQ62" s="165" t="s">
        <v>32</v>
      </c>
    </row>
    <row r="63" spans="1:44" x14ac:dyDescent="0.3">
      <c r="V63" s="131" t="s">
        <v>33</v>
      </c>
      <c r="W63" s="131" t="s">
        <v>34</v>
      </c>
      <c r="X63" s="131"/>
      <c r="Y63" s="131" t="s">
        <v>35</v>
      </c>
      <c r="Z63" s="134"/>
      <c r="AA63" s="131" t="s">
        <v>36</v>
      </c>
      <c r="AB63" s="131"/>
      <c r="AC63" s="131" t="s">
        <v>42</v>
      </c>
      <c r="AD63" s="131"/>
      <c r="AE63" s="131" t="s">
        <v>43</v>
      </c>
      <c r="AF63" s="131"/>
      <c r="AG63" s="165" t="s">
        <v>44</v>
      </c>
      <c r="AH63" s="131"/>
      <c r="AI63" s="131" t="s">
        <v>45</v>
      </c>
      <c r="AJ63" s="131"/>
      <c r="AK63" s="165" t="s">
        <v>46</v>
      </c>
      <c r="AL63" s="131"/>
      <c r="AM63" s="131" t="s">
        <v>40</v>
      </c>
      <c r="AN63" s="131"/>
      <c r="AO63" s="131" t="s">
        <v>47</v>
      </c>
      <c r="AP63" s="131"/>
      <c r="AQ63" s="165" t="s">
        <v>48</v>
      </c>
    </row>
    <row r="64" spans="1:44" x14ac:dyDescent="0.3">
      <c r="V64" s="102"/>
      <c r="W64" s="102"/>
      <c r="X64" s="102"/>
      <c r="Y64" s="102"/>
      <c r="AA64" s="262"/>
      <c r="AB64" s="262"/>
      <c r="AC64" s="262"/>
      <c r="AD64" s="102"/>
      <c r="AE64" s="102"/>
      <c r="AF64" s="102"/>
      <c r="AG64" s="151"/>
      <c r="AH64" s="102"/>
      <c r="AI64" s="102"/>
      <c r="AJ64" s="102"/>
      <c r="AK64" s="151"/>
      <c r="AL64" s="102"/>
      <c r="AM64" s="102"/>
      <c r="AN64" s="102"/>
      <c r="AO64" s="102"/>
      <c r="AP64" s="102"/>
      <c r="AQ64" s="151"/>
    </row>
    <row r="65" spans="3:43" ht="17.100000000000001" customHeight="1" x14ac:dyDescent="0.3">
      <c r="C65" s="99"/>
      <c r="F65" s="172"/>
      <c r="H65" s="172"/>
      <c r="I65" s="172"/>
      <c r="J65" s="181"/>
      <c r="K65" s="181"/>
      <c r="L65" s="110"/>
      <c r="M65" s="110"/>
      <c r="N65" s="141"/>
      <c r="O65" s="141"/>
      <c r="R65" s="110"/>
      <c r="T65" s="174"/>
      <c r="U65" s="174"/>
      <c r="V65" s="174"/>
      <c r="W65" s="174"/>
      <c r="X65" s="174"/>
      <c r="Y65" s="174"/>
      <c r="Z65" s="174"/>
      <c r="AA65" s="167" t="s">
        <v>49</v>
      </c>
      <c r="AB65" s="166"/>
      <c r="AC65" s="167" t="s">
        <v>312</v>
      </c>
      <c r="AD65" s="258"/>
      <c r="AE65" s="258" t="s">
        <v>50</v>
      </c>
      <c r="AF65" s="258"/>
      <c r="AG65" s="259" t="s">
        <v>51</v>
      </c>
      <c r="AH65" s="258"/>
      <c r="AI65" s="258" t="s">
        <v>50</v>
      </c>
      <c r="AJ65" s="258"/>
      <c r="AK65" s="259" t="s">
        <v>51</v>
      </c>
      <c r="AL65" s="258"/>
      <c r="AM65" s="258" t="s">
        <v>50</v>
      </c>
      <c r="AN65" s="258"/>
      <c r="AO65" s="258" t="s">
        <v>50</v>
      </c>
      <c r="AP65" s="258"/>
      <c r="AQ65" s="259" t="s">
        <v>51</v>
      </c>
    </row>
    <row r="66" spans="3:43" x14ac:dyDescent="0.3">
      <c r="C66" s="99"/>
      <c r="F66" s="172"/>
      <c r="H66" s="172"/>
      <c r="I66" s="172"/>
      <c r="J66" s="181"/>
      <c r="K66" s="181"/>
      <c r="L66" s="110"/>
      <c r="M66" s="110"/>
      <c r="N66" s="141"/>
      <c r="O66" s="141"/>
      <c r="R66" s="110"/>
      <c r="T66" s="98">
        <f>A20</f>
        <v>1</v>
      </c>
      <c r="V66" s="124" t="s">
        <v>305</v>
      </c>
      <c r="W66" s="134" t="s">
        <v>309</v>
      </c>
      <c r="X66" s="99"/>
      <c r="Y66" s="1"/>
      <c r="Z66" s="1"/>
      <c r="AA66" s="1"/>
      <c r="AB66" s="1"/>
      <c r="AC66" s="1"/>
      <c r="AD66" s="1"/>
      <c r="AE66" s="1"/>
      <c r="AF66" s="1"/>
      <c r="AG66" s="154"/>
      <c r="AH66" s="1"/>
      <c r="AI66" s="1"/>
      <c r="AJ66" s="1"/>
      <c r="AK66" s="154"/>
      <c r="AL66" s="1"/>
      <c r="AM66" s="1"/>
      <c r="AN66" s="1"/>
      <c r="AO66" s="1"/>
      <c r="AP66" s="1"/>
      <c r="AQ66" s="154"/>
    </row>
    <row r="67" spans="3:43" x14ac:dyDescent="0.3">
      <c r="C67" s="99"/>
      <c r="F67" s="172"/>
      <c r="H67" s="172"/>
      <c r="I67" s="172"/>
      <c r="J67" s="181"/>
      <c r="K67" s="181"/>
      <c r="L67" s="110"/>
      <c r="M67" s="110"/>
      <c r="N67" s="141"/>
      <c r="O67" s="141"/>
      <c r="R67" s="110"/>
      <c r="T67" s="98">
        <f>A21</f>
        <v>2</v>
      </c>
      <c r="V67" s="124"/>
      <c r="W67" s="134" t="s">
        <v>310</v>
      </c>
      <c r="Y67" s="1"/>
      <c r="Z67" s="1"/>
      <c r="AA67" s="1"/>
      <c r="AB67" s="1"/>
      <c r="AC67" s="1"/>
      <c r="AD67" s="1"/>
      <c r="AE67" s="1"/>
      <c r="AF67" s="1"/>
      <c r="AG67" s="154"/>
      <c r="AH67" s="1"/>
      <c r="AI67" s="1"/>
      <c r="AJ67" s="1"/>
      <c r="AK67" s="154"/>
      <c r="AL67" s="1"/>
      <c r="AM67" s="1"/>
      <c r="AN67" s="1"/>
      <c r="AO67" s="1"/>
      <c r="AP67" s="1"/>
      <c r="AQ67" s="154"/>
    </row>
    <row r="68" spans="3:43" ht="19.5" customHeight="1" x14ac:dyDescent="0.3">
      <c r="C68" s="99"/>
      <c r="F68" s="172"/>
      <c r="H68" s="172"/>
      <c r="I68" s="172"/>
      <c r="J68" s="181"/>
      <c r="K68" s="181"/>
      <c r="L68" s="110"/>
      <c r="M68" s="110"/>
      <c r="N68" s="141"/>
      <c r="O68" s="141"/>
      <c r="R68" s="110"/>
      <c r="V68" s="99"/>
      <c r="Y68" s="1"/>
      <c r="Z68" s="1"/>
      <c r="AA68" s="1"/>
      <c r="AB68" s="1"/>
      <c r="AC68" s="1"/>
      <c r="AD68" s="1"/>
      <c r="AE68" s="1"/>
      <c r="AF68" s="1"/>
      <c r="AG68" s="154"/>
      <c r="AH68" s="1"/>
      <c r="AI68" s="1"/>
      <c r="AJ68" s="1"/>
      <c r="AK68" s="154"/>
      <c r="AL68" s="1"/>
      <c r="AM68" s="1"/>
      <c r="AN68" s="1"/>
      <c r="AO68" s="1"/>
      <c r="AP68" s="1"/>
      <c r="AQ68" s="154"/>
    </row>
    <row r="69" spans="3:43" x14ac:dyDescent="0.3">
      <c r="C69" s="99"/>
      <c r="F69" s="172"/>
      <c r="H69" s="172"/>
      <c r="I69" s="172"/>
      <c r="J69" s="181"/>
      <c r="K69" s="181"/>
      <c r="L69" s="110"/>
      <c r="M69" s="110"/>
      <c r="N69" s="141"/>
      <c r="O69" s="141"/>
      <c r="R69" s="110"/>
      <c r="T69" s="98">
        <f>A23</f>
        <v>3</v>
      </c>
      <c r="V69" s="124" t="s">
        <v>133</v>
      </c>
      <c r="Y69" s="1"/>
      <c r="Z69" s="1"/>
      <c r="AA69" s="1"/>
      <c r="AB69" s="1"/>
      <c r="AC69" s="1"/>
      <c r="AD69" s="1"/>
      <c r="AE69" s="1"/>
      <c r="AF69" s="1"/>
      <c r="AG69" s="154"/>
      <c r="AH69" s="1"/>
      <c r="AI69" s="1"/>
      <c r="AJ69" s="1"/>
      <c r="AK69" s="154"/>
      <c r="AL69" s="1"/>
      <c r="AM69" s="1"/>
      <c r="AN69" s="1"/>
      <c r="AO69" s="1"/>
      <c r="AP69" s="1"/>
      <c r="AQ69" s="154"/>
    </row>
    <row r="70" spans="3:43" x14ac:dyDescent="0.3">
      <c r="C70" s="99"/>
      <c r="F70" s="172"/>
      <c r="H70" s="172"/>
      <c r="I70" s="172"/>
      <c r="J70" s="181"/>
      <c r="K70" s="181"/>
      <c r="L70" s="110"/>
      <c r="M70" s="110"/>
      <c r="N70" s="141"/>
      <c r="O70" s="141"/>
      <c r="R70" s="110"/>
      <c r="T70" s="98">
        <f>A24</f>
        <v>4</v>
      </c>
      <c r="V70" s="99" t="s">
        <v>311</v>
      </c>
      <c r="Y70" s="106">
        <f>F24</f>
        <v>24</v>
      </c>
      <c r="Z70" s="1"/>
      <c r="AA70" s="1"/>
      <c r="AB70" s="1"/>
      <c r="AC70" s="209">
        <f>INPUT!C154</f>
        <v>183</v>
      </c>
      <c r="AD70" s="1"/>
      <c r="AE70" s="117">
        <f>ROUND(Y70*AC70,0)</f>
        <v>4392</v>
      </c>
      <c r="AF70" s="106"/>
      <c r="AG70" s="156">
        <f>ROUND((AE70/AE$85)*100,1)</f>
        <v>0.8</v>
      </c>
      <c r="AH70" s="175"/>
      <c r="AI70" s="117">
        <f>L24-AE70</f>
        <v>0</v>
      </c>
      <c r="AJ70" s="106"/>
      <c r="AK70" s="200">
        <f>IF(AE70=0,"0.0 ",ROUND((AI70/AE70)*100,1))</f>
        <v>0</v>
      </c>
      <c r="AL70" s="138"/>
      <c r="AM70" s="4"/>
      <c r="AN70" s="1"/>
      <c r="AO70" s="117">
        <f>AE70+AM70</f>
        <v>4392</v>
      </c>
      <c r="AP70" s="106"/>
      <c r="AQ70" s="159">
        <f>IF(AO70=0,"0.0 ",ROUND((AI70/AO70)*100,1))</f>
        <v>0</v>
      </c>
    </row>
    <row r="71" spans="3:43" ht="20.100000000000001" customHeight="1" x14ac:dyDescent="0.3">
      <c r="C71" s="99"/>
      <c r="F71" s="110"/>
      <c r="H71" s="110"/>
      <c r="I71" s="110"/>
      <c r="J71" s="217"/>
      <c r="K71" s="217"/>
      <c r="L71" s="110"/>
      <c r="M71" s="110"/>
      <c r="N71" s="141"/>
      <c r="O71" s="141"/>
      <c r="P71" s="110"/>
      <c r="Q71" s="110"/>
      <c r="R71" s="110"/>
      <c r="T71" s="98">
        <f>A25</f>
        <v>5</v>
      </c>
      <c r="V71" s="99" t="s">
        <v>136</v>
      </c>
      <c r="Y71" s="106"/>
      <c r="Z71" s="1"/>
      <c r="AA71" s="147"/>
      <c r="AB71" s="147"/>
      <c r="AC71" s="181"/>
      <c r="AD71" s="180"/>
      <c r="AE71" s="112">
        <f>SUM(AE70)</f>
        <v>4392</v>
      </c>
      <c r="AG71" s="158">
        <f>ROUND((AE71/AE$85)*100,1)</f>
        <v>0.8</v>
      </c>
      <c r="AI71" s="112">
        <f>L25-AE71</f>
        <v>0</v>
      </c>
      <c r="AK71" s="201">
        <f>IF(AE71=0,"0.0 ",ROUND((AI71/AE71)*100,1))</f>
        <v>0</v>
      </c>
      <c r="AM71" s="263"/>
      <c r="AO71" s="117">
        <f>AE71+AM71</f>
        <v>4392</v>
      </c>
      <c r="AQ71" s="159">
        <f>IF(AO71=0,"0.0 ",ROUND((AI71/AO71)*100,1))</f>
        <v>0</v>
      </c>
    </row>
    <row r="72" spans="3:43" ht="24.75" customHeight="1" x14ac:dyDescent="0.3">
      <c r="C72" s="99"/>
      <c r="F72" s="110"/>
      <c r="H72" s="110"/>
      <c r="I72" s="110"/>
      <c r="J72" s="217"/>
      <c r="K72" s="217"/>
      <c r="L72" s="110"/>
      <c r="M72" s="110"/>
      <c r="N72" s="141"/>
      <c r="O72" s="141"/>
      <c r="P72" s="110"/>
      <c r="Q72" s="110"/>
      <c r="R72" s="110"/>
      <c r="V72" s="99"/>
      <c r="Y72" s="106"/>
      <c r="Z72" s="1"/>
      <c r="AA72" s="147"/>
      <c r="AB72" s="147"/>
      <c r="AC72" s="181"/>
      <c r="AD72" s="180"/>
      <c r="AE72" s="106"/>
      <c r="AF72" s="106"/>
      <c r="AG72" s="154"/>
      <c r="AH72" s="175"/>
      <c r="AI72" s="106"/>
      <c r="AJ72" s="106"/>
      <c r="AK72" s="154"/>
      <c r="AL72" s="138"/>
      <c r="AM72" s="1"/>
      <c r="AN72" s="1"/>
      <c r="AO72" s="106"/>
      <c r="AP72" s="106"/>
      <c r="AQ72" s="154"/>
    </row>
    <row r="73" spans="3:43" x14ac:dyDescent="0.3">
      <c r="C73" s="99"/>
      <c r="F73" s="110"/>
      <c r="H73" s="110"/>
      <c r="I73" s="110"/>
      <c r="J73" s="217"/>
      <c r="K73" s="217"/>
      <c r="L73" s="110"/>
      <c r="M73" s="110"/>
      <c r="N73" s="110"/>
      <c r="O73" s="110"/>
      <c r="P73" s="110"/>
      <c r="Q73" s="110"/>
      <c r="R73" s="110"/>
      <c r="T73" s="98">
        <f>A27</f>
        <v>6</v>
      </c>
      <c r="V73" s="124" t="s">
        <v>67</v>
      </c>
      <c r="Y73" s="106"/>
      <c r="Z73" s="1"/>
      <c r="AA73" s="106"/>
      <c r="AB73" s="106"/>
      <c r="AC73" s="198"/>
      <c r="AD73" s="136"/>
      <c r="AE73" s="106"/>
      <c r="AF73" s="106"/>
      <c r="AG73" s="154"/>
      <c r="AH73" s="175"/>
      <c r="AI73" s="106"/>
      <c r="AJ73" s="106"/>
      <c r="AK73" s="154"/>
      <c r="AL73" s="138"/>
      <c r="AM73" s="106"/>
      <c r="AN73" s="106"/>
      <c r="AO73" s="106"/>
      <c r="AP73" s="106"/>
      <c r="AQ73" s="154"/>
    </row>
    <row r="74" spans="3:43" x14ac:dyDescent="0.3">
      <c r="C74" s="99"/>
      <c r="F74" s="110"/>
      <c r="H74" s="110"/>
      <c r="I74" s="110"/>
      <c r="J74" s="217"/>
      <c r="K74" s="217"/>
      <c r="L74" s="110"/>
      <c r="M74" s="110"/>
      <c r="N74" s="110"/>
      <c r="O74" s="110"/>
      <c r="P74" s="110"/>
      <c r="Q74" s="110"/>
      <c r="R74" s="110"/>
      <c r="T74" s="98">
        <f>A28</f>
        <v>7</v>
      </c>
      <c r="V74" s="99" t="s">
        <v>381</v>
      </c>
      <c r="Y74" s="106"/>
      <c r="Z74" s="1"/>
      <c r="AA74" s="106">
        <f>H28</f>
        <v>12153580</v>
      </c>
      <c r="AB74" s="106"/>
      <c r="AC74" s="218">
        <f>INPUT!C158</f>
        <v>6.9150000000000001E-3</v>
      </c>
      <c r="AD74" s="136"/>
      <c r="AE74" s="106">
        <f>ROUND((AA74*AC74),0)</f>
        <v>84042</v>
      </c>
      <c r="AF74" s="106"/>
      <c r="AG74" s="154">
        <f>ROUND((AE74/AE$85)*100,1)</f>
        <v>15.6</v>
      </c>
      <c r="AH74" s="175"/>
      <c r="AI74" s="106">
        <f>L28-AE74</f>
        <v>44397</v>
      </c>
      <c r="AJ74" s="106"/>
      <c r="AK74" s="159">
        <f>IF(AE74=0,"0.0 ",ROUND((AI74/AE74)*100,1))</f>
        <v>52.8</v>
      </c>
      <c r="AL74" s="138"/>
      <c r="AM74" s="106"/>
      <c r="AN74" s="106"/>
      <c r="AO74" s="106">
        <f>AE74+AM74</f>
        <v>84042</v>
      </c>
      <c r="AP74" s="106"/>
      <c r="AQ74" s="159">
        <f>IF(AO74=0,"0.0 ",ROUND((AI74/AO74)*100,1))</f>
        <v>52.8</v>
      </c>
    </row>
    <row r="75" spans="3:43" x14ac:dyDescent="0.3">
      <c r="C75" s="99"/>
      <c r="F75" s="110"/>
      <c r="H75" s="172"/>
      <c r="I75" s="172"/>
      <c r="J75" s="228"/>
      <c r="K75" s="228"/>
      <c r="L75" s="110"/>
      <c r="M75" s="110"/>
      <c r="N75" s="141"/>
      <c r="O75" s="141"/>
      <c r="P75" s="110"/>
      <c r="Q75" s="110"/>
      <c r="R75" s="110"/>
      <c r="T75" s="98">
        <f>A29</f>
        <v>8</v>
      </c>
      <c r="V75" s="99" t="s">
        <v>370</v>
      </c>
      <c r="Y75" s="106"/>
      <c r="Z75" s="1"/>
      <c r="AA75" s="106">
        <f>H29</f>
        <v>12153580</v>
      </c>
      <c r="AB75" s="106"/>
      <c r="AC75" s="189">
        <f>INPUT!C162</f>
        <v>3.4157E-2</v>
      </c>
      <c r="AD75" s="188"/>
      <c r="AE75" s="106">
        <f>ROUND((AA75*AC75),0)</f>
        <v>415130</v>
      </c>
      <c r="AF75" s="106"/>
      <c r="AG75" s="154">
        <f>ROUND((AE75/AE$85)*100,1)</f>
        <v>76.900000000000006</v>
      </c>
      <c r="AH75" s="175"/>
      <c r="AI75" s="106">
        <f>L29-AE75</f>
        <v>0</v>
      </c>
      <c r="AJ75" s="106"/>
      <c r="AK75" s="159">
        <f>IF(AE75=0,"0.0 ",ROUND((AI75/AE75)*100,1))</f>
        <v>0</v>
      </c>
      <c r="AL75" s="138"/>
      <c r="AM75" s="110">
        <v>0</v>
      </c>
      <c r="AN75" s="106"/>
      <c r="AO75" s="106">
        <f>AE75+AM75</f>
        <v>415130</v>
      </c>
      <c r="AP75" s="106"/>
      <c r="AQ75" s="159">
        <f>IF(AO75=0,"0.0 ",ROUND((AI75/AO75)*100,1))</f>
        <v>0</v>
      </c>
    </row>
    <row r="76" spans="3:43" ht="20.100000000000001" customHeight="1" x14ac:dyDescent="0.3">
      <c r="C76" s="99"/>
      <c r="F76" s="110"/>
      <c r="H76" s="110"/>
      <c r="I76" s="110"/>
      <c r="J76" s="198"/>
      <c r="K76" s="198"/>
      <c r="L76" s="110"/>
      <c r="M76" s="110"/>
      <c r="N76" s="141"/>
      <c r="O76" s="141"/>
      <c r="P76" s="110"/>
      <c r="Q76" s="110"/>
      <c r="R76" s="110"/>
      <c r="T76" s="98">
        <f>A30</f>
        <v>9</v>
      </c>
      <c r="V76" s="124" t="s">
        <v>142</v>
      </c>
      <c r="Y76" s="117"/>
      <c r="Z76" s="1"/>
      <c r="AA76" s="112">
        <f>H30</f>
        <v>12153580</v>
      </c>
      <c r="AB76" s="106"/>
      <c r="AC76" s="239"/>
      <c r="AD76" s="171"/>
      <c r="AE76" s="112">
        <f>SUM(AE74:AE75)</f>
        <v>499172</v>
      </c>
      <c r="AF76" s="106"/>
      <c r="AG76" s="158">
        <f>ROUND((AE76/AE$85)*100,1)</f>
        <v>92.5</v>
      </c>
      <c r="AH76" s="175"/>
      <c r="AI76" s="112">
        <f>SUM(AI74:AI75)</f>
        <v>44397</v>
      </c>
      <c r="AJ76" s="106"/>
      <c r="AK76" s="201">
        <f>IF(AE76=0,"0.0 ",ROUND((AI76/AE76)*100,1))</f>
        <v>8.9</v>
      </c>
      <c r="AL76" s="175"/>
      <c r="AM76" s="112">
        <f>AM75</f>
        <v>0</v>
      </c>
      <c r="AN76" s="106"/>
      <c r="AO76" s="112">
        <f>SUM(AO74:AO75)</f>
        <v>499172</v>
      </c>
      <c r="AP76" s="106"/>
      <c r="AQ76" s="159">
        <f>IF(AO76=0,"0.0 ",ROUND((AI76/AO76)*100,1))</f>
        <v>8.9</v>
      </c>
    </row>
    <row r="77" spans="3:43" ht="20.100000000000001" customHeight="1" x14ac:dyDescent="0.3">
      <c r="C77" s="99"/>
      <c r="F77" s="110"/>
      <c r="H77" s="110"/>
      <c r="I77" s="110"/>
      <c r="J77" s="198"/>
      <c r="K77" s="198"/>
      <c r="L77" s="110"/>
      <c r="M77" s="110"/>
      <c r="N77" s="141"/>
      <c r="O77" s="141"/>
      <c r="P77" s="110"/>
      <c r="Q77" s="110"/>
      <c r="R77" s="110"/>
      <c r="T77" s="98">
        <f>A31</f>
        <v>10</v>
      </c>
      <c r="V77" s="169" t="s">
        <v>459</v>
      </c>
      <c r="Y77" s="112">
        <f>Y70</f>
        <v>24</v>
      </c>
      <c r="Z77" s="1"/>
      <c r="AA77" s="112">
        <f>AA76</f>
        <v>12153580</v>
      </c>
      <c r="AB77" s="106"/>
      <c r="AC77" s="239"/>
      <c r="AD77" s="171"/>
      <c r="AE77" s="112">
        <f>AE76+AE71</f>
        <v>503564</v>
      </c>
      <c r="AF77" s="106"/>
      <c r="AG77" s="158">
        <f>ROUND((AE77/AE$85)*100,1)</f>
        <v>93.3</v>
      </c>
      <c r="AH77" s="175"/>
      <c r="AI77" s="112">
        <f>AI76+AI71</f>
        <v>44397</v>
      </c>
      <c r="AJ77" s="106"/>
      <c r="AK77" s="201">
        <f>IF(AE77=0,"0.0 ",ROUND((AI77/AE77)*100,1))</f>
        <v>8.8000000000000007</v>
      </c>
      <c r="AL77" s="175"/>
      <c r="AM77" s="112">
        <f>AM76+AM71</f>
        <v>0</v>
      </c>
      <c r="AN77" s="106"/>
      <c r="AO77" s="112">
        <f>AO76+AO71</f>
        <v>503564</v>
      </c>
      <c r="AP77" s="106"/>
      <c r="AQ77" s="159">
        <f>IF(AO77=0,"0.0 ",ROUND((AI77/AO77)*100,1))</f>
        <v>8.8000000000000007</v>
      </c>
    </row>
    <row r="78" spans="3:43" ht="15.75" customHeight="1" x14ac:dyDescent="0.3">
      <c r="C78" s="99"/>
      <c r="F78" s="110"/>
      <c r="H78" s="110"/>
      <c r="I78" s="110"/>
      <c r="J78" s="198"/>
      <c r="K78" s="198"/>
      <c r="L78" s="110"/>
      <c r="M78" s="110"/>
      <c r="N78" s="141"/>
      <c r="O78" s="141"/>
      <c r="P78" s="110"/>
      <c r="Q78" s="110"/>
      <c r="R78" s="110"/>
      <c r="V78" s="99"/>
      <c r="Y78" s="106"/>
      <c r="Z78" s="1"/>
      <c r="AA78" s="106"/>
      <c r="AB78" s="106"/>
      <c r="AC78" s="239"/>
      <c r="AD78" s="171"/>
      <c r="AE78" s="106"/>
      <c r="AF78" s="106"/>
      <c r="AG78" s="154"/>
      <c r="AH78" s="175"/>
      <c r="AI78" s="106"/>
      <c r="AJ78" s="106"/>
      <c r="AK78" s="159"/>
      <c r="AL78" s="175"/>
      <c r="AM78" s="106"/>
      <c r="AN78" s="106"/>
      <c r="AO78" s="106"/>
      <c r="AP78" s="106"/>
      <c r="AQ78" s="159"/>
    </row>
    <row r="79" spans="3:43" ht="15.75" customHeight="1" x14ac:dyDescent="0.3">
      <c r="C79" s="99"/>
      <c r="F79" s="110"/>
      <c r="H79" s="110"/>
      <c r="I79" s="110"/>
      <c r="J79" s="198"/>
      <c r="K79" s="198"/>
      <c r="L79" s="110"/>
      <c r="M79" s="110"/>
      <c r="N79" s="141"/>
      <c r="O79" s="141"/>
      <c r="P79" s="110"/>
      <c r="Q79" s="110"/>
      <c r="R79" s="110"/>
      <c r="T79" s="98">
        <f>A33</f>
        <v>11</v>
      </c>
      <c r="V79" s="124" t="s">
        <v>428</v>
      </c>
      <c r="Y79" s="106"/>
      <c r="Z79" s="1"/>
      <c r="AA79" s="106"/>
      <c r="AB79" s="106"/>
      <c r="AC79" s="239"/>
      <c r="AD79" s="171"/>
      <c r="AE79" s="106"/>
      <c r="AF79" s="106"/>
      <c r="AG79" s="154"/>
      <c r="AH79" s="175"/>
      <c r="AI79" s="106"/>
      <c r="AJ79" s="106"/>
      <c r="AK79" s="159"/>
      <c r="AL79" s="175"/>
      <c r="AM79" s="106"/>
      <c r="AN79" s="106"/>
      <c r="AO79" s="106"/>
      <c r="AP79" s="106"/>
      <c r="AQ79" s="159"/>
    </row>
    <row r="80" spans="3:43" ht="15.75" customHeight="1" x14ac:dyDescent="0.3">
      <c r="C80" s="99"/>
      <c r="F80" s="110"/>
      <c r="H80" s="110"/>
      <c r="I80" s="110"/>
      <c r="J80" s="198"/>
      <c r="K80" s="198"/>
      <c r="L80" s="110"/>
      <c r="M80" s="110"/>
      <c r="N80" s="141"/>
      <c r="O80" s="141"/>
      <c r="P80" s="110"/>
      <c r="Q80" s="110"/>
      <c r="R80" s="110"/>
      <c r="T80" s="98">
        <f>A34</f>
        <v>12</v>
      </c>
      <c r="V80" s="176" t="str">
        <f>C34</f>
        <v>DEMAND SIDE MANAGEMENT RIDER (DSMR)</v>
      </c>
      <c r="Y80" s="106"/>
      <c r="Z80" s="1"/>
      <c r="AA80" s="106"/>
      <c r="AB80" s="106"/>
      <c r="AC80" s="189">
        <f>DSM_TRANS</f>
        <v>5.1400000000000003E-4</v>
      </c>
      <c r="AD80" s="171"/>
      <c r="AE80" s="106">
        <f>ROUND($AA$77*AC80,0)</f>
        <v>6247</v>
      </c>
      <c r="AF80" s="106"/>
      <c r="AG80" s="154">
        <f>ROUND((AE80/AE$85)*100,1)</f>
        <v>1.2</v>
      </c>
      <c r="AH80" s="175"/>
      <c r="AI80" s="106">
        <f>L34-AE80</f>
        <v>0</v>
      </c>
      <c r="AJ80" s="106"/>
      <c r="AK80" s="159">
        <f>IF(AE80=0,"0.0 ",ROUND((AI80/AE80)*100,1))</f>
        <v>0</v>
      </c>
      <c r="AL80" s="175"/>
      <c r="AM80" s="106"/>
      <c r="AN80" s="106"/>
      <c r="AO80" s="106">
        <f>AE80+AM80</f>
        <v>6247</v>
      </c>
      <c r="AP80" s="106"/>
      <c r="AQ80" s="159">
        <f>IF(AO80=0,"0.0 ",ROUND((AI80/AO80)*100,1))</f>
        <v>0</v>
      </c>
    </row>
    <row r="81" spans="3:43" ht="15.75" customHeight="1" x14ac:dyDescent="0.3">
      <c r="C81" s="99"/>
      <c r="F81" s="110"/>
      <c r="H81" s="110"/>
      <c r="I81" s="110"/>
      <c r="J81" s="198"/>
      <c r="K81" s="198"/>
      <c r="L81" s="110"/>
      <c r="M81" s="110"/>
      <c r="N81" s="141"/>
      <c r="O81" s="141"/>
      <c r="P81" s="110"/>
      <c r="Q81" s="110"/>
      <c r="R81" s="110"/>
      <c r="T81" s="98">
        <f>A35</f>
        <v>13</v>
      </c>
      <c r="V81" s="176" t="str">
        <f>C35</f>
        <v>ENVIRONMENTAL SURCHARGE MECHANISM RIDER (ESM)</v>
      </c>
      <c r="Y81" s="106"/>
      <c r="Z81" s="1"/>
      <c r="AA81" s="106"/>
      <c r="AB81" s="106"/>
      <c r="AC81" s="187">
        <f>CUR_ESM_NonRes</f>
        <v>6.3863133253205971E-3</v>
      </c>
      <c r="AD81" s="171"/>
      <c r="AE81" s="106">
        <f>ROUND(AO71*AC81,0)</f>
        <v>28</v>
      </c>
      <c r="AF81" s="106"/>
      <c r="AG81" s="154">
        <f>ROUND((AE81/AE$85)*100,1)</f>
        <v>0</v>
      </c>
      <c r="AH81" s="175"/>
      <c r="AI81" s="106">
        <f>L35-AE81</f>
        <v>905</v>
      </c>
      <c r="AJ81" s="106"/>
      <c r="AK81" s="159">
        <f>IF(AE81=0,"0.0 ",ROUND((AI81/AE81)*100,1))</f>
        <v>3232.1</v>
      </c>
      <c r="AL81" s="175"/>
      <c r="AM81" s="106"/>
      <c r="AN81" s="106"/>
      <c r="AO81" s="106">
        <f>AE81+AM81</f>
        <v>28</v>
      </c>
      <c r="AP81" s="106"/>
      <c r="AQ81" s="159">
        <f>IF(AO81=0,"0.0 ",ROUND((AI81/AO81)*100,1))</f>
        <v>3232.1</v>
      </c>
    </row>
    <row r="82" spans="3:43" ht="15.75" customHeight="1" x14ac:dyDescent="0.3">
      <c r="C82" s="99"/>
      <c r="F82" s="110"/>
      <c r="H82" s="110"/>
      <c r="I82" s="110"/>
      <c r="J82" s="198"/>
      <c r="K82" s="198"/>
      <c r="L82" s="110"/>
      <c r="M82" s="110"/>
      <c r="N82" s="141"/>
      <c r="O82" s="141"/>
      <c r="P82" s="110"/>
      <c r="Q82" s="110"/>
      <c r="R82" s="110"/>
      <c r="T82" s="98">
        <f>A36</f>
        <v>14</v>
      </c>
      <c r="V82" s="176" t="str">
        <f>C36</f>
        <v>PROFIT SHARING MECHANISM (PSM)</v>
      </c>
      <c r="Y82" s="106"/>
      <c r="Z82" s="1"/>
      <c r="AA82" s="106"/>
      <c r="AB82" s="106"/>
      <c r="AC82" s="189">
        <f>RS_PSM</f>
        <v>2.4750000000000002E-3</v>
      </c>
      <c r="AD82" s="171"/>
      <c r="AE82" s="117">
        <f>ROUND(AA77*RS_PSM,0)</f>
        <v>30080</v>
      </c>
      <c r="AF82" s="106"/>
      <c r="AG82" s="156">
        <f>ROUND((AE82/AE$85)*100,1)</f>
        <v>5.6</v>
      </c>
      <c r="AH82" s="175"/>
      <c r="AI82" s="117">
        <f>L36-AE82</f>
        <v>0</v>
      </c>
      <c r="AJ82" s="106"/>
      <c r="AK82" s="200">
        <f>IF(AE82=0,"0.0 ",ROUND((AI82/AE82)*100,1))</f>
        <v>0</v>
      </c>
      <c r="AL82" s="175"/>
      <c r="AM82" s="106"/>
      <c r="AN82" s="106"/>
      <c r="AO82" s="106">
        <f>AE82+AM82</f>
        <v>30080</v>
      </c>
      <c r="AP82" s="106"/>
      <c r="AQ82" s="159">
        <f>IF(AO82=0,"0.0 ",ROUND((AI82/AO82)*100,1))</f>
        <v>0</v>
      </c>
    </row>
    <row r="83" spans="3:43" ht="20.100000000000001" customHeight="1" x14ac:dyDescent="0.3">
      <c r="C83" s="99"/>
      <c r="F83" s="110"/>
      <c r="H83" s="110"/>
      <c r="I83" s="110"/>
      <c r="J83" s="198"/>
      <c r="K83" s="198"/>
      <c r="L83" s="110"/>
      <c r="M83" s="110"/>
      <c r="N83" s="141"/>
      <c r="O83" s="141"/>
      <c r="P83" s="110"/>
      <c r="Q83" s="110"/>
      <c r="R83" s="110"/>
      <c r="T83" s="98">
        <f>A37</f>
        <v>15</v>
      </c>
      <c r="V83" s="124" t="s">
        <v>433</v>
      </c>
      <c r="Y83" s="117"/>
      <c r="Z83" s="1"/>
      <c r="AA83" s="117"/>
      <c r="AB83" s="106"/>
      <c r="AC83" s="171"/>
      <c r="AD83" s="171"/>
      <c r="AE83" s="112">
        <f>SUM(AE80:AE82)</f>
        <v>36355</v>
      </c>
      <c r="AF83" s="106"/>
      <c r="AG83" s="158">
        <f>ROUND((AE83/AE$85)*100,1)</f>
        <v>6.7</v>
      </c>
      <c r="AH83" s="175"/>
      <c r="AI83" s="112">
        <f>SUM(AI80:AI82)</f>
        <v>905</v>
      </c>
      <c r="AJ83" s="106"/>
      <c r="AK83" s="201">
        <f>IF(AE83=0,"0.0 ",ROUND((AI83/AE83)*100,1))</f>
        <v>2.5</v>
      </c>
      <c r="AL83" s="175"/>
      <c r="AM83" s="112">
        <f>SUM(AM80:AM82)</f>
        <v>0</v>
      </c>
      <c r="AN83" s="106"/>
      <c r="AO83" s="112">
        <f>SUM(AO80:AO82)</f>
        <v>36355</v>
      </c>
      <c r="AP83" s="106"/>
      <c r="AQ83" s="159">
        <f>IF(AO83=0,"0.0 ",ROUND((AI83/AO83)*100,1))</f>
        <v>2.5</v>
      </c>
    </row>
    <row r="84" spans="3:43" ht="15.75" customHeight="1" x14ac:dyDescent="0.3">
      <c r="C84" s="99"/>
      <c r="F84" s="110"/>
      <c r="H84" s="110"/>
      <c r="I84" s="110"/>
      <c r="J84" s="198"/>
      <c r="K84" s="198"/>
      <c r="L84" s="110"/>
      <c r="M84" s="110"/>
      <c r="N84" s="141"/>
      <c r="O84" s="141"/>
      <c r="P84" s="110"/>
      <c r="Q84" s="110"/>
      <c r="R84" s="110"/>
      <c r="V84" s="124"/>
      <c r="Y84" s="106"/>
      <c r="Z84" s="1"/>
      <c r="AA84" s="106"/>
      <c r="AB84" s="106"/>
      <c r="AC84" s="171"/>
      <c r="AD84" s="171"/>
      <c r="AE84" s="106"/>
      <c r="AF84" s="106"/>
      <c r="AG84" s="154"/>
      <c r="AH84" s="175"/>
      <c r="AI84" s="106"/>
      <c r="AJ84" s="106"/>
      <c r="AK84" s="159"/>
      <c r="AL84" s="175"/>
      <c r="AM84" s="106"/>
      <c r="AN84" s="106"/>
      <c r="AO84" s="106"/>
      <c r="AP84" s="106"/>
      <c r="AQ84" s="159"/>
    </row>
    <row r="85" spans="3:43" ht="20.100000000000001" customHeight="1" thickBot="1" x14ac:dyDescent="0.35">
      <c r="F85" s="110"/>
      <c r="H85" s="192"/>
      <c r="I85" s="192"/>
      <c r="J85" s="217"/>
      <c r="K85" s="217"/>
      <c r="L85" s="192"/>
      <c r="M85" s="192"/>
      <c r="N85" s="192"/>
      <c r="O85" s="192"/>
      <c r="P85" s="192"/>
      <c r="Q85" s="192"/>
      <c r="R85" s="192"/>
      <c r="T85" s="98">
        <f>A39</f>
        <v>16</v>
      </c>
      <c r="V85" s="169" t="s">
        <v>460</v>
      </c>
      <c r="Y85" s="120">
        <f>Y77</f>
        <v>24</v>
      </c>
      <c r="Z85" s="1"/>
      <c r="AA85" s="120">
        <f>AA77</f>
        <v>12153580</v>
      </c>
      <c r="AB85" s="106"/>
      <c r="AC85" s="1"/>
      <c r="AD85" s="1"/>
      <c r="AE85" s="120">
        <f>AE83+AE77</f>
        <v>539919</v>
      </c>
      <c r="AF85" s="106"/>
      <c r="AG85" s="162">
        <v>100</v>
      </c>
      <c r="AH85" s="175"/>
      <c r="AI85" s="120">
        <f>AI83+AI77</f>
        <v>45302</v>
      </c>
      <c r="AJ85" s="106"/>
      <c r="AK85" s="206">
        <f>IF(AE85=0,"0.0 ",ROUND((AI85/AE85)*100,1))</f>
        <v>8.4</v>
      </c>
      <c r="AL85" s="175"/>
      <c r="AM85" s="120">
        <f>AM83+AM77</f>
        <v>0</v>
      </c>
      <c r="AN85" s="147"/>
      <c r="AO85" s="120">
        <f>AO83+AO77</f>
        <v>539919</v>
      </c>
      <c r="AP85" s="106"/>
      <c r="AQ85" s="159">
        <f>IF(AO85=0,"0.0 ",ROUND((AI85/AO85)*100,1))</f>
        <v>8.4</v>
      </c>
    </row>
    <row r="86" spans="3:43" ht="16.2" thickTop="1" x14ac:dyDescent="0.3">
      <c r="F86" s="110"/>
      <c r="H86" s="192"/>
      <c r="I86" s="192"/>
      <c r="J86" s="217"/>
      <c r="K86" s="217"/>
      <c r="L86" s="192"/>
      <c r="M86" s="192"/>
      <c r="N86" s="192"/>
      <c r="O86" s="192"/>
      <c r="P86" s="192"/>
      <c r="Q86" s="192"/>
      <c r="R86" s="192"/>
      <c r="Y86" s="1"/>
      <c r="Z86" s="1"/>
      <c r="AA86" s="1"/>
      <c r="AB86" s="1"/>
      <c r="AC86" s="1"/>
      <c r="AD86" s="1"/>
      <c r="AE86" s="1"/>
      <c r="AF86" s="1"/>
      <c r="AG86" s="154"/>
      <c r="AH86" s="1"/>
      <c r="AI86" s="1"/>
      <c r="AJ86" s="1"/>
      <c r="AK86" s="154"/>
      <c r="AL86" s="1"/>
      <c r="AM86" s="1"/>
      <c r="AN86" s="1"/>
      <c r="AO86" s="1"/>
      <c r="AP86" s="1"/>
      <c r="AQ86" s="154"/>
    </row>
    <row r="87" spans="3:43" x14ac:dyDescent="0.3">
      <c r="C87" s="99"/>
      <c r="F87" s="110"/>
      <c r="H87" s="110"/>
      <c r="I87" s="110"/>
      <c r="J87" s="217"/>
      <c r="K87" s="217"/>
      <c r="L87" s="110"/>
      <c r="M87" s="110"/>
      <c r="N87" s="110"/>
      <c r="O87" s="110"/>
      <c r="P87" s="110"/>
      <c r="Q87" s="110"/>
      <c r="R87" s="110"/>
      <c r="V87" s="178" t="s">
        <v>59</v>
      </c>
      <c r="AE87" s="110"/>
      <c r="AF87" s="110"/>
      <c r="AH87" s="110"/>
      <c r="AM87" s="110"/>
      <c r="AN87" s="110"/>
      <c r="AO87" s="110"/>
      <c r="AP87" s="110"/>
    </row>
    <row r="88" spans="3:43" x14ac:dyDescent="0.3">
      <c r="C88" s="99"/>
      <c r="F88" s="110"/>
      <c r="H88" s="172"/>
      <c r="I88" s="172"/>
      <c r="J88" s="228"/>
      <c r="K88" s="228"/>
      <c r="L88" s="110"/>
      <c r="M88" s="110"/>
      <c r="N88" s="141"/>
      <c r="O88" s="141"/>
      <c r="P88" s="110"/>
      <c r="Q88" s="110"/>
      <c r="R88" s="110"/>
      <c r="T88" s="99"/>
      <c r="V88" s="99"/>
    </row>
    <row r="89" spans="3:43" x14ac:dyDescent="0.3">
      <c r="C89" s="99"/>
      <c r="H89" s="172"/>
      <c r="I89" s="172"/>
      <c r="J89" s="228"/>
      <c r="K89" s="228"/>
      <c r="L89" s="110"/>
      <c r="M89" s="110"/>
      <c r="N89" s="141"/>
      <c r="O89" s="141"/>
      <c r="P89" s="110"/>
      <c r="Q89" s="110"/>
      <c r="R89" s="110"/>
      <c r="T89" s="99"/>
      <c r="V89" s="172"/>
      <c r="Y89" s="172"/>
      <c r="Z89" s="227"/>
      <c r="AA89" s="110"/>
      <c r="AB89" s="110"/>
      <c r="AC89" s="141"/>
      <c r="AD89" s="141"/>
      <c r="AE89" s="110"/>
      <c r="AF89" s="110"/>
      <c r="AH89" s="141"/>
      <c r="AI89" s="110"/>
      <c r="AJ89" s="110"/>
      <c r="AL89" s="110"/>
      <c r="AM89" s="141"/>
      <c r="AN89" s="141"/>
    </row>
    <row r="90" spans="3:43" x14ac:dyDescent="0.3">
      <c r="F90" s="110"/>
      <c r="H90" s="110"/>
      <c r="I90" s="110"/>
      <c r="J90" s="217"/>
      <c r="K90" s="217"/>
      <c r="L90" s="192"/>
      <c r="M90" s="192"/>
      <c r="N90" s="192"/>
      <c r="O90" s="192"/>
      <c r="P90" s="192"/>
      <c r="Q90" s="192"/>
      <c r="R90" s="192"/>
      <c r="T90" s="99"/>
      <c r="V90" s="172"/>
      <c r="Y90" s="110"/>
      <c r="Z90" s="181"/>
      <c r="AA90" s="110"/>
      <c r="AB90" s="110"/>
      <c r="AC90" s="141"/>
      <c r="AD90" s="141"/>
      <c r="AE90" s="110"/>
      <c r="AF90" s="110"/>
      <c r="AH90" s="207"/>
      <c r="AI90" s="110"/>
      <c r="AJ90" s="110"/>
      <c r="AL90" s="110"/>
      <c r="AM90" s="141"/>
      <c r="AN90" s="141"/>
    </row>
    <row r="91" spans="3:43" x14ac:dyDescent="0.3">
      <c r="C91" s="99"/>
      <c r="F91" s="110"/>
      <c r="H91" s="110"/>
      <c r="I91" s="110"/>
      <c r="J91" s="198"/>
      <c r="K91" s="198"/>
      <c r="L91" s="110"/>
      <c r="M91" s="110"/>
      <c r="N91" s="141"/>
      <c r="O91" s="141"/>
      <c r="P91" s="110"/>
      <c r="Q91" s="110"/>
      <c r="R91" s="110"/>
      <c r="T91" s="99"/>
      <c r="V91" s="172"/>
      <c r="Y91" s="110"/>
      <c r="Z91" s="181"/>
      <c r="AA91" s="110"/>
      <c r="AB91" s="110"/>
      <c r="AC91" s="141"/>
      <c r="AD91" s="141"/>
      <c r="AE91" s="110"/>
      <c r="AF91" s="110"/>
      <c r="AH91" s="207"/>
      <c r="AI91" s="110"/>
      <c r="AJ91" s="110"/>
      <c r="AL91" s="110"/>
      <c r="AM91" s="141"/>
      <c r="AN91" s="141"/>
    </row>
    <row r="92" spans="3:43" x14ac:dyDescent="0.3">
      <c r="F92" s="110"/>
      <c r="H92" s="110"/>
      <c r="I92" s="110"/>
      <c r="J92" s="217"/>
      <c r="K92" s="217"/>
      <c r="L92" s="192"/>
      <c r="M92" s="192"/>
      <c r="N92" s="192"/>
      <c r="O92" s="192"/>
      <c r="P92" s="192"/>
      <c r="Q92" s="192"/>
      <c r="R92" s="192"/>
      <c r="V92" s="110"/>
      <c r="Y92" s="192"/>
      <c r="Z92" s="217"/>
      <c r="AA92" s="192"/>
      <c r="AB92" s="192"/>
      <c r="AC92" s="192"/>
      <c r="AD92" s="192"/>
      <c r="AE92" s="192"/>
      <c r="AF92" s="192"/>
      <c r="AI92" s="192"/>
      <c r="AJ92" s="192"/>
      <c r="AK92" s="194"/>
      <c r="AL92" s="192"/>
      <c r="AM92" s="141"/>
      <c r="AN92" s="141"/>
    </row>
    <row r="93" spans="3:43" x14ac:dyDescent="0.3">
      <c r="C93" s="99"/>
      <c r="F93" s="110"/>
      <c r="H93" s="110"/>
      <c r="I93" s="110"/>
      <c r="J93" s="198"/>
      <c r="K93" s="198"/>
      <c r="L93" s="110"/>
      <c r="M93" s="110"/>
      <c r="N93" s="141"/>
      <c r="O93" s="141"/>
      <c r="P93" s="110"/>
      <c r="Q93" s="110"/>
      <c r="R93" s="110"/>
      <c r="T93" s="99"/>
      <c r="V93" s="110"/>
      <c r="Y93" s="110"/>
      <c r="Z93" s="217"/>
      <c r="AA93" s="110"/>
      <c r="AB93" s="110"/>
      <c r="AC93" s="141"/>
      <c r="AD93" s="141"/>
      <c r="AE93" s="110"/>
      <c r="AF93" s="110"/>
      <c r="AH93" s="207"/>
      <c r="AI93" s="110"/>
      <c r="AJ93" s="110"/>
      <c r="AL93" s="110"/>
      <c r="AM93" s="141"/>
      <c r="AN93" s="141"/>
    </row>
    <row r="94" spans="3:43" x14ac:dyDescent="0.3">
      <c r="C94" s="99"/>
      <c r="F94" s="172"/>
      <c r="H94" s="172"/>
      <c r="I94" s="172"/>
      <c r="J94" s="222"/>
      <c r="K94" s="222"/>
      <c r="L94" s="110"/>
      <c r="M94" s="110"/>
      <c r="N94" s="141"/>
      <c r="O94" s="141"/>
      <c r="P94" s="110"/>
      <c r="Q94" s="110"/>
      <c r="R94" s="110"/>
      <c r="V94" s="110"/>
      <c r="Y94" s="192"/>
      <c r="Z94" s="217"/>
      <c r="AA94" s="192"/>
      <c r="AB94" s="192"/>
      <c r="AC94" s="192"/>
      <c r="AD94" s="192"/>
      <c r="AE94" s="192"/>
      <c r="AF94" s="192"/>
      <c r="AI94" s="192"/>
      <c r="AJ94" s="192"/>
      <c r="AK94" s="194"/>
      <c r="AL94" s="192"/>
      <c r="AM94" s="141"/>
      <c r="AN94" s="141"/>
    </row>
    <row r="95" spans="3:43" x14ac:dyDescent="0.3">
      <c r="F95" s="192"/>
      <c r="H95" s="192"/>
      <c r="I95" s="192"/>
      <c r="J95" s="217"/>
      <c r="K95" s="217"/>
      <c r="L95" s="192"/>
      <c r="M95" s="192"/>
      <c r="N95" s="192"/>
      <c r="O95" s="192"/>
      <c r="P95" s="192"/>
      <c r="Q95" s="192"/>
      <c r="R95" s="192"/>
      <c r="T95" s="99"/>
      <c r="V95" s="110"/>
      <c r="Y95" s="110"/>
      <c r="Z95" s="217"/>
      <c r="AA95" s="110"/>
      <c r="AB95" s="110"/>
      <c r="AC95" s="110"/>
      <c r="AD95" s="110"/>
      <c r="AE95" s="110"/>
      <c r="AF95" s="110"/>
      <c r="AH95" s="207"/>
      <c r="AI95" s="110"/>
      <c r="AJ95" s="110"/>
      <c r="AL95" s="110"/>
      <c r="AM95" s="141"/>
      <c r="AN95" s="141"/>
    </row>
    <row r="96" spans="3:43" x14ac:dyDescent="0.3">
      <c r="C96" s="99"/>
      <c r="F96" s="110"/>
      <c r="H96" s="110"/>
      <c r="I96" s="110"/>
      <c r="J96" s="217"/>
      <c r="K96" s="217"/>
      <c r="L96" s="110"/>
      <c r="M96" s="110"/>
      <c r="N96" s="141"/>
      <c r="O96" s="141"/>
      <c r="P96" s="110"/>
      <c r="Q96" s="110"/>
      <c r="R96" s="110"/>
      <c r="S96" s="110"/>
      <c r="T96" s="99"/>
      <c r="V96" s="110"/>
      <c r="Y96" s="110"/>
      <c r="Z96" s="228"/>
      <c r="AA96" s="110"/>
      <c r="AB96" s="110"/>
      <c r="AC96" s="141"/>
      <c r="AD96" s="141"/>
      <c r="AE96" s="110"/>
      <c r="AF96" s="110"/>
      <c r="AH96" s="207"/>
      <c r="AI96" s="110"/>
      <c r="AJ96" s="110"/>
      <c r="AL96" s="110"/>
      <c r="AM96" s="141"/>
      <c r="AN96" s="141"/>
    </row>
    <row r="97" spans="1:40" x14ac:dyDescent="0.3">
      <c r="F97" s="192"/>
      <c r="H97" s="192"/>
      <c r="I97" s="192"/>
      <c r="J97" s="217"/>
      <c r="K97" s="217"/>
      <c r="L97" s="192"/>
      <c r="M97" s="192"/>
      <c r="N97" s="192"/>
      <c r="O97" s="192"/>
      <c r="P97" s="192"/>
      <c r="Q97" s="192"/>
      <c r="R97" s="192"/>
      <c r="S97" s="110"/>
      <c r="T97" s="99"/>
      <c r="Y97" s="110"/>
      <c r="Z97" s="228"/>
      <c r="AA97" s="110"/>
      <c r="AB97" s="110"/>
      <c r="AC97" s="141"/>
      <c r="AD97" s="141"/>
      <c r="AE97" s="110"/>
      <c r="AF97" s="110"/>
      <c r="AH97" s="207"/>
      <c r="AI97" s="110"/>
      <c r="AJ97" s="110"/>
      <c r="AL97" s="110"/>
      <c r="AM97" s="141"/>
      <c r="AN97" s="141"/>
    </row>
    <row r="98" spans="1:40" x14ac:dyDescent="0.3">
      <c r="C98" s="99"/>
      <c r="V98" s="110"/>
      <c r="Y98" s="110"/>
      <c r="Z98" s="217"/>
      <c r="AA98" s="192"/>
      <c r="AB98" s="192"/>
      <c r="AC98" s="192"/>
      <c r="AD98" s="192"/>
      <c r="AE98" s="192"/>
      <c r="AF98" s="192"/>
      <c r="AI98" s="192"/>
      <c r="AJ98" s="192"/>
      <c r="AK98" s="194"/>
      <c r="AL98" s="192"/>
      <c r="AM98" s="141"/>
      <c r="AN98" s="141"/>
    </row>
    <row r="99" spans="1:40" x14ac:dyDescent="0.3">
      <c r="C99" s="99"/>
      <c r="F99" s="110"/>
      <c r="H99" s="110"/>
      <c r="I99" s="110"/>
      <c r="L99" s="110"/>
      <c r="M99" s="110"/>
      <c r="N99" s="141"/>
      <c r="O99" s="141"/>
      <c r="P99" s="172"/>
      <c r="Q99" s="172"/>
      <c r="R99" s="110"/>
      <c r="T99" s="99"/>
      <c r="V99" s="110"/>
      <c r="Y99" s="110"/>
      <c r="Z99" s="198"/>
      <c r="AA99" s="110"/>
      <c r="AB99" s="110"/>
      <c r="AC99" s="141"/>
      <c r="AD99" s="141"/>
      <c r="AE99" s="110"/>
      <c r="AF99" s="110"/>
      <c r="AH99" s="207"/>
      <c r="AI99" s="110"/>
      <c r="AJ99" s="110"/>
      <c r="AL99" s="110"/>
      <c r="AM99" s="141"/>
      <c r="AN99" s="141"/>
    </row>
    <row r="100" spans="1:40" x14ac:dyDescent="0.3">
      <c r="F100" s="192"/>
      <c r="H100" s="192"/>
      <c r="I100" s="192"/>
      <c r="J100" s="217"/>
      <c r="K100" s="217"/>
      <c r="L100" s="192"/>
      <c r="M100" s="192"/>
      <c r="N100" s="192"/>
      <c r="O100" s="192"/>
      <c r="P100" s="192"/>
      <c r="Q100" s="192"/>
      <c r="R100" s="192"/>
      <c r="V100" s="110"/>
      <c r="Y100" s="110"/>
      <c r="Z100" s="217"/>
      <c r="AA100" s="192"/>
      <c r="AB100" s="192"/>
      <c r="AC100" s="192"/>
      <c r="AD100" s="192"/>
      <c r="AE100" s="192"/>
      <c r="AF100" s="192"/>
      <c r="AI100" s="192"/>
      <c r="AJ100" s="192"/>
      <c r="AK100" s="194"/>
      <c r="AL100" s="192"/>
      <c r="AM100" s="141"/>
      <c r="AN100" s="141"/>
    </row>
    <row r="101" spans="1:40" x14ac:dyDescent="0.3">
      <c r="T101" s="99"/>
      <c r="V101" s="110"/>
      <c r="Y101" s="110"/>
      <c r="Z101" s="198"/>
      <c r="AA101" s="110"/>
      <c r="AB101" s="110"/>
      <c r="AC101" s="141"/>
      <c r="AD101" s="141"/>
      <c r="AE101" s="110"/>
      <c r="AF101" s="110"/>
      <c r="AH101" s="207"/>
      <c r="AI101" s="110"/>
      <c r="AJ101" s="110"/>
      <c r="AL101" s="110"/>
      <c r="AM101" s="141"/>
      <c r="AN101" s="141"/>
    </row>
    <row r="102" spans="1:40" x14ac:dyDescent="0.3">
      <c r="C102" s="99"/>
      <c r="L102" s="110"/>
      <c r="M102" s="110"/>
      <c r="N102" s="110"/>
      <c r="O102" s="110"/>
      <c r="P102" s="110"/>
      <c r="Q102" s="110"/>
      <c r="R102" s="110"/>
      <c r="S102" s="110"/>
      <c r="T102" s="99"/>
      <c r="V102" s="172"/>
      <c r="Y102" s="110"/>
      <c r="Z102" s="222"/>
      <c r="AA102" s="110"/>
      <c r="AB102" s="110"/>
      <c r="AC102" s="141"/>
      <c r="AD102" s="141"/>
      <c r="AE102" s="110"/>
      <c r="AF102" s="110"/>
      <c r="AH102" s="207"/>
      <c r="AI102" s="110"/>
      <c r="AJ102" s="110"/>
      <c r="AL102" s="110"/>
      <c r="AM102" s="141"/>
      <c r="AN102" s="141"/>
    </row>
    <row r="103" spans="1:40" x14ac:dyDescent="0.3">
      <c r="A103" s="99"/>
      <c r="V103" s="192"/>
      <c r="Y103" s="192"/>
      <c r="Z103" s="217"/>
      <c r="AA103" s="192"/>
      <c r="AB103" s="192"/>
      <c r="AC103" s="192"/>
      <c r="AD103" s="192"/>
      <c r="AE103" s="192"/>
      <c r="AF103" s="192"/>
      <c r="AI103" s="192"/>
      <c r="AJ103" s="192"/>
      <c r="AK103" s="194"/>
      <c r="AL103" s="192"/>
      <c r="AM103" s="141"/>
      <c r="AN103" s="141"/>
    </row>
    <row r="104" spans="1:40" x14ac:dyDescent="0.3">
      <c r="T104" s="99"/>
      <c r="V104" s="110"/>
      <c r="Y104" s="110"/>
      <c r="Z104" s="217"/>
      <c r="AA104" s="110"/>
      <c r="AB104" s="110"/>
      <c r="AC104" s="141"/>
      <c r="AD104" s="141"/>
      <c r="AE104" s="110"/>
      <c r="AF104" s="110"/>
      <c r="AH104" s="141"/>
      <c r="AI104" s="110"/>
      <c r="AJ104" s="110"/>
      <c r="AL104" s="110"/>
      <c r="AM104" s="141"/>
      <c r="AN104" s="141"/>
    </row>
    <row r="105" spans="1:40" x14ac:dyDescent="0.3">
      <c r="H105" s="99"/>
      <c r="I105" s="99"/>
      <c r="V105" s="192"/>
      <c r="Y105" s="192"/>
      <c r="Z105" s="217"/>
      <c r="AA105" s="192"/>
      <c r="AB105" s="192"/>
      <c r="AC105" s="192"/>
      <c r="AD105" s="192"/>
      <c r="AE105" s="192"/>
      <c r="AF105" s="192"/>
      <c r="AI105" s="192"/>
      <c r="AJ105" s="192"/>
      <c r="AK105" s="194"/>
      <c r="AL105" s="192"/>
      <c r="AM105" s="141"/>
      <c r="AN105" s="141"/>
    </row>
    <row r="106" spans="1:40" x14ac:dyDescent="0.3">
      <c r="T106" s="99"/>
    </row>
    <row r="107" spans="1:40" x14ac:dyDescent="0.3">
      <c r="L107" s="99"/>
      <c r="M107" s="99"/>
      <c r="AA107" s="99"/>
      <c r="AB107" s="99"/>
    </row>
    <row r="108" spans="1:40" x14ac:dyDescent="0.3">
      <c r="R108" s="99"/>
      <c r="AK108" s="190"/>
      <c r="AL108" s="99"/>
    </row>
    <row r="109" spans="1:40" x14ac:dyDescent="0.3">
      <c r="R109" s="99"/>
      <c r="AK109" s="190"/>
      <c r="AL109" s="99"/>
    </row>
    <row r="110" spans="1:40" x14ac:dyDescent="0.3">
      <c r="A110" s="99"/>
      <c r="R110" s="99"/>
      <c r="AK110" s="190"/>
      <c r="AL110" s="99"/>
    </row>
    <row r="111" spans="1:40" x14ac:dyDescent="0.3">
      <c r="L111" s="99"/>
      <c r="M111" s="99"/>
      <c r="AA111" s="99"/>
      <c r="AB111" s="99"/>
    </row>
    <row r="112" spans="1:40" x14ac:dyDescent="0.3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91"/>
      <c r="AH112" s="101"/>
      <c r="AI112" s="101"/>
      <c r="AJ112" s="101"/>
      <c r="AK112" s="191"/>
      <c r="AL112" s="101"/>
      <c r="AM112" s="101"/>
      <c r="AN112" s="101"/>
    </row>
    <row r="113" spans="1:40" x14ac:dyDescent="0.3">
      <c r="L113" s="102"/>
      <c r="M113" s="102"/>
      <c r="N113" s="102"/>
      <c r="O113" s="102"/>
      <c r="R113" s="102"/>
      <c r="AA113" s="102"/>
      <c r="AB113" s="102"/>
      <c r="AC113" s="102"/>
      <c r="AD113" s="102"/>
      <c r="AE113" s="102"/>
      <c r="AF113" s="102"/>
      <c r="AG113" s="151"/>
      <c r="AH113" s="102"/>
      <c r="AK113" s="151"/>
      <c r="AL113" s="102"/>
      <c r="AM113" s="102"/>
      <c r="AN113" s="102"/>
    </row>
    <row r="114" spans="1:40" x14ac:dyDescent="0.3">
      <c r="L114" s="102"/>
      <c r="M114" s="102"/>
      <c r="N114" s="102"/>
      <c r="O114" s="102"/>
      <c r="R114" s="102"/>
      <c r="Z114" s="102"/>
      <c r="AA114" s="102"/>
      <c r="AB114" s="102"/>
      <c r="AC114" s="102"/>
      <c r="AD114" s="102"/>
      <c r="AE114" s="102"/>
      <c r="AF114" s="102"/>
      <c r="AG114" s="151"/>
      <c r="AH114" s="102"/>
      <c r="AK114" s="151"/>
      <c r="AL114" s="102"/>
      <c r="AM114" s="102"/>
      <c r="AN114" s="102"/>
    </row>
    <row r="115" spans="1:40" x14ac:dyDescent="0.3">
      <c r="A115" s="102"/>
      <c r="C115" s="102"/>
      <c r="D115" s="102"/>
      <c r="E115" s="102"/>
      <c r="F115" s="102"/>
      <c r="J115" s="102"/>
      <c r="K115" s="102"/>
      <c r="L115" s="102"/>
      <c r="M115" s="102"/>
      <c r="N115" s="102"/>
      <c r="O115" s="102"/>
      <c r="P115" s="102"/>
      <c r="Q115" s="102"/>
      <c r="R115" s="102"/>
      <c r="T115" s="102"/>
      <c r="U115" s="102"/>
      <c r="V115" s="102"/>
      <c r="Z115" s="102"/>
      <c r="AA115" s="102"/>
      <c r="AB115" s="102"/>
      <c r="AC115" s="102"/>
      <c r="AD115" s="102"/>
      <c r="AE115" s="102"/>
      <c r="AF115" s="102"/>
      <c r="AG115" s="151"/>
      <c r="AH115" s="102"/>
      <c r="AI115" s="102"/>
      <c r="AJ115" s="102"/>
      <c r="AK115" s="151"/>
      <c r="AL115" s="102"/>
      <c r="AM115" s="102"/>
      <c r="AN115" s="102"/>
    </row>
    <row r="116" spans="1:40" x14ac:dyDescent="0.3">
      <c r="A116" s="102"/>
      <c r="C116" s="102"/>
      <c r="D116" s="102"/>
      <c r="E116" s="102"/>
      <c r="F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T116" s="102"/>
      <c r="U116" s="102"/>
      <c r="V116" s="102"/>
      <c r="Y116" s="102"/>
      <c r="Z116" s="102"/>
      <c r="AA116" s="102"/>
      <c r="AB116" s="102"/>
      <c r="AC116" s="102"/>
      <c r="AD116" s="102"/>
      <c r="AE116" s="102"/>
      <c r="AF116" s="102"/>
      <c r="AG116" s="151"/>
      <c r="AH116" s="102"/>
      <c r="AI116" s="102"/>
      <c r="AJ116" s="102"/>
      <c r="AK116" s="151"/>
      <c r="AL116" s="102"/>
      <c r="AM116" s="102"/>
      <c r="AN116" s="102"/>
    </row>
    <row r="117" spans="1:40" x14ac:dyDescent="0.3">
      <c r="C117" s="102"/>
      <c r="D117" s="102"/>
      <c r="E117" s="102"/>
      <c r="F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T117" s="102"/>
      <c r="U117" s="102"/>
      <c r="V117" s="102"/>
      <c r="Y117" s="102"/>
      <c r="Z117" s="102"/>
      <c r="AA117" s="102"/>
      <c r="AB117" s="102"/>
      <c r="AC117" s="102"/>
      <c r="AD117" s="102"/>
      <c r="AE117" s="102"/>
      <c r="AF117" s="102"/>
      <c r="AG117" s="151"/>
      <c r="AH117" s="102"/>
      <c r="AI117" s="102"/>
      <c r="AJ117" s="102"/>
      <c r="AK117" s="151"/>
      <c r="AL117" s="102"/>
      <c r="AM117" s="102"/>
      <c r="AN117" s="102"/>
    </row>
    <row r="118" spans="1:40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91"/>
      <c r="AH118" s="101"/>
      <c r="AI118" s="101"/>
      <c r="AJ118" s="101"/>
      <c r="AK118" s="191"/>
      <c r="AL118" s="101"/>
      <c r="AM118" s="101"/>
      <c r="AN118" s="101"/>
    </row>
    <row r="119" spans="1:40" x14ac:dyDescent="0.3"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Y119" s="102"/>
      <c r="Z119" s="102"/>
      <c r="AA119" s="102"/>
      <c r="AB119" s="102"/>
      <c r="AC119" s="102"/>
      <c r="AD119" s="102"/>
      <c r="AE119" s="102"/>
      <c r="AF119" s="102"/>
      <c r="AG119" s="151"/>
      <c r="AH119" s="102"/>
      <c r="AI119" s="102"/>
      <c r="AJ119" s="102"/>
      <c r="AK119" s="151"/>
      <c r="AL119" s="102"/>
      <c r="AM119" s="102"/>
      <c r="AN119" s="102"/>
    </row>
    <row r="120" spans="1:40" x14ac:dyDescent="0.3">
      <c r="C120" s="99"/>
      <c r="D120" s="99"/>
      <c r="E120" s="99"/>
      <c r="T120" s="99"/>
      <c r="U120" s="99"/>
    </row>
    <row r="121" spans="1:40" x14ac:dyDescent="0.3">
      <c r="D121" s="99"/>
      <c r="E121" s="99"/>
      <c r="U121" s="99"/>
    </row>
    <row r="123" spans="1:40" x14ac:dyDescent="0.3">
      <c r="C123" s="99"/>
      <c r="F123" s="172"/>
      <c r="H123" s="172"/>
      <c r="I123" s="172"/>
      <c r="J123" s="181"/>
      <c r="K123" s="181"/>
      <c r="L123" s="110"/>
      <c r="M123" s="110"/>
      <c r="N123" s="141"/>
      <c r="O123" s="141"/>
      <c r="R123" s="110"/>
      <c r="T123" s="99"/>
      <c r="V123" s="110"/>
      <c r="Y123" s="172"/>
      <c r="Z123" s="181"/>
      <c r="AA123" s="110"/>
      <c r="AB123" s="110"/>
      <c r="AC123" s="141"/>
      <c r="AD123" s="141"/>
      <c r="AE123" s="110"/>
      <c r="AF123" s="110"/>
      <c r="AG123" s="224"/>
      <c r="AH123" s="225"/>
      <c r="AL123" s="110"/>
      <c r="AM123" s="226"/>
      <c r="AN123" s="226"/>
    </row>
    <row r="124" spans="1:40" x14ac:dyDescent="0.3">
      <c r="C124" s="99"/>
      <c r="F124" s="172"/>
      <c r="H124" s="172"/>
      <c r="I124" s="172"/>
      <c r="J124" s="181"/>
      <c r="K124" s="181"/>
      <c r="L124" s="110"/>
      <c r="M124" s="110"/>
      <c r="N124" s="141"/>
      <c r="O124" s="141"/>
      <c r="R124" s="110"/>
      <c r="T124" s="99"/>
      <c r="V124" s="110"/>
      <c r="Y124" s="172"/>
      <c r="Z124" s="181"/>
      <c r="AA124" s="110"/>
      <c r="AB124" s="110"/>
      <c r="AC124" s="141"/>
      <c r="AD124" s="141"/>
      <c r="AE124" s="110"/>
      <c r="AF124" s="110"/>
      <c r="AH124" s="207"/>
      <c r="AL124" s="110"/>
      <c r="AM124" s="141"/>
      <c r="AN124" s="141"/>
    </row>
    <row r="125" spans="1:40" x14ac:dyDescent="0.3">
      <c r="F125" s="192"/>
      <c r="H125" s="110"/>
      <c r="I125" s="110"/>
      <c r="J125" s="217"/>
      <c r="K125" s="217"/>
      <c r="L125" s="192"/>
      <c r="M125" s="192"/>
      <c r="N125" s="192"/>
      <c r="O125" s="192"/>
      <c r="P125" s="192"/>
      <c r="Q125" s="192"/>
      <c r="R125" s="192"/>
      <c r="V125" s="192"/>
      <c r="Y125" s="110"/>
      <c r="Z125" s="217"/>
      <c r="AA125" s="192"/>
      <c r="AB125" s="192"/>
      <c r="AC125" s="192"/>
      <c r="AD125" s="192"/>
      <c r="AE125" s="192"/>
      <c r="AF125" s="192"/>
      <c r="AI125" s="192"/>
      <c r="AJ125" s="192"/>
      <c r="AK125" s="194"/>
      <c r="AL125" s="192"/>
      <c r="AM125" s="141"/>
      <c r="AN125" s="141"/>
    </row>
    <row r="126" spans="1:40" x14ac:dyDescent="0.3">
      <c r="C126" s="99"/>
      <c r="F126" s="110"/>
      <c r="H126" s="110"/>
      <c r="I126" s="110"/>
      <c r="J126" s="217"/>
      <c r="K126" s="217"/>
      <c r="L126" s="110"/>
      <c r="M126" s="110"/>
      <c r="N126" s="141"/>
      <c r="O126" s="141"/>
      <c r="P126" s="110"/>
      <c r="Q126" s="110"/>
      <c r="R126" s="110"/>
      <c r="T126" s="99"/>
      <c r="V126" s="110"/>
      <c r="Y126" s="110"/>
      <c r="Z126" s="198"/>
      <c r="AA126" s="110"/>
      <c r="AB126" s="110"/>
      <c r="AC126" s="141"/>
      <c r="AD126" s="141"/>
      <c r="AE126" s="110"/>
      <c r="AF126" s="110"/>
      <c r="AH126" s="207"/>
      <c r="AI126" s="110"/>
      <c r="AJ126" s="110"/>
      <c r="AL126" s="110"/>
      <c r="AM126" s="141"/>
      <c r="AN126" s="141"/>
    </row>
    <row r="127" spans="1:40" x14ac:dyDescent="0.3">
      <c r="F127" s="192"/>
      <c r="H127" s="110"/>
      <c r="I127" s="110"/>
      <c r="J127" s="217"/>
      <c r="K127" s="217"/>
      <c r="L127" s="192"/>
      <c r="M127" s="192"/>
      <c r="N127" s="192"/>
      <c r="O127" s="192"/>
      <c r="P127" s="192"/>
      <c r="Q127" s="192"/>
      <c r="R127" s="192"/>
      <c r="V127" s="192"/>
      <c r="Y127" s="110"/>
      <c r="Z127" s="217"/>
      <c r="AA127" s="192"/>
      <c r="AB127" s="192"/>
      <c r="AC127" s="192"/>
      <c r="AD127" s="192"/>
      <c r="AE127" s="192"/>
      <c r="AF127" s="192"/>
      <c r="AI127" s="192"/>
      <c r="AJ127" s="192"/>
      <c r="AK127" s="194"/>
      <c r="AL127" s="192"/>
      <c r="AM127" s="141"/>
      <c r="AN127" s="141"/>
    </row>
    <row r="128" spans="1:40" x14ac:dyDescent="0.3">
      <c r="F128" s="110"/>
      <c r="H128" s="110"/>
      <c r="I128" s="110"/>
      <c r="J128" s="217"/>
      <c r="K128" s="217"/>
      <c r="L128" s="110"/>
      <c r="M128" s="110"/>
      <c r="N128" s="141"/>
      <c r="O128" s="141"/>
      <c r="P128" s="110"/>
      <c r="Q128" s="110"/>
      <c r="R128" s="110"/>
      <c r="V128" s="110"/>
      <c r="Y128" s="110"/>
      <c r="Z128" s="198"/>
      <c r="AA128" s="110"/>
      <c r="AB128" s="110"/>
      <c r="AC128" s="141"/>
      <c r="AD128" s="141"/>
      <c r="AE128" s="110"/>
      <c r="AF128" s="110"/>
      <c r="AH128" s="207"/>
      <c r="AI128" s="110"/>
      <c r="AJ128" s="110"/>
      <c r="AL128" s="110"/>
      <c r="AM128" s="141"/>
      <c r="AN128" s="141"/>
    </row>
    <row r="129" spans="3:40" x14ac:dyDescent="0.3">
      <c r="C129" s="99"/>
      <c r="F129" s="172"/>
      <c r="H129" s="172"/>
      <c r="I129" s="172"/>
      <c r="J129" s="181"/>
      <c r="K129" s="181"/>
      <c r="L129" s="110"/>
      <c r="M129" s="110"/>
      <c r="N129" s="141"/>
      <c r="O129" s="141"/>
      <c r="P129" s="110"/>
      <c r="Q129" s="110"/>
      <c r="R129" s="110"/>
      <c r="T129" s="99"/>
      <c r="V129" s="172"/>
      <c r="Y129" s="110"/>
      <c r="Z129" s="181"/>
      <c r="AA129" s="110"/>
      <c r="AB129" s="110"/>
      <c r="AC129" s="141"/>
      <c r="AD129" s="141"/>
      <c r="AE129" s="110"/>
      <c r="AF129" s="110"/>
      <c r="AG129" s="224"/>
      <c r="AH129" s="225"/>
      <c r="AI129" s="110"/>
      <c r="AJ129" s="110"/>
      <c r="AL129" s="110"/>
      <c r="AM129" s="226"/>
      <c r="AN129" s="226"/>
    </row>
    <row r="130" spans="3:40" x14ac:dyDescent="0.3">
      <c r="C130" s="99"/>
      <c r="F130" s="172"/>
      <c r="H130" s="172"/>
      <c r="I130" s="172"/>
      <c r="J130" s="181"/>
      <c r="K130" s="181"/>
      <c r="L130" s="110"/>
      <c r="M130" s="110"/>
      <c r="N130" s="141"/>
      <c r="O130" s="141"/>
      <c r="P130" s="110"/>
      <c r="Q130" s="110"/>
      <c r="R130" s="110"/>
      <c r="T130" s="99"/>
      <c r="V130" s="172"/>
      <c r="Y130" s="110"/>
      <c r="Z130" s="181"/>
      <c r="AA130" s="110"/>
      <c r="AB130" s="110"/>
      <c r="AC130" s="141"/>
      <c r="AD130" s="141"/>
      <c r="AE130" s="110"/>
      <c r="AF130" s="110"/>
      <c r="AH130" s="207"/>
      <c r="AI130" s="110"/>
      <c r="AJ130" s="110"/>
      <c r="AL130" s="110"/>
      <c r="AM130" s="141"/>
      <c r="AN130" s="141"/>
    </row>
    <row r="131" spans="3:40" x14ac:dyDescent="0.3">
      <c r="F131" s="110"/>
      <c r="H131" s="192"/>
      <c r="I131" s="192"/>
      <c r="J131" s="217"/>
      <c r="K131" s="217"/>
      <c r="L131" s="192"/>
      <c r="M131" s="192"/>
      <c r="N131" s="192"/>
      <c r="O131" s="192"/>
      <c r="P131" s="192"/>
      <c r="Q131" s="192"/>
      <c r="R131" s="192"/>
      <c r="V131" s="110"/>
      <c r="Y131" s="192"/>
      <c r="Z131" s="217"/>
      <c r="AA131" s="192"/>
      <c r="AB131" s="192"/>
      <c r="AC131" s="192"/>
      <c r="AD131" s="192"/>
      <c r="AE131" s="192"/>
      <c r="AF131" s="192"/>
      <c r="AI131" s="192"/>
      <c r="AJ131" s="192"/>
      <c r="AK131" s="194"/>
      <c r="AL131" s="192"/>
      <c r="AM131" s="141"/>
      <c r="AN131" s="141"/>
    </row>
    <row r="132" spans="3:40" x14ac:dyDescent="0.3">
      <c r="C132" s="99"/>
      <c r="F132" s="110"/>
      <c r="H132" s="110"/>
      <c r="I132" s="110"/>
      <c r="J132" s="217"/>
      <c r="K132" s="217"/>
      <c r="L132" s="110"/>
      <c r="M132" s="110"/>
      <c r="N132" s="141"/>
      <c r="O132" s="141"/>
      <c r="P132" s="110"/>
      <c r="Q132" s="110"/>
      <c r="R132" s="110"/>
      <c r="T132" s="99"/>
      <c r="V132" s="110"/>
      <c r="Y132" s="110"/>
      <c r="Z132" s="217"/>
      <c r="AA132" s="110"/>
      <c r="AB132" s="110"/>
      <c r="AC132" s="141"/>
      <c r="AD132" s="141"/>
      <c r="AE132" s="110"/>
      <c r="AF132" s="110"/>
      <c r="AH132" s="207"/>
      <c r="AI132" s="110"/>
      <c r="AJ132" s="110"/>
      <c r="AL132" s="110"/>
      <c r="AM132" s="141"/>
      <c r="AN132" s="141"/>
    </row>
    <row r="133" spans="3:40" x14ac:dyDescent="0.3">
      <c r="F133" s="110"/>
      <c r="H133" s="192"/>
      <c r="I133" s="192"/>
      <c r="J133" s="217"/>
      <c r="K133" s="217"/>
      <c r="L133" s="192"/>
      <c r="M133" s="192"/>
      <c r="N133" s="192"/>
      <c r="O133" s="192"/>
      <c r="P133" s="192"/>
      <c r="Q133" s="192"/>
      <c r="R133" s="192"/>
      <c r="V133" s="110"/>
      <c r="Y133" s="192"/>
      <c r="Z133" s="217"/>
      <c r="AA133" s="192"/>
      <c r="AB133" s="192"/>
      <c r="AC133" s="192"/>
      <c r="AD133" s="192"/>
      <c r="AE133" s="192"/>
      <c r="AF133" s="192"/>
      <c r="AI133" s="192"/>
      <c r="AJ133" s="192"/>
      <c r="AK133" s="194"/>
      <c r="AL133" s="192"/>
      <c r="AM133" s="141"/>
      <c r="AN133" s="141"/>
    </row>
    <row r="134" spans="3:40" x14ac:dyDescent="0.3">
      <c r="F134" s="110"/>
      <c r="H134" s="110"/>
      <c r="I134" s="110"/>
      <c r="J134" s="217"/>
      <c r="K134" s="217"/>
      <c r="L134" s="110"/>
      <c r="M134" s="110"/>
      <c r="N134" s="110"/>
      <c r="O134" s="110"/>
      <c r="P134" s="110"/>
      <c r="Q134" s="110"/>
      <c r="R134" s="110"/>
      <c r="V134" s="110"/>
      <c r="Y134" s="110"/>
      <c r="Z134" s="217"/>
      <c r="AA134" s="110"/>
      <c r="AB134" s="110"/>
      <c r="AC134" s="110"/>
      <c r="AD134" s="110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C135" s="99"/>
      <c r="F135" s="172"/>
      <c r="H135" s="172"/>
      <c r="I135" s="172"/>
      <c r="J135" s="222"/>
      <c r="K135" s="222"/>
      <c r="L135" s="110"/>
      <c r="M135" s="110"/>
      <c r="N135" s="141"/>
      <c r="O135" s="141"/>
      <c r="P135" s="172"/>
      <c r="Q135" s="172"/>
      <c r="R135" s="110"/>
      <c r="T135" s="99"/>
      <c r="V135" s="172"/>
      <c r="Y135" s="172"/>
      <c r="Z135" s="227"/>
      <c r="AA135" s="110"/>
      <c r="AB135" s="110"/>
      <c r="AC135" s="141"/>
      <c r="AD135" s="141"/>
      <c r="AE135" s="110"/>
      <c r="AF135" s="110"/>
      <c r="AH135" s="207"/>
      <c r="AI135" s="172"/>
      <c r="AJ135" s="172"/>
      <c r="AL135" s="110"/>
      <c r="AM135" s="141"/>
      <c r="AN135" s="141"/>
    </row>
    <row r="136" spans="3:40" x14ac:dyDescent="0.3">
      <c r="C136" s="99"/>
      <c r="F136" s="172"/>
      <c r="H136" s="172"/>
      <c r="I136" s="172"/>
      <c r="J136" s="222"/>
      <c r="K136" s="222"/>
      <c r="L136" s="110"/>
      <c r="M136" s="110"/>
      <c r="N136" s="141"/>
      <c r="O136" s="141"/>
      <c r="P136" s="172"/>
      <c r="Q136" s="172"/>
      <c r="R136" s="110"/>
      <c r="T136" s="99"/>
      <c r="V136" s="172"/>
      <c r="Y136" s="110"/>
      <c r="Z136" s="216"/>
      <c r="AA136" s="110"/>
      <c r="AB136" s="110"/>
      <c r="AC136" s="141"/>
      <c r="AD136" s="141"/>
      <c r="AE136" s="110"/>
      <c r="AF136" s="110"/>
      <c r="AH136" s="207"/>
      <c r="AI136" s="172"/>
      <c r="AJ136" s="172"/>
      <c r="AL136" s="110"/>
      <c r="AM136" s="141"/>
      <c r="AN136" s="141"/>
    </row>
    <row r="137" spans="3:40" x14ac:dyDescent="0.3">
      <c r="C137" s="99"/>
      <c r="F137" s="172"/>
      <c r="H137" s="172"/>
      <c r="I137" s="172"/>
      <c r="J137" s="222"/>
      <c r="K137" s="222"/>
      <c r="L137" s="110"/>
      <c r="M137" s="110"/>
      <c r="N137" s="141"/>
      <c r="O137" s="141"/>
      <c r="P137" s="172"/>
      <c r="Q137" s="172"/>
      <c r="R137" s="110"/>
      <c r="T137" s="99"/>
      <c r="V137" s="172"/>
      <c r="Y137" s="110"/>
      <c r="Z137" s="216"/>
      <c r="AA137" s="110"/>
      <c r="AB137" s="110"/>
      <c r="AC137" s="141"/>
      <c r="AD137" s="141"/>
      <c r="AE137" s="110"/>
      <c r="AF137" s="110"/>
      <c r="AH137" s="207"/>
      <c r="AI137" s="172"/>
      <c r="AJ137" s="172"/>
      <c r="AL137" s="110"/>
      <c r="AM137" s="141"/>
      <c r="AN137" s="141"/>
    </row>
    <row r="138" spans="3:40" x14ac:dyDescent="0.3">
      <c r="F138" s="192"/>
      <c r="H138" s="192"/>
      <c r="I138" s="192"/>
      <c r="J138" s="217"/>
      <c r="K138" s="217"/>
      <c r="L138" s="192"/>
      <c r="M138" s="192"/>
      <c r="N138" s="192"/>
      <c r="O138" s="192"/>
      <c r="P138" s="192"/>
      <c r="Q138" s="192"/>
      <c r="R138" s="192"/>
      <c r="V138" s="192"/>
      <c r="Y138" s="192"/>
      <c r="Z138" s="217"/>
      <c r="AA138" s="192"/>
      <c r="AB138" s="192"/>
      <c r="AC138" s="192"/>
      <c r="AD138" s="192"/>
      <c r="AE138" s="192"/>
      <c r="AF138" s="192"/>
      <c r="AI138" s="192"/>
      <c r="AJ138" s="192"/>
      <c r="AK138" s="194"/>
      <c r="AL138" s="192"/>
      <c r="AM138" s="141"/>
      <c r="AN138" s="141"/>
    </row>
    <row r="139" spans="3:40" x14ac:dyDescent="0.3">
      <c r="C139" s="99"/>
      <c r="F139" s="110"/>
      <c r="H139" s="110"/>
      <c r="I139" s="110"/>
      <c r="J139" s="198"/>
      <c r="K139" s="198"/>
      <c r="L139" s="110"/>
      <c r="M139" s="110"/>
      <c r="N139" s="141"/>
      <c r="O139" s="141"/>
      <c r="P139" s="110"/>
      <c r="Q139" s="110"/>
      <c r="R139" s="110"/>
      <c r="T139" s="99"/>
      <c r="V139" s="110"/>
      <c r="Y139" s="110"/>
      <c r="Z139" s="198"/>
      <c r="AA139" s="110"/>
      <c r="AB139" s="110"/>
      <c r="AC139" s="141"/>
      <c r="AD139" s="141"/>
      <c r="AE139" s="110"/>
      <c r="AF139" s="110"/>
      <c r="AH139" s="207"/>
      <c r="AI139" s="110"/>
      <c r="AJ139" s="110"/>
      <c r="AL139" s="110"/>
      <c r="AM139" s="141"/>
      <c r="AN139" s="141"/>
    </row>
    <row r="140" spans="3:40" x14ac:dyDescent="0.3">
      <c r="F140" s="192"/>
      <c r="H140" s="192"/>
      <c r="I140" s="192"/>
      <c r="J140" s="217"/>
      <c r="K140" s="217"/>
      <c r="L140" s="192"/>
      <c r="M140" s="192"/>
      <c r="N140" s="192"/>
      <c r="O140" s="192"/>
      <c r="P140" s="192"/>
      <c r="Q140" s="192"/>
      <c r="R140" s="192"/>
      <c r="V140" s="192"/>
      <c r="Y140" s="192"/>
      <c r="Z140" s="217"/>
      <c r="AA140" s="192"/>
      <c r="AB140" s="192"/>
      <c r="AC140" s="192"/>
      <c r="AD140" s="192"/>
      <c r="AE140" s="192"/>
      <c r="AF140" s="192"/>
      <c r="AI140" s="192"/>
      <c r="AJ140" s="192"/>
      <c r="AK140" s="194"/>
      <c r="AL140" s="192"/>
      <c r="AM140" s="141"/>
      <c r="AN140" s="141"/>
    </row>
    <row r="141" spans="3:40" x14ac:dyDescent="0.3">
      <c r="C141" s="99"/>
      <c r="F141" s="110"/>
      <c r="H141" s="110"/>
      <c r="I141" s="110"/>
      <c r="J141" s="198"/>
      <c r="K141" s="198"/>
      <c r="L141" s="110"/>
      <c r="M141" s="110"/>
      <c r="N141" s="141"/>
      <c r="O141" s="141"/>
      <c r="P141" s="110"/>
      <c r="Q141" s="110"/>
      <c r="R141" s="110"/>
      <c r="T141" s="99"/>
      <c r="V141" s="110"/>
      <c r="Y141" s="110"/>
      <c r="Z141" s="198"/>
      <c r="AA141" s="110"/>
      <c r="AB141" s="110"/>
      <c r="AC141" s="141"/>
      <c r="AD141" s="141"/>
      <c r="AE141" s="110"/>
      <c r="AF141" s="110"/>
      <c r="AH141" s="207"/>
      <c r="AI141" s="110"/>
      <c r="AJ141" s="110"/>
      <c r="AL141" s="110"/>
      <c r="AM141" s="141"/>
      <c r="AN141" s="141"/>
    </row>
    <row r="142" spans="3:40" x14ac:dyDescent="0.3">
      <c r="C142" s="99"/>
      <c r="F142" s="110"/>
      <c r="H142" s="110"/>
      <c r="I142" s="110"/>
      <c r="J142" s="198"/>
      <c r="K142" s="198"/>
      <c r="L142" s="110"/>
      <c r="M142" s="110"/>
      <c r="N142" s="141"/>
      <c r="O142" s="141"/>
      <c r="P142" s="110"/>
      <c r="Q142" s="110"/>
      <c r="R142" s="110"/>
      <c r="T142" s="99"/>
      <c r="V142" s="110"/>
      <c r="Y142" s="110"/>
      <c r="Z142" s="198"/>
      <c r="AA142" s="110"/>
      <c r="AB142" s="110"/>
      <c r="AC142" s="141"/>
      <c r="AD142" s="141"/>
      <c r="AE142" s="110"/>
      <c r="AF142" s="110"/>
      <c r="AH142" s="207"/>
      <c r="AI142" s="110"/>
      <c r="AJ142" s="110"/>
      <c r="AL142" s="110"/>
      <c r="AM142" s="141"/>
      <c r="AN142" s="141"/>
    </row>
    <row r="143" spans="3:40" x14ac:dyDescent="0.3">
      <c r="F143" s="192"/>
      <c r="H143" s="192"/>
      <c r="I143" s="192"/>
      <c r="J143" s="217"/>
      <c r="K143" s="217"/>
      <c r="L143" s="192"/>
      <c r="M143" s="192"/>
      <c r="N143" s="192"/>
      <c r="O143" s="192"/>
      <c r="P143" s="192"/>
      <c r="Q143" s="192"/>
      <c r="R143" s="192"/>
      <c r="V143" s="192"/>
      <c r="Y143" s="192"/>
      <c r="Z143" s="217"/>
      <c r="AA143" s="192"/>
      <c r="AB143" s="192"/>
      <c r="AC143" s="192"/>
      <c r="AD143" s="192"/>
      <c r="AE143" s="192"/>
      <c r="AF143" s="192"/>
      <c r="AI143" s="192"/>
      <c r="AJ143" s="192"/>
      <c r="AK143" s="194"/>
      <c r="AL143" s="192"/>
      <c r="AM143" s="110"/>
      <c r="AN143" s="110"/>
    </row>
    <row r="144" spans="3:40" x14ac:dyDescent="0.3">
      <c r="F144" s="110"/>
      <c r="H144" s="110"/>
      <c r="I144" s="110"/>
      <c r="J144" s="198"/>
      <c r="K144" s="198"/>
      <c r="L144" s="110"/>
      <c r="M144" s="110"/>
      <c r="N144" s="110"/>
      <c r="O144" s="110"/>
      <c r="P144" s="110"/>
      <c r="Q144" s="110"/>
      <c r="R144" s="110"/>
      <c r="V144" s="110"/>
      <c r="Y144" s="110"/>
      <c r="Z144" s="198"/>
      <c r="AA144" s="110"/>
      <c r="AB144" s="110"/>
      <c r="AC144" s="110"/>
      <c r="AD144" s="110"/>
    </row>
    <row r="145" spans="1:40" x14ac:dyDescent="0.3">
      <c r="C145" s="99"/>
      <c r="F145" s="110"/>
      <c r="H145" s="110"/>
      <c r="I145" s="110"/>
      <c r="J145" s="198"/>
      <c r="K145" s="198"/>
      <c r="L145" s="110"/>
      <c r="M145" s="110"/>
      <c r="N145" s="110"/>
      <c r="O145" s="110"/>
      <c r="P145" s="110"/>
      <c r="Q145" s="110"/>
      <c r="R145" s="110"/>
      <c r="T145" s="99"/>
      <c r="V145" s="110"/>
      <c r="Y145" s="110"/>
      <c r="Z145" s="198"/>
      <c r="AA145" s="110"/>
      <c r="AB145" s="110"/>
      <c r="AC145" s="110"/>
      <c r="AD145" s="110"/>
    </row>
    <row r="146" spans="1:40" x14ac:dyDescent="0.3">
      <c r="A146" s="99"/>
    </row>
    <row r="148" spans="1:40" x14ac:dyDescent="0.3">
      <c r="H148" s="99"/>
      <c r="I148" s="99"/>
      <c r="Y148" s="99"/>
    </row>
    <row r="150" spans="1:40" x14ac:dyDescent="0.3">
      <c r="L150" s="99"/>
      <c r="M150" s="99"/>
      <c r="AA150" s="99"/>
      <c r="AB150" s="99"/>
    </row>
    <row r="151" spans="1:40" x14ac:dyDescent="0.3">
      <c r="R151" s="99"/>
      <c r="AK151" s="190"/>
      <c r="AL151" s="99"/>
    </row>
    <row r="152" spans="1:40" x14ac:dyDescent="0.3">
      <c r="R152" s="99"/>
      <c r="AK152" s="190"/>
      <c r="AL152" s="99"/>
    </row>
    <row r="153" spans="1:40" x14ac:dyDescent="0.3">
      <c r="A153" s="99"/>
      <c r="R153" s="99"/>
      <c r="AK153" s="190"/>
      <c r="AL153" s="99"/>
    </row>
    <row r="154" spans="1:40" x14ac:dyDescent="0.3">
      <c r="L154" s="99"/>
      <c r="M154" s="99"/>
      <c r="AA154" s="99"/>
      <c r="AB154" s="99"/>
    </row>
    <row r="155" spans="1:40" x14ac:dyDescent="0.3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91"/>
      <c r="AH155" s="101"/>
      <c r="AI155" s="101"/>
      <c r="AJ155" s="101"/>
      <c r="AK155" s="191"/>
      <c r="AL155" s="101"/>
      <c r="AM155" s="101"/>
      <c r="AN155" s="101"/>
    </row>
    <row r="156" spans="1:40" x14ac:dyDescent="0.3">
      <c r="L156" s="102"/>
      <c r="M156" s="102"/>
      <c r="N156" s="102"/>
      <c r="O156" s="102"/>
      <c r="R156" s="102"/>
      <c r="AA156" s="102"/>
      <c r="AB156" s="102"/>
      <c r="AC156" s="102"/>
      <c r="AD156" s="102"/>
      <c r="AE156" s="102"/>
      <c r="AF156" s="102"/>
      <c r="AG156" s="151"/>
      <c r="AH156" s="102"/>
      <c r="AK156" s="151"/>
      <c r="AL156" s="102"/>
      <c r="AM156" s="102"/>
      <c r="AN156" s="102"/>
    </row>
    <row r="157" spans="1:40" x14ac:dyDescent="0.3">
      <c r="L157" s="102"/>
      <c r="M157" s="102"/>
      <c r="N157" s="102"/>
      <c r="O157" s="102"/>
      <c r="R157" s="102"/>
      <c r="Z157" s="102"/>
      <c r="AA157" s="102"/>
      <c r="AB157" s="102"/>
      <c r="AC157" s="102"/>
      <c r="AD157" s="102"/>
      <c r="AE157" s="102"/>
      <c r="AF157" s="102"/>
      <c r="AG157" s="151"/>
      <c r="AH157" s="102"/>
      <c r="AK157" s="151"/>
      <c r="AL157" s="102"/>
      <c r="AM157" s="102"/>
      <c r="AN157" s="102"/>
    </row>
    <row r="158" spans="1:40" x14ac:dyDescent="0.3">
      <c r="A158" s="102"/>
      <c r="C158" s="102"/>
      <c r="D158" s="102"/>
      <c r="E158" s="102"/>
      <c r="F158" s="102"/>
      <c r="J158" s="102"/>
      <c r="K158" s="102"/>
      <c r="L158" s="102"/>
      <c r="M158" s="102"/>
      <c r="N158" s="102"/>
      <c r="O158" s="102"/>
      <c r="P158" s="102"/>
      <c r="Q158" s="102"/>
      <c r="R158" s="102"/>
      <c r="T158" s="102"/>
      <c r="U158" s="102"/>
      <c r="V158" s="102"/>
      <c r="Z158" s="102"/>
      <c r="AA158" s="102"/>
      <c r="AB158" s="102"/>
      <c r="AC158" s="102"/>
      <c r="AD158" s="102"/>
      <c r="AE158" s="102"/>
      <c r="AF158" s="102"/>
      <c r="AG158" s="151"/>
      <c r="AH158" s="102"/>
      <c r="AI158" s="102"/>
      <c r="AJ158" s="102"/>
      <c r="AK158" s="151"/>
      <c r="AL158" s="102"/>
      <c r="AM158" s="102"/>
      <c r="AN158" s="102"/>
    </row>
    <row r="159" spans="1:40" x14ac:dyDescent="0.3">
      <c r="A159" s="102"/>
      <c r="C159" s="102"/>
      <c r="D159" s="102"/>
      <c r="E159" s="102"/>
      <c r="F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T159" s="102"/>
      <c r="U159" s="102"/>
      <c r="V159" s="102"/>
      <c r="Y159" s="102"/>
      <c r="Z159" s="102"/>
      <c r="AA159" s="102"/>
      <c r="AB159" s="102"/>
      <c r="AC159" s="102"/>
      <c r="AD159" s="102"/>
      <c r="AE159" s="102"/>
      <c r="AF159" s="102"/>
      <c r="AG159" s="151"/>
      <c r="AH159" s="102"/>
      <c r="AI159" s="102"/>
      <c r="AJ159" s="102"/>
      <c r="AK159" s="151"/>
      <c r="AL159" s="102"/>
      <c r="AM159" s="102"/>
      <c r="AN159" s="102"/>
    </row>
    <row r="160" spans="1:40" x14ac:dyDescent="0.3">
      <c r="C160" s="102"/>
      <c r="D160" s="102"/>
      <c r="E160" s="102"/>
      <c r="F160" s="102"/>
      <c r="H160" s="102"/>
      <c r="I160" s="102"/>
      <c r="J160" s="102"/>
      <c r="K160" s="102"/>
      <c r="L160" s="102"/>
      <c r="M160" s="102"/>
      <c r="N160" s="102"/>
      <c r="O160" s="102"/>
      <c r="P160" s="102"/>
      <c r="Q160" s="102"/>
      <c r="R160" s="102"/>
      <c r="T160" s="102"/>
      <c r="U160" s="102"/>
      <c r="V160" s="102"/>
      <c r="Y160" s="102"/>
      <c r="Z160" s="102"/>
      <c r="AA160" s="102"/>
      <c r="AB160" s="102"/>
      <c r="AC160" s="102"/>
      <c r="AD160" s="102"/>
      <c r="AE160" s="102"/>
      <c r="AF160" s="102"/>
      <c r="AG160" s="151"/>
      <c r="AH160" s="102"/>
      <c r="AI160" s="102"/>
      <c r="AJ160" s="102"/>
      <c r="AK160" s="151"/>
      <c r="AL160" s="102"/>
      <c r="AM160" s="102"/>
      <c r="AN160" s="102"/>
    </row>
    <row r="161" spans="1:40" x14ac:dyDescent="0.3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91"/>
      <c r="AH161" s="101"/>
      <c r="AI161" s="101"/>
      <c r="AJ161" s="101"/>
      <c r="AK161" s="191"/>
      <c r="AL161" s="101"/>
      <c r="AM161" s="101"/>
      <c r="AN161" s="101"/>
    </row>
    <row r="162" spans="1:40" x14ac:dyDescent="0.3"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Y162" s="102"/>
      <c r="Z162" s="102"/>
      <c r="AA162" s="102"/>
      <c r="AB162" s="102"/>
      <c r="AC162" s="102"/>
      <c r="AD162" s="102"/>
      <c r="AE162" s="102"/>
      <c r="AF162" s="102"/>
      <c r="AG162" s="151"/>
      <c r="AH162" s="102"/>
      <c r="AI162" s="102"/>
      <c r="AJ162" s="102"/>
      <c r="AK162" s="151"/>
      <c r="AL162" s="102"/>
      <c r="AM162" s="102"/>
      <c r="AN162" s="102"/>
    </row>
    <row r="163" spans="1:40" x14ac:dyDescent="0.3">
      <c r="C163" s="99"/>
      <c r="D163" s="99"/>
      <c r="E163" s="99"/>
      <c r="T163" s="99"/>
      <c r="U163" s="99"/>
    </row>
    <row r="165" spans="1:40" x14ac:dyDescent="0.3">
      <c r="C165" s="99"/>
      <c r="F165" s="172"/>
      <c r="H165" s="220"/>
      <c r="I165" s="220"/>
      <c r="J165" s="181"/>
      <c r="K165" s="181"/>
      <c r="L165" s="110"/>
      <c r="M165" s="110"/>
      <c r="R165" s="110"/>
      <c r="T165" s="99"/>
      <c r="V165" s="110"/>
      <c r="Z165" s="181"/>
      <c r="AA165" s="110"/>
      <c r="AB165" s="110"/>
      <c r="AE165" s="110"/>
      <c r="AF165" s="110"/>
      <c r="AG165" s="224"/>
      <c r="AH165" s="225"/>
      <c r="AI165" s="110"/>
      <c r="AJ165" s="110"/>
      <c r="AL165" s="110"/>
      <c r="AM165" s="226"/>
      <c r="AN165" s="226"/>
    </row>
    <row r="166" spans="1:40" x14ac:dyDescent="0.3">
      <c r="F166" s="172"/>
      <c r="H166" s="220"/>
      <c r="I166" s="220"/>
      <c r="J166" s="220"/>
      <c r="K166" s="220"/>
      <c r="R166" s="110"/>
      <c r="V166" s="110"/>
      <c r="Z166" s="220"/>
    </row>
    <row r="167" spans="1:40" x14ac:dyDescent="0.3">
      <c r="C167" s="99"/>
      <c r="F167" s="172"/>
      <c r="H167" s="172"/>
      <c r="I167" s="172"/>
      <c r="J167" s="222"/>
      <c r="K167" s="222"/>
      <c r="L167" s="110"/>
      <c r="M167" s="110"/>
      <c r="N167" s="141"/>
      <c r="O167" s="141"/>
      <c r="P167" s="172"/>
      <c r="Q167" s="172"/>
      <c r="R167" s="110"/>
      <c r="T167" s="99"/>
      <c r="V167" s="110"/>
      <c r="Y167" s="110"/>
      <c r="Z167" s="216"/>
      <c r="AA167" s="110"/>
      <c r="AB167" s="110"/>
      <c r="AC167" s="141"/>
      <c r="AD167" s="141"/>
      <c r="AE167" s="110"/>
      <c r="AF167" s="110"/>
      <c r="AH167" s="207"/>
      <c r="AI167" s="172"/>
      <c r="AJ167" s="172"/>
      <c r="AL167" s="110"/>
      <c r="AM167" s="141"/>
      <c r="AN167" s="141"/>
    </row>
    <row r="168" spans="1:40" x14ac:dyDescent="0.3">
      <c r="F168" s="192"/>
      <c r="H168" s="192"/>
      <c r="I168" s="192"/>
      <c r="J168" s="217"/>
      <c r="K168" s="217"/>
      <c r="L168" s="192"/>
      <c r="M168" s="192"/>
      <c r="N168" s="192"/>
      <c r="O168" s="192"/>
      <c r="P168" s="192"/>
      <c r="Q168" s="192"/>
      <c r="R168" s="192"/>
      <c r="V168" s="192"/>
      <c r="Y168" s="192"/>
      <c r="Z168" s="217"/>
      <c r="AA168" s="192"/>
      <c r="AB168" s="192"/>
      <c r="AC168" s="192"/>
      <c r="AD168" s="192"/>
      <c r="AE168" s="192"/>
      <c r="AF168" s="192"/>
      <c r="AI168" s="192"/>
      <c r="AJ168" s="192"/>
      <c r="AK168" s="194"/>
      <c r="AL168" s="192"/>
    </row>
    <row r="169" spans="1:40" x14ac:dyDescent="0.3">
      <c r="D169" s="99"/>
      <c r="E169" s="99"/>
      <c r="F169" s="110"/>
      <c r="H169" s="110"/>
      <c r="I169" s="110"/>
      <c r="J169" s="198"/>
      <c r="K169" s="198"/>
      <c r="L169" s="110"/>
      <c r="M169" s="110"/>
      <c r="N169" s="141"/>
      <c r="O169" s="141"/>
      <c r="P169" s="110"/>
      <c r="Q169" s="110"/>
      <c r="R169" s="110"/>
      <c r="U169" s="99"/>
      <c r="V169" s="110"/>
      <c r="Y169" s="110"/>
      <c r="Z169" s="198"/>
      <c r="AA169" s="110"/>
      <c r="AB169" s="110"/>
      <c r="AC169" s="141"/>
      <c r="AD169" s="141"/>
      <c r="AE169" s="110"/>
      <c r="AF169" s="110"/>
      <c r="AH169" s="207"/>
      <c r="AI169" s="110"/>
      <c r="AJ169" s="110"/>
      <c r="AL169" s="110"/>
      <c r="AM169" s="141"/>
      <c r="AN169" s="141"/>
    </row>
    <row r="170" spans="1:40" x14ac:dyDescent="0.3">
      <c r="F170" s="192"/>
      <c r="H170" s="192"/>
      <c r="I170" s="192"/>
      <c r="J170" s="217"/>
      <c r="K170" s="217"/>
      <c r="L170" s="192"/>
      <c r="M170" s="192"/>
      <c r="N170" s="192"/>
      <c r="O170" s="192"/>
      <c r="P170" s="192"/>
      <c r="Q170" s="192"/>
      <c r="R170" s="192"/>
      <c r="V170" s="192"/>
      <c r="Y170" s="192"/>
      <c r="Z170" s="217"/>
      <c r="AA170" s="192"/>
      <c r="AB170" s="192"/>
      <c r="AC170" s="192"/>
      <c r="AD170" s="192"/>
      <c r="AE170" s="192"/>
      <c r="AF170" s="192"/>
      <c r="AI170" s="192"/>
      <c r="AJ170" s="192"/>
      <c r="AK170" s="194"/>
      <c r="AL170" s="192"/>
    </row>
    <row r="171" spans="1:40" x14ac:dyDescent="0.3">
      <c r="R171" s="110"/>
    </row>
    <row r="172" spans="1:40" x14ac:dyDescent="0.3">
      <c r="R172" s="110"/>
    </row>
    <row r="173" spans="1:40" x14ac:dyDescent="0.3">
      <c r="R173" s="110"/>
    </row>
    <row r="174" spans="1:40" x14ac:dyDescent="0.3">
      <c r="C174" s="99"/>
      <c r="D174" s="99"/>
      <c r="E174" s="99"/>
      <c r="H174" s="110"/>
      <c r="I174" s="110"/>
      <c r="J174" s="198"/>
      <c r="K174" s="198"/>
      <c r="L174" s="110"/>
      <c r="M174" s="110"/>
      <c r="N174" s="141"/>
      <c r="O174" s="141"/>
      <c r="P174" s="110"/>
      <c r="Q174" s="110"/>
      <c r="R174" s="110"/>
      <c r="T174" s="99"/>
      <c r="U174" s="99"/>
      <c r="Y174" s="110"/>
      <c r="Z174" s="198"/>
      <c r="AA174" s="110"/>
      <c r="AB174" s="110"/>
      <c r="AC174" s="141"/>
      <c r="AD174" s="141"/>
    </row>
    <row r="175" spans="1:40" x14ac:dyDescent="0.3">
      <c r="H175" s="110"/>
      <c r="I175" s="110"/>
      <c r="J175" s="198"/>
      <c r="K175" s="198"/>
      <c r="L175" s="110"/>
      <c r="M175" s="110"/>
      <c r="N175" s="141"/>
      <c r="O175" s="141"/>
      <c r="P175" s="110"/>
      <c r="Q175" s="110"/>
      <c r="R175" s="110"/>
      <c r="Y175" s="110"/>
      <c r="Z175" s="198"/>
      <c r="AA175" s="110"/>
      <c r="AB175" s="110"/>
      <c r="AC175" s="141"/>
      <c r="AD175" s="141"/>
    </row>
    <row r="176" spans="1:40" x14ac:dyDescent="0.3">
      <c r="C176" s="99"/>
      <c r="F176" s="172"/>
      <c r="H176" s="172"/>
      <c r="I176" s="172"/>
      <c r="J176" s="208"/>
      <c r="K176" s="208"/>
      <c r="L176" s="172"/>
      <c r="M176" s="172"/>
      <c r="N176" s="141"/>
      <c r="O176" s="141"/>
      <c r="P176" s="110"/>
      <c r="Q176" s="110"/>
      <c r="R176" s="110"/>
      <c r="T176" s="99"/>
      <c r="V176" s="110"/>
      <c r="Y176" s="110"/>
      <c r="Z176" s="208"/>
      <c r="AA176" s="110"/>
      <c r="AB176" s="110"/>
      <c r="AC176" s="141"/>
      <c r="AD176" s="141"/>
      <c r="AE176" s="110"/>
      <c r="AF176" s="110"/>
      <c r="AH176" s="207"/>
      <c r="AI176" s="110"/>
      <c r="AJ176" s="110"/>
      <c r="AL176" s="110"/>
      <c r="AM176" s="141"/>
      <c r="AN176" s="141"/>
    </row>
    <row r="177" spans="1:40" x14ac:dyDescent="0.3">
      <c r="F177" s="172"/>
      <c r="H177" s="220"/>
      <c r="I177" s="220"/>
      <c r="J177" s="220"/>
      <c r="K177" s="220"/>
      <c r="R177" s="110"/>
      <c r="V177" s="110"/>
      <c r="Z177" s="220"/>
    </row>
    <row r="178" spans="1:40" x14ac:dyDescent="0.3">
      <c r="C178" s="99"/>
      <c r="F178" s="172"/>
      <c r="H178" s="172"/>
      <c r="I178" s="172"/>
      <c r="J178" s="181"/>
      <c r="K178" s="181"/>
      <c r="L178" s="110"/>
      <c r="M178" s="110"/>
      <c r="N178" s="141"/>
      <c r="O178" s="141"/>
      <c r="P178" s="110"/>
      <c r="Q178" s="110"/>
      <c r="R178" s="110"/>
      <c r="T178" s="99"/>
      <c r="V178" s="110"/>
      <c r="Y178" s="110"/>
      <c r="Z178" s="181"/>
      <c r="AA178" s="110"/>
      <c r="AB178" s="110"/>
      <c r="AC178" s="141"/>
      <c r="AD178" s="141"/>
      <c r="AE178" s="110"/>
      <c r="AF178" s="110"/>
      <c r="AH178" s="207"/>
      <c r="AI178" s="110"/>
      <c r="AJ178" s="110"/>
      <c r="AL178" s="110"/>
      <c r="AM178" s="141"/>
      <c r="AN178" s="141"/>
    </row>
    <row r="179" spans="1:40" x14ac:dyDescent="0.3">
      <c r="F179" s="172"/>
      <c r="H179" s="220"/>
      <c r="I179" s="220"/>
      <c r="J179" s="220"/>
      <c r="K179" s="220"/>
      <c r="R179" s="110"/>
      <c r="V179" s="110"/>
      <c r="Z179" s="220"/>
    </row>
    <row r="180" spans="1:40" x14ac:dyDescent="0.3">
      <c r="C180" s="99"/>
      <c r="F180" s="172"/>
      <c r="H180" s="172"/>
      <c r="I180" s="172"/>
      <c r="J180" s="222"/>
      <c r="K180" s="222"/>
      <c r="L180" s="110"/>
      <c r="M180" s="110"/>
      <c r="N180" s="141"/>
      <c r="O180" s="141"/>
      <c r="P180" s="110"/>
      <c r="Q180" s="110"/>
      <c r="R180" s="110"/>
      <c r="T180" s="99"/>
      <c r="V180" s="110"/>
      <c r="Y180" s="110"/>
      <c r="Z180" s="216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1:40" x14ac:dyDescent="0.3">
      <c r="F181" s="192"/>
      <c r="H181" s="192"/>
      <c r="I181" s="192"/>
      <c r="J181" s="217"/>
      <c r="K181" s="217"/>
      <c r="L181" s="192"/>
      <c r="M181" s="192"/>
      <c r="N181" s="192"/>
      <c r="O181" s="192"/>
      <c r="P181" s="192"/>
      <c r="Q181" s="192"/>
      <c r="R181" s="192"/>
      <c r="S181" s="110"/>
      <c r="V181" s="192"/>
      <c r="Y181" s="192"/>
      <c r="Z181" s="217"/>
      <c r="AA181" s="192"/>
      <c r="AB181" s="192"/>
      <c r="AC181" s="192"/>
      <c r="AD181" s="192"/>
      <c r="AE181" s="192"/>
      <c r="AF181" s="192"/>
      <c r="AI181" s="192"/>
      <c r="AJ181" s="192"/>
      <c r="AK181" s="194"/>
      <c r="AL181" s="192"/>
    </row>
    <row r="182" spans="1:40" x14ac:dyDescent="0.3">
      <c r="D182" s="99"/>
      <c r="E182" s="99"/>
      <c r="F182" s="110"/>
      <c r="H182" s="110"/>
      <c r="I182" s="110"/>
      <c r="J182" s="198"/>
      <c r="K182" s="198"/>
      <c r="L182" s="110"/>
      <c r="M182" s="110"/>
      <c r="N182" s="141"/>
      <c r="O182" s="141"/>
      <c r="P182" s="172"/>
      <c r="Q182" s="172"/>
      <c r="R182" s="110"/>
      <c r="S182" s="110"/>
      <c r="U182" s="99"/>
      <c r="V182" s="110"/>
      <c r="Y182" s="110"/>
      <c r="Z182" s="198"/>
      <c r="AA182" s="110"/>
      <c r="AB182" s="110"/>
      <c r="AC182" s="141"/>
      <c r="AD182" s="141"/>
      <c r="AE182" s="110"/>
      <c r="AF182" s="110"/>
      <c r="AH182" s="207"/>
      <c r="AI182" s="172"/>
      <c r="AJ182" s="172"/>
      <c r="AL182" s="110"/>
      <c r="AM182" s="141"/>
      <c r="AN182" s="141"/>
    </row>
    <row r="183" spans="1:40" x14ac:dyDescent="0.3">
      <c r="F183" s="192"/>
      <c r="H183" s="192"/>
      <c r="I183" s="192"/>
      <c r="J183" s="217"/>
      <c r="K183" s="217"/>
      <c r="L183" s="192"/>
      <c r="M183" s="192"/>
      <c r="N183" s="192"/>
      <c r="O183" s="192"/>
      <c r="P183" s="192"/>
      <c r="Q183" s="192"/>
      <c r="R183" s="192"/>
      <c r="S183" s="110"/>
      <c r="V183" s="192"/>
      <c r="Y183" s="192"/>
      <c r="Z183" s="217"/>
      <c r="AA183" s="192"/>
      <c r="AB183" s="192"/>
      <c r="AC183" s="192"/>
      <c r="AD183" s="192"/>
      <c r="AE183" s="192"/>
      <c r="AF183" s="192"/>
      <c r="AI183" s="192"/>
      <c r="AJ183" s="192"/>
      <c r="AK183" s="194"/>
      <c r="AL183" s="192"/>
    </row>
    <row r="184" spans="1:40" x14ac:dyDescent="0.3">
      <c r="R184" s="110"/>
    </row>
    <row r="185" spans="1:40" x14ac:dyDescent="0.3">
      <c r="F185" s="110"/>
      <c r="H185" s="110"/>
      <c r="I185" s="110"/>
      <c r="J185" s="198"/>
      <c r="K185" s="198"/>
      <c r="L185" s="110"/>
      <c r="M185" s="110"/>
      <c r="N185" s="110"/>
      <c r="O185" s="110"/>
      <c r="P185" s="110"/>
      <c r="Q185" s="110"/>
      <c r="R185" s="110"/>
      <c r="V185" s="110"/>
      <c r="Y185" s="110"/>
      <c r="Z185" s="198"/>
      <c r="AA185" s="110"/>
      <c r="AB185" s="110"/>
      <c r="AC185" s="110"/>
      <c r="AD185" s="110"/>
    </row>
    <row r="186" spans="1:40" x14ac:dyDescent="0.3">
      <c r="C186" s="99"/>
      <c r="F186" s="110"/>
      <c r="H186" s="110"/>
      <c r="I186" s="110"/>
      <c r="J186" s="198"/>
      <c r="K186" s="198"/>
      <c r="L186" s="110"/>
      <c r="M186" s="110"/>
      <c r="N186" s="110"/>
      <c r="O186" s="110"/>
      <c r="P186" s="110"/>
      <c r="Q186" s="110"/>
      <c r="R186" s="110"/>
      <c r="T186" s="99"/>
      <c r="V186" s="110"/>
      <c r="Y186" s="110"/>
      <c r="Z186" s="198"/>
      <c r="AA186" s="110"/>
      <c r="AB186" s="110"/>
      <c r="AC186" s="110"/>
      <c r="AD186" s="110"/>
    </row>
    <row r="187" spans="1:40" x14ac:dyDescent="0.3">
      <c r="C187" s="99"/>
      <c r="T187" s="99"/>
    </row>
    <row r="188" spans="1:40" x14ac:dyDescent="0.3">
      <c r="A188" s="99"/>
    </row>
    <row r="191" spans="1:40" x14ac:dyDescent="0.3">
      <c r="H191" s="99"/>
      <c r="I191" s="99"/>
      <c r="Y191" s="99"/>
    </row>
    <row r="193" spans="1:40" x14ac:dyDescent="0.3">
      <c r="L193" s="99"/>
      <c r="M193" s="99"/>
      <c r="AA193" s="99"/>
      <c r="AB193" s="99"/>
    </row>
    <row r="194" spans="1:40" x14ac:dyDescent="0.3">
      <c r="R194" s="99"/>
      <c r="AK194" s="190"/>
      <c r="AL194" s="99"/>
    </row>
    <row r="195" spans="1:40" x14ac:dyDescent="0.3">
      <c r="R195" s="99"/>
      <c r="AK195" s="190"/>
      <c r="AL195" s="99"/>
    </row>
    <row r="196" spans="1:40" x14ac:dyDescent="0.3">
      <c r="A196" s="99"/>
      <c r="R196" s="99"/>
      <c r="AK196" s="190"/>
      <c r="AL196" s="99"/>
    </row>
    <row r="197" spans="1:40" x14ac:dyDescent="0.3">
      <c r="L197" s="99"/>
      <c r="M197" s="99"/>
      <c r="AA197" s="99"/>
      <c r="AB197" s="99"/>
    </row>
    <row r="198" spans="1:40" x14ac:dyDescent="0.3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91"/>
      <c r="AH198" s="101"/>
      <c r="AI198" s="101"/>
      <c r="AJ198" s="101"/>
      <c r="AK198" s="191"/>
      <c r="AL198" s="101"/>
      <c r="AM198" s="101"/>
      <c r="AN198" s="101"/>
    </row>
    <row r="199" spans="1:40" x14ac:dyDescent="0.3">
      <c r="L199" s="102"/>
      <c r="M199" s="102"/>
      <c r="N199" s="102"/>
      <c r="O199" s="102"/>
      <c r="R199" s="102"/>
      <c r="AA199" s="102"/>
      <c r="AB199" s="102"/>
      <c r="AC199" s="102"/>
      <c r="AD199" s="102"/>
      <c r="AE199" s="102"/>
      <c r="AF199" s="102"/>
      <c r="AG199" s="151"/>
      <c r="AH199" s="102"/>
      <c r="AK199" s="151"/>
      <c r="AL199" s="102"/>
      <c r="AM199" s="102"/>
      <c r="AN199" s="102"/>
    </row>
    <row r="200" spans="1:40" x14ac:dyDescent="0.3">
      <c r="L200" s="102"/>
      <c r="M200" s="102"/>
      <c r="N200" s="102"/>
      <c r="O200" s="102"/>
      <c r="R200" s="102"/>
      <c r="Z200" s="102"/>
      <c r="AA200" s="102"/>
      <c r="AB200" s="102"/>
      <c r="AC200" s="102"/>
      <c r="AD200" s="102"/>
      <c r="AE200" s="102"/>
      <c r="AF200" s="102"/>
      <c r="AG200" s="151"/>
      <c r="AH200" s="102"/>
      <c r="AK200" s="151"/>
      <c r="AL200" s="102"/>
      <c r="AM200" s="102"/>
      <c r="AN200" s="102"/>
    </row>
    <row r="201" spans="1:40" x14ac:dyDescent="0.3">
      <c r="A201" s="102"/>
      <c r="C201" s="102"/>
      <c r="D201" s="102"/>
      <c r="E201" s="102"/>
      <c r="F201" s="102"/>
      <c r="J201" s="102"/>
      <c r="K201" s="102"/>
      <c r="L201" s="102"/>
      <c r="M201" s="102"/>
      <c r="N201" s="102"/>
      <c r="O201" s="102"/>
      <c r="P201" s="102"/>
      <c r="Q201" s="102"/>
      <c r="R201" s="102"/>
      <c r="T201" s="102"/>
      <c r="U201" s="102"/>
      <c r="V201" s="102"/>
      <c r="Z201" s="102"/>
      <c r="AA201" s="102"/>
      <c r="AB201" s="102"/>
      <c r="AC201" s="102"/>
      <c r="AD201" s="102"/>
      <c r="AE201" s="102"/>
      <c r="AF201" s="102"/>
      <c r="AG201" s="151"/>
      <c r="AH201" s="102"/>
      <c r="AI201" s="102"/>
      <c r="AJ201" s="102"/>
      <c r="AK201" s="151"/>
      <c r="AL201" s="102"/>
      <c r="AM201" s="102"/>
      <c r="AN201" s="102"/>
    </row>
    <row r="202" spans="1:40" x14ac:dyDescent="0.3">
      <c r="A202" s="102"/>
      <c r="C202" s="102"/>
      <c r="D202" s="102"/>
      <c r="E202" s="102"/>
      <c r="F202" s="102"/>
      <c r="H202" s="102"/>
      <c r="I202" s="102"/>
      <c r="J202" s="102"/>
      <c r="K202" s="102"/>
      <c r="L202" s="102"/>
      <c r="M202" s="102"/>
      <c r="N202" s="102"/>
      <c r="O202" s="102"/>
      <c r="P202" s="102"/>
      <c r="Q202" s="102"/>
      <c r="R202" s="102"/>
      <c r="T202" s="102"/>
      <c r="U202" s="102"/>
      <c r="V202" s="102"/>
      <c r="Y202" s="102"/>
      <c r="Z202" s="102"/>
      <c r="AA202" s="102"/>
      <c r="AB202" s="102"/>
      <c r="AC202" s="102"/>
      <c r="AD202" s="102"/>
      <c r="AE202" s="102"/>
      <c r="AF202" s="102"/>
      <c r="AG202" s="151"/>
      <c r="AH202" s="102"/>
      <c r="AI202" s="102"/>
      <c r="AJ202" s="102"/>
      <c r="AK202" s="151"/>
      <c r="AL202" s="102"/>
      <c r="AM202" s="102"/>
      <c r="AN202" s="102"/>
    </row>
    <row r="203" spans="1:40" x14ac:dyDescent="0.3">
      <c r="C203" s="102"/>
      <c r="D203" s="102"/>
      <c r="E203" s="102"/>
      <c r="F203" s="102"/>
      <c r="H203" s="102"/>
      <c r="I203" s="102"/>
      <c r="J203" s="102"/>
      <c r="K203" s="102"/>
      <c r="L203" s="102"/>
      <c r="M203" s="102"/>
      <c r="N203" s="102"/>
      <c r="O203" s="102"/>
      <c r="P203" s="102"/>
      <c r="Q203" s="102"/>
      <c r="R203" s="102"/>
      <c r="T203" s="102"/>
      <c r="U203" s="102"/>
      <c r="V203" s="102"/>
      <c r="Y203" s="102"/>
      <c r="Z203" s="102"/>
      <c r="AA203" s="102"/>
      <c r="AB203" s="102"/>
      <c r="AC203" s="102"/>
      <c r="AD203" s="102"/>
      <c r="AE203" s="102"/>
      <c r="AF203" s="102"/>
      <c r="AG203" s="151"/>
      <c r="AH203" s="102"/>
      <c r="AI203" s="102"/>
      <c r="AJ203" s="102"/>
      <c r="AK203" s="151"/>
      <c r="AL203" s="102"/>
      <c r="AM203" s="102"/>
      <c r="AN203" s="102"/>
    </row>
    <row r="204" spans="1:40" x14ac:dyDescent="0.3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91"/>
      <c r="AH204" s="101"/>
      <c r="AI204" s="101"/>
      <c r="AJ204" s="101"/>
      <c r="AK204" s="191"/>
      <c r="AL204" s="101"/>
      <c r="AM204" s="101"/>
      <c r="AN204" s="101"/>
    </row>
    <row r="205" spans="1:40" x14ac:dyDescent="0.3">
      <c r="H205" s="102"/>
      <c r="I205" s="102"/>
      <c r="J205" s="102"/>
      <c r="K205" s="102"/>
      <c r="L205" s="102"/>
      <c r="M205" s="102"/>
      <c r="N205" s="102"/>
      <c r="O205" s="102"/>
      <c r="P205" s="102"/>
      <c r="Q205" s="102"/>
      <c r="R205" s="102"/>
      <c r="Y205" s="102"/>
      <c r="Z205" s="102"/>
      <c r="AA205" s="102"/>
      <c r="AB205" s="102"/>
      <c r="AC205" s="102"/>
      <c r="AD205" s="102"/>
      <c r="AE205" s="102"/>
      <c r="AF205" s="102"/>
      <c r="AG205" s="151"/>
      <c r="AH205" s="102"/>
      <c r="AI205" s="102"/>
      <c r="AJ205" s="102"/>
      <c r="AK205" s="151"/>
      <c r="AL205" s="102"/>
      <c r="AM205" s="102"/>
      <c r="AN205" s="102"/>
    </row>
    <row r="206" spans="1:40" x14ac:dyDescent="0.3">
      <c r="C206" s="99"/>
      <c r="D206" s="99"/>
      <c r="E206" s="99"/>
      <c r="T206" s="99"/>
      <c r="U206" s="99"/>
    </row>
    <row r="207" spans="1:40" x14ac:dyDescent="0.3">
      <c r="D207" s="99"/>
      <c r="E207" s="99"/>
      <c r="U207" s="99"/>
    </row>
    <row r="209" spans="3:40" x14ac:dyDescent="0.3">
      <c r="C209" s="99"/>
      <c r="F209" s="110"/>
      <c r="J209" s="209"/>
      <c r="K209" s="209"/>
      <c r="L209" s="110"/>
      <c r="M209" s="110"/>
      <c r="R209" s="110"/>
      <c r="T209" s="99"/>
      <c r="V209" s="110"/>
      <c r="Z209" s="209"/>
      <c r="AA209" s="110"/>
      <c r="AB209" s="110"/>
      <c r="AL209" s="110"/>
    </row>
    <row r="210" spans="3:40" x14ac:dyDescent="0.3">
      <c r="F210" s="110"/>
      <c r="R210" s="110"/>
      <c r="V210" s="110"/>
      <c r="AL210" s="110"/>
    </row>
    <row r="211" spans="3:40" x14ac:dyDescent="0.3">
      <c r="C211" s="99"/>
      <c r="F211" s="172"/>
      <c r="H211" s="172"/>
      <c r="I211" s="172"/>
      <c r="J211" s="181"/>
      <c r="K211" s="181"/>
      <c r="L211" s="110"/>
      <c r="M211" s="110"/>
      <c r="N211" s="141"/>
      <c r="O211" s="141"/>
      <c r="P211" s="110"/>
      <c r="Q211" s="110"/>
      <c r="R211" s="110"/>
      <c r="T211" s="99"/>
      <c r="V211" s="110"/>
      <c r="Y211" s="110"/>
      <c r="Z211" s="181"/>
      <c r="AA211" s="110"/>
      <c r="AB211" s="110"/>
      <c r="AC211" s="141"/>
      <c r="AD211" s="141"/>
      <c r="AE211" s="110"/>
      <c r="AF211" s="110"/>
      <c r="AH211" s="207"/>
      <c r="AI211" s="110"/>
      <c r="AJ211" s="110"/>
      <c r="AL211" s="110"/>
      <c r="AM211" s="141"/>
      <c r="AN211" s="141"/>
    </row>
    <row r="212" spans="3:40" x14ac:dyDescent="0.3">
      <c r="C212" s="99"/>
      <c r="F212" s="172"/>
      <c r="H212" s="220"/>
      <c r="I212" s="220"/>
      <c r="J212" s="181"/>
      <c r="K212" s="181"/>
      <c r="L212" s="110"/>
      <c r="M212" s="110"/>
      <c r="N212" s="141"/>
      <c r="O212" s="141"/>
      <c r="P212" s="110"/>
      <c r="Q212" s="110"/>
      <c r="R212" s="110"/>
      <c r="T212" s="99"/>
      <c r="V212" s="110"/>
      <c r="Y212" s="110"/>
      <c r="Z212" s="181"/>
      <c r="AA212" s="110"/>
      <c r="AB212" s="110"/>
      <c r="AC212" s="141"/>
      <c r="AD212" s="141"/>
      <c r="AE212" s="110"/>
      <c r="AF212" s="110"/>
      <c r="AH212" s="207"/>
      <c r="AI212" s="110"/>
      <c r="AJ212" s="110"/>
      <c r="AL212" s="110"/>
      <c r="AM212" s="141"/>
      <c r="AN212" s="141"/>
    </row>
    <row r="213" spans="3:40" x14ac:dyDescent="0.3">
      <c r="F213" s="192"/>
      <c r="H213" s="110"/>
      <c r="I213" s="110"/>
      <c r="J213" s="217"/>
      <c r="K213" s="217"/>
      <c r="L213" s="192"/>
      <c r="M213" s="192"/>
      <c r="N213" s="192"/>
      <c r="O213" s="192"/>
      <c r="P213" s="192"/>
      <c r="Q213" s="192"/>
      <c r="R213" s="192"/>
      <c r="V213" s="192"/>
      <c r="Y213" s="110"/>
      <c r="Z213" s="217"/>
      <c r="AA213" s="192"/>
      <c r="AB213" s="192"/>
      <c r="AC213" s="192"/>
      <c r="AD213" s="192"/>
      <c r="AE213" s="192"/>
      <c r="AF213" s="192"/>
      <c r="AI213" s="192"/>
      <c r="AJ213" s="192"/>
      <c r="AK213" s="194"/>
      <c r="AL213" s="192"/>
    </row>
    <row r="214" spans="3:40" x14ac:dyDescent="0.3">
      <c r="C214" s="99"/>
      <c r="F214" s="110"/>
      <c r="H214" s="110"/>
      <c r="I214" s="110"/>
      <c r="J214" s="198"/>
      <c r="K214" s="198"/>
      <c r="L214" s="110"/>
      <c r="M214" s="110"/>
      <c r="N214" s="141"/>
      <c r="O214" s="141"/>
      <c r="P214" s="110"/>
      <c r="Q214" s="110"/>
      <c r="R214" s="110"/>
      <c r="T214" s="99"/>
      <c r="V214" s="110"/>
      <c r="Y214" s="110"/>
      <c r="Z214" s="198"/>
      <c r="AA214" s="110"/>
      <c r="AB214" s="110"/>
      <c r="AC214" s="141"/>
      <c r="AD214" s="141"/>
      <c r="AE214" s="110"/>
      <c r="AF214" s="110"/>
      <c r="AH214" s="207"/>
      <c r="AI214" s="110"/>
      <c r="AJ214" s="110"/>
      <c r="AL214" s="110"/>
      <c r="AM214" s="141"/>
      <c r="AN214" s="141"/>
    </row>
    <row r="215" spans="3:40" x14ac:dyDescent="0.3">
      <c r="F215" s="192"/>
      <c r="H215" s="110"/>
      <c r="I215" s="110"/>
      <c r="J215" s="217"/>
      <c r="K215" s="217"/>
      <c r="L215" s="192"/>
      <c r="M215" s="192"/>
      <c r="N215" s="192"/>
      <c r="O215" s="192"/>
      <c r="P215" s="192"/>
      <c r="Q215" s="192"/>
      <c r="R215" s="192"/>
      <c r="V215" s="192"/>
      <c r="Y215" s="110"/>
      <c r="Z215" s="217"/>
      <c r="AA215" s="192"/>
      <c r="AB215" s="192"/>
      <c r="AC215" s="192"/>
      <c r="AD215" s="192"/>
      <c r="AE215" s="192"/>
      <c r="AF215" s="192"/>
      <c r="AI215" s="192"/>
      <c r="AJ215" s="192"/>
      <c r="AK215" s="194"/>
      <c r="AL215" s="192"/>
    </row>
    <row r="216" spans="3:40" x14ac:dyDescent="0.3">
      <c r="F216" s="110"/>
      <c r="R216" s="110"/>
      <c r="V216" s="110"/>
      <c r="AL216" s="110"/>
    </row>
    <row r="217" spans="3:40" x14ac:dyDescent="0.3">
      <c r="C217" s="99"/>
      <c r="F217" s="110"/>
      <c r="R217" s="110"/>
      <c r="T217" s="99"/>
      <c r="V217" s="110"/>
      <c r="AL217" s="110"/>
    </row>
    <row r="218" spans="3:40" x14ac:dyDescent="0.3">
      <c r="F218" s="110"/>
      <c r="R218" s="110"/>
      <c r="V218" s="110"/>
      <c r="AL218" s="110"/>
    </row>
    <row r="219" spans="3:40" x14ac:dyDescent="0.3">
      <c r="C219" s="99"/>
      <c r="F219" s="110"/>
      <c r="H219" s="172"/>
      <c r="I219" s="172"/>
      <c r="J219" s="222"/>
      <c r="K219" s="222"/>
      <c r="L219" s="110"/>
      <c r="M219" s="110"/>
      <c r="N219" s="141"/>
      <c r="O219" s="141"/>
      <c r="P219" s="172"/>
      <c r="Q219" s="172"/>
      <c r="R219" s="110"/>
      <c r="T219" s="99"/>
      <c r="V219" s="110"/>
      <c r="Y219" s="110"/>
      <c r="Z219" s="216"/>
      <c r="AA219" s="110"/>
      <c r="AB219" s="110"/>
      <c r="AC219" s="141"/>
      <c r="AD219" s="141"/>
      <c r="AE219" s="110"/>
      <c r="AF219" s="110"/>
      <c r="AH219" s="207"/>
      <c r="AI219" s="172"/>
      <c r="AJ219" s="172"/>
      <c r="AL219" s="110"/>
      <c r="AM219" s="141"/>
      <c r="AN219" s="141"/>
    </row>
    <row r="220" spans="3:40" x14ac:dyDescent="0.3">
      <c r="H220" s="192"/>
      <c r="I220" s="192"/>
      <c r="J220" s="217"/>
      <c r="K220" s="217"/>
      <c r="L220" s="192"/>
      <c r="M220" s="192"/>
      <c r="N220" s="192"/>
      <c r="O220" s="192"/>
      <c r="P220" s="192"/>
      <c r="Q220" s="192"/>
      <c r="R220" s="192"/>
      <c r="V220" s="192"/>
      <c r="Y220" s="192"/>
      <c r="Z220" s="217"/>
      <c r="AA220" s="192"/>
      <c r="AB220" s="192"/>
      <c r="AC220" s="192"/>
      <c r="AD220" s="192"/>
      <c r="AE220" s="192"/>
      <c r="AF220" s="192"/>
      <c r="AI220" s="192"/>
      <c r="AJ220" s="192"/>
      <c r="AK220" s="194"/>
      <c r="AL220" s="192"/>
    </row>
    <row r="221" spans="3:40" x14ac:dyDescent="0.3">
      <c r="F221" s="192"/>
    </row>
    <row r="222" spans="3:40" x14ac:dyDescent="0.3">
      <c r="C222" s="99"/>
      <c r="F222" s="110"/>
      <c r="H222" s="110"/>
      <c r="I222" s="110"/>
      <c r="J222" s="209"/>
      <c r="K222" s="209"/>
      <c r="L222" s="110"/>
      <c r="M222" s="110"/>
      <c r="N222" s="141"/>
      <c r="O222" s="141"/>
      <c r="P222" s="110"/>
      <c r="Q222" s="110"/>
      <c r="R222" s="110"/>
      <c r="T222" s="99"/>
      <c r="V222" s="110"/>
      <c r="Y222" s="110"/>
      <c r="Z222" s="209"/>
      <c r="AA222" s="110"/>
      <c r="AB222" s="110"/>
      <c r="AC222" s="141"/>
      <c r="AD222" s="141"/>
      <c r="AE222" s="110"/>
      <c r="AF222" s="110"/>
      <c r="AH222" s="207"/>
      <c r="AI222" s="110"/>
      <c r="AJ222" s="110"/>
      <c r="AL222" s="110"/>
      <c r="AM222" s="141"/>
      <c r="AN222" s="141"/>
    </row>
    <row r="223" spans="3:40" x14ac:dyDescent="0.3">
      <c r="F223" s="192"/>
      <c r="H223" s="192"/>
      <c r="I223" s="192"/>
      <c r="J223" s="217"/>
      <c r="K223" s="217"/>
      <c r="L223" s="192"/>
      <c r="M223" s="192"/>
      <c r="N223" s="192"/>
      <c r="O223" s="192"/>
      <c r="P223" s="192"/>
      <c r="Q223" s="192"/>
      <c r="R223" s="192"/>
      <c r="V223" s="192"/>
      <c r="Y223" s="192"/>
      <c r="Z223" s="217"/>
      <c r="AA223" s="192"/>
      <c r="AB223" s="192"/>
      <c r="AC223" s="192"/>
      <c r="AD223" s="192"/>
      <c r="AE223" s="192"/>
      <c r="AF223" s="192"/>
      <c r="AI223" s="192"/>
      <c r="AJ223" s="192"/>
      <c r="AK223" s="194"/>
      <c r="AL223" s="192"/>
    </row>
    <row r="224" spans="3:40" x14ac:dyDescent="0.3">
      <c r="R224" s="110"/>
      <c r="AH224" s="110"/>
    </row>
    <row r="225" spans="1:40" x14ac:dyDescent="0.3">
      <c r="F225" s="110"/>
      <c r="H225" s="110"/>
      <c r="I225" s="110"/>
      <c r="J225" s="198"/>
      <c r="K225" s="198"/>
      <c r="L225" s="110"/>
      <c r="M225" s="110"/>
      <c r="N225" s="110"/>
      <c r="O225" s="110"/>
      <c r="P225" s="110"/>
      <c r="Q225" s="110"/>
      <c r="R225" s="110"/>
      <c r="V225" s="110"/>
      <c r="Y225" s="110"/>
      <c r="Z225" s="198"/>
      <c r="AA225" s="110"/>
      <c r="AB225" s="110"/>
      <c r="AC225" s="110"/>
      <c r="AD225" s="110"/>
      <c r="AE225" s="110"/>
      <c r="AF225" s="110"/>
      <c r="AH225" s="110"/>
    </row>
    <row r="226" spans="1:40" x14ac:dyDescent="0.3">
      <c r="C226" s="99"/>
      <c r="F226" s="110"/>
      <c r="H226" s="110"/>
      <c r="I226" s="110"/>
      <c r="J226" s="198"/>
      <c r="K226" s="198"/>
      <c r="L226" s="110"/>
      <c r="M226" s="110"/>
      <c r="N226" s="110"/>
      <c r="O226" s="110"/>
      <c r="P226" s="110"/>
      <c r="Q226" s="110"/>
      <c r="R226" s="110"/>
      <c r="T226" s="99"/>
      <c r="V226" s="110"/>
      <c r="Y226" s="110"/>
      <c r="Z226" s="198"/>
      <c r="AA226" s="110"/>
      <c r="AB226" s="110"/>
      <c r="AC226" s="110"/>
      <c r="AD226" s="110"/>
      <c r="AE226" s="110"/>
      <c r="AF226" s="110"/>
      <c r="AH226" s="110"/>
    </row>
    <row r="227" spans="1:40" x14ac:dyDescent="0.3">
      <c r="A227" s="99"/>
    </row>
    <row r="230" spans="1:40" x14ac:dyDescent="0.3">
      <c r="H230" s="99"/>
      <c r="I230" s="99"/>
      <c r="Y230" s="99"/>
    </row>
    <row r="232" spans="1:40" x14ac:dyDescent="0.3">
      <c r="L232" s="99"/>
      <c r="M232" s="99"/>
      <c r="AA232" s="99"/>
      <c r="AB232" s="99"/>
    </row>
    <row r="233" spans="1:40" x14ac:dyDescent="0.3">
      <c r="R233" s="99"/>
      <c r="AK233" s="190"/>
      <c r="AL233" s="99"/>
    </row>
    <row r="234" spans="1:40" x14ac:dyDescent="0.3">
      <c r="R234" s="99"/>
      <c r="AK234" s="190"/>
      <c r="AL234" s="99"/>
    </row>
    <row r="235" spans="1:40" x14ac:dyDescent="0.3">
      <c r="A235" s="99"/>
      <c r="R235" s="99"/>
      <c r="AK235" s="190"/>
      <c r="AL235" s="99"/>
    </row>
    <row r="236" spans="1:40" x14ac:dyDescent="0.3">
      <c r="L236" s="99"/>
      <c r="M236" s="99"/>
      <c r="AA236" s="99"/>
      <c r="AB236" s="99"/>
    </row>
    <row r="237" spans="1:40" x14ac:dyDescent="0.3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91"/>
      <c r="AH237" s="101"/>
      <c r="AI237" s="101"/>
      <c r="AJ237" s="101"/>
      <c r="AK237" s="191"/>
      <c r="AL237" s="101"/>
      <c r="AM237" s="101"/>
      <c r="AN237" s="101"/>
    </row>
    <row r="238" spans="1:40" x14ac:dyDescent="0.3">
      <c r="L238" s="102"/>
      <c r="M238" s="102"/>
      <c r="N238" s="102"/>
      <c r="O238" s="102"/>
      <c r="R238" s="102"/>
      <c r="AA238" s="102"/>
      <c r="AB238" s="102"/>
      <c r="AC238" s="102"/>
      <c r="AD238" s="102"/>
      <c r="AE238" s="102"/>
      <c r="AF238" s="102"/>
      <c r="AG238" s="151"/>
      <c r="AH238" s="102"/>
      <c r="AK238" s="151"/>
      <c r="AL238" s="102"/>
      <c r="AM238" s="102"/>
      <c r="AN238" s="102"/>
    </row>
    <row r="239" spans="1:40" x14ac:dyDescent="0.3">
      <c r="L239" s="102"/>
      <c r="M239" s="102"/>
      <c r="N239" s="102"/>
      <c r="O239" s="102"/>
      <c r="R239" s="102"/>
      <c r="Z239" s="102"/>
      <c r="AA239" s="102"/>
      <c r="AB239" s="102"/>
      <c r="AC239" s="102"/>
      <c r="AD239" s="102"/>
      <c r="AE239" s="102"/>
      <c r="AF239" s="102"/>
      <c r="AG239" s="151"/>
      <c r="AH239" s="102"/>
      <c r="AK239" s="151"/>
      <c r="AL239" s="102"/>
      <c r="AM239" s="102"/>
      <c r="AN239" s="102"/>
    </row>
    <row r="240" spans="1:40" x14ac:dyDescent="0.3">
      <c r="A240" s="102"/>
      <c r="C240" s="102"/>
      <c r="D240" s="102"/>
      <c r="E240" s="102"/>
      <c r="F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Z240" s="102"/>
      <c r="AA240" s="102"/>
      <c r="AB240" s="102"/>
      <c r="AC240" s="102"/>
      <c r="AD240" s="102"/>
      <c r="AE240" s="102"/>
      <c r="AF240" s="102"/>
      <c r="AG240" s="151"/>
      <c r="AH240" s="102"/>
      <c r="AI240" s="102"/>
      <c r="AJ240" s="102"/>
      <c r="AK240" s="151"/>
      <c r="AL240" s="102"/>
      <c r="AM240" s="102"/>
      <c r="AN240" s="102"/>
    </row>
    <row r="241" spans="1:40" x14ac:dyDescent="0.3">
      <c r="A241" s="102"/>
      <c r="C241" s="102"/>
      <c r="D241" s="102"/>
      <c r="E241" s="102"/>
      <c r="F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Y241" s="102"/>
      <c r="Z241" s="102"/>
      <c r="AA241" s="102"/>
      <c r="AB241" s="102"/>
      <c r="AC241" s="102"/>
      <c r="AD241" s="102"/>
      <c r="AE241" s="102"/>
      <c r="AF241" s="102"/>
      <c r="AG241" s="151"/>
      <c r="AH241" s="102"/>
      <c r="AI241" s="102"/>
      <c r="AJ241" s="102"/>
      <c r="AK241" s="151"/>
      <c r="AL241" s="102"/>
      <c r="AM241" s="102"/>
      <c r="AN241" s="102"/>
    </row>
    <row r="242" spans="1:40" x14ac:dyDescent="0.3">
      <c r="C242" s="102"/>
      <c r="D242" s="102"/>
      <c r="E242" s="102"/>
      <c r="F242" s="102"/>
      <c r="H242" s="102"/>
      <c r="I242" s="102"/>
      <c r="J242" s="102"/>
      <c r="K242" s="102"/>
      <c r="L242" s="102"/>
      <c r="M242" s="102"/>
      <c r="N242" s="102"/>
      <c r="O242" s="102"/>
      <c r="P242" s="102"/>
      <c r="Q242" s="102"/>
      <c r="R242" s="102"/>
      <c r="T242" s="102"/>
      <c r="U242" s="102"/>
      <c r="V242" s="102"/>
      <c r="Y242" s="102"/>
      <c r="Z242" s="102"/>
      <c r="AA242" s="102"/>
      <c r="AB242" s="102"/>
      <c r="AC242" s="102"/>
      <c r="AD242" s="102"/>
      <c r="AE242" s="102"/>
      <c r="AF242" s="102"/>
      <c r="AG242" s="151"/>
      <c r="AH242" s="102"/>
      <c r="AI242" s="102"/>
      <c r="AJ242" s="102"/>
      <c r="AK242" s="151"/>
      <c r="AL242" s="102"/>
      <c r="AM242" s="102"/>
      <c r="AN242" s="102"/>
    </row>
    <row r="243" spans="1:40" x14ac:dyDescent="0.3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91"/>
      <c r="AH243" s="101"/>
      <c r="AI243" s="101"/>
      <c r="AJ243" s="101"/>
      <c r="AK243" s="191"/>
      <c r="AL243" s="101"/>
      <c r="AM243" s="101"/>
      <c r="AN243" s="101"/>
    </row>
    <row r="244" spans="1:40" x14ac:dyDescent="0.3">
      <c r="H244" s="102"/>
      <c r="I244" s="102"/>
      <c r="J244" s="102"/>
      <c r="K244" s="102"/>
      <c r="L244" s="102"/>
      <c r="M244" s="102"/>
      <c r="N244" s="102"/>
      <c r="O244" s="102"/>
      <c r="P244" s="102"/>
      <c r="Q244" s="102"/>
      <c r="R244" s="102"/>
      <c r="Y244" s="102"/>
      <c r="Z244" s="102"/>
      <c r="AA244" s="102"/>
      <c r="AB244" s="102"/>
      <c r="AC244" s="102"/>
      <c r="AD244" s="102"/>
      <c r="AE244" s="102"/>
      <c r="AF244" s="102"/>
      <c r="AG244" s="151"/>
      <c r="AH244" s="102"/>
      <c r="AI244" s="102"/>
      <c r="AJ244" s="102"/>
      <c r="AK244" s="151"/>
      <c r="AL244" s="102"/>
      <c r="AM244" s="102"/>
      <c r="AN244" s="102"/>
    </row>
    <row r="245" spans="1:40" x14ac:dyDescent="0.3">
      <c r="C245" s="99"/>
      <c r="D245" s="99"/>
      <c r="E245" s="99"/>
      <c r="T245" s="99"/>
      <c r="U245" s="99"/>
    </row>
    <row r="246" spans="1:40" x14ac:dyDescent="0.3">
      <c r="C246" s="99"/>
      <c r="T246" s="99"/>
    </row>
    <row r="248" spans="1:40" x14ac:dyDescent="0.3">
      <c r="C248" s="99"/>
      <c r="F248" s="172"/>
      <c r="H248" s="172"/>
      <c r="I248" s="172"/>
      <c r="J248" s="181"/>
      <c r="K248" s="181"/>
      <c r="L248" s="110"/>
      <c r="M248" s="110"/>
      <c r="N248" s="141"/>
      <c r="O248" s="141"/>
      <c r="R248" s="110"/>
      <c r="T248" s="99"/>
      <c r="V248" s="110"/>
      <c r="Y248" s="172"/>
      <c r="Z248" s="181"/>
      <c r="AA248" s="110"/>
      <c r="AB248" s="110"/>
      <c r="AC248" s="141"/>
      <c r="AD248" s="141"/>
      <c r="AE248" s="110"/>
      <c r="AF248" s="110"/>
      <c r="AH248" s="207"/>
      <c r="AL248" s="110"/>
      <c r="AM248" s="141"/>
      <c r="AN248" s="141"/>
    </row>
    <row r="249" spans="1:40" x14ac:dyDescent="0.3">
      <c r="F249" s="192"/>
      <c r="H249" s="110"/>
      <c r="I249" s="110"/>
      <c r="J249" s="217"/>
      <c r="K249" s="217"/>
      <c r="L249" s="192"/>
      <c r="M249" s="192"/>
      <c r="N249" s="192"/>
      <c r="O249" s="192"/>
      <c r="P249" s="192"/>
      <c r="Q249" s="192"/>
      <c r="R249" s="192"/>
      <c r="V249" s="192"/>
      <c r="Y249" s="110"/>
      <c r="Z249" s="217"/>
      <c r="AA249" s="192"/>
      <c r="AB249" s="192"/>
      <c r="AC249" s="192"/>
      <c r="AD249" s="192"/>
      <c r="AE249" s="192"/>
      <c r="AF249" s="192"/>
      <c r="AI249" s="192"/>
      <c r="AJ249" s="192"/>
      <c r="AK249" s="194"/>
      <c r="AL249" s="192"/>
      <c r="AM249" s="141"/>
      <c r="AN249" s="141"/>
    </row>
    <row r="250" spans="1:40" x14ac:dyDescent="0.3">
      <c r="C250" s="99"/>
      <c r="F250" s="172"/>
      <c r="H250" s="172"/>
      <c r="I250" s="172"/>
      <c r="J250" s="227"/>
      <c r="K250" s="227"/>
      <c r="L250" s="110"/>
      <c r="M250" s="110"/>
      <c r="N250" s="141"/>
      <c r="O250" s="141"/>
      <c r="P250" s="110"/>
      <c r="Q250" s="110"/>
      <c r="R250" s="110"/>
      <c r="S250" s="110"/>
      <c r="T250" s="99"/>
      <c r="V250" s="172"/>
      <c r="Y250" s="172"/>
      <c r="Z250" s="227"/>
      <c r="AA250" s="110"/>
      <c r="AB250" s="110"/>
      <c r="AC250" s="141"/>
      <c r="AD250" s="141"/>
      <c r="AE250" s="110"/>
      <c r="AF250" s="110"/>
      <c r="AH250" s="141"/>
      <c r="AI250" s="110"/>
      <c r="AJ250" s="110"/>
      <c r="AL250" s="110"/>
      <c r="AM250" s="141"/>
      <c r="AN250" s="141"/>
    </row>
    <row r="251" spans="1:40" x14ac:dyDescent="0.3">
      <c r="C251" s="99"/>
      <c r="F251" s="172"/>
      <c r="H251" s="172"/>
      <c r="I251" s="172"/>
      <c r="J251" s="181"/>
      <c r="K251" s="181"/>
      <c r="L251" s="110"/>
      <c r="M251" s="110"/>
      <c r="N251" s="141"/>
      <c r="O251" s="141"/>
      <c r="P251" s="110"/>
      <c r="Q251" s="110"/>
      <c r="R251" s="110"/>
      <c r="T251" s="99"/>
      <c r="V251" s="172"/>
      <c r="Y251" s="110"/>
      <c r="Z251" s="181"/>
      <c r="AA251" s="110"/>
      <c r="AB251" s="110"/>
      <c r="AC251" s="141"/>
      <c r="AD251" s="141"/>
      <c r="AE251" s="110"/>
      <c r="AF251" s="110"/>
      <c r="AH251" s="207"/>
      <c r="AI251" s="110"/>
      <c r="AJ251" s="110"/>
      <c r="AL251" s="110"/>
      <c r="AM251" s="141"/>
      <c r="AN251" s="141"/>
    </row>
    <row r="252" spans="1:40" x14ac:dyDescent="0.3">
      <c r="C252" s="99"/>
      <c r="F252" s="172"/>
      <c r="H252" s="172"/>
      <c r="I252" s="172"/>
      <c r="J252" s="181"/>
      <c r="K252" s="181"/>
      <c r="L252" s="110"/>
      <c r="M252" s="110"/>
      <c r="N252" s="141"/>
      <c r="O252" s="141"/>
      <c r="P252" s="110"/>
      <c r="Q252" s="110"/>
      <c r="R252" s="110"/>
      <c r="T252" s="99"/>
      <c r="V252" s="172"/>
      <c r="Y252" s="110"/>
      <c r="Z252" s="181"/>
      <c r="AA252" s="110"/>
      <c r="AB252" s="110"/>
      <c r="AC252" s="141"/>
      <c r="AD252" s="141"/>
      <c r="AE252" s="110"/>
      <c r="AF252" s="110"/>
      <c r="AH252" s="207"/>
      <c r="AI252" s="110"/>
      <c r="AJ252" s="110"/>
      <c r="AL252" s="110"/>
      <c r="AM252" s="141"/>
      <c r="AN252" s="141"/>
    </row>
    <row r="253" spans="1:40" x14ac:dyDescent="0.3">
      <c r="F253" s="192"/>
      <c r="H253" s="192"/>
      <c r="I253" s="192"/>
      <c r="J253" s="217"/>
      <c r="K253" s="217"/>
      <c r="L253" s="192"/>
      <c r="M253" s="192"/>
      <c r="N253" s="192"/>
      <c r="O253" s="192"/>
      <c r="P253" s="192"/>
      <c r="Q253" s="192"/>
      <c r="R253" s="192"/>
      <c r="V253" s="192"/>
      <c r="Y253" s="192"/>
      <c r="Z253" s="217"/>
      <c r="AA253" s="192"/>
      <c r="AB253" s="192"/>
      <c r="AC253" s="192"/>
      <c r="AD253" s="192"/>
      <c r="AE253" s="192"/>
      <c r="AF253" s="192"/>
      <c r="AI253" s="192"/>
      <c r="AJ253" s="192"/>
      <c r="AK253" s="194"/>
      <c r="AL253" s="192"/>
      <c r="AM253" s="141"/>
      <c r="AN253" s="141"/>
    </row>
    <row r="254" spans="1:40" x14ac:dyDescent="0.3">
      <c r="C254" s="99"/>
      <c r="F254" s="110"/>
      <c r="H254" s="110"/>
      <c r="I254" s="110"/>
      <c r="J254" s="198"/>
      <c r="K254" s="198"/>
      <c r="L254" s="110"/>
      <c r="M254" s="110"/>
      <c r="N254" s="141"/>
      <c r="O254" s="141"/>
      <c r="P254" s="110"/>
      <c r="Q254" s="110"/>
      <c r="R254" s="110"/>
      <c r="T254" s="99"/>
      <c r="V254" s="110"/>
      <c r="Y254" s="110"/>
      <c r="Z254" s="198"/>
      <c r="AA254" s="110"/>
      <c r="AB254" s="110"/>
      <c r="AC254" s="141"/>
      <c r="AD254" s="141"/>
      <c r="AE254" s="110"/>
      <c r="AF254" s="110"/>
      <c r="AH254" s="207"/>
      <c r="AI254" s="110"/>
      <c r="AJ254" s="110"/>
      <c r="AL254" s="110"/>
      <c r="AM254" s="141"/>
      <c r="AN254" s="141"/>
    </row>
    <row r="255" spans="1:40" x14ac:dyDescent="0.3">
      <c r="F255" s="192"/>
      <c r="H255" s="192"/>
      <c r="I255" s="192"/>
      <c r="J255" s="217"/>
      <c r="K255" s="217"/>
      <c r="L255" s="192"/>
      <c r="M255" s="192"/>
      <c r="N255" s="192"/>
      <c r="O255" s="192"/>
      <c r="P255" s="192"/>
      <c r="Q255" s="192"/>
      <c r="R255" s="192"/>
      <c r="V255" s="192"/>
      <c r="Y255" s="192"/>
      <c r="Z255" s="217"/>
      <c r="AA255" s="192"/>
      <c r="AB255" s="192"/>
      <c r="AC255" s="192"/>
      <c r="AD255" s="192"/>
      <c r="AE255" s="192"/>
      <c r="AF255" s="192"/>
      <c r="AI255" s="192"/>
      <c r="AJ255" s="192"/>
      <c r="AK255" s="194"/>
      <c r="AL255" s="192"/>
      <c r="AM255" s="141"/>
      <c r="AN255" s="141"/>
    </row>
    <row r="256" spans="1:40" x14ac:dyDescent="0.3">
      <c r="C256" s="99"/>
      <c r="F256" s="110"/>
      <c r="H256" s="110"/>
      <c r="I256" s="110"/>
      <c r="J256" s="198"/>
      <c r="K256" s="198"/>
      <c r="L256" s="110"/>
      <c r="M256" s="110"/>
      <c r="N256" s="141"/>
      <c r="O256" s="141"/>
      <c r="P256" s="110"/>
      <c r="Q256" s="110"/>
      <c r="R256" s="110"/>
      <c r="T256" s="99"/>
      <c r="V256" s="110"/>
      <c r="Y256" s="110"/>
      <c r="Z256" s="198"/>
      <c r="AA256" s="110"/>
      <c r="AB256" s="110"/>
      <c r="AC256" s="141"/>
      <c r="AD256" s="141"/>
      <c r="AE256" s="110"/>
      <c r="AF256" s="110"/>
      <c r="AH256" s="207"/>
      <c r="AI256" s="110"/>
      <c r="AJ256" s="110"/>
      <c r="AL256" s="110"/>
      <c r="AM256" s="141"/>
      <c r="AN256" s="141"/>
    </row>
    <row r="257" spans="3:40" x14ac:dyDescent="0.3">
      <c r="C257" s="99"/>
      <c r="F257" s="110"/>
      <c r="H257" s="172"/>
      <c r="I257" s="172"/>
      <c r="J257" s="222"/>
      <c r="K257" s="222"/>
      <c r="L257" s="110"/>
      <c r="M257" s="110"/>
      <c r="N257" s="141"/>
      <c r="O257" s="141"/>
      <c r="P257" s="110"/>
      <c r="Q257" s="110"/>
      <c r="R257" s="110"/>
      <c r="T257" s="99"/>
      <c r="V257" s="110"/>
      <c r="Y257" s="110"/>
      <c r="Z257" s="216"/>
      <c r="AA257" s="110"/>
      <c r="AB257" s="110"/>
      <c r="AC257" s="141"/>
      <c r="AD257" s="141"/>
      <c r="AE257" s="110"/>
      <c r="AF257" s="110"/>
      <c r="AH257" s="207"/>
      <c r="AI257" s="110"/>
      <c r="AJ257" s="110"/>
      <c r="AL257" s="110"/>
      <c r="AM257" s="141"/>
      <c r="AN257" s="141"/>
    </row>
    <row r="258" spans="3:40" x14ac:dyDescent="0.3">
      <c r="H258" s="192"/>
      <c r="I258" s="192"/>
      <c r="J258" s="217"/>
      <c r="K258" s="217"/>
      <c r="L258" s="192"/>
      <c r="M258" s="192"/>
      <c r="N258" s="192"/>
      <c r="O258" s="192"/>
      <c r="P258" s="192"/>
      <c r="Q258" s="192"/>
      <c r="R258" s="192"/>
      <c r="V258" s="192"/>
      <c r="Y258" s="192"/>
      <c r="Z258" s="217"/>
      <c r="AA258" s="192"/>
      <c r="AB258" s="192"/>
      <c r="AC258" s="192"/>
      <c r="AD258" s="192"/>
      <c r="AE258" s="192"/>
      <c r="AF258" s="192"/>
      <c r="AI258" s="192"/>
      <c r="AJ258" s="192"/>
      <c r="AK258" s="194"/>
      <c r="AL258" s="192"/>
      <c r="AM258" s="141"/>
      <c r="AN258" s="141"/>
    </row>
    <row r="259" spans="3:40" x14ac:dyDescent="0.3">
      <c r="F259" s="192"/>
    </row>
    <row r="260" spans="3:40" x14ac:dyDescent="0.3">
      <c r="C260" s="99"/>
      <c r="F260" s="110"/>
      <c r="H260" s="110"/>
      <c r="I260" s="110"/>
      <c r="J260" s="217"/>
      <c r="K260" s="217"/>
      <c r="L260" s="110"/>
      <c r="M260" s="110"/>
      <c r="N260" s="141"/>
      <c r="O260" s="141"/>
      <c r="P260" s="110"/>
      <c r="Q260" s="110"/>
      <c r="R260" s="110"/>
      <c r="S260" s="110"/>
      <c r="T260" s="99"/>
      <c r="V260" s="110"/>
      <c r="Y260" s="110"/>
      <c r="Z260" s="217"/>
      <c r="AA260" s="110"/>
      <c r="AB260" s="110"/>
      <c r="AC260" s="141"/>
      <c r="AD260" s="141"/>
      <c r="AE260" s="110"/>
      <c r="AF260" s="110"/>
      <c r="AH260" s="141"/>
      <c r="AI260" s="110"/>
      <c r="AJ260" s="110"/>
      <c r="AL260" s="110"/>
      <c r="AM260" s="141"/>
      <c r="AN260" s="141"/>
    </row>
    <row r="261" spans="3:40" x14ac:dyDescent="0.3">
      <c r="F261" s="192"/>
      <c r="H261" s="192"/>
      <c r="I261" s="192"/>
      <c r="J261" s="217"/>
      <c r="K261" s="217"/>
      <c r="L261" s="192"/>
      <c r="M261" s="192"/>
      <c r="N261" s="192"/>
      <c r="O261" s="192"/>
      <c r="P261" s="192"/>
      <c r="Q261" s="192"/>
      <c r="R261" s="192"/>
      <c r="S261" s="110"/>
      <c r="V261" s="192"/>
      <c r="Y261" s="192"/>
      <c r="Z261" s="217"/>
      <c r="AA261" s="192"/>
      <c r="AB261" s="192"/>
      <c r="AC261" s="192"/>
      <c r="AD261" s="192"/>
      <c r="AE261" s="192"/>
      <c r="AF261" s="192"/>
      <c r="AI261" s="192"/>
      <c r="AJ261" s="192"/>
      <c r="AK261" s="194"/>
      <c r="AL261" s="192"/>
      <c r="AM261" s="141"/>
      <c r="AN261" s="141"/>
    </row>
    <row r="262" spans="3:40" x14ac:dyDescent="0.3">
      <c r="C262" s="99"/>
      <c r="H262" s="172"/>
      <c r="I262" s="172"/>
      <c r="J262" s="217"/>
      <c r="K262" s="217"/>
      <c r="L262" s="110"/>
      <c r="M262" s="110"/>
      <c r="N262" s="141"/>
      <c r="O262" s="141"/>
      <c r="P262" s="110"/>
      <c r="Q262" s="110"/>
      <c r="R262" s="110"/>
      <c r="S262" s="110"/>
      <c r="T262" s="99"/>
      <c r="V262" s="172"/>
      <c r="Y262" s="172"/>
      <c r="Z262" s="217"/>
      <c r="AA262" s="110"/>
      <c r="AB262" s="110"/>
      <c r="AC262" s="141"/>
      <c r="AD262" s="141"/>
      <c r="AE262" s="110"/>
      <c r="AF262" s="110"/>
      <c r="AI262" s="110"/>
      <c r="AJ262" s="110"/>
      <c r="AL262" s="110"/>
      <c r="AM262" s="141"/>
      <c r="AN262" s="141"/>
    </row>
    <row r="263" spans="3:40" x14ac:dyDescent="0.3">
      <c r="F263" s="172"/>
    </row>
    <row r="264" spans="3:40" x14ac:dyDescent="0.3">
      <c r="C264" s="99"/>
      <c r="F264" s="172"/>
      <c r="H264" s="172"/>
      <c r="I264" s="172"/>
      <c r="J264" s="181"/>
      <c r="K264" s="181"/>
      <c r="L264" s="110"/>
      <c r="M264" s="110"/>
      <c r="N264" s="141"/>
      <c r="O264" s="141"/>
      <c r="R264" s="110"/>
      <c r="T264" s="99"/>
      <c r="V264" s="110"/>
      <c r="Y264" s="172"/>
      <c r="Z264" s="181"/>
      <c r="AA264" s="110"/>
      <c r="AB264" s="110"/>
      <c r="AC264" s="141"/>
      <c r="AD264" s="141"/>
      <c r="AE264" s="110"/>
      <c r="AF264" s="110"/>
      <c r="AH264" s="207"/>
      <c r="AL264" s="110"/>
      <c r="AM264" s="141"/>
      <c r="AN264" s="141"/>
    </row>
    <row r="265" spans="3:40" x14ac:dyDescent="0.3">
      <c r="F265" s="192"/>
      <c r="H265" s="110"/>
      <c r="I265" s="110"/>
      <c r="J265" s="217"/>
      <c r="K265" s="217"/>
      <c r="L265" s="192"/>
      <c r="M265" s="192"/>
      <c r="N265" s="192"/>
      <c r="O265" s="192"/>
      <c r="P265" s="192"/>
      <c r="Q265" s="192"/>
      <c r="R265" s="192"/>
      <c r="V265" s="192"/>
      <c r="Y265" s="110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  <c r="AM265" s="141"/>
      <c r="AN265" s="141"/>
    </row>
    <row r="266" spans="3:40" x14ac:dyDescent="0.3">
      <c r="C266" s="99"/>
      <c r="F266" s="172"/>
      <c r="H266" s="172"/>
      <c r="I266" s="172"/>
      <c r="J266" s="227"/>
      <c r="K266" s="227"/>
      <c r="L266" s="110"/>
      <c r="M266" s="110"/>
      <c r="N266" s="141"/>
      <c r="O266" s="141"/>
      <c r="P266" s="110"/>
      <c r="Q266" s="110"/>
      <c r="R266" s="110"/>
      <c r="S266" s="110"/>
      <c r="T266" s="99"/>
      <c r="V266" s="172"/>
      <c r="Y266" s="172"/>
      <c r="Z266" s="227"/>
      <c r="AA266" s="110"/>
      <c r="AB266" s="110"/>
      <c r="AC266" s="141"/>
      <c r="AD266" s="141"/>
      <c r="AE266" s="110"/>
      <c r="AF266" s="110"/>
      <c r="AH266" s="141"/>
      <c r="AI266" s="110"/>
      <c r="AJ266" s="110"/>
      <c r="AL266" s="110"/>
      <c r="AM266" s="141"/>
      <c r="AN266" s="141"/>
    </row>
    <row r="267" spans="3:40" x14ac:dyDescent="0.3">
      <c r="C267" s="99"/>
      <c r="F267" s="172"/>
      <c r="H267" s="172"/>
      <c r="I267" s="172"/>
      <c r="J267" s="181"/>
      <c r="K267" s="181"/>
      <c r="L267" s="110"/>
      <c r="M267" s="110"/>
      <c r="N267" s="141"/>
      <c r="O267" s="141"/>
      <c r="P267" s="110"/>
      <c r="Q267" s="110"/>
      <c r="R267" s="110"/>
      <c r="T267" s="99"/>
      <c r="V267" s="172"/>
      <c r="Y267" s="110"/>
      <c r="Z267" s="181"/>
      <c r="AA267" s="110"/>
      <c r="AB267" s="110"/>
      <c r="AC267" s="141"/>
      <c r="AD267" s="141"/>
      <c r="AE267" s="110"/>
      <c r="AF267" s="110"/>
      <c r="AH267" s="207"/>
      <c r="AI267" s="110"/>
      <c r="AJ267" s="110"/>
      <c r="AL267" s="110"/>
      <c r="AM267" s="141"/>
      <c r="AN267" s="141"/>
    </row>
    <row r="268" spans="3:40" x14ac:dyDescent="0.3">
      <c r="C268" s="99"/>
      <c r="F268" s="172"/>
      <c r="H268" s="172"/>
      <c r="I268" s="172"/>
      <c r="J268" s="181"/>
      <c r="K268" s="181"/>
      <c r="L268" s="110"/>
      <c r="M268" s="110"/>
      <c r="N268" s="141"/>
      <c r="O268" s="141"/>
      <c r="P268" s="110"/>
      <c r="Q268" s="110"/>
      <c r="R268" s="110"/>
      <c r="T268" s="99"/>
      <c r="V268" s="172"/>
      <c r="Y268" s="110"/>
      <c r="Z268" s="181"/>
      <c r="AA268" s="110"/>
      <c r="AB268" s="110"/>
      <c r="AC268" s="141"/>
      <c r="AD268" s="141"/>
      <c r="AE268" s="110"/>
      <c r="AF268" s="110"/>
      <c r="AH268" s="207"/>
      <c r="AI268" s="110"/>
      <c r="AJ268" s="110"/>
      <c r="AL268" s="110"/>
      <c r="AM268" s="141"/>
      <c r="AN268" s="141"/>
    </row>
    <row r="269" spans="3:40" x14ac:dyDescent="0.3">
      <c r="F269" s="192"/>
      <c r="H269" s="192"/>
      <c r="I269" s="192"/>
      <c r="J269" s="217"/>
      <c r="K269" s="217"/>
      <c r="L269" s="192"/>
      <c r="M269" s="192"/>
      <c r="N269" s="192"/>
      <c r="O269" s="192"/>
      <c r="P269" s="192"/>
      <c r="Q269" s="192"/>
      <c r="R269" s="192"/>
      <c r="V269" s="192"/>
      <c r="Y269" s="192"/>
      <c r="Z269" s="217"/>
      <c r="AA269" s="192"/>
      <c r="AB269" s="192"/>
      <c r="AC269" s="192"/>
      <c r="AD269" s="192"/>
      <c r="AE269" s="192"/>
      <c r="AF269" s="192"/>
      <c r="AI269" s="192"/>
      <c r="AJ269" s="192"/>
      <c r="AK269" s="194"/>
      <c r="AL269" s="192"/>
      <c r="AM269" s="141"/>
      <c r="AN269" s="141"/>
    </row>
    <row r="270" spans="3:40" x14ac:dyDescent="0.3">
      <c r="C270" s="99"/>
      <c r="F270" s="110"/>
      <c r="H270" s="110"/>
      <c r="I270" s="110"/>
      <c r="J270" s="198"/>
      <c r="K270" s="198"/>
      <c r="L270" s="110"/>
      <c r="M270" s="110"/>
      <c r="N270" s="141"/>
      <c r="O270" s="141"/>
      <c r="P270" s="110"/>
      <c r="Q270" s="110"/>
      <c r="R270" s="110"/>
      <c r="T270" s="99"/>
      <c r="V270" s="110"/>
      <c r="Y270" s="110"/>
      <c r="Z270" s="198"/>
      <c r="AA270" s="110"/>
      <c r="AB270" s="110"/>
      <c r="AC270" s="141"/>
      <c r="AD270" s="141"/>
      <c r="AE270" s="110"/>
      <c r="AF270" s="110"/>
      <c r="AH270" s="207"/>
      <c r="AI270" s="110"/>
      <c r="AJ270" s="110"/>
      <c r="AL270" s="110"/>
      <c r="AM270" s="141"/>
      <c r="AN270" s="141"/>
    </row>
    <row r="271" spans="3:40" x14ac:dyDescent="0.3">
      <c r="F271" s="192"/>
      <c r="H271" s="192"/>
      <c r="I271" s="192"/>
      <c r="J271" s="217"/>
      <c r="K271" s="217"/>
      <c r="L271" s="192"/>
      <c r="M271" s="192"/>
      <c r="N271" s="192"/>
      <c r="O271" s="192"/>
      <c r="P271" s="192"/>
      <c r="Q271" s="192"/>
      <c r="R271" s="192"/>
      <c r="V271" s="192"/>
      <c r="Y271" s="192"/>
      <c r="Z271" s="217"/>
      <c r="AA271" s="192"/>
      <c r="AB271" s="192"/>
      <c r="AC271" s="192"/>
      <c r="AD271" s="192"/>
      <c r="AE271" s="192"/>
      <c r="AF271" s="192"/>
      <c r="AI271" s="192"/>
      <c r="AJ271" s="192"/>
      <c r="AK271" s="194"/>
      <c r="AL271" s="192"/>
      <c r="AM271" s="141"/>
      <c r="AN271" s="141"/>
    </row>
    <row r="272" spans="3:40" x14ac:dyDescent="0.3">
      <c r="C272" s="99"/>
      <c r="F272" s="110"/>
      <c r="H272" s="110"/>
      <c r="I272" s="110"/>
      <c r="J272" s="198"/>
      <c r="K272" s="198"/>
      <c r="L272" s="110"/>
      <c r="M272" s="110"/>
      <c r="N272" s="141"/>
      <c r="O272" s="141"/>
      <c r="P272" s="110"/>
      <c r="Q272" s="110"/>
      <c r="R272" s="110"/>
      <c r="T272" s="99"/>
      <c r="V272" s="110"/>
      <c r="Y272" s="110"/>
      <c r="Z272" s="198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1:40" x14ac:dyDescent="0.3">
      <c r="C273" s="99"/>
      <c r="F273" s="110"/>
      <c r="H273" s="172"/>
      <c r="I273" s="172"/>
      <c r="J273" s="222"/>
      <c r="K273" s="222"/>
      <c r="L273" s="110"/>
      <c r="M273" s="110"/>
      <c r="N273" s="141"/>
      <c r="O273" s="141"/>
      <c r="P273" s="110"/>
      <c r="Q273" s="110"/>
      <c r="R273" s="110"/>
      <c r="T273" s="99"/>
      <c r="V273" s="110"/>
      <c r="Y273" s="110"/>
      <c r="Z273" s="216"/>
      <c r="AA273" s="110"/>
      <c r="AB273" s="110"/>
      <c r="AC273" s="141"/>
      <c r="AD273" s="141"/>
      <c r="AE273" s="110"/>
      <c r="AF273" s="110"/>
      <c r="AH273" s="207"/>
      <c r="AI273" s="110"/>
      <c r="AJ273" s="110"/>
      <c r="AL273" s="110"/>
      <c r="AM273" s="141"/>
      <c r="AN273" s="141"/>
    </row>
    <row r="274" spans="1:40" x14ac:dyDescent="0.3">
      <c r="H274" s="192"/>
      <c r="I274" s="192"/>
      <c r="J274" s="217"/>
      <c r="K274" s="217"/>
      <c r="L274" s="192"/>
      <c r="M274" s="192"/>
      <c r="N274" s="192"/>
      <c r="O274" s="192"/>
      <c r="P274" s="192"/>
      <c r="Q274" s="192"/>
      <c r="R274" s="192"/>
      <c r="V274" s="192"/>
      <c r="Y274" s="192"/>
      <c r="Z274" s="217"/>
      <c r="AA274" s="192"/>
      <c r="AB274" s="192"/>
      <c r="AC274" s="192"/>
      <c r="AD274" s="192"/>
      <c r="AE274" s="192"/>
      <c r="AF274" s="192"/>
      <c r="AI274" s="192"/>
      <c r="AJ274" s="192"/>
      <c r="AK274" s="194"/>
      <c r="AL274" s="192"/>
      <c r="AM274" s="141"/>
      <c r="AN274" s="141"/>
    </row>
    <row r="275" spans="1:40" x14ac:dyDescent="0.3">
      <c r="F275" s="192"/>
    </row>
    <row r="276" spans="1:40" x14ac:dyDescent="0.3">
      <c r="C276" s="99"/>
      <c r="F276" s="110"/>
      <c r="H276" s="110"/>
      <c r="I276" s="110"/>
      <c r="J276" s="217"/>
      <c r="K276" s="217"/>
      <c r="L276" s="110"/>
      <c r="M276" s="110"/>
      <c r="N276" s="141"/>
      <c r="O276" s="141"/>
      <c r="P276" s="110"/>
      <c r="Q276" s="110"/>
      <c r="R276" s="110"/>
      <c r="S276" s="110"/>
      <c r="T276" s="99"/>
      <c r="V276" s="110"/>
      <c r="Y276" s="110"/>
      <c r="Z276" s="217"/>
      <c r="AA276" s="110"/>
      <c r="AB276" s="110"/>
      <c r="AC276" s="141"/>
      <c r="AD276" s="141"/>
      <c r="AE276" s="110"/>
      <c r="AF276" s="110"/>
      <c r="AH276" s="141"/>
      <c r="AI276" s="110"/>
      <c r="AJ276" s="110"/>
      <c r="AL276" s="110"/>
      <c r="AM276" s="141"/>
      <c r="AN276" s="141"/>
    </row>
    <row r="277" spans="1:40" x14ac:dyDescent="0.3">
      <c r="F277" s="192"/>
      <c r="H277" s="192"/>
      <c r="I277" s="192"/>
      <c r="J277" s="217"/>
      <c r="K277" s="217"/>
      <c r="L277" s="192"/>
      <c r="M277" s="192"/>
      <c r="N277" s="192"/>
      <c r="O277" s="192"/>
      <c r="P277" s="192"/>
      <c r="Q277" s="192"/>
      <c r="R277" s="192"/>
      <c r="S277" s="110"/>
      <c r="V277" s="192"/>
      <c r="Y277" s="192"/>
      <c r="Z277" s="217"/>
      <c r="AA277" s="192"/>
      <c r="AB277" s="192"/>
      <c r="AC277" s="192"/>
      <c r="AD277" s="192"/>
      <c r="AE277" s="192"/>
      <c r="AF277" s="192"/>
      <c r="AI277" s="192"/>
      <c r="AJ277" s="192"/>
      <c r="AK277" s="194"/>
      <c r="AL277" s="192"/>
      <c r="AM277" s="141"/>
      <c r="AN277" s="141"/>
    </row>
    <row r="278" spans="1:40" x14ac:dyDescent="0.3">
      <c r="C278" s="99"/>
      <c r="T278" s="99"/>
    </row>
    <row r="279" spans="1:40" x14ac:dyDescent="0.3">
      <c r="C279" s="99"/>
      <c r="F279" s="110"/>
      <c r="H279" s="110"/>
      <c r="I279" s="110"/>
      <c r="L279" s="110"/>
      <c r="M279" s="110"/>
      <c r="N279" s="141"/>
      <c r="O279" s="141"/>
      <c r="P279" s="172"/>
      <c r="Q279" s="172"/>
      <c r="R279" s="110"/>
      <c r="T279" s="99"/>
      <c r="V279" s="110"/>
      <c r="Y279" s="110"/>
      <c r="AA279" s="110"/>
      <c r="AB279" s="110"/>
      <c r="AC279" s="141"/>
      <c r="AD279" s="141"/>
      <c r="AE279" s="110"/>
      <c r="AF279" s="110"/>
      <c r="AH279" s="141"/>
      <c r="AI279" s="172"/>
      <c r="AJ279" s="172"/>
      <c r="AL279" s="110"/>
      <c r="AM279" s="141"/>
      <c r="AN279" s="141"/>
    </row>
    <row r="280" spans="1:40" x14ac:dyDescent="0.3">
      <c r="H280" s="192"/>
      <c r="I280" s="192"/>
      <c r="J280" s="217"/>
      <c r="K280" s="217"/>
      <c r="L280" s="192"/>
      <c r="M280" s="192"/>
      <c r="N280" s="192"/>
      <c r="O280" s="192"/>
      <c r="P280" s="192"/>
      <c r="Q280" s="192"/>
      <c r="R280" s="192"/>
      <c r="V280" s="192"/>
      <c r="Y280" s="192"/>
      <c r="Z280" s="217"/>
      <c r="AA280" s="192"/>
      <c r="AB280" s="192"/>
      <c r="AC280" s="192"/>
      <c r="AD280" s="192"/>
      <c r="AE280" s="192"/>
      <c r="AF280" s="192"/>
      <c r="AI280" s="192"/>
      <c r="AJ280" s="192"/>
      <c r="AK280" s="194"/>
      <c r="AL280" s="192"/>
    </row>
    <row r="281" spans="1:40" x14ac:dyDescent="0.3">
      <c r="F281" s="192"/>
    </row>
    <row r="282" spans="1:40" x14ac:dyDescent="0.3">
      <c r="C282" s="99"/>
      <c r="L282" s="110"/>
      <c r="M282" s="110"/>
      <c r="N282" s="110"/>
      <c r="O282" s="110"/>
      <c r="P282" s="110"/>
      <c r="Q282" s="110"/>
      <c r="R282" s="110"/>
      <c r="S282" s="110"/>
      <c r="T282" s="99"/>
      <c r="AA282" s="110"/>
      <c r="AB282" s="110"/>
      <c r="AC282" s="110"/>
      <c r="AD282" s="110"/>
      <c r="AI282" s="110"/>
      <c r="AJ282" s="110"/>
      <c r="AL282" s="110"/>
    </row>
    <row r="283" spans="1:40" x14ac:dyDescent="0.3">
      <c r="A283" s="99"/>
    </row>
    <row r="285" spans="1:40" x14ac:dyDescent="0.3">
      <c r="H285" s="99"/>
      <c r="I285" s="99"/>
      <c r="Y285" s="99"/>
    </row>
    <row r="287" spans="1:40" x14ac:dyDescent="0.3">
      <c r="L287" s="99"/>
      <c r="M287" s="99"/>
      <c r="AA287" s="99"/>
      <c r="AB287" s="99"/>
    </row>
    <row r="288" spans="1:40" x14ac:dyDescent="0.3">
      <c r="R288" s="99"/>
      <c r="AK288" s="190"/>
      <c r="AL288" s="99"/>
    </row>
    <row r="289" spans="1:40" x14ac:dyDescent="0.3">
      <c r="R289" s="99"/>
      <c r="AK289" s="190"/>
      <c r="AL289" s="99"/>
    </row>
    <row r="290" spans="1:40" x14ac:dyDescent="0.3">
      <c r="A290" s="99"/>
      <c r="R290" s="99"/>
      <c r="AK290" s="190"/>
      <c r="AL290" s="99"/>
    </row>
    <row r="291" spans="1:40" x14ac:dyDescent="0.3">
      <c r="L291" s="99"/>
      <c r="M291" s="99"/>
      <c r="AA291" s="99"/>
      <c r="AB291" s="99"/>
    </row>
    <row r="292" spans="1:40" x14ac:dyDescent="0.3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91"/>
      <c r="AH292" s="101"/>
      <c r="AI292" s="101"/>
      <c r="AJ292" s="101"/>
      <c r="AK292" s="191"/>
      <c r="AL292" s="101"/>
      <c r="AM292" s="101"/>
      <c r="AN292" s="101"/>
    </row>
    <row r="293" spans="1:40" x14ac:dyDescent="0.3">
      <c r="L293" s="102"/>
      <c r="M293" s="102"/>
      <c r="N293" s="102"/>
      <c r="O293" s="102"/>
      <c r="R293" s="102"/>
      <c r="AA293" s="102"/>
      <c r="AB293" s="102"/>
      <c r="AC293" s="102"/>
      <c r="AD293" s="102"/>
      <c r="AE293" s="102"/>
      <c r="AF293" s="102"/>
      <c r="AG293" s="151"/>
      <c r="AH293" s="102"/>
      <c r="AK293" s="151"/>
      <c r="AL293" s="102"/>
      <c r="AM293" s="102"/>
      <c r="AN293" s="102"/>
    </row>
    <row r="294" spans="1:40" x14ac:dyDescent="0.3">
      <c r="L294" s="102"/>
      <c r="M294" s="102"/>
      <c r="N294" s="102"/>
      <c r="O294" s="102"/>
      <c r="R294" s="102"/>
      <c r="Z294" s="102"/>
      <c r="AA294" s="102"/>
      <c r="AB294" s="102"/>
      <c r="AC294" s="102"/>
      <c r="AD294" s="102"/>
      <c r="AE294" s="102"/>
      <c r="AF294" s="102"/>
      <c r="AG294" s="151"/>
      <c r="AH294" s="102"/>
      <c r="AK294" s="151"/>
      <c r="AL294" s="102"/>
      <c r="AM294" s="102"/>
      <c r="AN294" s="102"/>
    </row>
    <row r="295" spans="1:40" x14ac:dyDescent="0.3">
      <c r="A295" s="102"/>
      <c r="C295" s="102"/>
      <c r="D295" s="102"/>
      <c r="E295" s="102"/>
      <c r="F295" s="102"/>
      <c r="J295" s="102"/>
      <c r="K295" s="102"/>
      <c r="L295" s="102"/>
      <c r="M295" s="102"/>
      <c r="N295" s="102"/>
      <c r="O295" s="102"/>
      <c r="P295" s="102"/>
      <c r="Q295" s="102"/>
      <c r="R295" s="102"/>
      <c r="T295" s="102"/>
      <c r="U295" s="102"/>
      <c r="V295" s="102"/>
      <c r="Z295" s="102"/>
      <c r="AA295" s="102"/>
      <c r="AB295" s="102"/>
      <c r="AC295" s="102"/>
      <c r="AD295" s="102"/>
      <c r="AE295" s="102"/>
      <c r="AF295" s="102"/>
      <c r="AG295" s="151"/>
      <c r="AH295" s="102"/>
      <c r="AI295" s="102"/>
      <c r="AJ295" s="102"/>
      <c r="AK295" s="151"/>
      <c r="AL295" s="102"/>
      <c r="AM295" s="102"/>
      <c r="AN295" s="102"/>
    </row>
    <row r="296" spans="1:40" x14ac:dyDescent="0.3">
      <c r="A296" s="102"/>
      <c r="C296" s="102"/>
      <c r="D296" s="102"/>
      <c r="E296" s="102"/>
      <c r="F296" s="102"/>
      <c r="H296" s="102"/>
      <c r="I296" s="102"/>
      <c r="J296" s="102"/>
      <c r="K296" s="102"/>
      <c r="L296" s="102"/>
      <c r="M296" s="102"/>
      <c r="N296" s="102"/>
      <c r="O296" s="102"/>
      <c r="P296" s="102"/>
      <c r="Q296" s="102"/>
      <c r="R296" s="102"/>
      <c r="T296" s="102"/>
      <c r="U296" s="102"/>
      <c r="V296" s="102"/>
      <c r="Y296" s="102"/>
      <c r="Z296" s="102"/>
      <c r="AA296" s="102"/>
      <c r="AB296" s="102"/>
      <c r="AC296" s="102"/>
      <c r="AD296" s="102"/>
      <c r="AE296" s="102"/>
      <c r="AF296" s="102"/>
      <c r="AG296" s="151"/>
      <c r="AH296" s="102"/>
      <c r="AI296" s="102"/>
      <c r="AJ296" s="102"/>
      <c r="AK296" s="151"/>
      <c r="AL296" s="102"/>
      <c r="AM296" s="102"/>
      <c r="AN296" s="102"/>
    </row>
    <row r="297" spans="1:40" x14ac:dyDescent="0.3">
      <c r="C297" s="102"/>
      <c r="D297" s="102"/>
      <c r="E297" s="102"/>
      <c r="F297" s="102"/>
      <c r="H297" s="102"/>
      <c r="I297" s="102"/>
      <c r="J297" s="102"/>
      <c r="K297" s="102"/>
      <c r="L297" s="102"/>
      <c r="M297" s="102"/>
      <c r="N297" s="102"/>
      <c r="O297" s="102"/>
      <c r="P297" s="102"/>
      <c r="Q297" s="102"/>
      <c r="R297" s="102"/>
      <c r="T297" s="102"/>
      <c r="U297" s="102"/>
      <c r="V297" s="102"/>
      <c r="Y297" s="102"/>
      <c r="Z297" s="102"/>
      <c r="AA297" s="102"/>
      <c r="AB297" s="102"/>
      <c r="AC297" s="102"/>
      <c r="AD297" s="102"/>
      <c r="AE297" s="102"/>
      <c r="AF297" s="102"/>
      <c r="AG297" s="151"/>
      <c r="AH297" s="102"/>
      <c r="AI297" s="102"/>
      <c r="AJ297" s="102"/>
      <c r="AK297" s="151"/>
      <c r="AL297" s="102"/>
      <c r="AM297" s="102"/>
      <c r="AN297" s="102"/>
    </row>
    <row r="298" spans="1:40" x14ac:dyDescent="0.3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91"/>
      <c r="AH298" s="101"/>
      <c r="AI298" s="101"/>
      <c r="AJ298" s="101"/>
      <c r="AK298" s="191"/>
      <c r="AL298" s="101"/>
      <c r="AM298" s="101"/>
      <c r="AN298" s="101"/>
    </row>
    <row r="299" spans="1:40" x14ac:dyDescent="0.3">
      <c r="H299" s="102"/>
      <c r="I299" s="102"/>
      <c r="J299" s="102"/>
      <c r="K299" s="102"/>
      <c r="L299" s="102"/>
      <c r="M299" s="102"/>
      <c r="N299" s="102"/>
      <c r="O299" s="102"/>
      <c r="P299" s="102"/>
      <c r="Q299" s="102"/>
      <c r="R299" s="102"/>
      <c r="Y299" s="102"/>
      <c r="Z299" s="102"/>
      <c r="AA299" s="102"/>
      <c r="AB299" s="102"/>
      <c r="AC299" s="102"/>
      <c r="AD299" s="102"/>
      <c r="AE299" s="102"/>
      <c r="AF299" s="102"/>
      <c r="AG299" s="151"/>
      <c r="AH299" s="102"/>
      <c r="AI299" s="102"/>
      <c r="AJ299" s="102"/>
      <c r="AK299" s="151"/>
      <c r="AL299" s="102"/>
      <c r="AM299" s="102"/>
      <c r="AN299" s="102"/>
    </row>
    <row r="300" spans="1:40" x14ac:dyDescent="0.3">
      <c r="C300" s="99"/>
      <c r="D300" s="99"/>
      <c r="E300" s="99"/>
      <c r="T300" s="99"/>
      <c r="U300" s="99"/>
    </row>
    <row r="301" spans="1:40" x14ac:dyDescent="0.3">
      <c r="D301" s="99"/>
      <c r="E301" s="99"/>
      <c r="U301" s="99"/>
    </row>
    <row r="303" spans="1:40" x14ac:dyDescent="0.3">
      <c r="C303" s="99"/>
      <c r="T303" s="99"/>
    </row>
    <row r="304" spans="1:40" x14ac:dyDescent="0.3">
      <c r="C304" s="99"/>
      <c r="F304" s="172"/>
      <c r="H304" s="172"/>
      <c r="I304" s="172"/>
      <c r="J304" s="228"/>
      <c r="K304" s="228"/>
      <c r="L304" s="110"/>
      <c r="M304" s="110"/>
      <c r="N304" s="141"/>
      <c r="O304" s="141"/>
      <c r="P304" s="110"/>
      <c r="Q304" s="110"/>
      <c r="R304" s="110"/>
      <c r="T304" s="99"/>
      <c r="V304" s="172"/>
      <c r="W304" s="110"/>
      <c r="X304" s="110"/>
      <c r="Y304" s="172"/>
      <c r="Z304" s="228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3:40" x14ac:dyDescent="0.3">
      <c r="C305" s="99"/>
      <c r="F305" s="110"/>
      <c r="H305" s="110"/>
      <c r="I305" s="110"/>
      <c r="J305" s="217"/>
      <c r="K305" s="217"/>
      <c r="L305" s="110"/>
      <c r="M305" s="110"/>
      <c r="N305" s="141"/>
      <c r="O305" s="141"/>
      <c r="P305" s="110"/>
      <c r="Q305" s="110"/>
      <c r="R305" s="110"/>
      <c r="T305" s="99"/>
      <c r="V305" s="172"/>
      <c r="W305" s="110"/>
      <c r="X305" s="110"/>
      <c r="Y305" s="172"/>
      <c r="Z305" s="217"/>
      <c r="AA305" s="110"/>
      <c r="AB305" s="110"/>
      <c r="AC305" s="141"/>
      <c r="AD305" s="141"/>
      <c r="AE305" s="110"/>
      <c r="AF305" s="110"/>
      <c r="AH305" s="207"/>
      <c r="AI305" s="110"/>
      <c r="AJ305" s="110"/>
      <c r="AL305" s="110"/>
      <c r="AM305" s="141"/>
      <c r="AN305" s="141"/>
    </row>
    <row r="306" spans="3:40" x14ac:dyDescent="0.3">
      <c r="C306" s="99"/>
      <c r="F306" s="172"/>
      <c r="H306" s="172"/>
      <c r="I306" s="172"/>
      <c r="J306" s="228"/>
      <c r="K306" s="228"/>
      <c r="L306" s="110"/>
      <c r="M306" s="110"/>
      <c r="N306" s="141"/>
      <c r="O306" s="141"/>
      <c r="P306" s="110"/>
      <c r="Q306" s="110"/>
      <c r="R306" s="110"/>
      <c r="T306" s="99"/>
      <c r="V306" s="172"/>
      <c r="W306" s="110"/>
      <c r="X306" s="110"/>
      <c r="Y306" s="172"/>
      <c r="Z306" s="228"/>
      <c r="AA306" s="110"/>
      <c r="AB306" s="110"/>
      <c r="AC306" s="141"/>
      <c r="AD306" s="141"/>
      <c r="AE306" s="110"/>
      <c r="AF306" s="110"/>
      <c r="AH306" s="207"/>
      <c r="AI306" s="110"/>
      <c r="AJ306" s="110"/>
      <c r="AL306" s="110"/>
      <c r="AM306" s="141"/>
      <c r="AN306" s="141"/>
    </row>
    <row r="307" spans="3:40" x14ac:dyDescent="0.3">
      <c r="C307" s="99"/>
      <c r="F307" s="172"/>
      <c r="H307" s="172"/>
      <c r="I307" s="172"/>
      <c r="J307" s="228"/>
      <c r="K307" s="228"/>
      <c r="L307" s="110"/>
      <c r="M307" s="110"/>
      <c r="N307" s="141"/>
      <c r="O307" s="141"/>
      <c r="P307" s="110"/>
      <c r="Q307" s="110"/>
      <c r="R307" s="110"/>
      <c r="T307" s="99"/>
      <c r="V307" s="172"/>
      <c r="W307" s="110"/>
      <c r="X307" s="110"/>
      <c r="Y307" s="172"/>
      <c r="Z307" s="228"/>
      <c r="AA307" s="110"/>
      <c r="AB307" s="110"/>
      <c r="AC307" s="141"/>
      <c r="AD307" s="141"/>
      <c r="AE307" s="110"/>
      <c r="AF307" s="110"/>
      <c r="AH307" s="207"/>
      <c r="AI307" s="110"/>
      <c r="AJ307" s="110"/>
      <c r="AL307" s="110"/>
      <c r="AM307" s="141"/>
      <c r="AN307" s="141"/>
    </row>
    <row r="308" spans="3:40" x14ac:dyDescent="0.3">
      <c r="C308" s="99"/>
      <c r="F308" s="172"/>
      <c r="H308" s="172"/>
      <c r="I308" s="172"/>
      <c r="J308" s="228"/>
      <c r="K308" s="228"/>
      <c r="L308" s="110"/>
      <c r="M308" s="110"/>
      <c r="N308" s="141"/>
      <c r="O308" s="141"/>
      <c r="P308" s="110"/>
      <c r="Q308" s="110"/>
      <c r="R308" s="110"/>
      <c r="T308" s="99"/>
      <c r="V308" s="172"/>
      <c r="W308" s="110"/>
      <c r="X308" s="110"/>
      <c r="Y308" s="172"/>
      <c r="Z308" s="22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3:40" x14ac:dyDescent="0.3">
      <c r="C309" s="99"/>
      <c r="F309" s="110"/>
      <c r="H309" s="110"/>
      <c r="I309" s="110"/>
      <c r="J309" s="228"/>
      <c r="K309" s="228"/>
      <c r="L309" s="110"/>
      <c r="M309" s="110"/>
      <c r="N309" s="141"/>
      <c r="O309" s="141"/>
      <c r="P309" s="110"/>
      <c r="Q309" s="110"/>
      <c r="R309" s="110"/>
      <c r="T309" s="99"/>
      <c r="V309" s="172"/>
      <c r="W309" s="110"/>
      <c r="X309" s="110"/>
      <c r="Y309" s="172"/>
      <c r="Z309" s="228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C310" s="99"/>
      <c r="F310" s="110"/>
      <c r="H310" s="110"/>
      <c r="I310" s="110"/>
      <c r="J310" s="228"/>
      <c r="K310" s="228"/>
      <c r="L310" s="110"/>
      <c r="M310" s="110"/>
      <c r="N310" s="141"/>
      <c r="O310" s="141"/>
      <c r="P310" s="110"/>
      <c r="Q310" s="110"/>
      <c r="R310" s="110"/>
      <c r="T310" s="99"/>
      <c r="V310" s="172"/>
      <c r="W310" s="110"/>
      <c r="X310" s="110"/>
      <c r="Y310" s="172"/>
      <c r="Z310" s="228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F311" s="210"/>
      <c r="H311" s="230"/>
      <c r="I311" s="230"/>
      <c r="J311" s="228"/>
      <c r="K311" s="228"/>
      <c r="L311" s="210"/>
      <c r="M311" s="210"/>
      <c r="N311" s="192"/>
      <c r="O311" s="192"/>
      <c r="P311" s="210"/>
      <c r="Q311" s="210"/>
      <c r="R311" s="210"/>
      <c r="V311" s="210"/>
      <c r="W311" s="110"/>
      <c r="X311" s="110"/>
      <c r="Y311" s="210"/>
      <c r="Z311" s="228"/>
      <c r="AA311" s="210"/>
      <c r="AB311" s="210"/>
      <c r="AC311" s="211"/>
      <c r="AD311" s="211"/>
      <c r="AE311" s="210"/>
      <c r="AF311" s="210"/>
      <c r="AH311" s="207"/>
      <c r="AI311" s="210"/>
      <c r="AJ311" s="210"/>
      <c r="AK311" s="191"/>
      <c r="AL311" s="210"/>
      <c r="AM311" s="141"/>
      <c r="AN311" s="141"/>
    </row>
    <row r="312" spans="3:40" x14ac:dyDescent="0.3">
      <c r="C312" s="99"/>
      <c r="F312" s="110"/>
      <c r="H312" s="110"/>
      <c r="I312" s="110"/>
      <c r="J312" s="228"/>
      <c r="K312" s="228"/>
      <c r="L312" s="110"/>
      <c r="M312" s="110"/>
      <c r="N312" s="207"/>
      <c r="O312" s="207"/>
      <c r="P312" s="110"/>
      <c r="Q312" s="110"/>
      <c r="R312" s="110"/>
      <c r="T312" s="102"/>
      <c r="V312" s="110"/>
      <c r="W312" s="110"/>
      <c r="X312" s="110"/>
      <c r="Y312" s="110"/>
      <c r="Z312" s="228"/>
      <c r="AA312" s="110"/>
      <c r="AB312" s="110"/>
      <c r="AC312" s="207"/>
      <c r="AD312" s="207"/>
      <c r="AE312" s="110"/>
      <c r="AF312" s="110"/>
      <c r="AH312" s="207"/>
      <c r="AI312" s="110"/>
      <c r="AJ312" s="110"/>
      <c r="AL312" s="110"/>
      <c r="AM312" s="141"/>
      <c r="AN312" s="141"/>
    </row>
    <row r="313" spans="3:40" x14ac:dyDescent="0.3">
      <c r="F313" s="101"/>
      <c r="H313" s="101"/>
      <c r="I313" s="101"/>
      <c r="L313" s="101"/>
      <c r="M313" s="101"/>
      <c r="N313" s="211"/>
      <c r="O313" s="211"/>
      <c r="P313" s="210"/>
      <c r="Q313" s="210"/>
      <c r="R313" s="210"/>
      <c r="V313" s="210"/>
      <c r="Y313" s="210"/>
      <c r="Z313" s="217"/>
      <c r="AA313" s="210"/>
      <c r="AB313" s="210"/>
      <c r="AC313" s="210"/>
      <c r="AD313" s="210"/>
      <c r="AE313" s="210"/>
      <c r="AF313" s="210"/>
      <c r="AI313" s="210"/>
      <c r="AJ313" s="210"/>
      <c r="AK313" s="191"/>
      <c r="AL313" s="210"/>
      <c r="AM313" s="211"/>
      <c r="AN313" s="211"/>
    </row>
    <row r="318" spans="3:40" x14ac:dyDescent="0.3">
      <c r="N318" s="110"/>
      <c r="O318" s="110"/>
      <c r="P318" s="110"/>
      <c r="Q318" s="110"/>
      <c r="R318" s="110"/>
      <c r="V318" s="110"/>
      <c r="Y318" s="110"/>
      <c r="Z318" s="198"/>
      <c r="AA318" s="110"/>
      <c r="AB318" s="110"/>
      <c r="AC318" s="141"/>
      <c r="AD318" s="141"/>
      <c r="AE318" s="110"/>
      <c r="AF318" s="110"/>
      <c r="AH318" s="207"/>
      <c r="AI318" s="110"/>
      <c r="AJ318" s="110"/>
      <c r="AL318" s="110"/>
      <c r="AM318" s="141"/>
      <c r="AN318" s="141"/>
    </row>
    <row r="319" spans="3:40" x14ac:dyDescent="0.3">
      <c r="C319" s="99"/>
      <c r="D319" s="99"/>
      <c r="E319" s="99"/>
      <c r="J319" s="163"/>
      <c r="K319" s="163"/>
      <c r="T319" s="99"/>
      <c r="U319" s="99"/>
      <c r="Z319" s="163"/>
      <c r="AE319" s="110"/>
      <c r="AF319" s="110"/>
      <c r="AI319" s="110"/>
      <c r="AJ319" s="110"/>
      <c r="AL319" s="110"/>
      <c r="AM319" s="141"/>
      <c r="AN319" s="141"/>
    </row>
    <row r="320" spans="3:40" x14ac:dyDescent="0.3">
      <c r="D320" s="99"/>
      <c r="E320" s="99"/>
      <c r="F320" s="110"/>
      <c r="H320" s="110"/>
      <c r="I320" s="110"/>
      <c r="J320" s="228"/>
      <c r="K320" s="228"/>
      <c r="L320" s="110"/>
      <c r="M320" s="110"/>
      <c r="N320" s="141"/>
      <c r="O320" s="141"/>
      <c r="P320" s="110"/>
      <c r="Q320" s="110"/>
      <c r="R320" s="110"/>
      <c r="U320" s="99"/>
      <c r="V320" s="110"/>
      <c r="Y320" s="110"/>
      <c r="Z320" s="228"/>
      <c r="AA320" s="110"/>
      <c r="AB320" s="110"/>
      <c r="AC320" s="141"/>
      <c r="AD320" s="141"/>
      <c r="AE320" s="110"/>
      <c r="AF320" s="110"/>
      <c r="AH320" s="207"/>
      <c r="AI320" s="110"/>
      <c r="AJ320" s="110"/>
      <c r="AL320" s="110"/>
      <c r="AM320" s="141"/>
      <c r="AN320" s="141"/>
    </row>
    <row r="321" spans="1:40" x14ac:dyDescent="0.3">
      <c r="F321" s="110"/>
      <c r="H321" s="110"/>
      <c r="I321" s="110"/>
      <c r="J321" s="217"/>
      <c r="K321" s="217"/>
      <c r="L321" s="110"/>
      <c r="M321" s="110"/>
      <c r="N321" s="110"/>
      <c r="O321" s="110"/>
      <c r="P321" s="110"/>
      <c r="Q321" s="110"/>
      <c r="R321" s="110"/>
      <c r="V321" s="110"/>
      <c r="Y321" s="110"/>
      <c r="Z321" s="217"/>
      <c r="AA321" s="110"/>
      <c r="AB321" s="110"/>
      <c r="AC321" s="110"/>
      <c r="AD321" s="110"/>
      <c r="AE321" s="110"/>
      <c r="AF321" s="110"/>
      <c r="AH321" s="207"/>
      <c r="AI321" s="172"/>
      <c r="AJ321" s="172"/>
      <c r="AL321" s="110"/>
      <c r="AM321" s="141"/>
      <c r="AN321" s="141"/>
    </row>
    <row r="322" spans="1:40" x14ac:dyDescent="0.3">
      <c r="C322" s="99"/>
      <c r="F322" s="172"/>
      <c r="H322" s="172"/>
      <c r="I322" s="172"/>
      <c r="J322" s="216"/>
      <c r="K322" s="216"/>
      <c r="L322" s="110"/>
      <c r="M322" s="110"/>
      <c r="N322" s="141"/>
      <c r="O322" s="141"/>
      <c r="P322" s="110"/>
      <c r="Q322" s="110"/>
      <c r="R322" s="110"/>
      <c r="T322" s="99"/>
      <c r="V322" s="172"/>
      <c r="Y322" s="172"/>
      <c r="Z322" s="216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1:40" x14ac:dyDescent="0.3">
      <c r="F323" s="101"/>
      <c r="H323" s="101"/>
      <c r="I323" s="101"/>
      <c r="L323" s="101"/>
      <c r="M323" s="101"/>
      <c r="N323" s="101"/>
      <c r="O323" s="101"/>
      <c r="P323" s="101"/>
      <c r="Q323" s="101"/>
      <c r="R323" s="101"/>
      <c r="V323" s="101"/>
      <c r="Y323" s="101"/>
      <c r="AA323" s="101"/>
      <c r="AB323" s="101"/>
      <c r="AC323" s="101"/>
      <c r="AD323" s="101"/>
      <c r="AE323" s="101"/>
      <c r="AF323" s="101"/>
      <c r="AG323" s="191"/>
      <c r="AH323" s="101"/>
      <c r="AI323" s="101"/>
      <c r="AJ323" s="101"/>
      <c r="AK323" s="191"/>
      <c r="AL323" s="101"/>
      <c r="AM323" s="101"/>
      <c r="AN323" s="101"/>
    </row>
    <row r="324" spans="1:40" x14ac:dyDescent="0.3">
      <c r="C324" s="102"/>
      <c r="F324" s="172"/>
      <c r="H324" s="172"/>
      <c r="I324" s="172"/>
      <c r="J324" s="181"/>
      <c r="K324" s="181"/>
      <c r="L324" s="172"/>
      <c r="M324" s="172"/>
      <c r="N324" s="141"/>
      <c r="O324" s="141"/>
      <c r="P324" s="172"/>
      <c r="Q324" s="172"/>
      <c r="R324" s="172"/>
      <c r="T324" s="102"/>
      <c r="V324" s="110"/>
      <c r="Y324" s="110"/>
      <c r="Z324" s="198"/>
      <c r="AA324" s="110"/>
      <c r="AB324" s="110"/>
      <c r="AC324" s="141"/>
      <c r="AD324" s="141"/>
      <c r="AH324" s="207"/>
      <c r="AI324" s="110"/>
      <c r="AJ324" s="110"/>
      <c r="AL324" s="110"/>
      <c r="AM324" s="141"/>
      <c r="AN324" s="141"/>
    </row>
    <row r="325" spans="1:40" x14ac:dyDescent="0.3">
      <c r="F325" s="210"/>
      <c r="H325" s="210"/>
      <c r="I325" s="210"/>
      <c r="J325" s="217"/>
      <c r="K325" s="217"/>
      <c r="L325" s="210"/>
      <c r="M325" s="210"/>
      <c r="N325" s="210"/>
      <c r="O325" s="210"/>
      <c r="P325" s="210"/>
      <c r="Q325" s="210"/>
      <c r="R325" s="210"/>
      <c r="V325" s="101"/>
      <c r="Y325" s="101"/>
      <c r="AA325" s="101"/>
      <c r="AB325" s="101"/>
      <c r="AC325" s="101"/>
      <c r="AD325" s="101"/>
      <c r="AE325" s="101"/>
      <c r="AF325" s="101"/>
      <c r="AG325" s="191"/>
      <c r="AH325" s="101"/>
      <c r="AI325" s="101"/>
      <c r="AJ325" s="101"/>
      <c r="AK325" s="191"/>
      <c r="AL325" s="101"/>
      <c r="AM325" s="101"/>
      <c r="AN325" s="101"/>
    </row>
    <row r="326" spans="1:40" x14ac:dyDescent="0.3">
      <c r="F326" s="172"/>
      <c r="H326" s="172"/>
      <c r="I326" s="172"/>
      <c r="J326" s="227"/>
      <c r="K326" s="227"/>
      <c r="L326" s="110"/>
      <c r="M326" s="110"/>
      <c r="N326" s="141"/>
      <c r="O326" s="141"/>
      <c r="P326" s="110"/>
      <c r="Q326" s="110"/>
      <c r="R326" s="110"/>
    </row>
    <row r="327" spans="1:40" x14ac:dyDescent="0.3">
      <c r="A327" s="99"/>
      <c r="F327" s="172"/>
      <c r="H327" s="172"/>
      <c r="I327" s="172"/>
      <c r="J327" s="181"/>
      <c r="K327" s="181"/>
      <c r="L327" s="110"/>
      <c r="M327" s="110"/>
      <c r="N327" s="141"/>
      <c r="O327" s="141"/>
      <c r="P327" s="110"/>
      <c r="Q327" s="110"/>
      <c r="R327" s="110"/>
    </row>
    <row r="328" spans="1:40" x14ac:dyDescent="0.3">
      <c r="F328" s="172"/>
      <c r="H328" s="172"/>
      <c r="I328" s="172"/>
      <c r="J328" s="181"/>
      <c r="K328" s="181"/>
      <c r="L328" s="110"/>
      <c r="M328" s="110"/>
      <c r="N328" s="141"/>
      <c r="O328" s="141"/>
      <c r="P328" s="110"/>
      <c r="Q328" s="110"/>
      <c r="R328" s="110"/>
    </row>
    <row r="329" spans="1:40" x14ac:dyDescent="0.3">
      <c r="A329" s="99"/>
    </row>
    <row r="332" spans="1:40" x14ac:dyDescent="0.3">
      <c r="H332" s="99"/>
      <c r="I332" s="99"/>
      <c r="Y332" s="99"/>
    </row>
    <row r="334" spans="1:40" x14ac:dyDescent="0.3">
      <c r="L334" s="99"/>
      <c r="M334" s="99"/>
      <c r="AA334" s="99"/>
      <c r="AB334" s="99"/>
    </row>
    <row r="335" spans="1:40" x14ac:dyDescent="0.3">
      <c r="R335" s="99"/>
      <c r="AK335" s="190"/>
      <c r="AL335" s="99"/>
    </row>
    <row r="336" spans="1:40" x14ac:dyDescent="0.3">
      <c r="R336" s="99"/>
      <c r="AK336" s="190"/>
      <c r="AL336" s="99"/>
    </row>
    <row r="337" spans="1:40" x14ac:dyDescent="0.3">
      <c r="A337" s="99"/>
      <c r="R337" s="99"/>
      <c r="AK337" s="190"/>
      <c r="AL337" s="99"/>
    </row>
    <row r="338" spans="1:40" x14ac:dyDescent="0.3">
      <c r="L338" s="99"/>
      <c r="M338" s="99"/>
      <c r="AA338" s="99"/>
      <c r="AB338" s="99"/>
    </row>
    <row r="339" spans="1:40" x14ac:dyDescent="0.3">
      <c r="A339" s="101"/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T339" s="101"/>
      <c r="U339" s="101"/>
      <c r="V339" s="101"/>
      <c r="W339" s="101"/>
      <c r="X339" s="101"/>
      <c r="Y339" s="101"/>
      <c r="Z339" s="101"/>
      <c r="AA339" s="101"/>
      <c r="AB339" s="101"/>
      <c r="AC339" s="101"/>
      <c r="AD339" s="101"/>
      <c r="AE339" s="101"/>
      <c r="AF339" s="101"/>
      <c r="AG339" s="191"/>
      <c r="AH339" s="101"/>
      <c r="AI339" s="101"/>
      <c r="AJ339" s="101"/>
      <c r="AK339" s="191"/>
      <c r="AL339" s="101"/>
      <c r="AM339" s="101"/>
      <c r="AN339" s="101"/>
    </row>
    <row r="340" spans="1:40" x14ac:dyDescent="0.3">
      <c r="L340" s="102"/>
      <c r="M340" s="102"/>
      <c r="N340" s="102"/>
      <c r="O340" s="102"/>
      <c r="R340" s="102"/>
      <c r="AA340" s="102"/>
      <c r="AB340" s="102"/>
      <c r="AC340" s="102"/>
      <c r="AD340" s="102"/>
      <c r="AE340" s="102"/>
      <c r="AF340" s="102"/>
      <c r="AG340" s="151"/>
      <c r="AH340" s="102"/>
      <c r="AK340" s="151"/>
      <c r="AL340" s="102"/>
      <c r="AM340" s="102"/>
      <c r="AN340" s="102"/>
    </row>
    <row r="341" spans="1:40" x14ac:dyDescent="0.3">
      <c r="L341" s="102"/>
      <c r="M341" s="102"/>
      <c r="N341" s="102"/>
      <c r="O341" s="102"/>
      <c r="R341" s="102"/>
      <c r="Z341" s="102"/>
      <c r="AA341" s="102"/>
      <c r="AB341" s="102"/>
      <c r="AC341" s="102"/>
      <c r="AD341" s="102"/>
      <c r="AE341" s="102"/>
      <c r="AF341" s="102"/>
      <c r="AG341" s="151"/>
      <c r="AH341" s="102"/>
      <c r="AK341" s="151"/>
      <c r="AL341" s="102"/>
      <c r="AM341" s="102"/>
      <c r="AN341" s="102"/>
    </row>
    <row r="342" spans="1:40" x14ac:dyDescent="0.3">
      <c r="A342" s="102"/>
      <c r="C342" s="102"/>
      <c r="D342" s="102"/>
      <c r="E342" s="102"/>
      <c r="F342" s="102"/>
      <c r="J342" s="102"/>
      <c r="K342" s="102"/>
      <c r="L342" s="102"/>
      <c r="M342" s="102"/>
      <c r="N342" s="102"/>
      <c r="O342" s="102"/>
      <c r="P342" s="102"/>
      <c r="Q342" s="102"/>
      <c r="R342" s="102"/>
      <c r="T342" s="102"/>
      <c r="U342" s="102"/>
      <c r="V342" s="102"/>
      <c r="Z342" s="102"/>
      <c r="AA342" s="102"/>
      <c r="AB342" s="102"/>
      <c r="AC342" s="102"/>
      <c r="AD342" s="102"/>
      <c r="AE342" s="102"/>
      <c r="AF342" s="102"/>
      <c r="AG342" s="151"/>
      <c r="AH342" s="102"/>
      <c r="AI342" s="102"/>
      <c r="AJ342" s="102"/>
      <c r="AK342" s="151"/>
      <c r="AL342" s="102"/>
      <c r="AM342" s="102"/>
      <c r="AN342" s="102"/>
    </row>
    <row r="343" spans="1:40" x14ac:dyDescent="0.3">
      <c r="A343" s="102"/>
      <c r="C343" s="102"/>
      <c r="D343" s="102"/>
      <c r="E343" s="102"/>
      <c r="F343" s="102"/>
      <c r="H343" s="102"/>
      <c r="I343" s="102"/>
      <c r="J343" s="102"/>
      <c r="K343" s="102"/>
      <c r="L343" s="102"/>
      <c r="M343" s="102"/>
      <c r="N343" s="102"/>
      <c r="O343" s="102"/>
      <c r="P343" s="102"/>
      <c r="Q343" s="102"/>
      <c r="R343" s="102"/>
      <c r="T343" s="102"/>
      <c r="U343" s="102"/>
      <c r="V343" s="102"/>
      <c r="Y343" s="102"/>
      <c r="Z343" s="102"/>
      <c r="AA343" s="102"/>
      <c r="AB343" s="102"/>
      <c r="AC343" s="102"/>
      <c r="AD343" s="102"/>
      <c r="AE343" s="102"/>
      <c r="AF343" s="102"/>
      <c r="AG343" s="151"/>
      <c r="AH343" s="102"/>
      <c r="AI343" s="102"/>
      <c r="AJ343" s="102"/>
      <c r="AK343" s="151"/>
      <c r="AL343" s="102"/>
      <c r="AM343" s="102"/>
      <c r="AN343" s="102"/>
    </row>
    <row r="344" spans="1:40" x14ac:dyDescent="0.3">
      <c r="C344" s="102"/>
      <c r="D344" s="102"/>
      <c r="E344" s="102"/>
      <c r="F344" s="102"/>
      <c r="H344" s="102"/>
      <c r="I344" s="102"/>
      <c r="J344" s="102"/>
      <c r="K344" s="102"/>
      <c r="L344" s="102"/>
      <c r="M344" s="102"/>
      <c r="N344" s="102"/>
      <c r="O344" s="102"/>
      <c r="P344" s="102"/>
      <c r="Q344" s="102"/>
      <c r="R344" s="102"/>
      <c r="T344" s="102"/>
      <c r="U344" s="102"/>
      <c r="V344" s="102"/>
      <c r="Y344" s="102"/>
      <c r="Z344" s="102"/>
      <c r="AA344" s="102"/>
      <c r="AB344" s="102"/>
      <c r="AC344" s="102"/>
      <c r="AD344" s="102"/>
      <c r="AE344" s="102"/>
      <c r="AF344" s="102"/>
      <c r="AG344" s="151"/>
      <c r="AH344" s="102"/>
      <c r="AI344" s="102"/>
      <c r="AJ344" s="102"/>
      <c r="AK344" s="151"/>
      <c r="AL344" s="102"/>
      <c r="AM344" s="102"/>
      <c r="AN344" s="102"/>
    </row>
    <row r="345" spans="1:40" x14ac:dyDescent="0.3">
      <c r="A345" s="101"/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T345" s="101"/>
      <c r="U345" s="101"/>
      <c r="V345" s="101"/>
      <c r="W345" s="101"/>
      <c r="X345" s="101"/>
      <c r="Y345" s="101"/>
      <c r="Z345" s="101"/>
      <c r="AA345" s="101"/>
      <c r="AB345" s="101"/>
      <c r="AC345" s="101"/>
      <c r="AD345" s="101"/>
      <c r="AE345" s="101"/>
      <c r="AF345" s="101"/>
      <c r="AG345" s="191"/>
      <c r="AH345" s="101"/>
      <c r="AI345" s="101"/>
      <c r="AJ345" s="101"/>
      <c r="AK345" s="191"/>
      <c r="AL345" s="101"/>
      <c r="AM345" s="101"/>
      <c r="AN345" s="101"/>
    </row>
    <row r="346" spans="1:40" x14ac:dyDescent="0.3">
      <c r="H346" s="102"/>
      <c r="I346" s="102"/>
      <c r="J346" s="102"/>
      <c r="K346" s="102"/>
      <c r="L346" s="102"/>
      <c r="M346" s="102"/>
      <c r="N346" s="102"/>
      <c r="O346" s="102"/>
      <c r="P346" s="102"/>
      <c r="Q346" s="102"/>
      <c r="R346" s="102"/>
      <c r="Y346" s="102"/>
      <c r="Z346" s="102"/>
      <c r="AA346" s="102"/>
      <c r="AB346" s="102"/>
      <c r="AC346" s="102"/>
      <c r="AD346" s="102"/>
      <c r="AE346" s="102"/>
      <c r="AF346" s="102"/>
      <c r="AG346" s="151"/>
      <c r="AH346" s="102"/>
      <c r="AI346" s="102"/>
      <c r="AJ346" s="102"/>
      <c r="AK346" s="151"/>
      <c r="AL346" s="102"/>
      <c r="AM346" s="102"/>
      <c r="AN346" s="102"/>
    </row>
    <row r="347" spans="1:40" x14ac:dyDescent="0.3">
      <c r="C347" s="99"/>
      <c r="D347" s="99"/>
      <c r="E347" s="99"/>
      <c r="T347" s="99"/>
      <c r="U347" s="99"/>
    </row>
    <row r="349" spans="1:40" x14ac:dyDescent="0.3">
      <c r="C349" s="99"/>
      <c r="T349" s="99"/>
    </row>
    <row r="350" spans="1:40" x14ac:dyDescent="0.3">
      <c r="C350" s="99"/>
      <c r="F350" s="172"/>
      <c r="H350" s="172"/>
      <c r="I350" s="172"/>
      <c r="J350" s="217"/>
      <c r="K350" s="217"/>
      <c r="L350" s="110"/>
      <c r="M350" s="110"/>
      <c r="N350" s="141"/>
      <c r="O350" s="141"/>
      <c r="P350" s="110"/>
      <c r="Q350" s="110"/>
      <c r="R350" s="110"/>
      <c r="T350" s="99"/>
      <c r="V350" s="172"/>
      <c r="Y350" s="172"/>
      <c r="Z350" s="217"/>
      <c r="AA350" s="110"/>
      <c r="AB350" s="110"/>
      <c r="AC350" s="141"/>
      <c r="AD350" s="141"/>
      <c r="AE350" s="110"/>
      <c r="AF350" s="110"/>
      <c r="AH350" s="207"/>
      <c r="AI350" s="110"/>
      <c r="AJ350" s="110"/>
      <c r="AL350" s="110"/>
      <c r="AM350" s="141"/>
      <c r="AN350" s="141"/>
    </row>
    <row r="351" spans="1:40" x14ac:dyDescent="0.3">
      <c r="C351" s="99"/>
      <c r="T351" s="99"/>
    </row>
    <row r="352" spans="1:40" x14ac:dyDescent="0.3">
      <c r="C352" s="99"/>
      <c r="F352" s="172"/>
      <c r="H352" s="172"/>
      <c r="I352" s="172"/>
      <c r="J352" s="228"/>
      <c r="K352" s="228"/>
      <c r="L352" s="110"/>
      <c r="M352" s="110"/>
      <c r="N352" s="141"/>
      <c r="O352" s="141"/>
      <c r="P352" s="110"/>
      <c r="Q352" s="110"/>
      <c r="R352" s="110"/>
      <c r="T352" s="99"/>
      <c r="V352" s="110"/>
      <c r="Y352" s="110"/>
      <c r="Z352" s="228"/>
      <c r="AA352" s="110"/>
      <c r="AB352" s="110"/>
      <c r="AC352" s="141"/>
      <c r="AD352" s="141"/>
      <c r="AE352" s="110"/>
      <c r="AF352" s="110"/>
      <c r="AH352" s="207"/>
      <c r="AI352" s="110"/>
      <c r="AJ352" s="110"/>
      <c r="AL352" s="110"/>
      <c r="AM352" s="141"/>
      <c r="AN352" s="141"/>
    </row>
    <row r="353" spans="3:40" x14ac:dyDescent="0.3">
      <c r="C353" s="99"/>
      <c r="F353" s="172"/>
      <c r="H353" s="172"/>
      <c r="I353" s="172"/>
      <c r="J353" s="228"/>
      <c r="K353" s="228"/>
      <c r="L353" s="110"/>
      <c r="M353" s="110"/>
      <c r="N353" s="141"/>
      <c r="O353" s="141"/>
      <c r="P353" s="110"/>
      <c r="Q353" s="110"/>
      <c r="R353" s="110"/>
      <c r="T353" s="99"/>
      <c r="V353" s="110"/>
      <c r="Y353" s="110"/>
      <c r="Z353" s="228"/>
      <c r="AA353" s="110"/>
      <c r="AB353" s="110"/>
      <c r="AC353" s="141"/>
      <c r="AD353" s="141"/>
      <c r="AE353" s="110"/>
      <c r="AF353" s="110"/>
      <c r="AH353" s="207"/>
      <c r="AI353" s="110"/>
      <c r="AJ353" s="110"/>
      <c r="AL353" s="110"/>
      <c r="AM353" s="141"/>
      <c r="AN353" s="141"/>
    </row>
    <row r="354" spans="3:40" x14ac:dyDescent="0.3">
      <c r="C354" s="99"/>
      <c r="F354" s="172"/>
      <c r="H354" s="172"/>
      <c r="I354" s="172"/>
      <c r="J354" s="228"/>
      <c r="K354" s="228"/>
      <c r="L354" s="110"/>
      <c r="M354" s="110"/>
      <c r="N354" s="141"/>
      <c r="O354" s="141"/>
      <c r="P354" s="110"/>
      <c r="Q354" s="110"/>
      <c r="R354" s="110"/>
      <c r="T354" s="99"/>
      <c r="V354" s="110"/>
      <c r="Y354" s="110"/>
      <c r="Z354" s="228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F355" s="172"/>
      <c r="H355" s="172"/>
      <c r="I355" s="172"/>
      <c r="J355" s="228"/>
      <c r="K355" s="228"/>
      <c r="L355" s="110"/>
      <c r="M355" s="110"/>
      <c r="N355" s="141"/>
      <c r="O355" s="141"/>
      <c r="P355" s="110"/>
      <c r="Q355" s="110"/>
      <c r="R355" s="110"/>
      <c r="T355" s="99"/>
      <c r="V355" s="110"/>
      <c r="Y355" s="110"/>
      <c r="Z355" s="228"/>
      <c r="AA355" s="110"/>
      <c r="AB355" s="110"/>
      <c r="AC355" s="141"/>
      <c r="AD355" s="141"/>
      <c r="AE355" s="110"/>
      <c r="AF355" s="110"/>
      <c r="AH355" s="207"/>
      <c r="AI355" s="110"/>
      <c r="AJ355" s="110"/>
      <c r="AL355" s="110"/>
      <c r="AM355" s="141"/>
      <c r="AN355" s="141"/>
    </row>
    <row r="356" spans="3:40" x14ac:dyDescent="0.3">
      <c r="C356" s="99"/>
      <c r="J356" s="163"/>
      <c r="K356" s="163"/>
      <c r="T356" s="99"/>
      <c r="Z356" s="163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10"/>
      <c r="Y357" s="110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J360" s="163"/>
      <c r="K360" s="163"/>
      <c r="T360" s="99"/>
      <c r="Z360" s="163"/>
    </row>
    <row r="361" spans="3:40" x14ac:dyDescent="0.3">
      <c r="C361" s="99"/>
      <c r="F361" s="172"/>
      <c r="H361" s="172"/>
      <c r="I361" s="172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10"/>
      <c r="Y361" s="110"/>
      <c r="Z361" s="228"/>
      <c r="AA361" s="110"/>
      <c r="AB361" s="110"/>
      <c r="AC361" s="141"/>
      <c r="AD361" s="141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C363" s="99"/>
      <c r="J363" s="163"/>
      <c r="K363" s="163"/>
      <c r="T363" s="99"/>
      <c r="Z363" s="163"/>
    </row>
    <row r="364" spans="3:40" x14ac:dyDescent="0.3">
      <c r="C364" s="99"/>
      <c r="F364" s="172"/>
      <c r="H364" s="172"/>
      <c r="I364" s="172"/>
      <c r="J364" s="228"/>
      <c r="K364" s="228"/>
      <c r="L364" s="110"/>
      <c r="M364" s="110"/>
      <c r="N364" s="141"/>
      <c r="O364" s="141"/>
      <c r="P364" s="110"/>
      <c r="Q364" s="110"/>
      <c r="R364" s="110"/>
      <c r="T364" s="99"/>
      <c r="V364" s="110"/>
      <c r="Y364" s="110"/>
      <c r="Z364" s="228"/>
      <c r="AA364" s="110"/>
      <c r="AB364" s="110"/>
      <c r="AC364" s="141"/>
      <c r="AD364" s="141"/>
      <c r="AE364" s="110"/>
      <c r="AF364" s="110"/>
      <c r="AH364" s="207"/>
      <c r="AI364" s="110"/>
      <c r="AJ364" s="110"/>
      <c r="AL364" s="110"/>
      <c r="AM364" s="141"/>
      <c r="AN364" s="141"/>
    </row>
    <row r="365" spans="3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Y365" s="110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3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Y366" s="110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3:40" x14ac:dyDescent="0.3">
      <c r="F367" s="192"/>
      <c r="H367" s="192"/>
      <c r="I367" s="192"/>
      <c r="J367" s="228"/>
      <c r="K367" s="228"/>
      <c r="L367" s="192"/>
      <c r="M367" s="192"/>
      <c r="N367" s="192"/>
      <c r="O367" s="192"/>
      <c r="P367" s="192"/>
      <c r="Q367" s="192"/>
      <c r="R367" s="192"/>
      <c r="V367" s="192"/>
      <c r="Y367" s="192"/>
      <c r="Z367" s="228"/>
      <c r="AA367" s="192"/>
      <c r="AB367" s="192"/>
      <c r="AC367" s="192"/>
      <c r="AD367" s="192"/>
      <c r="AE367" s="192"/>
      <c r="AF367" s="192"/>
      <c r="AI367" s="192"/>
      <c r="AJ367" s="192"/>
      <c r="AK367" s="194"/>
      <c r="AL367" s="192"/>
    </row>
    <row r="368" spans="3:40" x14ac:dyDescent="0.3">
      <c r="C368" s="102"/>
      <c r="F368" s="110"/>
      <c r="H368" s="110"/>
      <c r="I368" s="110"/>
      <c r="J368" s="163"/>
      <c r="K368" s="163"/>
      <c r="L368" s="110"/>
      <c r="M368" s="110"/>
      <c r="N368" s="207"/>
      <c r="O368" s="207"/>
      <c r="P368" s="110"/>
      <c r="Q368" s="110"/>
      <c r="R368" s="110"/>
      <c r="T368" s="102"/>
      <c r="V368" s="110"/>
      <c r="Y368" s="110"/>
      <c r="Z368" s="163"/>
      <c r="AA368" s="110"/>
      <c r="AB368" s="110"/>
      <c r="AC368" s="110"/>
      <c r="AD368" s="110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F369" s="192"/>
      <c r="H369" s="192"/>
      <c r="I369" s="192"/>
      <c r="J369" s="228"/>
      <c r="K369" s="228"/>
      <c r="L369" s="192"/>
      <c r="M369" s="192"/>
      <c r="N369" s="192"/>
      <c r="O369" s="192"/>
      <c r="P369" s="192"/>
      <c r="Q369" s="192"/>
      <c r="R369" s="192"/>
      <c r="V369" s="192"/>
      <c r="Y369" s="192"/>
      <c r="Z369" s="228"/>
      <c r="AA369" s="192"/>
      <c r="AB369" s="192"/>
      <c r="AC369" s="192"/>
      <c r="AD369" s="192"/>
      <c r="AE369" s="192"/>
      <c r="AF369" s="192"/>
      <c r="AI369" s="192"/>
      <c r="AJ369" s="192"/>
      <c r="AK369" s="194"/>
      <c r="AL369" s="192"/>
    </row>
    <row r="370" spans="3:40" x14ac:dyDescent="0.3">
      <c r="C370" s="99"/>
      <c r="J370" s="163"/>
      <c r="K370" s="163"/>
      <c r="T370" s="99"/>
      <c r="Z370" s="163"/>
    </row>
    <row r="371" spans="3:40" x14ac:dyDescent="0.3">
      <c r="C371" s="99"/>
      <c r="J371" s="163"/>
      <c r="K371" s="163"/>
      <c r="T371" s="99"/>
      <c r="Z371" s="163"/>
    </row>
    <row r="372" spans="3:40" x14ac:dyDescent="0.3">
      <c r="C372" s="99"/>
      <c r="F372" s="172"/>
      <c r="H372" s="172"/>
      <c r="I372" s="172"/>
      <c r="J372" s="228"/>
      <c r="K372" s="228"/>
      <c r="L372" s="110"/>
      <c r="M372" s="110"/>
      <c r="N372" s="141"/>
      <c r="O372" s="141"/>
      <c r="P372" s="110"/>
      <c r="Q372" s="110"/>
      <c r="R372" s="110"/>
      <c r="T372" s="99"/>
      <c r="V372" s="110"/>
      <c r="Y372" s="110"/>
      <c r="Z372" s="228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C373" s="99"/>
      <c r="F373" s="172"/>
      <c r="H373" s="172"/>
      <c r="I373" s="172"/>
      <c r="J373" s="228"/>
      <c r="K373" s="228"/>
      <c r="L373" s="110"/>
      <c r="M373" s="110"/>
      <c r="N373" s="141"/>
      <c r="O373" s="141"/>
      <c r="P373" s="110"/>
      <c r="Q373" s="110"/>
      <c r="R373" s="110"/>
      <c r="T373" s="99"/>
      <c r="V373" s="110"/>
      <c r="Y373" s="110"/>
      <c r="Z373" s="228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3:40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10"/>
      <c r="Y374" s="110"/>
      <c r="Z374" s="228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3:40" x14ac:dyDescent="0.3">
      <c r="C375" s="99"/>
      <c r="F375" s="172"/>
      <c r="H375" s="172"/>
      <c r="I375" s="172"/>
      <c r="J375" s="228"/>
      <c r="K375" s="228"/>
      <c r="L375" s="110"/>
      <c r="M375" s="110"/>
      <c r="N375" s="141"/>
      <c r="O375" s="141"/>
      <c r="P375" s="110"/>
      <c r="Q375" s="110"/>
      <c r="R375" s="110"/>
      <c r="T375" s="99"/>
      <c r="V375" s="110"/>
      <c r="Y375" s="110"/>
      <c r="Z375" s="228"/>
      <c r="AA375" s="110"/>
      <c r="AB375" s="110"/>
      <c r="AC375" s="141"/>
      <c r="AD375" s="141"/>
      <c r="AE375" s="110"/>
      <c r="AF375" s="110"/>
      <c r="AH375" s="207"/>
      <c r="AI375" s="110"/>
      <c r="AJ375" s="110"/>
      <c r="AL375" s="110"/>
      <c r="AM375" s="141"/>
      <c r="AN375" s="141"/>
    </row>
    <row r="376" spans="3:40" x14ac:dyDescent="0.3">
      <c r="C376" s="99"/>
      <c r="F376" s="172"/>
      <c r="H376" s="172"/>
      <c r="I376" s="172"/>
      <c r="J376" s="228"/>
      <c r="K376" s="228"/>
      <c r="L376" s="110"/>
      <c r="M376" s="110"/>
      <c r="N376" s="141"/>
      <c r="O376" s="141"/>
      <c r="P376" s="110"/>
      <c r="Q376" s="110"/>
      <c r="R376" s="110"/>
      <c r="T376" s="99"/>
      <c r="V376" s="110"/>
      <c r="Y376" s="110"/>
      <c r="Z376" s="22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F377" s="172"/>
      <c r="H377" s="172"/>
      <c r="I377" s="172"/>
      <c r="J377" s="228"/>
      <c r="K377" s="228"/>
      <c r="L377" s="110"/>
      <c r="M377" s="110"/>
      <c r="N377" s="141"/>
      <c r="O377" s="141"/>
      <c r="P377" s="110"/>
      <c r="Q377" s="110"/>
      <c r="R377" s="110"/>
      <c r="T377" s="99"/>
      <c r="V377" s="110"/>
      <c r="Y377" s="110"/>
      <c r="Z377" s="228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C378" s="99"/>
      <c r="F378" s="172"/>
      <c r="H378" s="172"/>
      <c r="I378" s="172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C379" s="99"/>
      <c r="J379" s="163"/>
      <c r="K379" s="163"/>
      <c r="T379" s="99"/>
      <c r="Z379" s="163"/>
    </row>
    <row r="380" spans="3:40" x14ac:dyDescent="0.3">
      <c r="C380" s="99"/>
      <c r="F380" s="172"/>
      <c r="H380" s="172"/>
      <c r="I380" s="172"/>
      <c r="J380" s="228"/>
      <c r="K380" s="228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Z380" s="228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228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Y382" s="110"/>
      <c r="Z382" s="228"/>
      <c r="AA382" s="110"/>
      <c r="AB382" s="110"/>
      <c r="AC382" s="141"/>
      <c r="AD382" s="141"/>
      <c r="AE382" s="110"/>
      <c r="AF382" s="110"/>
      <c r="AH382" s="207"/>
      <c r="AI382" s="110"/>
      <c r="AJ382" s="110"/>
      <c r="AL382" s="110"/>
      <c r="AM382" s="141"/>
      <c r="AN382" s="141"/>
    </row>
    <row r="383" spans="3:40" x14ac:dyDescent="0.3">
      <c r="C383" s="99"/>
      <c r="F383" s="172"/>
      <c r="H383" s="172"/>
      <c r="I383" s="172"/>
      <c r="J383" s="228"/>
      <c r="K383" s="228"/>
      <c r="L383" s="110"/>
      <c r="M383" s="110"/>
      <c r="N383" s="141"/>
      <c r="O383" s="141"/>
      <c r="P383" s="110"/>
      <c r="Q383" s="110"/>
      <c r="R383" s="110"/>
      <c r="T383" s="99"/>
      <c r="V383" s="110"/>
      <c r="Y383" s="110"/>
      <c r="Z383" s="228"/>
      <c r="AA383" s="110"/>
      <c r="AB383" s="110"/>
      <c r="AC383" s="141"/>
      <c r="AD383" s="141"/>
      <c r="AE383" s="110"/>
      <c r="AF383" s="110"/>
      <c r="AH383" s="207"/>
      <c r="AI383" s="110"/>
      <c r="AJ383" s="110"/>
      <c r="AL383" s="110"/>
      <c r="AM383" s="141"/>
      <c r="AN383" s="141"/>
    </row>
    <row r="384" spans="3:40" x14ac:dyDescent="0.3">
      <c r="C384" s="99"/>
      <c r="J384" s="163"/>
      <c r="K384" s="163"/>
      <c r="T384" s="99"/>
      <c r="Z384" s="163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10"/>
      <c r="Y385" s="110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72"/>
      <c r="H386" s="172"/>
      <c r="I386" s="172"/>
      <c r="J386" s="228"/>
      <c r="K386" s="228"/>
      <c r="L386" s="110"/>
      <c r="M386" s="110"/>
      <c r="N386" s="141"/>
      <c r="O386" s="141"/>
      <c r="P386" s="110"/>
      <c r="Q386" s="110"/>
      <c r="R386" s="110"/>
      <c r="T386" s="99"/>
      <c r="V386" s="110"/>
      <c r="Y386" s="110"/>
      <c r="Z386" s="228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F387" s="172"/>
      <c r="H387" s="172"/>
      <c r="I387" s="172"/>
      <c r="J387" s="228"/>
      <c r="K387" s="228"/>
      <c r="L387" s="110"/>
      <c r="M387" s="110"/>
      <c r="N387" s="141"/>
      <c r="O387" s="141"/>
      <c r="P387" s="110"/>
      <c r="Q387" s="110"/>
      <c r="R387" s="110"/>
      <c r="T387" s="99"/>
      <c r="V387" s="110"/>
      <c r="Y387" s="110"/>
      <c r="Z387" s="228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3:40" x14ac:dyDescent="0.3">
      <c r="C388" s="99"/>
      <c r="F388" s="172"/>
      <c r="H388" s="172"/>
      <c r="I388" s="172"/>
      <c r="J388" s="228"/>
      <c r="K388" s="228"/>
      <c r="L388" s="110"/>
      <c r="M388" s="110"/>
      <c r="N388" s="141"/>
      <c r="O388" s="141"/>
      <c r="P388" s="110"/>
      <c r="Q388" s="110"/>
      <c r="R388" s="110"/>
      <c r="T388" s="99"/>
      <c r="V388" s="110"/>
      <c r="Y388" s="110"/>
      <c r="Z388" s="228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10"/>
      <c r="Y389" s="110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F390" s="192"/>
      <c r="H390" s="192"/>
      <c r="I390" s="192"/>
      <c r="J390" s="217"/>
      <c r="K390" s="217"/>
      <c r="L390" s="192"/>
      <c r="M390" s="192"/>
      <c r="N390" s="192"/>
      <c r="O390" s="192"/>
      <c r="P390" s="192"/>
      <c r="Q390" s="192"/>
      <c r="R390" s="192"/>
      <c r="V390" s="192"/>
      <c r="Y390" s="192"/>
      <c r="Z390" s="228"/>
      <c r="AA390" s="192"/>
      <c r="AB390" s="192"/>
      <c r="AC390" s="192"/>
      <c r="AD390" s="192"/>
      <c r="AE390" s="192"/>
      <c r="AF390" s="192"/>
      <c r="AI390" s="192"/>
      <c r="AJ390" s="192"/>
      <c r="AK390" s="194"/>
      <c r="AL390" s="192"/>
    </row>
    <row r="391" spans="3:40" x14ac:dyDescent="0.3">
      <c r="C391" s="99"/>
      <c r="F391" s="110"/>
      <c r="H391" s="110"/>
      <c r="I391" s="110"/>
      <c r="L391" s="110"/>
      <c r="M391" s="110"/>
      <c r="N391" s="207"/>
      <c r="O391" s="207"/>
      <c r="P391" s="110"/>
      <c r="Q391" s="110"/>
      <c r="R391" s="110"/>
      <c r="T391" s="99"/>
      <c r="V391" s="110"/>
      <c r="Y391" s="110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F392" s="192"/>
      <c r="H392" s="192"/>
      <c r="I392" s="192"/>
      <c r="J392" s="217"/>
      <c r="K392" s="217"/>
      <c r="L392" s="192"/>
      <c r="M392" s="192"/>
      <c r="N392" s="192"/>
      <c r="O392" s="192"/>
      <c r="P392" s="192"/>
      <c r="Q392" s="192"/>
      <c r="R392" s="192"/>
      <c r="V392" s="192"/>
      <c r="Y392" s="192"/>
      <c r="Z392" s="217"/>
      <c r="AA392" s="192"/>
      <c r="AB392" s="192"/>
      <c r="AC392" s="192"/>
      <c r="AD392" s="192"/>
      <c r="AE392" s="192"/>
      <c r="AF392" s="192"/>
      <c r="AI392" s="192"/>
      <c r="AJ392" s="192"/>
      <c r="AK392" s="194"/>
      <c r="AL392" s="192"/>
    </row>
    <row r="393" spans="3:40" x14ac:dyDescent="0.3">
      <c r="C393" s="99"/>
      <c r="T393" s="99"/>
    </row>
    <row r="394" spans="3:40" x14ac:dyDescent="0.3">
      <c r="C394" s="99"/>
      <c r="F394" s="172"/>
      <c r="H394" s="172"/>
      <c r="I394" s="172"/>
      <c r="J394" s="181"/>
      <c r="K394" s="181"/>
      <c r="L394" s="110"/>
      <c r="M394" s="110"/>
      <c r="N394" s="141"/>
      <c r="O394" s="141"/>
      <c r="P394" s="110"/>
      <c r="Q394" s="110"/>
      <c r="R394" s="110"/>
      <c r="T394" s="99"/>
      <c r="V394" s="110"/>
      <c r="Y394" s="110"/>
      <c r="Z394" s="181"/>
      <c r="AA394" s="110"/>
      <c r="AB394" s="110"/>
      <c r="AC394" s="141"/>
      <c r="AD394" s="141"/>
      <c r="AE394" s="110"/>
      <c r="AF394" s="110"/>
      <c r="AH394" s="207"/>
      <c r="AI394" s="110"/>
      <c r="AJ394" s="110"/>
      <c r="AL394" s="110"/>
      <c r="AM394" s="141"/>
      <c r="AN394" s="141"/>
    </row>
    <row r="395" spans="3:40" x14ac:dyDescent="0.3">
      <c r="C395" s="99"/>
      <c r="F395" s="172"/>
      <c r="H395" s="172"/>
      <c r="I395" s="172"/>
      <c r="J395" s="181"/>
      <c r="K395" s="181"/>
      <c r="L395" s="110"/>
      <c r="M395" s="110"/>
      <c r="N395" s="141"/>
      <c r="O395" s="141"/>
      <c r="P395" s="110"/>
      <c r="Q395" s="110"/>
      <c r="R395" s="110"/>
      <c r="T395" s="99"/>
      <c r="V395" s="110"/>
      <c r="Y395" s="110"/>
      <c r="Z395" s="181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F396" s="192"/>
      <c r="H396" s="110"/>
      <c r="I396" s="110"/>
      <c r="J396" s="217"/>
      <c r="K396" s="217"/>
      <c r="L396" s="192"/>
      <c r="M396" s="192"/>
      <c r="N396" s="192"/>
      <c r="O396" s="192"/>
      <c r="P396" s="192"/>
      <c r="Q396" s="192"/>
      <c r="R396" s="192"/>
      <c r="V396" s="192"/>
      <c r="Y396" s="110"/>
      <c r="Z396" s="217"/>
      <c r="AA396" s="192"/>
      <c r="AB396" s="192"/>
      <c r="AC396" s="192"/>
      <c r="AD396" s="192"/>
      <c r="AE396" s="192"/>
      <c r="AF396" s="192"/>
      <c r="AI396" s="192"/>
      <c r="AJ396" s="192"/>
      <c r="AK396" s="194"/>
      <c r="AL396" s="192"/>
    </row>
    <row r="397" spans="3:40" x14ac:dyDescent="0.3">
      <c r="F397" s="110"/>
      <c r="H397" s="110"/>
      <c r="I397" s="110"/>
      <c r="J397" s="217"/>
      <c r="K397" s="217"/>
      <c r="L397" s="110"/>
      <c r="M397" s="110"/>
      <c r="N397" s="110"/>
      <c r="O397" s="110"/>
      <c r="P397" s="110"/>
      <c r="Q397" s="110"/>
      <c r="R397" s="110"/>
      <c r="V397" s="110"/>
      <c r="Y397" s="110"/>
      <c r="Z397" s="217"/>
      <c r="AA397" s="110"/>
      <c r="AB397" s="110"/>
      <c r="AC397" s="110"/>
      <c r="AD397" s="110"/>
      <c r="AE397" s="110"/>
      <c r="AF397" s="110"/>
      <c r="AI397" s="110"/>
      <c r="AJ397" s="110"/>
      <c r="AL397" s="110"/>
    </row>
    <row r="398" spans="3:40" x14ac:dyDescent="0.3">
      <c r="C398" s="99"/>
      <c r="F398" s="110"/>
      <c r="H398" s="110"/>
      <c r="I398" s="110"/>
      <c r="L398" s="110"/>
      <c r="M398" s="110"/>
      <c r="N398" s="141"/>
      <c r="O398" s="141"/>
      <c r="P398" s="110"/>
      <c r="Q398" s="110"/>
      <c r="R398" s="110"/>
      <c r="T398" s="99"/>
      <c r="V398" s="110"/>
      <c r="Y398" s="110"/>
      <c r="AA398" s="110"/>
      <c r="AB398" s="110"/>
      <c r="AC398" s="141"/>
      <c r="AD398" s="141"/>
      <c r="AE398" s="110"/>
      <c r="AF398" s="110"/>
      <c r="AH398" s="207"/>
      <c r="AI398" s="172"/>
      <c r="AJ398" s="172"/>
      <c r="AL398" s="110"/>
      <c r="AM398" s="141"/>
      <c r="AN398" s="141"/>
    </row>
    <row r="399" spans="3:40" x14ac:dyDescent="0.3">
      <c r="H399" s="192"/>
      <c r="I399" s="192"/>
      <c r="J399" s="217"/>
      <c r="K399" s="217"/>
      <c r="L399" s="192"/>
      <c r="M399" s="192"/>
      <c r="N399" s="192"/>
      <c r="O399" s="192"/>
      <c r="P399" s="192"/>
      <c r="Q399" s="192"/>
      <c r="R399" s="192"/>
      <c r="V399" s="192"/>
      <c r="Y399" s="192"/>
      <c r="Z399" s="217"/>
      <c r="AA399" s="192"/>
      <c r="AB399" s="192"/>
      <c r="AC399" s="192"/>
      <c r="AD399" s="192"/>
      <c r="AE399" s="192"/>
      <c r="AF399" s="192"/>
      <c r="AI399" s="192"/>
      <c r="AJ399" s="192"/>
      <c r="AK399" s="194"/>
      <c r="AL399" s="192"/>
    </row>
    <row r="400" spans="3:40" x14ac:dyDescent="0.3">
      <c r="F400" s="192"/>
    </row>
    <row r="401" spans="1:38" x14ac:dyDescent="0.3">
      <c r="A401" s="99"/>
      <c r="T401" s="99"/>
    </row>
    <row r="402" spans="1:38" x14ac:dyDescent="0.3">
      <c r="A402" s="99"/>
      <c r="T402" s="99"/>
    </row>
    <row r="403" spans="1:38" x14ac:dyDescent="0.3">
      <c r="A403" s="99"/>
      <c r="T403" s="99"/>
    </row>
    <row r="404" spans="1:38" x14ac:dyDescent="0.3">
      <c r="A404" s="99"/>
      <c r="T404" s="99"/>
    </row>
    <row r="405" spans="1:38" x14ac:dyDescent="0.3">
      <c r="A405" s="99"/>
      <c r="T405" s="99"/>
    </row>
    <row r="406" spans="1:38" x14ac:dyDescent="0.3">
      <c r="A406" s="99"/>
      <c r="T406" s="99"/>
    </row>
    <row r="407" spans="1:38" x14ac:dyDescent="0.3">
      <c r="A407" s="99"/>
      <c r="T407" s="99"/>
    </row>
    <row r="408" spans="1:38" x14ac:dyDescent="0.3">
      <c r="A408" s="99"/>
      <c r="T408" s="99"/>
    </row>
    <row r="409" spans="1:38" x14ac:dyDescent="0.3">
      <c r="A409" s="99"/>
      <c r="T409" s="99"/>
    </row>
    <row r="411" spans="1:38" x14ac:dyDescent="0.3">
      <c r="A411" s="99"/>
    </row>
    <row r="413" spans="1:38" x14ac:dyDescent="0.3">
      <c r="H413" s="99"/>
      <c r="I413" s="99"/>
      <c r="Y413" s="99"/>
    </row>
    <row r="415" spans="1:38" x14ac:dyDescent="0.3">
      <c r="L415" s="99"/>
      <c r="M415" s="99"/>
      <c r="AA415" s="99"/>
      <c r="AB415" s="99"/>
    </row>
    <row r="416" spans="1:38" x14ac:dyDescent="0.3">
      <c r="R416" s="99"/>
      <c r="AK416" s="190"/>
      <c r="AL416" s="99"/>
    </row>
    <row r="417" spans="1:40" x14ac:dyDescent="0.3">
      <c r="R417" s="99"/>
      <c r="AK417" s="190"/>
      <c r="AL417" s="99"/>
    </row>
    <row r="418" spans="1:40" x14ac:dyDescent="0.3">
      <c r="A418" s="99"/>
      <c r="R418" s="99"/>
      <c r="AK418" s="190"/>
      <c r="AL418" s="99"/>
    </row>
    <row r="419" spans="1:40" x14ac:dyDescent="0.3">
      <c r="L419" s="99"/>
      <c r="M419" s="99"/>
      <c r="AA419" s="99"/>
      <c r="AB419" s="99"/>
    </row>
    <row r="420" spans="1:40" x14ac:dyDescent="0.3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91"/>
      <c r="AH420" s="101"/>
      <c r="AI420" s="101"/>
      <c r="AJ420" s="101"/>
      <c r="AK420" s="191"/>
      <c r="AL420" s="101"/>
      <c r="AM420" s="101"/>
      <c r="AN420" s="101"/>
    </row>
    <row r="421" spans="1:40" x14ac:dyDescent="0.3">
      <c r="L421" s="102"/>
      <c r="M421" s="102"/>
      <c r="N421" s="102"/>
      <c r="O421" s="102"/>
      <c r="R421" s="102"/>
      <c r="AA421" s="102"/>
      <c r="AB421" s="102"/>
      <c r="AC421" s="102"/>
      <c r="AD421" s="102"/>
      <c r="AE421" s="102"/>
      <c r="AF421" s="102"/>
      <c r="AG421" s="151"/>
      <c r="AH421" s="102"/>
      <c r="AK421" s="151"/>
      <c r="AL421" s="102"/>
      <c r="AM421" s="102"/>
      <c r="AN421" s="102"/>
    </row>
    <row r="422" spans="1:40" x14ac:dyDescent="0.3">
      <c r="L422" s="102"/>
      <c r="M422" s="102"/>
      <c r="N422" s="102"/>
      <c r="O422" s="102"/>
      <c r="R422" s="102"/>
      <c r="Z422" s="102"/>
      <c r="AA422" s="102"/>
      <c r="AB422" s="102"/>
      <c r="AC422" s="102"/>
      <c r="AD422" s="102"/>
      <c r="AE422" s="102"/>
      <c r="AF422" s="102"/>
      <c r="AG422" s="151"/>
      <c r="AH422" s="102"/>
      <c r="AK422" s="151"/>
      <c r="AL422" s="102"/>
      <c r="AM422" s="102"/>
      <c r="AN422" s="102"/>
    </row>
    <row r="423" spans="1:40" x14ac:dyDescent="0.3">
      <c r="A423" s="102"/>
      <c r="C423" s="102"/>
      <c r="D423" s="102"/>
      <c r="E423" s="102"/>
      <c r="F423" s="102"/>
      <c r="J423" s="102"/>
      <c r="K423" s="102"/>
      <c r="L423" s="102"/>
      <c r="M423" s="102"/>
      <c r="N423" s="102"/>
      <c r="O423" s="102"/>
      <c r="P423" s="102"/>
      <c r="Q423" s="102"/>
      <c r="R423" s="102"/>
      <c r="T423" s="102"/>
      <c r="U423" s="102"/>
      <c r="V423" s="102"/>
      <c r="Z423" s="102"/>
      <c r="AA423" s="102"/>
      <c r="AB423" s="102"/>
      <c r="AC423" s="102"/>
      <c r="AD423" s="102"/>
      <c r="AE423" s="102"/>
      <c r="AF423" s="102"/>
      <c r="AG423" s="151"/>
      <c r="AH423" s="102"/>
      <c r="AI423" s="102"/>
      <c r="AJ423" s="102"/>
      <c r="AK423" s="151"/>
      <c r="AL423" s="102"/>
      <c r="AM423" s="102"/>
      <c r="AN423" s="102"/>
    </row>
    <row r="424" spans="1:40" x14ac:dyDescent="0.3">
      <c r="A424" s="102"/>
      <c r="C424" s="102"/>
      <c r="D424" s="102"/>
      <c r="E424" s="102"/>
      <c r="F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T424" s="102"/>
      <c r="U424" s="102"/>
      <c r="V424" s="102"/>
      <c r="Y424" s="102"/>
      <c r="Z424" s="102"/>
      <c r="AA424" s="102"/>
      <c r="AB424" s="102"/>
      <c r="AC424" s="102"/>
      <c r="AD424" s="102"/>
      <c r="AE424" s="102"/>
      <c r="AF424" s="102"/>
      <c r="AG424" s="151"/>
      <c r="AH424" s="102"/>
      <c r="AI424" s="102"/>
      <c r="AJ424" s="102"/>
      <c r="AK424" s="151"/>
      <c r="AL424" s="102"/>
      <c r="AM424" s="102"/>
      <c r="AN424" s="102"/>
    </row>
    <row r="425" spans="1:40" x14ac:dyDescent="0.3">
      <c r="C425" s="102"/>
      <c r="D425" s="102"/>
      <c r="E425" s="102"/>
      <c r="F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T425" s="102"/>
      <c r="U425" s="102"/>
      <c r="V425" s="102"/>
      <c r="Y425" s="102"/>
      <c r="Z425" s="102"/>
      <c r="AA425" s="102"/>
      <c r="AB425" s="102"/>
      <c r="AC425" s="102"/>
      <c r="AD425" s="102"/>
      <c r="AE425" s="102"/>
      <c r="AF425" s="102"/>
      <c r="AG425" s="151"/>
      <c r="AH425" s="102"/>
      <c r="AI425" s="102"/>
      <c r="AJ425" s="102"/>
      <c r="AK425" s="151"/>
      <c r="AL425" s="102"/>
      <c r="AM425" s="102"/>
      <c r="AN425" s="102"/>
    </row>
    <row r="426" spans="1:40" x14ac:dyDescent="0.3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91"/>
      <c r="AH426" s="101"/>
      <c r="AI426" s="101"/>
      <c r="AJ426" s="101"/>
      <c r="AK426" s="191"/>
      <c r="AL426" s="101"/>
      <c r="AM426" s="101"/>
      <c r="AN426" s="101"/>
    </row>
    <row r="427" spans="1:40" x14ac:dyDescent="0.3"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Y427" s="102"/>
      <c r="Z427" s="102"/>
      <c r="AA427" s="102"/>
      <c r="AB427" s="102"/>
      <c r="AC427" s="102"/>
      <c r="AD427" s="102"/>
      <c r="AE427" s="102"/>
      <c r="AF427" s="102"/>
      <c r="AG427" s="151"/>
      <c r="AH427" s="102"/>
      <c r="AI427" s="102"/>
      <c r="AJ427" s="102"/>
      <c r="AK427" s="151"/>
      <c r="AL427" s="102"/>
      <c r="AM427" s="102"/>
      <c r="AN427" s="102"/>
    </row>
    <row r="428" spans="1:40" x14ac:dyDescent="0.3">
      <c r="C428" s="99"/>
      <c r="D428" s="99"/>
      <c r="E428" s="99"/>
      <c r="T428" s="99"/>
      <c r="U428" s="99"/>
    </row>
    <row r="429" spans="1:40" x14ac:dyDescent="0.3">
      <c r="D429" s="99"/>
      <c r="E429" s="99"/>
      <c r="U429" s="99"/>
    </row>
    <row r="431" spans="1:40" x14ac:dyDescent="0.3">
      <c r="C431" s="99"/>
      <c r="F431" s="110"/>
      <c r="J431" s="209"/>
      <c r="K431" s="209"/>
      <c r="L431" s="110"/>
      <c r="M431" s="110"/>
      <c r="R431" s="110"/>
      <c r="T431" s="99"/>
      <c r="V431" s="110"/>
      <c r="Z431" s="209"/>
      <c r="AA431" s="110"/>
      <c r="AB431" s="110"/>
      <c r="AH431" s="110"/>
      <c r="AL431" s="110"/>
    </row>
    <row r="432" spans="1:40" x14ac:dyDescent="0.3">
      <c r="C432" s="99"/>
      <c r="F432" s="110"/>
      <c r="R432" s="110"/>
      <c r="T432" s="99"/>
      <c r="V432" s="110"/>
      <c r="AH432" s="110"/>
      <c r="AL432" s="110"/>
    </row>
    <row r="433" spans="3:40" x14ac:dyDescent="0.3"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7"/>
      <c r="K434" s="227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7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F435" s="110"/>
      <c r="H435" s="110"/>
      <c r="I435" s="110"/>
      <c r="J435" s="198"/>
      <c r="K435" s="198"/>
      <c r="L435" s="110"/>
      <c r="M435" s="110"/>
      <c r="P435" s="110"/>
      <c r="Q435" s="110"/>
      <c r="R435" s="110"/>
      <c r="V435" s="110"/>
      <c r="Y435" s="110"/>
      <c r="Z435" s="198"/>
      <c r="AA435" s="110"/>
      <c r="AB435" s="110"/>
      <c r="AI435" s="110"/>
      <c r="AJ435" s="110"/>
      <c r="AL435" s="110"/>
      <c r="AM435" s="141"/>
      <c r="AN435" s="141"/>
    </row>
    <row r="436" spans="3:40" x14ac:dyDescent="0.3">
      <c r="F436" s="110"/>
      <c r="R436" s="110"/>
      <c r="V436" s="110"/>
      <c r="AL436" s="110"/>
      <c r="AM436" s="141"/>
      <c r="AN436" s="141"/>
    </row>
    <row r="437" spans="3:40" x14ac:dyDescent="0.3">
      <c r="C437" s="99"/>
      <c r="F437" s="110"/>
      <c r="J437" s="209"/>
      <c r="K437" s="209"/>
      <c r="L437" s="110"/>
      <c r="M437" s="110"/>
      <c r="N437" s="141"/>
      <c r="O437" s="141"/>
      <c r="R437" s="110"/>
      <c r="T437" s="99"/>
      <c r="V437" s="110"/>
      <c r="Z437" s="209"/>
      <c r="AA437" s="110"/>
      <c r="AB437" s="110"/>
      <c r="AC437" s="141"/>
      <c r="AD437" s="141"/>
      <c r="AL437" s="110"/>
      <c r="AM437" s="141"/>
      <c r="AN437" s="141"/>
    </row>
    <row r="438" spans="3:40" x14ac:dyDescent="0.3">
      <c r="C438" s="99"/>
      <c r="F438" s="110"/>
      <c r="H438" s="110"/>
      <c r="I438" s="110"/>
      <c r="J438" s="209"/>
      <c r="K438" s="209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09"/>
      <c r="AA438" s="110"/>
      <c r="AB438" s="110"/>
      <c r="AC438" s="141"/>
      <c r="AD438" s="141"/>
      <c r="AI438" s="110"/>
      <c r="AJ438" s="110"/>
      <c r="AL438" s="110"/>
      <c r="AM438" s="141"/>
      <c r="AN438" s="141"/>
    </row>
    <row r="439" spans="3:40" x14ac:dyDescent="0.3">
      <c r="C439" s="99"/>
      <c r="T439" s="99"/>
      <c r="AM439" s="141"/>
      <c r="AN439" s="141"/>
    </row>
    <row r="440" spans="3:40" x14ac:dyDescent="0.3">
      <c r="C440" s="99"/>
      <c r="T440" s="99"/>
      <c r="AM440" s="141"/>
      <c r="AN440" s="141"/>
    </row>
    <row r="441" spans="3:40" x14ac:dyDescent="0.3">
      <c r="AM441" s="141"/>
      <c r="AN441" s="141"/>
    </row>
    <row r="442" spans="3:40" x14ac:dyDescent="0.3">
      <c r="C442" s="99"/>
      <c r="F442" s="172"/>
      <c r="H442" s="172"/>
      <c r="I442" s="172"/>
      <c r="J442" s="227"/>
      <c r="K442" s="227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27"/>
      <c r="AA442" s="110"/>
      <c r="AB442" s="110"/>
      <c r="AC442" s="141"/>
      <c r="AD442" s="141"/>
      <c r="AE442" s="110"/>
      <c r="AF442" s="110"/>
      <c r="AH442" s="207"/>
      <c r="AI442" s="110"/>
      <c r="AJ442" s="110"/>
      <c r="AL442" s="110"/>
      <c r="AM442" s="141"/>
      <c r="AN442" s="141"/>
    </row>
    <row r="443" spans="3:40" x14ac:dyDescent="0.3">
      <c r="F443" s="192"/>
      <c r="H443" s="192"/>
      <c r="I443" s="192"/>
      <c r="J443" s="217"/>
      <c r="K443" s="217"/>
      <c r="L443" s="192"/>
      <c r="M443" s="192"/>
      <c r="N443" s="192"/>
      <c r="O443" s="192"/>
      <c r="P443" s="192"/>
      <c r="Q443" s="192"/>
      <c r="R443" s="192"/>
      <c r="V443" s="192"/>
      <c r="Y443" s="192"/>
      <c r="Z443" s="217"/>
      <c r="AA443" s="192"/>
      <c r="AB443" s="192"/>
      <c r="AC443" s="192"/>
      <c r="AD443" s="192"/>
      <c r="AE443" s="192"/>
      <c r="AF443" s="192"/>
      <c r="AI443" s="192"/>
      <c r="AJ443" s="192"/>
      <c r="AK443" s="194"/>
      <c r="AL443" s="192"/>
      <c r="AM443" s="141"/>
      <c r="AN443" s="141"/>
    </row>
    <row r="444" spans="3:40" x14ac:dyDescent="0.3">
      <c r="H444" s="110"/>
      <c r="I444" s="110"/>
      <c r="Y444" s="110"/>
      <c r="AM444" s="141"/>
      <c r="AN444" s="141"/>
    </row>
    <row r="445" spans="3:40" x14ac:dyDescent="0.3">
      <c r="C445" s="99"/>
      <c r="F445" s="110"/>
      <c r="H445" s="110"/>
      <c r="I445" s="110"/>
      <c r="L445" s="110"/>
      <c r="M445" s="110"/>
      <c r="N445" s="141"/>
      <c r="O445" s="141"/>
      <c r="P445" s="172"/>
      <c r="Q445" s="172"/>
      <c r="R445" s="110"/>
      <c r="T445" s="99"/>
      <c r="V445" s="110"/>
      <c r="Y445" s="110"/>
      <c r="AA445" s="110"/>
      <c r="AB445" s="110"/>
      <c r="AC445" s="141"/>
      <c r="AD445" s="141"/>
      <c r="AE445" s="110"/>
      <c r="AF445" s="110"/>
      <c r="AH445" s="207"/>
      <c r="AI445" s="172"/>
      <c r="AJ445" s="172"/>
      <c r="AL445" s="110"/>
      <c r="AM445" s="141"/>
      <c r="AN445" s="141"/>
    </row>
    <row r="446" spans="3:40" x14ac:dyDescent="0.3">
      <c r="H446" s="192"/>
      <c r="I446" s="192"/>
      <c r="J446" s="217"/>
      <c r="K446" s="217"/>
      <c r="L446" s="192"/>
      <c r="M446" s="192"/>
      <c r="N446" s="192"/>
      <c r="O446" s="192"/>
      <c r="P446" s="192"/>
      <c r="Q446" s="192"/>
      <c r="R446" s="192"/>
      <c r="V446" s="192"/>
      <c r="Y446" s="192"/>
      <c r="Z446" s="217"/>
      <c r="AA446" s="192"/>
      <c r="AB446" s="192"/>
      <c r="AC446" s="192"/>
      <c r="AD446" s="192"/>
      <c r="AE446" s="192"/>
      <c r="AF446" s="192"/>
      <c r="AI446" s="192"/>
      <c r="AJ446" s="192"/>
      <c r="AK446" s="194"/>
      <c r="AL446" s="192"/>
      <c r="AM446" s="141"/>
      <c r="AN446" s="141"/>
    </row>
    <row r="447" spans="3:40" x14ac:dyDescent="0.3">
      <c r="F447" s="192"/>
    </row>
    <row r="448" spans="3:40" x14ac:dyDescent="0.3">
      <c r="F448" s="110"/>
      <c r="H448" s="110"/>
      <c r="I448" s="110"/>
      <c r="J448" s="198"/>
      <c r="K448" s="198"/>
      <c r="L448" s="110"/>
      <c r="M448" s="110"/>
      <c r="N448" s="110"/>
      <c r="O448" s="110"/>
      <c r="P448" s="110"/>
      <c r="Q448" s="110"/>
      <c r="R448" s="110"/>
      <c r="V448" s="110"/>
      <c r="Y448" s="110"/>
      <c r="Z448" s="198"/>
      <c r="AA448" s="110"/>
      <c r="AB448" s="110"/>
      <c r="AC448" s="110"/>
      <c r="AD448" s="110"/>
      <c r="AE448" s="110"/>
      <c r="AF448" s="110"/>
      <c r="AH448" s="110"/>
      <c r="AI448" s="110"/>
      <c r="AJ448" s="110"/>
      <c r="AL448" s="110"/>
    </row>
    <row r="449" spans="1:40" x14ac:dyDescent="0.3">
      <c r="A449" s="99"/>
    </row>
    <row r="451" spans="1:40" x14ac:dyDescent="0.3">
      <c r="H451" s="99"/>
      <c r="I451" s="99"/>
      <c r="Y451" s="99"/>
    </row>
    <row r="453" spans="1:40" x14ac:dyDescent="0.3">
      <c r="L453" s="99"/>
      <c r="M453" s="99"/>
      <c r="AA453" s="99"/>
      <c r="AB453" s="99"/>
    </row>
    <row r="454" spans="1:40" x14ac:dyDescent="0.3">
      <c r="R454" s="99"/>
      <c r="AK454" s="190"/>
      <c r="AL454" s="99"/>
    </row>
    <row r="455" spans="1:40" x14ac:dyDescent="0.3">
      <c r="R455" s="99"/>
      <c r="AK455" s="190"/>
      <c r="AL455" s="99"/>
    </row>
    <row r="456" spans="1:40" x14ac:dyDescent="0.3">
      <c r="A456" s="99"/>
      <c r="R456" s="99"/>
      <c r="AK456" s="190"/>
      <c r="AL456" s="99"/>
    </row>
    <row r="457" spans="1:40" x14ac:dyDescent="0.3">
      <c r="L457" s="99"/>
      <c r="M457" s="99"/>
      <c r="AA457" s="99"/>
      <c r="AB457" s="99"/>
    </row>
    <row r="458" spans="1:40" x14ac:dyDescent="0.3">
      <c r="A458" s="101"/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/>
      <c r="AD458" s="101"/>
      <c r="AE458" s="101"/>
      <c r="AF458" s="101"/>
      <c r="AG458" s="191"/>
      <c r="AH458" s="101"/>
      <c r="AI458" s="101"/>
      <c r="AJ458" s="101"/>
      <c r="AK458" s="191"/>
      <c r="AL458" s="101"/>
      <c r="AM458" s="101"/>
      <c r="AN458" s="101"/>
    </row>
    <row r="459" spans="1:40" x14ac:dyDescent="0.3">
      <c r="L459" s="102"/>
      <c r="M459" s="102"/>
      <c r="N459" s="102"/>
      <c r="O459" s="102"/>
      <c r="R459" s="102"/>
      <c r="AA459" s="102"/>
      <c r="AB459" s="102"/>
      <c r="AC459" s="102"/>
      <c r="AD459" s="102"/>
      <c r="AE459" s="102"/>
      <c r="AF459" s="102"/>
      <c r="AG459" s="151"/>
      <c r="AH459" s="102"/>
      <c r="AK459" s="151"/>
      <c r="AL459" s="102"/>
      <c r="AM459" s="102"/>
      <c r="AN459" s="102"/>
    </row>
    <row r="460" spans="1:40" x14ac:dyDescent="0.3">
      <c r="L460" s="102"/>
      <c r="M460" s="102"/>
      <c r="N460" s="102"/>
      <c r="O460" s="102"/>
      <c r="R460" s="102"/>
      <c r="Z460" s="102"/>
      <c r="AA460" s="102"/>
      <c r="AB460" s="102"/>
      <c r="AC460" s="102"/>
      <c r="AD460" s="102"/>
      <c r="AE460" s="102"/>
      <c r="AF460" s="102"/>
      <c r="AG460" s="151"/>
      <c r="AH460" s="102"/>
      <c r="AK460" s="151"/>
      <c r="AL460" s="102"/>
      <c r="AM460" s="102"/>
      <c r="AN460" s="102"/>
    </row>
    <row r="461" spans="1:40" x14ac:dyDescent="0.3">
      <c r="A461" s="102"/>
      <c r="C461" s="102"/>
      <c r="D461" s="102"/>
      <c r="E461" s="102"/>
      <c r="F461" s="102"/>
      <c r="J461" s="102"/>
      <c r="K461" s="102"/>
      <c r="L461" s="102"/>
      <c r="M461" s="102"/>
      <c r="N461" s="102"/>
      <c r="O461" s="102"/>
      <c r="P461" s="102"/>
      <c r="Q461" s="102"/>
      <c r="R461" s="102"/>
      <c r="T461" s="102"/>
      <c r="U461" s="102"/>
      <c r="V461" s="102"/>
      <c r="Z461" s="102"/>
      <c r="AA461" s="102"/>
      <c r="AB461" s="102"/>
      <c r="AC461" s="102"/>
      <c r="AD461" s="102"/>
      <c r="AE461" s="102"/>
      <c r="AF461" s="102"/>
      <c r="AG461" s="151"/>
      <c r="AH461" s="102"/>
      <c r="AI461" s="102"/>
      <c r="AJ461" s="102"/>
      <c r="AK461" s="151"/>
      <c r="AL461" s="102"/>
      <c r="AM461" s="102"/>
      <c r="AN461" s="102"/>
    </row>
    <row r="462" spans="1:40" x14ac:dyDescent="0.3">
      <c r="A462" s="102"/>
      <c r="C462" s="102"/>
      <c r="D462" s="102"/>
      <c r="E462" s="102"/>
      <c r="F462" s="102"/>
      <c r="H462" s="102"/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T462" s="102"/>
      <c r="U462" s="102"/>
      <c r="V462" s="102"/>
      <c r="Y462" s="102"/>
      <c r="Z462" s="102"/>
      <c r="AA462" s="102"/>
      <c r="AB462" s="102"/>
      <c r="AC462" s="102"/>
      <c r="AD462" s="102"/>
      <c r="AE462" s="102"/>
      <c r="AF462" s="102"/>
      <c r="AG462" s="151"/>
      <c r="AH462" s="102"/>
      <c r="AI462" s="102"/>
      <c r="AJ462" s="102"/>
      <c r="AK462" s="151"/>
      <c r="AL462" s="102"/>
      <c r="AM462" s="102"/>
      <c r="AN462" s="102"/>
    </row>
    <row r="463" spans="1:40" x14ac:dyDescent="0.3">
      <c r="C463" s="102"/>
      <c r="D463" s="102"/>
      <c r="E463" s="102"/>
      <c r="F463" s="102"/>
      <c r="H463" s="102"/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T463" s="102"/>
      <c r="U463" s="102"/>
      <c r="V463" s="102"/>
      <c r="Y463" s="102"/>
      <c r="Z463" s="102"/>
      <c r="AA463" s="102"/>
      <c r="AB463" s="102"/>
      <c r="AC463" s="102"/>
      <c r="AD463" s="102"/>
      <c r="AE463" s="102"/>
      <c r="AF463" s="102"/>
      <c r="AG463" s="151"/>
      <c r="AH463" s="102"/>
      <c r="AI463" s="102"/>
      <c r="AJ463" s="102"/>
      <c r="AK463" s="151"/>
      <c r="AL463" s="102"/>
      <c r="AM463" s="102"/>
      <c r="AN463" s="102"/>
    </row>
    <row r="464" spans="1:40" x14ac:dyDescent="0.3">
      <c r="A464" s="101"/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/>
      <c r="AD464" s="101"/>
      <c r="AE464" s="101"/>
      <c r="AF464" s="101"/>
      <c r="AG464" s="191"/>
      <c r="AH464" s="101"/>
      <c r="AI464" s="101"/>
      <c r="AJ464" s="101"/>
      <c r="AK464" s="191"/>
      <c r="AL464" s="101"/>
      <c r="AM464" s="101"/>
      <c r="AN464" s="101"/>
    </row>
    <row r="465" spans="3:40" x14ac:dyDescent="0.3">
      <c r="H465" s="102"/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Y465" s="102"/>
      <c r="Z465" s="102"/>
      <c r="AA465" s="102"/>
      <c r="AB465" s="102"/>
      <c r="AC465" s="102"/>
      <c r="AD465" s="102"/>
      <c r="AE465" s="102"/>
      <c r="AF465" s="102"/>
      <c r="AG465" s="151"/>
      <c r="AH465" s="102"/>
      <c r="AI465" s="102"/>
      <c r="AJ465" s="102"/>
      <c r="AK465" s="151"/>
      <c r="AL465" s="102"/>
      <c r="AM465" s="102"/>
      <c r="AN465" s="102"/>
    </row>
    <row r="466" spans="3:40" x14ac:dyDescent="0.3">
      <c r="C466" s="99"/>
      <c r="D466" s="99"/>
      <c r="E466" s="99"/>
      <c r="T466" s="99"/>
      <c r="U466" s="99"/>
      <c r="V466" s="110"/>
      <c r="W466" s="110"/>
      <c r="X466" s="110"/>
      <c r="Y466" s="110"/>
      <c r="Z466" s="227"/>
    </row>
    <row r="468" spans="3:40" x14ac:dyDescent="0.3">
      <c r="C468" s="99"/>
      <c r="T468" s="99"/>
      <c r="V468" s="110"/>
      <c r="W468" s="110"/>
      <c r="X468" s="110"/>
      <c r="Y468" s="110"/>
      <c r="Z468" s="227"/>
    </row>
    <row r="469" spans="3:40" x14ac:dyDescent="0.3">
      <c r="C469" s="99"/>
      <c r="F469" s="172"/>
      <c r="H469" s="172"/>
      <c r="I469" s="172"/>
      <c r="J469" s="228"/>
      <c r="K469" s="228"/>
      <c r="L469" s="110"/>
      <c r="M469" s="110"/>
      <c r="N469" s="141"/>
      <c r="O469" s="141"/>
      <c r="P469" s="110"/>
      <c r="Q469" s="110"/>
      <c r="R469" s="110"/>
      <c r="T469" s="99"/>
      <c r="V469" s="110"/>
      <c r="W469" s="110"/>
      <c r="X469" s="110"/>
      <c r="Y469" s="110"/>
      <c r="Z469" s="228"/>
      <c r="AA469" s="110"/>
      <c r="AB469" s="110"/>
      <c r="AC469" s="141"/>
      <c r="AD469" s="141"/>
      <c r="AE469" s="110"/>
      <c r="AF469" s="110"/>
      <c r="AH469" s="207"/>
      <c r="AI469" s="110"/>
      <c r="AJ469" s="110"/>
      <c r="AL469" s="110"/>
      <c r="AM469" s="141"/>
      <c r="AN469" s="141"/>
    </row>
    <row r="470" spans="3:40" x14ac:dyDescent="0.3">
      <c r="C470" s="99"/>
      <c r="F470" s="172"/>
      <c r="H470" s="172"/>
      <c r="I470" s="172"/>
      <c r="J470" s="228"/>
      <c r="K470" s="228"/>
      <c r="L470" s="110"/>
      <c r="M470" s="110"/>
      <c r="N470" s="141"/>
      <c r="O470" s="141"/>
      <c r="P470" s="110"/>
      <c r="Q470" s="110"/>
      <c r="R470" s="110"/>
      <c r="T470" s="99"/>
      <c r="V470" s="110"/>
      <c r="W470" s="110"/>
      <c r="X470" s="110"/>
      <c r="Y470" s="110"/>
      <c r="Z470" s="228"/>
      <c r="AA470" s="110"/>
      <c r="AB470" s="110"/>
      <c r="AC470" s="141"/>
      <c r="AD470" s="141"/>
      <c r="AE470" s="110"/>
      <c r="AF470" s="110"/>
      <c r="AH470" s="207"/>
      <c r="AI470" s="110"/>
      <c r="AJ470" s="110"/>
      <c r="AL470" s="110"/>
      <c r="AM470" s="141"/>
      <c r="AN470" s="141"/>
    </row>
    <row r="471" spans="3:40" x14ac:dyDescent="0.3">
      <c r="C471" s="99"/>
      <c r="F471" s="172"/>
      <c r="H471" s="172"/>
      <c r="I471" s="172"/>
      <c r="J471" s="228"/>
      <c r="K471" s="228"/>
      <c r="L471" s="110"/>
      <c r="M471" s="110"/>
      <c r="N471" s="141"/>
      <c r="O471" s="141"/>
      <c r="P471" s="110"/>
      <c r="Q471" s="110"/>
      <c r="R471" s="110"/>
      <c r="T471" s="99"/>
      <c r="V471" s="110"/>
      <c r="W471" s="110"/>
      <c r="X471" s="110"/>
      <c r="Y471" s="110"/>
      <c r="Z471" s="228"/>
      <c r="AA471" s="110"/>
      <c r="AB471" s="110"/>
      <c r="AC471" s="141"/>
      <c r="AD471" s="141"/>
      <c r="AE471" s="110"/>
      <c r="AF471" s="110"/>
      <c r="AH471" s="207"/>
      <c r="AI471" s="110"/>
      <c r="AJ471" s="110"/>
      <c r="AL471" s="110"/>
      <c r="AM471" s="141"/>
      <c r="AN471" s="141"/>
    </row>
    <row r="472" spans="3:40" x14ac:dyDescent="0.3">
      <c r="C472" s="99"/>
      <c r="F472" s="172"/>
      <c r="H472" s="172"/>
      <c r="I472" s="172"/>
      <c r="J472" s="228"/>
      <c r="K472" s="228"/>
      <c r="L472" s="110"/>
      <c r="M472" s="110"/>
      <c r="N472" s="141"/>
      <c r="O472" s="141"/>
      <c r="P472" s="110"/>
      <c r="Q472" s="110"/>
      <c r="R472" s="110"/>
      <c r="T472" s="99"/>
      <c r="V472" s="110"/>
      <c r="W472" s="110"/>
      <c r="X472" s="110"/>
      <c r="Y472" s="110"/>
      <c r="Z472" s="228"/>
      <c r="AA472" s="110"/>
      <c r="AB472" s="110"/>
      <c r="AC472" s="141"/>
      <c r="AD472" s="141"/>
      <c r="AE472" s="110"/>
      <c r="AF472" s="110"/>
      <c r="AH472" s="207"/>
      <c r="AI472" s="110"/>
      <c r="AJ472" s="110"/>
      <c r="AL472" s="110"/>
      <c r="AM472" s="141"/>
      <c r="AN472" s="141"/>
    </row>
    <row r="473" spans="3:40" x14ac:dyDescent="0.3">
      <c r="J473" s="163"/>
      <c r="K473" s="163"/>
      <c r="V473" s="110"/>
      <c r="W473" s="110"/>
      <c r="X473" s="110"/>
      <c r="Y473" s="110"/>
      <c r="Z473" s="228"/>
    </row>
    <row r="474" spans="3:40" x14ac:dyDescent="0.3">
      <c r="C474" s="99"/>
      <c r="F474" s="172"/>
      <c r="H474" s="172"/>
      <c r="I474" s="172"/>
      <c r="J474" s="228"/>
      <c r="K474" s="228"/>
      <c r="L474" s="110"/>
      <c r="M474" s="110"/>
      <c r="N474" s="141"/>
      <c r="O474" s="141"/>
      <c r="P474" s="110"/>
      <c r="Q474" s="110"/>
      <c r="R474" s="110"/>
      <c r="T474" s="99"/>
      <c r="V474" s="110"/>
      <c r="W474" s="110"/>
      <c r="X474" s="110"/>
      <c r="Y474" s="110"/>
      <c r="Z474" s="228"/>
      <c r="AA474" s="110"/>
      <c r="AB474" s="110"/>
      <c r="AC474" s="141"/>
      <c r="AD474" s="141"/>
      <c r="AE474" s="110"/>
      <c r="AF474" s="110"/>
      <c r="AH474" s="207"/>
      <c r="AI474" s="110"/>
      <c r="AJ474" s="110"/>
      <c r="AL474" s="110"/>
      <c r="AM474" s="207"/>
      <c r="AN474" s="207"/>
    </row>
    <row r="475" spans="3:40" x14ac:dyDescent="0.3">
      <c r="C475" s="99"/>
      <c r="J475" s="163"/>
      <c r="K475" s="163"/>
      <c r="T475" s="99"/>
      <c r="V475" s="110"/>
      <c r="W475" s="110"/>
      <c r="X475" s="110"/>
      <c r="Y475" s="110"/>
      <c r="Z475" s="228"/>
    </row>
    <row r="476" spans="3:40" x14ac:dyDescent="0.3">
      <c r="C476" s="99"/>
      <c r="F476" s="172"/>
      <c r="H476" s="172"/>
      <c r="I476" s="172"/>
      <c r="J476" s="228"/>
      <c r="K476" s="228"/>
      <c r="L476" s="110"/>
      <c r="M476" s="110"/>
      <c r="N476" s="141"/>
      <c r="O476" s="141"/>
      <c r="P476" s="110"/>
      <c r="Q476" s="110"/>
      <c r="R476" s="110"/>
      <c r="T476" s="99"/>
      <c r="V476" s="110"/>
      <c r="W476" s="110"/>
      <c r="X476" s="110"/>
      <c r="Y476" s="110"/>
      <c r="Z476" s="228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207"/>
      <c r="AN476" s="207"/>
    </row>
    <row r="477" spans="3:40" x14ac:dyDescent="0.3">
      <c r="J477" s="163"/>
      <c r="K477" s="163"/>
      <c r="Z477" s="163"/>
    </row>
    <row r="478" spans="3:40" x14ac:dyDescent="0.3">
      <c r="C478" s="99"/>
      <c r="J478" s="163"/>
      <c r="K478" s="163"/>
      <c r="T478" s="99"/>
      <c r="V478" s="110"/>
      <c r="W478" s="110"/>
      <c r="X478" s="110"/>
      <c r="Y478" s="110"/>
      <c r="Z478" s="228"/>
    </row>
    <row r="479" spans="3:40" x14ac:dyDescent="0.3">
      <c r="C479" s="99"/>
      <c r="F479" s="172"/>
      <c r="H479" s="172"/>
      <c r="I479" s="172"/>
      <c r="J479" s="228"/>
      <c r="K479" s="228"/>
      <c r="L479" s="110"/>
      <c r="M479" s="110"/>
      <c r="N479" s="141"/>
      <c r="O479" s="141"/>
      <c r="P479" s="110"/>
      <c r="Q479" s="110"/>
      <c r="R479" s="110"/>
      <c r="T479" s="99"/>
      <c r="V479" s="110"/>
      <c r="W479" s="110"/>
      <c r="X479" s="110"/>
      <c r="Y479" s="110"/>
      <c r="Z479" s="228"/>
      <c r="AA479" s="110"/>
      <c r="AB479" s="110"/>
      <c r="AC479" s="141"/>
      <c r="AD479" s="141"/>
      <c r="AE479" s="110"/>
      <c r="AF479" s="110"/>
      <c r="AH479" s="207"/>
      <c r="AI479" s="110"/>
      <c r="AJ479" s="110"/>
      <c r="AL479" s="110"/>
      <c r="AM479" s="207"/>
      <c r="AN479" s="207"/>
    </row>
    <row r="480" spans="3:40" x14ac:dyDescent="0.3">
      <c r="C480" s="99"/>
      <c r="F480" s="172"/>
      <c r="H480" s="172"/>
      <c r="I480" s="172"/>
      <c r="J480" s="228"/>
      <c r="K480" s="228"/>
      <c r="L480" s="110"/>
      <c r="M480" s="110"/>
      <c r="N480" s="141"/>
      <c r="O480" s="141"/>
      <c r="P480" s="110"/>
      <c r="Q480" s="110"/>
      <c r="R480" s="110"/>
      <c r="T480" s="99"/>
      <c r="V480" s="110"/>
      <c r="W480" s="110"/>
      <c r="X480" s="110"/>
      <c r="Y480" s="110"/>
      <c r="Z480" s="228"/>
      <c r="AA480" s="110"/>
      <c r="AB480" s="110"/>
      <c r="AC480" s="141"/>
      <c r="AD480" s="141"/>
      <c r="AE480" s="110"/>
      <c r="AF480" s="110"/>
      <c r="AH480" s="207"/>
      <c r="AI480" s="110"/>
      <c r="AJ480" s="110"/>
      <c r="AL480" s="110"/>
      <c r="AM480" s="207"/>
      <c r="AN480" s="207"/>
    </row>
    <row r="481" spans="1:40" x14ac:dyDescent="0.3">
      <c r="F481" s="192"/>
      <c r="H481" s="192"/>
      <c r="I481" s="192"/>
      <c r="J481" s="228"/>
      <c r="K481" s="228"/>
      <c r="L481" s="192"/>
      <c r="M481" s="192"/>
      <c r="N481" s="192"/>
      <c r="O481" s="192"/>
      <c r="P481" s="192"/>
      <c r="Q481" s="192"/>
      <c r="R481" s="192"/>
      <c r="V481" s="192"/>
      <c r="Y481" s="192"/>
      <c r="Z481" s="217"/>
      <c r="AA481" s="192"/>
      <c r="AB481" s="192"/>
      <c r="AC481" s="192"/>
      <c r="AD481" s="192"/>
      <c r="AE481" s="192"/>
      <c r="AF481" s="192"/>
      <c r="AI481" s="192"/>
      <c r="AJ481" s="192"/>
      <c r="AK481" s="194"/>
      <c r="AL481" s="192"/>
    </row>
    <row r="482" spans="1:40" x14ac:dyDescent="0.3">
      <c r="C482" s="99"/>
      <c r="F482" s="110"/>
      <c r="H482" s="110"/>
      <c r="I482" s="110"/>
      <c r="L482" s="110"/>
      <c r="M482" s="110"/>
      <c r="N482" s="141"/>
      <c r="O482" s="141"/>
      <c r="P482" s="172"/>
      <c r="Q482" s="172"/>
      <c r="R482" s="110"/>
      <c r="T482" s="99"/>
      <c r="V482" s="110"/>
      <c r="W482" s="110"/>
      <c r="X482" s="110"/>
      <c r="Y482" s="110"/>
      <c r="Z482" s="227"/>
      <c r="AA482" s="110"/>
      <c r="AB482" s="110"/>
      <c r="AC482" s="141"/>
      <c r="AD482" s="141"/>
      <c r="AE482" s="110"/>
      <c r="AF482" s="110"/>
      <c r="AH482" s="207"/>
      <c r="AI482" s="172"/>
      <c r="AJ482" s="172"/>
      <c r="AL482" s="110"/>
      <c r="AM482" s="207"/>
      <c r="AN482" s="207"/>
    </row>
    <row r="483" spans="1:40" x14ac:dyDescent="0.3">
      <c r="H483" s="192"/>
      <c r="I483" s="192"/>
      <c r="J483" s="217"/>
      <c r="K483" s="217"/>
      <c r="L483" s="192"/>
      <c r="M483" s="192"/>
      <c r="N483" s="192"/>
      <c r="O483" s="192"/>
      <c r="P483" s="192"/>
      <c r="Q483" s="192"/>
      <c r="R483" s="192"/>
      <c r="V483" s="192"/>
      <c r="Y483" s="192"/>
      <c r="Z483" s="217"/>
      <c r="AA483" s="192"/>
      <c r="AB483" s="192"/>
      <c r="AC483" s="192"/>
      <c r="AD483" s="192"/>
      <c r="AE483" s="192"/>
      <c r="AF483" s="192"/>
      <c r="AI483" s="192"/>
      <c r="AJ483" s="192"/>
      <c r="AK483" s="194"/>
      <c r="AL483" s="192"/>
    </row>
    <row r="484" spans="1:40" x14ac:dyDescent="0.3">
      <c r="F484" s="192"/>
    </row>
    <row r="486" spans="1:40" x14ac:dyDescent="0.3">
      <c r="A486" s="99"/>
    </row>
    <row r="488" spans="1:40" x14ac:dyDescent="0.3">
      <c r="H488" s="99"/>
      <c r="I488" s="99"/>
      <c r="Y488" s="99"/>
    </row>
    <row r="490" spans="1:40" x14ac:dyDescent="0.3">
      <c r="L490" s="99"/>
      <c r="M490" s="99"/>
      <c r="AA490" s="99"/>
      <c r="AB490" s="99"/>
    </row>
    <row r="491" spans="1:40" x14ac:dyDescent="0.3">
      <c r="R491" s="99"/>
      <c r="AK491" s="190"/>
      <c r="AL491" s="99"/>
    </row>
    <row r="492" spans="1:40" x14ac:dyDescent="0.3">
      <c r="R492" s="99"/>
      <c r="AK492" s="190"/>
      <c r="AL492" s="99"/>
    </row>
    <row r="493" spans="1:40" x14ac:dyDescent="0.3">
      <c r="A493" s="99"/>
      <c r="R493" s="99"/>
      <c r="AK493" s="190"/>
      <c r="AL493" s="99"/>
    </row>
    <row r="494" spans="1:40" x14ac:dyDescent="0.3">
      <c r="L494" s="99"/>
      <c r="M494" s="99"/>
      <c r="AA494" s="99"/>
      <c r="AB494" s="99"/>
    </row>
    <row r="495" spans="1:40" x14ac:dyDescent="0.3">
      <c r="A495" s="101"/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91"/>
      <c r="AH495" s="101"/>
      <c r="AI495" s="101"/>
      <c r="AJ495" s="101"/>
      <c r="AK495" s="191"/>
      <c r="AL495" s="101"/>
      <c r="AM495" s="101"/>
      <c r="AN495" s="101"/>
    </row>
    <row r="496" spans="1:40" x14ac:dyDescent="0.3">
      <c r="L496" s="102"/>
      <c r="M496" s="102"/>
      <c r="N496" s="102"/>
      <c r="O496" s="102"/>
      <c r="R496" s="102"/>
      <c r="AA496" s="102"/>
      <c r="AB496" s="102"/>
      <c r="AC496" s="102"/>
      <c r="AD496" s="102"/>
      <c r="AE496" s="102"/>
      <c r="AF496" s="102"/>
      <c r="AG496" s="151"/>
      <c r="AH496" s="102"/>
      <c r="AK496" s="151"/>
      <c r="AL496" s="102"/>
      <c r="AM496" s="102"/>
      <c r="AN496" s="102"/>
    </row>
    <row r="497" spans="1:40" x14ac:dyDescent="0.3">
      <c r="L497" s="102"/>
      <c r="M497" s="102"/>
      <c r="N497" s="102"/>
      <c r="O497" s="102"/>
      <c r="R497" s="102"/>
      <c r="Z497" s="102"/>
      <c r="AA497" s="102"/>
      <c r="AB497" s="102"/>
      <c r="AC497" s="102"/>
      <c r="AD497" s="102"/>
      <c r="AE497" s="102"/>
      <c r="AF497" s="102"/>
      <c r="AG497" s="151"/>
      <c r="AH497" s="102"/>
      <c r="AK497" s="151"/>
      <c r="AL497" s="102"/>
      <c r="AM497" s="102"/>
      <c r="AN497" s="102"/>
    </row>
    <row r="498" spans="1:40" x14ac:dyDescent="0.3">
      <c r="A498" s="102"/>
      <c r="C498" s="102"/>
      <c r="D498" s="102"/>
      <c r="E498" s="102"/>
      <c r="F498" s="102"/>
      <c r="J498" s="102"/>
      <c r="K498" s="102"/>
      <c r="L498" s="102"/>
      <c r="M498" s="102"/>
      <c r="N498" s="102"/>
      <c r="O498" s="102"/>
      <c r="P498" s="102"/>
      <c r="Q498" s="102"/>
      <c r="R498" s="102"/>
      <c r="T498" s="102"/>
      <c r="U498" s="102"/>
      <c r="V498" s="102"/>
      <c r="Z498" s="102"/>
      <c r="AA498" s="102"/>
      <c r="AB498" s="102"/>
      <c r="AC498" s="102"/>
      <c r="AD498" s="102"/>
      <c r="AE498" s="102"/>
      <c r="AF498" s="102"/>
      <c r="AG498" s="151"/>
      <c r="AH498" s="102"/>
      <c r="AI498" s="102"/>
      <c r="AJ498" s="102"/>
      <c r="AK498" s="151"/>
      <c r="AL498" s="102"/>
      <c r="AM498" s="102"/>
      <c r="AN498" s="102"/>
    </row>
    <row r="499" spans="1:40" x14ac:dyDescent="0.3">
      <c r="A499" s="102"/>
      <c r="C499" s="102"/>
      <c r="D499" s="102"/>
      <c r="E499" s="102"/>
      <c r="F499" s="102"/>
      <c r="H499" s="102"/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T499" s="102"/>
      <c r="U499" s="102"/>
      <c r="V499" s="102"/>
      <c r="Y499" s="102"/>
      <c r="Z499" s="102"/>
      <c r="AA499" s="102"/>
      <c r="AB499" s="102"/>
      <c r="AC499" s="102"/>
      <c r="AD499" s="102"/>
      <c r="AE499" s="102"/>
      <c r="AF499" s="102"/>
      <c r="AG499" s="151"/>
      <c r="AH499" s="102"/>
      <c r="AI499" s="102"/>
      <c r="AJ499" s="102"/>
      <c r="AK499" s="151"/>
      <c r="AL499" s="102"/>
      <c r="AM499" s="102"/>
      <c r="AN499" s="102"/>
    </row>
    <row r="500" spans="1:40" x14ac:dyDescent="0.3">
      <c r="C500" s="102"/>
      <c r="D500" s="102"/>
      <c r="E500" s="102"/>
      <c r="F500" s="102"/>
      <c r="H500" s="102"/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T500" s="102"/>
      <c r="U500" s="102"/>
      <c r="V500" s="102"/>
      <c r="Y500" s="102"/>
      <c r="Z500" s="102"/>
      <c r="AA500" s="102"/>
      <c r="AB500" s="102"/>
      <c r="AC500" s="102"/>
      <c r="AD500" s="102"/>
      <c r="AE500" s="102"/>
      <c r="AF500" s="102"/>
      <c r="AG500" s="151"/>
      <c r="AH500" s="102"/>
      <c r="AI500" s="102"/>
      <c r="AJ500" s="102"/>
      <c r="AK500" s="151"/>
      <c r="AL500" s="102"/>
      <c r="AM500" s="102"/>
      <c r="AN500" s="102"/>
    </row>
    <row r="501" spans="1:40" x14ac:dyDescent="0.3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91"/>
      <c r="AH501" s="101"/>
      <c r="AI501" s="101"/>
      <c r="AJ501" s="101"/>
      <c r="AK501" s="191"/>
      <c r="AL501" s="101"/>
      <c r="AM501" s="101"/>
      <c r="AN501" s="101"/>
    </row>
    <row r="502" spans="1:40" x14ac:dyDescent="0.3">
      <c r="H502" s="102"/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Y502" s="102"/>
      <c r="Z502" s="102"/>
      <c r="AA502" s="102"/>
      <c r="AB502" s="102"/>
      <c r="AC502" s="102"/>
      <c r="AD502" s="102"/>
      <c r="AE502" s="102"/>
      <c r="AF502" s="102"/>
      <c r="AG502" s="151"/>
      <c r="AH502" s="102"/>
      <c r="AI502" s="102"/>
      <c r="AJ502" s="102"/>
      <c r="AK502" s="151"/>
      <c r="AL502" s="102"/>
      <c r="AM502" s="102"/>
      <c r="AN502" s="102"/>
    </row>
    <row r="503" spans="1:40" x14ac:dyDescent="0.3">
      <c r="C503" s="99"/>
      <c r="D503" s="99"/>
      <c r="E503" s="99"/>
      <c r="T503" s="99"/>
      <c r="U503" s="99"/>
    </row>
    <row r="505" spans="1:40" x14ac:dyDescent="0.3">
      <c r="C505" s="99"/>
      <c r="T505" s="99"/>
    </row>
    <row r="506" spans="1:40" x14ac:dyDescent="0.3">
      <c r="C506" s="99"/>
      <c r="T506" s="99"/>
    </row>
    <row r="507" spans="1:40" x14ac:dyDescent="0.3">
      <c r="C507" s="99"/>
      <c r="F507" s="172"/>
      <c r="H507" s="172"/>
      <c r="I507" s="172"/>
      <c r="J507" s="228"/>
      <c r="K507" s="228"/>
      <c r="L507" s="110"/>
      <c r="M507" s="110"/>
      <c r="N507" s="141"/>
      <c r="O507" s="141"/>
      <c r="P507" s="110"/>
      <c r="Q507" s="110"/>
      <c r="R507" s="110"/>
      <c r="T507" s="99"/>
      <c r="V507" s="110"/>
      <c r="W507" s="110"/>
      <c r="X507" s="110"/>
      <c r="Y507" s="110"/>
      <c r="Z507" s="228"/>
      <c r="AA507" s="110"/>
      <c r="AB507" s="110"/>
      <c r="AC507" s="141"/>
      <c r="AD507" s="141"/>
      <c r="AE507" s="110"/>
      <c r="AF507" s="110"/>
      <c r="AH507" s="207"/>
      <c r="AI507" s="110"/>
      <c r="AJ507" s="110"/>
      <c r="AL507" s="110"/>
      <c r="AM507" s="207"/>
      <c r="AN507" s="207"/>
    </row>
    <row r="508" spans="1:40" x14ac:dyDescent="0.3">
      <c r="C508" s="99"/>
      <c r="F508" s="110"/>
      <c r="H508" s="110"/>
      <c r="I508" s="110"/>
      <c r="J508" s="163"/>
      <c r="K508" s="163"/>
      <c r="L508" s="110"/>
      <c r="M508" s="110"/>
      <c r="N508" s="141"/>
      <c r="O508" s="141"/>
      <c r="P508" s="110"/>
      <c r="Q508" s="110"/>
      <c r="R508" s="110"/>
      <c r="T508" s="99"/>
      <c r="V508" s="110"/>
      <c r="W508" s="110"/>
      <c r="X508" s="110"/>
      <c r="Y508" s="110"/>
      <c r="Z508" s="163"/>
      <c r="AA508" s="110"/>
      <c r="AB508" s="110"/>
      <c r="AC508" s="141"/>
      <c r="AD508" s="141"/>
      <c r="AE508" s="110"/>
      <c r="AF508" s="110"/>
      <c r="AH508" s="207"/>
      <c r="AI508" s="110"/>
      <c r="AJ508" s="110"/>
      <c r="AL508" s="110"/>
      <c r="AM508" s="207"/>
      <c r="AN508" s="207"/>
    </row>
    <row r="509" spans="1:40" x14ac:dyDescent="0.3">
      <c r="C509" s="99"/>
      <c r="F509" s="110"/>
      <c r="H509" s="110"/>
      <c r="I509" s="110"/>
      <c r="J509" s="163"/>
      <c r="K509" s="163"/>
      <c r="L509" s="110"/>
      <c r="M509" s="110"/>
      <c r="N509" s="141"/>
      <c r="O509" s="141"/>
      <c r="P509" s="110"/>
      <c r="Q509" s="110"/>
      <c r="R509" s="110"/>
      <c r="T509" s="99"/>
      <c r="V509" s="110"/>
      <c r="W509" s="110"/>
      <c r="X509" s="110"/>
      <c r="Y509" s="110"/>
      <c r="Z509" s="163"/>
      <c r="AA509" s="110"/>
      <c r="AB509" s="110"/>
      <c r="AC509" s="141"/>
      <c r="AD509" s="141"/>
      <c r="AE509" s="110"/>
      <c r="AF509" s="110"/>
      <c r="AH509" s="207"/>
      <c r="AI509" s="110"/>
      <c r="AJ509" s="110"/>
      <c r="AL509" s="110"/>
      <c r="AM509" s="207"/>
      <c r="AN509" s="207"/>
    </row>
    <row r="510" spans="1:40" x14ac:dyDescent="0.3">
      <c r="C510" s="99"/>
      <c r="F510" s="110"/>
      <c r="H510" s="110"/>
      <c r="I510" s="110"/>
      <c r="J510" s="163"/>
      <c r="K510" s="163"/>
      <c r="T510" s="99"/>
      <c r="V510" s="110"/>
      <c r="Z510" s="163"/>
    </row>
    <row r="511" spans="1:40" x14ac:dyDescent="0.3">
      <c r="C511" s="99"/>
      <c r="F511" s="172"/>
      <c r="H511" s="172"/>
      <c r="I511" s="172"/>
      <c r="J511" s="228"/>
      <c r="K511" s="228"/>
      <c r="L511" s="110"/>
      <c r="M511" s="110"/>
      <c r="N511" s="141"/>
      <c r="O511" s="141"/>
      <c r="P511" s="110"/>
      <c r="Q511" s="110"/>
      <c r="R511" s="110"/>
      <c r="T511" s="99"/>
      <c r="V511" s="110"/>
      <c r="W511" s="110"/>
      <c r="X511" s="110"/>
      <c r="Y511" s="110"/>
      <c r="Z511" s="228"/>
      <c r="AA511" s="110"/>
      <c r="AB511" s="110"/>
      <c r="AC511" s="141"/>
      <c r="AD511" s="141"/>
      <c r="AE511" s="110"/>
      <c r="AF511" s="110"/>
      <c r="AH511" s="207"/>
      <c r="AI511" s="110"/>
      <c r="AJ511" s="110"/>
      <c r="AL511" s="110"/>
      <c r="AM511" s="207"/>
      <c r="AN511" s="207"/>
    </row>
    <row r="512" spans="1:40" x14ac:dyDescent="0.3">
      <c r="C512" s="99"/>
      <c r="F512" s="110"/>
      <c r="H512" s="110"/>
      <c r="I512" s="110"/>
      <c r="J512" s="163"/>
      <c r="K512" s="163"/>
      <c r="T512" s="99"/>
      <c r="V512" s="110"/>
      <c r="W512" s="110"/>
      <c r="X512" s="110"/>
      <c r="Y512" s="110"/>
      <c r="Z512" s="163"/>
      <c r="AC512" s="141"/>
      <c r="AD512" s="141"/>
      <c r="AE512" s="110"/>
      <c r="AF512" s="110"/>
      <c r="AH512" s="207"/>
      <c r="AI512" s="110"/>
      <c r="AJ512" s="110"/>
      <c r="AL512" s="110"/>
      <c r="AM512" s="207"/>
      <c r="AN512" s="207"/>
    </row>
    <row r="513" spans="3:40" x14ac:dyDescent="0.3">
      <c r="C513" s="99"/>
      <c r="F513" s="172"/>
      <c r="H513" s="172"/>
      <c r="I513" s="172"/>
      <c r="J513" s="228"/>
      <c r="K513" s="228"/>
      <c r="L513" s="110"/>
      <c r="M513" s="110"/>
      <c r="N513" s="141"/>
      <c r="O513" s="141"/>
      <c r="P513" s="110"/>
      <c r="Q513" s="110"/>
      <c r="R513" s="110"/>
      <c r="T513" s="99"/>
      <c r="V513" s="110"/>
      <c r="W513" s="110"/>
      <c r="X513" s="110"/>
      <c r="Y513" s="110"/>
      <c r="Z513" s="228"/>
      <c r="AA513" s="110"/>
      <c r="AB513" s="110"/>
      <c r="AC513" s="141"/>
      <c r="AD513" s="141"/>
      <c r="AE513" s="110"/>
      <c r="AF513" s="110"/>
      <c r="AH513" s="207"/>
      <c r="AI513" s="110"/>
      <c r="AJ513" s="110"/>
      <c r="AL513" s="110"/>
      <c r="AM513" s="207"/>
      <c r="AN513" s="207"/>
    </row>
    <row r="514" spans="3:40" x14ac:dyDescent="0.3">
      <c r="C514" s="99"/>
      <c r="F514" s="110"/>
      <c r="H514" s="110"/>
      <c r="I514" s="110"/>
      <c r="J514" s="163"/>
      <c r="K514" s="163"/>
      <c r="L514" s="110"/>
      <c r="M514" s="110"/>
      <c r="N514" s="141"/>
      <c r="O514" s="141"/>
      <c r="P514" s="110"/>
      <c r="Q514" s="110"/>
      <c r="R514" s="110"/>
      <c r="T514" s="99"/>
      <c r="V514" s="110"/>
      <c r="W514" s="110"/>
      <c r="X514" s="110"/>
      <c r="Y514" s="110"/>
      <c r="Z514" s="163"/>
      <c r="AA514" s="110"/>
      <c r="AB514" s="110"/>
      <c r="AC514" s="141"/>
      <c r="AD514" s="141"/>
      <c r="AE514" s="110"/>
      <c r="AF514" s="110"/>
      <c r="AH514" s="207"/>
      <c r="AI514" s="110"/>
      <c r="AJ514" s="110"/>
      <c r="AL514" s="110"/>
      <c r="AM514" s="207"/>
      <c r="AN514" s="207"/>
    </row>
    <row r="515" spans="3:40" x14ac:dyDescent="0.3">
      <c r="F515" s="110"/>
      <c r="H515" s="110"/>
      <c r="I515" s="110"/>
      <c r="J515" s="163"/>
      <c r="K515" s="163"/>
      <c r="Z515" s="163"/>
    </row>
    <row r="516" spans="3:40" x14ac:dyDescent="0.3">
      <c r="C516" s="99"/>
      <c r="F516" s="110"/>
      <c r="H516" s="172"/>
      <c r="I516" s="172"/>
      <c r="J516" s="228"/>
      <c r="K516" s="228"/>
      <c r="L516" s="110"/>
      <c r="M516" s="110"/>
      <c r="N516" s="141"/>
      <c r="O516" s="141"/>
      <c r="P516" s="110"/>
      <c r="Q516" s="110"/>
      <c r="R516" s="110"/>
      <c r="T516" s="99"/>
      <c r="V516" s="110"/>
      <c r="W516" s="110"/>
      <c r="X516" s="110"/>
      <c r="Y516" s="110"/>
      <c r="Z516" s="228"/>
      <c r="AA516" s="110"/>
      <c r="AB516" s="110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3:40" x14ac:dyDescent="0.3">
      <c r="F517" s="192"/>
      <c r="H517" s="192"/>
      <c r="I517" s="192"/>
      <c r="J517" s="228"/>
      <c r="K517" s="228"/>
      <c r="L517" s="192"/>
      <c r="M517" s="192"/>
      <c r="N517" s="192"/>
      <c r="O517" s="192"/>
      <c r="P517" s="192"/>
      <c r="Q517" s="192"/>
      <c r="R517" s="192"/>
      <c r="V517" s="192"/>
      <c r="Y517" s="192"/>
      <c r="Z517" s="228"/>
      <c r="AA517" s="192"/>
      <c r="AB517" s="192"/>
      <c r="AC517" s="192"/>
      <c r="AD517" s="192"/>
      <c r="AE517" s="192"/>
      <c r="AF517" s="192"/>
      <c r="AI517" s="192"/>
      <c r="AJ517" s="192"/>
      <c r="AK517" s="194"/>
      <c r="AL517" s="192"/>
    </row>
    <row r="518" spans="3:40" x14ac:dyDescent="0.3">
      <c r="C518" s="99"/>
      <c r="F518" s="110"/>
      <c r="H518" s="110"/>
      <c r="I518" s="110"/>
      <c r="J518" s="163"/>
      <c r="K518" s="163"/>
      <c r="L518" s="110"/>
      <c r="M518" s="110"/>
      <c r="P518" s="110"/>
      <c r="Q518" s="110"/>
      <c r="R518" s="110"/>
      <c r="T518" s="99"/>
      <c r="V518" s="110"/>
      <c r="Y518" s="110"/>
      <c r="Z518" s="163"/>
      <c r="AA518" s="110"/>
      <c r="AB518" s="110"/>
      <c r="AC518" s="207"/>
      <c r="AD518" s="207"/>
      <c r="AE518" s="110"/>
      <c r="AF518" s="110"/>
      <c r="AH518" s="207"/>
      <c r="AI518" s="110"/>
      <c r="AJ518" s="110"/>
      <c r="AL518" s="110"/>
      <c r="AM518" s="207"/>
      <c r="AN518" s="207"/>
    </row>
    <row r="519" spans="3:40" x14ac:dyDescent="0.3">
      <c r="F519" s="192"/>
      <c r="H519" s="192"/>
      <c r="I519" s="192"/>
      <c r="J519" s="228"/>
      <c r="K519" s="228"/>
      <c r="L519" s="192"/>
      <c r="M519" s="192"/>
      <c r="N519" s="192"/>
      <c r="O519" s="192"/>
      <c r="P519" s="192"/>
      <c r="Q519" s="192"/>
      <c r="R519" s="192"/>
      <c r="V519" s="192"/>
      <c r="Y519" s="192"/>
      <c r="Z519" s="228"/>
      <c r="AA519" s="192"/>
      <c r="AB519" s="192"/>
      <c r="AC519" s="192"/>
      <c r="AD519" s="192"/>
      <c r="AE519" s="192"/>
      <c r="AF519" s="192"/>
      <c r="AI519" s="192"/>
      <c r="AJ519" s="192"/>
      <c r="AK519" s="194"/>
      <c r="AL519" s="192"/>
    </row>
    <row r="520" spans="3:40" x14ac:dyDescent="0.3">
      <c r="J520" s="163"/>
      <c r="K520" s="163"/>
      <c r="Z520" s="163"/>
    </row>
    <row r="521" spans="3:40" x14ac:dyDescent="0.3">
      <c r="C521" s="99"/>
      <c r="J521" s="163"/>
      <c r="K521" s="163"/>
      <c r="T521" s="99"/>
      <c r="Z521" s="163"/>
    </row>
    <row r="522" spans="3:40" x14ac:dyDescent="0.3">
      <c r="C522" s="99"/>
      <c r="J522" s="163"/>
      <c r="K522" s="163"/>
      <c r="T522" s="99"/>
      <c r="Z522" s="163"/>
    </row>
    <row r="523" spans="3:40" x14ac:dyDescent="0.3">
      <c r="C523" s="99"/>
      <c r="F523" s="172"/>
      <c r="H523" s="172"/>
      <c r="I523" s="172"/>
      <c r="J523" s="228"/>
      <c r="K523" s="228"/>
      <c r="L523" s="110"/>
      <c r="M523" s="110"/>
      <c r="N523" s="141"/>
      <c r="O523" s="141"/>
      <c r="P523" s="110"/>
      <c r="Q523" s="110"/>
      <c r="R523" s="110"/>
      <c r="T523" s="99"/>
      <c r="V523" s="110"/>
      <c r="W523" s="110"/>
      <c r="X523" s="110"/>
      <c r="Y523" s="110"/>
      <c r="Z523" s="228"/>
      <c r="AA523" s="110"/>
      <c r="AB523" s="110"/>
      <c r="AC523" s="141"/>
      <c r="AD523" s="141"/>
      <c r="AE523" s="110"/>
      <c r="AF523" s="110"/>
      <c r="AH523" s="207"/>
      <c r="AI523" s="110"/>
      <c r="AJ523" s="110"/>
      <c r="AL523" s="110"/>
      <c r="AM523" s="207"/>
      <c r="AN523" s="207"/>
    </row>
    <row r="524" spans="3:40" x14ac:dyDescent="0.3">
      <c r="C524" s="99"/>
      <c r="J524" s="163"/>
      <c r="K524" s="163"/>
      <c r="T524" s="99"/>
      <c r="Z524" s="163"/>
    </row>
    <row r="525" spans="3:40" x14ac:dyDescent="0.3">
      <c r="C525" s="99"/>
      <c r="F525" s="172"/>
      <c r="H525" s="172"/>
      <c r="I525" s="172"/>
      <c r="J525" s="228"/>
      <c r="K525" s="228"/>
      <c r="L525" s="110"/>
      <c r="M525" s="110"/>
      <c r="N525" s="141"/>
      <c r="O525" s="141"/>
      <c r="P525" s="110"/>
      <c r="Q525" s="110"/>
      <c r="R525" s="110"/>
      <c r="T525" s="99"/>
      <c r="V525" s="110"/>
      <c r="W525" s="110"/>
      <c r="X525" s="110"/>
      <c r="Y525" s="110"/>
      <c r="Z525" s="228"/>
      <c r="AA525" s="110"/>
      <c r="AB525" s="110"/>
      <c r="AC525" s="141"/>
      <c r="AD525" s="141"/>
      <c r="AE525" s="110"/>
      <c r="AF525" s="110"/>
      <c r="AH525" s="207"/>
      <c r="AI525" s="110"/>
      <c r="AJ525" s="110"/>
      <c r="AL525" s="110"/>
      <c r="AM525" s="207"/>
      <c r="AN525" s="207"/>
    </row>
    <row r="526" spans="3:40" x14ac:dyDescent="0.3">
      <c r="F526" s="192"/>
      <c r="H526" s="192"/>
      <c r="I526" s="192"/>
      <c r="J526" s="228"/>
      <c r="K526" s="228"/>
      <c r="L526" s="192"/>
      <c r="M526" s="192"/>
      <c r="N526" s="192"/>
      <c r="O526" s="192"/>
      <c r="P526" s="192"/>
      <c r="Q526" s="192"/>
      <c r="R526" s="192"/>
      <c r="V526" s="192"/>
      <c r="Y526" s="192"/>
      <c r="Z526" s="228"/>
      <c r="AA526" s="192"/>
      <c r="AB526" s="192"/>
      <c r="AC526" s="192"/>
      <c r="AD526" s="192"/>
      <c r="AE526" s="192"/>
      <c r="AF526" s="192"/>
      <c r="AI526" s="192"/>
      <c r="AJ526" s="192"/>
      <c r="AK526" s="194"/>
      <c r="AL526" s="192"/>
    </row>
    <row r="527" spans="3:40" x14ac:dyDescent="0.3">
      <c r="C527" s="99"/>
      <c r="F527" s="110"/>
      <c r="H527" s="110"/>
      <c r="I527" s="110"/>
      <c r="J527" s="163"/>
      <c r="K527" s="163"/>
      <c r="L527" s="110"/>
      <c r="M527" s="110"/>
      <c r="N527" s="207"/>
      <c r="O527" s="207"/>
      <c r="P527" s="110"/>
      <c r="Q527" s="110"/>
      <c r="R527" s="110"/>
      <c r="T527" s="99"/>
      <c r="V527" s="110"/>
      <c r="Y527" s="110"/>
      <c r="Z527" s="163"/>
      <c r="AA527" s="110"/>
      <c r="AB527" s="110"/>
      <c r="AC527" s="207"/>
      <c r="AD527" s="207"/>
      <c r="AE527" s="110"/>
      <c r="AF527" s="110"/>
      <c r="AH527" s="207"/>
      <c r="AI527" s="110"/>
      <c r="AJ527" s="110"/>
      <c r="AL527" s="110"/>
      <c r="AM527" s="207"/>
      <c r="AN527" s="207"/>
    </row>
    <row r="528" spans="3:40" x14ac:dyDescent="0.3">
      <c r="F528" s="192"/>
      <c r="H528" s="192"/>
      <c r="I528" s="192"/>
      <c r="J528" s="228"/>
      <c r="K528" s="228"/>
      <c r="L528" s="192"/>
      <c r="M528" s="192"/>
      <c r="N528" s="192"/>
      <c r="O528" s="192"/>
      <c r="P528" s="192"/>
      <c r="Q528" s="192"/>
      <c r="R528" s="192"/>
      <c r="V528" s="192"/>
      <c r="Y528" s="192"/>
      <c r="Z528" s="217"/>
      <c r="AA528" s="192"/>
      <c r="AB528" s="192"/>
      <c r="AC528" s="192"/>
      <c r="AD528" s="192"/>
      <c r="AE528" s="192"/>
      <c r="AF528" s="192"/>
      <c r="AI528" s="192"/>
      <c r="AJ528" s="192"/>
      <c r="AK528" s="194"/>
      <c r="AL528" s="192"/>
    </row>
    <row r="529" spans="1:40" x14ac:dyDescent="0.3">
      <c r="J529" s="163"/>
      <c r="K529" s="163"/>
    </row>
    <row r="530" spans="1:40" x14ac:dyDescent="0.3">
      <c r="C530" s="99"/>
      <c r="F530" s="110"/>
      <c r="H530" s="110"/>
      <c r="I530" s="110"/>
      <c r="J530" s="163"/>
      <c r="K530" s="163"/>
      <c r="L530" s="110"/>
      <c r="M530" s="110"/>
      <c r="N530" s="141"/>
      <c r="O530" s="141"/>
      <c r="P530" s="172"/>
      <c r="Q530" s="172"/>
      <c r="R530" s="110"/>
      <c r="T530" s="99"/>
      <c r="V530" s="110"/>
      <c r="Y530" s="110"/>
      <c r="AA530" s="110"/>
      <c r="AB530" s="110"/>
      <c r="AC530" s="207"/>
      <c r="AD530" s="207"/>
      <c r="AE530" s="110"/>
      <c r="AF530" s="110"/>
      <c r="AH530" s="207"/>
      <c r="AI530" s="172"/>
      <c r="AJ530" s="172"/>
      <c r="AL530" s="110"/>
      <c r="AM530" s="207"/>
      <c r="AN530" s="207"/>
    </row>
    <row r="531" spans="1:40" x14ac:dyDescent="0.3">
      <c r="H531" s="192"/>
      <c r="I531" s="192"/>
      <c r="J531" s="228"/>
      <c r="K531" s="228"/>
      <c r="L531" s="192"/>
      <c r="M531" s="192"/>
      <c r="N531" s="192"/>
      <c r="O531" s="192"/>
      <c r="P531" s="192"/>
      <c r="Q531" s="192"/>
      <c r="R531" s="192"/>
      <c r="V531" s="192"/>
      <c r="Y531" s="192"/>
      <c r="Z531" s="217"/>
      <c r="AA531" s="192"/>
      <c r="AB531" s="192"/>
      <c r="AC531" s="192"/>
      <c r="AD531" s="192"/>
      <c r="AE531" s="192"/>
      <c r="AF531" s="192"/>
      <c r="AI531" s="192"/>
      <c r="AJ531" s="192"/>
      <c r="AK531" s="194"/>
      <c r="AL531" s="192"/>
    </row>
    <row r="532" spans="1:40" x14ac:dyDescent="0.3">
      <c r="F532" s="192"/>
    </row>
    <row r="534" spans="1:40" x14ac:dyDescent="0.3">
      <c r="A534" s="99"/>
    </row>
    <row r="536" spans="1:40" x14ac:dyDescent="0.3">
      <c r="H536" s="99"/>
      <c r="I536" s="99"/>
      <c r="Y536" s="99"/>
    </row>
    <row r="538" spans="1:40" x14ac:dyDescent="0.3">
      <c r="L538" s="99"/>
      <c r="M538" s="99"/>
      <c r="AA538" s="99"/>
      <c r="AB538" s="99"/>
    </row>
    <row r="539" spans="1:40" x14ac:dyDescent="0.3">
      <c r="R539" s="99"/>
      <c r="AK539" s="190"/>
      <c r="AL539" s="99"/>
    </row>
    <row r="540" spans="1:40" x14ac:dyDescent="0.3">
      <c r="R540" s="99"/>
      <c r="AK540" s="190"/>
      <c r="AL540" s="99"/>
    </row>
    <row r="541" spans="1:40" x14ac:dyDescent="0.3">
      <c r="A541" s="99"/>
      <c r="R541" s="99"/>
      <c r="AK541" s="190"/>
      <c r="AL541" s="99"/>
    </row>
    <row r="542" spans="1:40" x14ac:dyDescent="0.3">
      <c r="L542" s="99"/>
      <c r="M542" s="99"/>
      <c r="AA542" s="99"/>
      <c r="AB542" s="99"/>
    </row>
    <row r="543" spans="1:40" x14ac:dyDescent="0.3">
      <c r="A543" s="101"/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T543" s="101"/>
      <c r="U543" s="101"/>
      <c r="V543" s="101"/>
      <c r="W543" s="101"/>
      <c r="X543" s="101"/>
      <c r="Y543" s="101"/>
      <c r="Z543" s="101"/>
      <c r="AA543" s="101"/>
      <c r="AB543" s="101"/>
      <c r="AC543" s="101"/>
      <c r="AD543" s="101"/>
      <c r="AE543" s="101"/>
      <c r="AF543" s="101"/>
      <c r="AG543" s="191"/>
      <c r="AH543" s="101"/>
      <c r="AI543" s="101"/>
      <c r="AJ543" s="101"/>
      <c r="AK543" s="191"/>
      <c r="AL543" s="101"/>
      <c r="AM543" s="101"/>
      <c r="AN543" s="101"/>
    </row>
    <row r="544" spans="1:40" x14ac:dyDescent="0.3">
      <c r="L544" s="102"/>
      <c r="M544" s="102"/>
      <c r="N544" s="102"/>
      <c r="O544" s="102"/>
      <c r="R544" s="102"/>
      <c r="AA544" s="102"/>
      <c r="AB544" s="102"/>
      <c r="AC544" s="102"/>
      <c r="AD544" s="102"/>
      <c r="AE544" s="102"/>
      <c r="AF544" s="102"/>
      <c r="AG544" s="151"/>
      <c r="AH544" s="102"/>
      <c r="AK544" s="151"/>
      <c r="AL544" s="102"/>
      <c r="AM544" s="102"/>
      <c r="AN544" s="102"/>
    </row>
    <row r="545" spans="1:40" x14ac:dyDescent="0.3">
      <c r="L545" s="102"/>
      <c r="M545" s="102"/>
      <c r="N545" s="102"/>
      <c r="O545" s="102"/>
      <c r="R545" s="102"/>
      <c r="Z545" s="102"/>
      <c r="AA545" s="102"/>
      <c r="AB545" s="102"/>
      <c r="AC545" s="102"/>
      <c r="AD545" s="102"/>
      <c r="AE545" s="102"/>
      <c r="AF545" s="102"/>
      <c r="AG545" s="151"/>
      <c r="AH545" s="102"/>
      <c r="AK545" s="151"/>
      <c r="AL545" s="102"/>
      <c r="AM545" s="102"/>
      <c r="AN545" s="102"/>
    </row>
    <row r="546" spans="1:40" x14ac:dyDescent="0.3">
      <c r="A546" s="102"/>
      <c r="C546" s="102"/>
      <c r="D546" s="102"/>
      <c r="E546" s="102"/>
      <c r="F546" s="102"/>
      <c r="J546" s="102"/>
      <c r="K546" s="102"/>
      <c r="L546" s="102"/>
      <c r="M546" s="102"/>
      <c r="N546" s="102"/>
      <c r="O546" s="102"/>
      <c r="P546" s="102"/>
      <c r="Q546" s="102"/>
      <c r="R546" s="102"/>
      <c r="T546" s="102"/>
      <c r="U546" s="102"/>
      <c r="V546" s="102"/>
      <c r="Z546" s="102"/>
      <c r="AA546" s="102"/>
      <c r="AB546" s="102"/>
      <c r="AC546" s="102"/>
      <c r="AD546" s="102"/>
      <c r="AE546" s="102"/>
      <c r="AF546" s="102"/>
      <c r="AG546" s="151"/>
      <c r="AH546" s="102"/>
      <c r="AI546" s="102"/>
      <c r="AJ546" s="102"/>
      <c r="AK546" s="151"/>
      <c r="AL546" s="102"/>
      <c r="AM546" s="102"/>
      <c r="AN546" s="102"/>
    </row>
    <row r="547" spans="1:40" x14ac:dyDescent="0.3">
      <c r="A547" s="102"/>
      <c r="C547" s="102"/>
      <c r="D547" s="102"/>
      <c r="E547" s="102"/>
      <c r="F547" s="102"/>
      <c r="H547" s="102"/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T547" s="102"/>
      <c r="U547" s="102"/>
      <c r="V547" s="102"/>
      <c r="Y547" s="102"/>
      <c r="Z547" s="102"/>
      <c r="AA547" s="102"/>
      <c r="AB547" s="102"/>
      <c r="AC547" s="102"/>
      <c r="AD547" s="102"/>
      <c r="AE547" s="102"/>
      <c r="AF547" s="102"/>
      <c r="AG547" s="151"/>
      <c r="AH547" s="102"/>
      <c r="AI547" s="102"/>
      <c r="AJ547" s="102"/>
      <c r="AK547" s="151"/>
      <c r="AL547" s="102"/>
      <c r="AM547" s="102"/>
      <c r="AN547" s="102"/>
    </row>
    <row r="548" spans="1:40" x14ac:dyDescent="0.3">
      <c r="C548" s="102"/>
      <c r="D548" s="102"/>
      <c r="E548" s="102"/>
      <c r="F548" s="102"/>
      <c r="H548" s="102"/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T548" s="102"/>
      <c r="U548" s="102"/>
      <c r="V548" s="102"/>
      <c r="Y548" s="102"/>
      <c r="Z548" s="102"/>
      <c r="AA548" s="102"/>
      <c r="AB548" s="102"/>
      <c r="AC548" s="102"/>
      <c r="AD548" s="102"/>
      <c r="AE548" s="102"/>
      <c r="AF548" s="102"/>
      <c r="AG548" s="151"/>
      <c r="AH548" s="102"/>
      <c r="AI548" s="102"/>
      <c r="AJ548" s="102"/>
      <c r="AK548" s="151"/>
      <c r="AL548" s="102"/>
      <c r="AM548" s="102"/>
      <c r="AN548" s="102"/>
    </row>
    <row r="549" spans="1:40" x14ac:dyDescent="0.3">
      <c r="A549" s="101"/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T549" s="101"/>
      <c r="U549" s="101"/>
      <c r="V549" s="101"/>
      <c r="W549" s="101"/>
      <c r="X549" s="101"/>
      <c r="Y549" s="101"/>
      <c r="Z549" s="101"/>
      <c r="AA549" s="101"/>
      <c r="AB549" s="101"/>
      <c r="AC549" s="101"/>
      <c r="AD549" s="101"/>
      <c r="AE549" s="101"/>
      <c r="AF549" s="101"/>
      <c r="AG549" s="191"/>
      <c r="AH549" s="101"/>
      <c r="AI549" s="101"/>
      <c r="AJ549" s="101"/>
      <c r="AK549" s="191"/>
      <c r="AL549" s="101"/>
      <c r="AM549" s="101"/>
      <c r="AN549" s="101"/>
    </row>
    <row r="550" spans="1:40" x14ac:dyDescent="0.3">
      <c r="H550" s="102"/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Y550" s="102"/>
      <c r="Z550" s="102"/>
      <c r="AA550" s="102"/>
      <c r="AB550" s="102"/>
      <c r="AC550" s="102"/>
      <c r="AD550" s="102"/>
      <c r="AE550" s="102"/>
      <c r="AF550" s="102"/>
      <c r="AG550" s="151"/>
      <c r="AH550" s="102"/>
      <c r="AI550" s="102"/>
      <c r="AJ550" s="102"/>
      <c r="AK550" s="151"/>
      <c r="AL550" s="102"/>
      <c r="AM550" s="102"/>
      <c r="AN550" s="102"/>
    </row>
    <row r="551" spans="1:40" x14ac:dyDescent="0.3">
      <c r="C551" s="99"/>
      <c r="D551" s="99"/>
      <c r="E551" s="99"/>
      <c r="T551" s="99"/>
      <c r="U551" s="99"/>
    </row>
    <row r="553" spans="1:40" x14ac:dyDescent="0.3">
      <c r="C553" s="99"/>
      <c r="D553" s="99"/>
      <c r="E553" s="99"/>
      <c r="T553" s="99"/>
      <c r="U553" s="99"/>
    </row>
    <row r="554" spans="1:40" x14ac:dyDescent="0.3">
      <c r="C554" s="99"/>
      <c r="T554" s="99"/>
    </row>
    <row r="555" spans="1:40" x14ac:dyDescent="0.3">
      <c r="C555" s="99"/>
      <c r="T555" s="99"/>
    </row>
    <row r="556" spans="1:40" x14ac:dyDescent="0.3">
      <c r="C556" s="99"/>
      <c r="H556" s="172"/>
      <c r="I556" s="172"/>
      <c r="J556" s="228"/>
      <c r="K556" s="228"/>
      <c r="L556" s="110"/>
      <c r="M556" s="110"/>
      <c r="N556" s="141"/>
      <c r="O556" s="141"/>
      <c r="P556" s="110"/>
      <c r="Q556" s="110"/>
      <c r="R556" s="110"/>
      <c r="T556" s="99"/>
      <c r="V556" s="110"/>
      <c r="W556" s="110"/>
      <c r="X556" s="110"/>
      <c r="Y556" s="110"/>
      <c r="Z556" s="228"/>
      <c r="AA556" s="110"/>
      <c r="AB556" s="110"/>
      <c r="AC556" s="141"/>
      <c r="AD556" s="141"/>
      <c r="AE556" s="110"/>
      <c r="AF556" s="110"/>
      <c r="AH556" s="207"/>
      <c r="AI556" s="110"/>
      <c r="AJ556" s="110"/>
      <c r="AL556" s="110"/>
      <c r="AM556" s="141"/>
      <c r="AN556" s="141"/>
    </row>
    <row r="557" spans="1:40" x14ac:dyDescent="0.3">
      <c r="C557" s="99"/>
      <c r="F557" s="172"/>
      <c r="J557" s="163"/>
      <c r="K557" s="163"/>
      <c r="T557" s="99"/>
      <c r="V557" s="110"/>
      <c r="W557" s="110"/>
      <c r="X557" s="110"/>
      <c r="Y557" s="110"/>
      <c r="Z557" s="228"/>
    </row>
    <row r="558" spans="1:40" x14ac:dyDescent="0.3">
      <c r="C558" s="99"/>
      <c r="H558" s="172"/>
      <c r="I558" s="172"/>
      <c r="J558" s="228"/>
      <c r="K558" s="228"/>
      <c r="L558" s="110"/>
      <c r="M558" s="110"/>
      <c r="N558" s="141"/>
      <c r="O558" s="141"/>
      <c r="P558" s="110"/>
      <c r="Q558" s="110"/>
      <c r="R558" s="110"/>
      <c r="T558" s="99"/>
      <c r="V558" s="110"/>
      <c r="W558" s="110"/>
      <c r="X558" s="110"/>
      <c r="Y558" s="110"/>
      <c r="Z558" s="228"/>
      <c r="AA558" s="110"/>
      <c r="AB558" s="110"/>
      <c r="AC558" s="141"/>
      <c r="AD558" s="141"/>
      <c r="AE558" s="110"/>
      <c r="AF558" s="110"/>
      <c r="AH558" s="207"/>
      <c r="AI558" s="110"/>
      <c r="AJ558" s="110"/>
      <c r="AL558" s="110"/>
      <c r="AM558" s="141"/>
      <c r="AN558" s="141"/>
    </row>
    <row r="559" spans="1:40" x14ac:dyDescent="0.3">
      <c r="C559" s="99"/>
      <c r="F559" s="172"/>
      <c r="J559" s="163"/>
      <c r="K559" s="163"/>
      <c r="T559" s="99"/>
      <c r="V559" s="110"/>
      <c r="W559" s="110"/>
      <c r="X559" s="110"/>
      <c r="Y559" s="110"/>
      <c r="Z559" s="228"/>
    </row>
    <row r="560" spans="1:40" x14ac:dyDescent="0.3">
      <c r="C560" s="99"/>
      <c r="H560" s="172"/>
      <c r="I560" s="172"/>
      <c r="J560" s="228"/>
      <c r="K560" s="228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228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141"/>
      <c r="AN560" s="141"/>
    </row>
    <row r="561" spans="3:40" x14ac:dyDescent="0.3">
      <c r="C561" s="99"/>
      <c r="F561" s="172"/>
      <c r="J561" s="163"/>
      <c r="K561" s="163"/>
      <c r="T561" s="99"/>
      <c r="V561" s="110"/>
      <c r="W561" s="110"/>
      <c r="X561" s="110"/>
      <c r="Y561" s="110"/>
      <c r="Z561" s="228"/>
    </row>
    <row r="562" spans="3:40" x14ac:dyDescent="0.3">
      <c r="C562" s="99"/>
      <c r="H562" s="172"/>
      <c r="I562" s="172"/>
      <c r="J562" s="228"/>
      <c r="K562" s="228"/>
      <c r="L562" s="110"/>
      <c r="M562" s="110"/>
      <c r="N562" s="141"/>
      <c r="O562" s="141"/>
      <c r="P562" s="110"/>
      <c r="Q562" s="110"/>
      <c r="R562" s="110"/>
      <c r="T562" s="99"/>
      <c r="V562" s="110"/>
      <c r="W562" s="110"/>
      <c r="X562" s="110"/>
      <c r="Y562" s="110"/>
      <c r="Z562" s="228"/>
      <c r="AA562" s="110"/>
      <c r="AB562" s="110"/>
      <c r="AC562" s="141"/>
      <c r="AD562" s="141"/>
      <c r="AE562" s="110"/>
      <c r="AF562" s="110"/>
      <c r="AH562" s="207"/>
      <c r="AI562" s="110"/>
      <c r="AJ562" s="110"/>
      <c r="AL562" s="110"/>
      <c r="AM562" s="141"/>
      <c r="AN562" s="141"/>
    </row>
    <row r="563" spans="3:40" x14ac:dyDescent="0.3">
      <c r="C563" s="99"/>
      <c r="F563" s="172"/>
      <c r="J563" s="163"/>
      <c r="K563" s="163"/>
      <c r="T563" s="99"/>
      <c r="V563" s="110"/>
      <c r="W563" s="110"/>
      <c r="X563" s="110"/>
      <c r="Y563" s="110"/>
      <c r="Z563" s="228"/>
    </row>
    <row r="564" spans="3:40" x14ac:dyDescent="0.3">
      <c r="C564" s="99"/>
      <c r="H564" s="172"/>
      <c r="I564" s="172"/>
      <c r="J564" s="228"/>
      <c r="K564" s="228"/>
      <c r="L564" s="110"/>
      <c r="M564" s="110"/>
      <c r="N564" s="141"/>
      <c r="O564" s="141"/>
      <c r="P564" s="110"/>
      <c r="Q564" s="110"/>
      <c r="R564" s="110"/>
      <c r="T564" s="99"/>
      <c r="V564" s="110"/>
      <c r="W564" s="110"/>
      <c r="X564" s="110"/>
      <c r="Y564" s="110"/>
      <c r="Z564" s="228"/>
      <c r="AA564" s="110"/>
      <c r="AB564" s="110"/>
      <c r="AC564" s="141"/>
      <c r="AD564" s="141"/>
      <c r="AE564" s="110"/>
      <c r="AF564" s="110"/>
      <c r="AH564" s="207"/>
      <c r="AI564" s="110"/>
      <c r="AJ564" s="110"/>
      <c r="AL564" s="110"/>
      <c r="AM564" s="141"/>
      <c r="AN564" s="141"/>
    </row>
    <row r="565" spans="3:40" x14ac:dyDescent="0.3">
      <c r="C565" s="99"/>
      <c r="F565" s="172"/>
      <c r="J565" s="163"/>
      <c r="K565" s="163"/>
      <c r="T565" s="99"/>
      <c r="V565" s="110"/>
      <c r="W565" s="110"/>
      <c r="X565" s="110"/>
      <c r="Y565" s="110"/>
      <c r="Z565" s="228"/>
    </row>
    <row r="566" spans="3:40" x14ac:dyDescent="0.3">
      <c r="C566" s="99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228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141"/>
      <c r="AN566" s="141"/>
    </row>
    <row r="567" spans="3:40" x14ac:dyDescent="0.3">
      <c r="F567" s="172"/>
      <c r="H567" s="192"/>
      <c r="I567" s="192"/>
      <c r="J567" s="228"/>
      <c r="K567" s="228"/>
      <c r="L567" s="192"/>
      <c r="M567" s="192"/>
      <c r="N567" s="192"/>
      <c r="O567" s="192"/>
      <c r="P567" s="192"/>
      <c r="Q567" s="192"/>
      <c r="R567" s="192"/>
      <c r="V567" s="192"/>
      <c r="Y567" s="192"/>
      <c r="Z567" s="228"/>
      <c r="AA567" s="192"/>
      <c r="AB567" s="192"/>
      <c r="AC567" s="192"/>
      <c r="AD567" s="192"/>
      <c r="AE567" s="192"/>
      <c r="AF567" s="192"/>
      <c r="AI567" s="192"/>
      <c r="AJ567" s="192"/>
      <c r="AK567" s="194"/>
      <c r="AL567" s="192"/>
      <c r="AM567" s="141"/>
      <c r="AN567" s="141"/>
    </row>
    <row r="568" spans="3:40" x14ac:dyDescent="0.3">
      <c r="C568" s="99"/>
      <c r="F568" s="192"/>
      <c r="H568" s="110"/>
      <c r="I568" s="110"/>
      <c r="J568" s="163"/>
      <c r="K568" s="163"/>
      <c r="L568" s="110"/>
      <c r="M568" s="110"/>
      <c r="N568" s="141"/>
      <c r="O568" s="141"/>
      <c r="P568" s="172"/>
      <c r="Q568" s="172"/>
      <c r="R568" s="110"/>
      <c r="T568" s="99"/>
      <c r="V568" s="110"/>
      <c r="W568" s="110"/>
      <c r="X568" s="110"/>
      <c r="Y568" s="110"/>
      <c r="Z568" s="228"/>
      <c r="AA568" s="110"/>
      <c r="AB568" s="110"/>
      <c r="AC568" s="141"/>
      <c r="AD568" s="141"/>
      <c r="AE568" s="110"/>
      <c r="AF568" s="110"/>
      <c r="AH568" s="207"/>
      <c r="AI568" s="172"/>
      <c r="AJ568" s="172"/>
      <c r="AL568" s="110"/>
      <c r="AM568" s="141"/>
      <c r="AN568" s="141"/>
    </row>
    <row r="569" spans="3:40" x14ac:dyDescent="0.3">
      <c r="F569" s="110"/>
      <c r="H569" s="192"/>
      <c r="I569" s="192"/>
      <c r="J569" s="228"/>
      <c r="K569" s="228"/>
      <c r="L569" s="192"/>
      <c r="M569" s="192"/>
      <c r="N569" s="192"/>
      <c r="O569" s="192"/>
      <c r="P569" s="192"/>
      <c r="Q569" s="192"/>
      <c r="R569" s="192"/>
      <c r="V569" s="192"/>
      <c r="Y569" s="192"/>
      <c r="Z569" s="228"/>
      <c r="AA569" s="192"/>
      <c r="AB569" s="192"/>
      <c r="AC569" s="192"/>
      <c r="AD569" s="192"/>
      <c r="AE569" s="192"/>
      <c r="AF569" s="192"/>
      <c r="AI569" s="192"/>
      <c r="AJ569" s="192"/>
      <c r="AK569" s="194"/>
      <c r="AL569" s="192"/>
    </row>
    <row r="570" spans="3:40" x14ac:dyDescent="0.3">
      <c r="C570" s="99"/>
      <c r="D570" s="99"/>
      <c r="E570" s="99"/>
      <c r="F570" s="192"/>
      <c r="J570" s="163"/>
      <c r="K570" s="163"/>
      <c r="T570" s="99"/>
      <c r="U570" s="99"/>
      <c r="V570" s="110"/>
      <c r="W570" s="110"/>
      <c r="X570" s="110"/>
      <c r="Y570" s="110"/>
      <c r="Z570" s="228"/>
    </row>
    <row r="571" spans="3:40" x14ac:dyDescent="0.3">
      <c r="C571" s="99"/>
      <c r="J571" s="163"/>
      <c r="K571" s="163"/>
      <c r="T571" s="99"/>
      <c r="V571" s="110"/>
      <c r="W571" s="110"/>
      <c r="X571" s="110"/>
      <c r="Y571" s="110"/>
      <c r="Z571" s="228"/>
    </row>
    <row r="572" spans="3:40" x14ac:dyDescent="0.3">
      <c r="C572" s="99"/>
      <c r="J572" s="163"/>
      <c r="K572" s="163"/>
      <c r="T572" s="99"/>
      <c r="V572" s="110"/>
      <c r="W572" s="110"/>
      <c r="X572" s="110"/>
      <c r="Y572" s="110"/>
      <c r="Z572" s="228"/>
    </row>
    <row r="573" spans="3:40" x14ac:dyDescent="0.3">
      <c r="C573" s="99"/>
      <c r="H573" s="172"/>
      <c r="I573" s="172"/>
      <c r="J573" s="228"/>
      <c r="K573" s="228"/>
      <c r="L573" s="110"/>
      <c r="M573" s="110"/>
      <c r="N573" s="141"/>
      <c r="O573" s="141"/>
      <c r="P573" s="110"/>
      <c r="Q573" s="110"/>
      <c r="R573" s="110"/>
      <c r="T573" s="99"/>
      <c r="V573" s="110"/>
      <c r="W573" s="110"/>
      <c r="X573" s="110"/>
      <c r="Y573" s="110"/>
      <c r="Z573" s="228"/>
      <c r="AA573" s="110"/>
      <c r="AB573" s="110"/>
      <c r="AC573" s="141"/>
      <c r="AD573" s="141"/>
      <c r="AE573" s="110"/>
      <c r="AF573" s="110"/>
      <c r="AH573" s="207"/>
      <c r="AI573" s="110"/>
      <c r="AJ573" s="110"/>
      <c r="AL573" s="110"/>
      <c r="AM573" s="141"/>
      <c r="AN573" s="141"/>
    </row>
    <row r="574" spans="3:40" x14ac:dyDescent="0.3">
      <c r="C574" s="99"/>
      <c r="F574" s="172"/>
      <c r="J574" s="163"/>
      <c r="K574" s="163"/>
      <c r="T574" s="99"/>
      <c r="V574" s="110"/>
      <c r="W574" s="110"/>
      <c r="X574" s="110"/>
      <c r="Y574" s="110"/>
      <c r="Z574" s="228"/>
    </row>
    <row r="575" spans="3:40" x14ac:dyDescent="0.3">
      <c r="C575" s="99"/>
      <c r="H575" s="172"/>
      <c r="I575" s="172"/>
      <c r="J575" s="228"/>
      <c r="K575" s="228"/>
      <c r="L575" s="110"/>
      <c r="M575" s="110"/>
      <c r="N575" s="141"/>
      <c r="O575" s="141"/>
      <c r="P575" s="110"/>
      <c r="Q575" s="110"/>
      <c r="R575" s="110"/>
      <c r="T575" s="99"/>
      <c r="V575" s="110"/>
      <c r="W575" s="110"/>
      <c r="X575" s="110"/>
      <c r="Y575" s="110"/>
      <c r="Z575" s="228"/>
      <c r="AA575" s="110"/>
      <c r="AB575" s="110"/>
      <c r="AC575" s="141"/>
      <c r="AD575" s="141"/>
      <c r="AE575" s="110"/>
      <c r="AF575" s="110"/>
      <c r="AH575" s="207"/>
      <c r="AI575" s="110"/>
      <c r="AJ575" s="110"/>
      <c r="AL575" s="110"/>
      <c r="AM575" s="141"/>
      <c r="AN575" s="141"/>
    </row>
    <row r="576" spans="3:40" x14ac:dyDescent="0.3">
      <c r="F576" s="172"/>
      <c r="H576" s="192"/>
      <c r="I576" s="192"/>
      <c r="J576" s="228"/>
      <c r="K576" s="228"/>
      <c r="L576" s="192"/>
      <c r="M576" s="192"/>
      <c r="N576" s="192"/>
      <c r="O576" s="192"/>
      <c r="P576" s="192"/>
      <c r="Q576" s="192"/>
      <c r="R576" s="192"/>
      <c r="V576" s="192"/>
      <c r="Y576" s="192"/>
      <c r="Z576" s="217"/>
      <c r="AA576" s="192"/>
      <c r="AB576" s="192"/>
      <c r="AC576" s="192"/>
      <c r="AD576" s="192"/>
      <c r="AE576" s="192"/>
      <c r="AF576" s="192"/>
      <c r="AI576" s="192"/>
      <c r="AJ576" s="192"/>
      <c r="AK576" s="194"/>
      <c r="AL576" s="192"/>
    </row>
    <row r="577" spans="3:40" x14ac:dyDescent="0.3">
      <c r="C577" s="99"/>
      <c r="F577" s="192"/>
      <c r="H577" s="110"/>
      <c r="I577" s="110"/>
      <c r="L577" s="110"/>
      <c r="M577" s="110"/>
      <c r="N577" s="141"/>
      <c r="O577" s="141"/>
      <c r="P577" s="172"/>
      <c r="Q577" s="172"/>
      <c r="R577" s="110"/>
      <c r="T577" s="99"/>
      <c r="V577" s="110"/>
      <c r="W577" s="110"/>
      <c r="X577" s="110"/>
      <c r="Y577" s="110"/>
      <c r="Z577" s="227"/>
      <c r="AA577" s="110"/>
      <c r="AB577" s="110"/>
      <c r="AC577" s="141"/>
      <c r="AD577" s="141"/>
      <c r="AE577" s="110"/>
      <c r="AF577" s="110"/>
      <c r="AH577" s="207"/>
      <c r="AI577" s="172"/>
      <c r="AJ577" s="172"/>
      <c r="AL577" s="110"/>
      <c r="AM577" s="141"/>
      <c r="AN577" s="141"/>
    </row>
    <row r="578" spans="3:40" x14ac:dyDescent="0.3">
      <c r="F578" s="110"/>
      <c r="H578" s="192"/>
      <c r="I578" s="192"/>
      <c r="J578" s="217"/>
      <c r="K578" s="217"/>
      <c r="L578" s="192"/>
      <c r="M578" s="192"/>
      <c r="N578" s="192"/>
      <c r="O578" s="192"/>
      <c r="P578" s="192"/>
      <c r="Q578" s="192"/>
      <c r="R578" s="192"/>
      <c r="V578" s="192"/>
      <c r="Y578" s="192"/>
      <c r="Z578" s="217"/>
      <c r="AA578" s="192"/>
      <c r="AB578" s="192"/>
      <c r="AC578" s="192"/>
      <c r="AD578" s="192"/>
      <c r="AE578" s="192"/>
      <c r="AF578" s="192"/>
      <c r="AI578" s="192"/>
      <c r="AJ578" s="192"/>
      <c r="AK578" s="194"/>
      <c r="AL578" s="192"/>
    </row>
    <row r="579" spans="3:40" x14ac:dyDescent="0.3">
      <c r="C579" s="99"/>
      <c r="D579" s="99"/>
      <c r="E579" s="99"/>
      <c r="F579" s="192"/>
      <c r="T579" s="99"/>
      <c r="U579" s="99"/>
      <c r="V579" s="110"/>
      <c r="W579" s="110"/>
      <c r="X579" s="110"/>
      <c r="Y579" s="110"/>
      <c r="Z579" s="227"/>
    </row>
    <row r="580" spans="3:40" x14ac:dyDescent="0.3">
      <c r="C580" s="99"/>
      <c r="T580" s="99"/>
      <c r="V580" s="110"/>
      <c r="W580" s="110"/>
      <c r="X580" s="110"/>
      <c r="Y580" s="110"/>
      <c r="Z580" s="227"/>
    </row>
    <row r="581" spans="3:40" x14ac:dyDescent="0.3">
      <c r="C581" s="99"/>
      <c r="H581" s="172"/>
      <c r="I581" s="172"/>
      <c r="J581" s="227"/>
      <c r="K581" s="227"/>
      <c r="L581" s="110"/>
      <c r="M581" s="110"/>
      <c r="N581" s="141"/>
      <c r="O581" s="141"/>
      <c r="P581" s="110"/>
      <c r="Q581" s="110"/>
      <c r="R581" s="110"/>
      <c r="T581" s="99"/>
      <c r="V581" s="110"/>
      <c r="W581" s="110"/>
      <c r="X581" s="110"/>
      <c r="Y581" s="110"/>
      <c r="Z581" s="227"/>
      <c r="AA581" s="110"/>
      <c r="AB581" s="110"/>
      <c r="AC581" s="141"/>
      <c r="AD581" s="141"/>
      <c r="AE581" s="110"/>
      <c r="AF581" s="110"/>
      <c r="AH581" s="207"/>
      <c r="AI581" s="110"/>
      <c r="AJ581" s="110"/>
      <c r="AL581" s="110"/>
      <c r="AM581" s="141"/>
      <c r="AN581" s="141"/>
    </row>
    <row r="582" spans="3:40" x14ac:dyDescent="0.3">
      <c r="C582" s="99"/>
      <c r="F582" s="172"/>
      <c r="T582" s="99"/>
      <c r="V582" s="110"/>
      <c r="W582" s="110"/>
      <c r="X582" s="110"/>
      <c r="Y582" s="110"/>
      <c r="Z582" s="227"/>
    </row>
    <row r="583" spans="3:40" x14ac:dyDescent="0.3">
      <c r="C583" s="99"/>
      <c r="H583" s="172"/>
      <c r="I583" s="172"/>
      <c r="J583" s="227"/>
      <c r="K583" s="227"/>
      <c r="L583" s="110"/>
      <c r="M583" s="110"/>
      <c r="N583" s="141"/>
      <c r="O583" s="141"/>
      <c r="P583" s="110"/>
      <c r="Q583" s="110"/>
      <c r="R583" s="110"/>
      <c r="T583" s="99"/>
      <c r="V583" s="110"/>
      <c r="W583" s="110"/>
      <c r="X583" s="110"/>
      <c r="Y583" s="110"/>
      <c r="Z583" s="227"/>
      <c r="AA583" s="110"/>
      <c r="AB583" s="110"/>
      <c r="AC583" s="141"/>
      <c r="AD583" s="141"/>
      <c r="AE583" s="110"/>
      <c r="AF583" s="110"/>
      <c r="AH583" s="207"/>
      <c r="AI583" s="110"/>
      <c r="AJ583" s="110"/>
      <c r="AL583" s="110"/>
      <c r="AM583" s="141"/>
      <c r="AN583" s="141"/>
    </row>
    <row r="584" spans="3:40" x14ac:dyDescent="0.3">
      <c r="C584" s="99"/>
      <c r="F584" s="172"/>
      <c r="T584" s="99"/>
      <c r="V584" s="110"/>
      <c r="W584" s="110"/>
      <c r="X584" s="110"/>
      <c r="Y584" s="110"/>
      <c r="Z584" s="227"/>
    </row>
    <row r="585" spans="3:40" x14ac:dyDescent="0.3">
      <c r="C585" s="99"/>
      <c r="H585" s="172"/>
      <c r="I585" s="172"/>
      <c r="J585" s="227"/>
      <c r="K585" s="227"/>
      <c r="L585" s="110"/>
      <c r="M585" s="110"/>
      <c r="N585" s="141"/>
      <c r="O585" s="141"/>
      <c r="P585" s="110"/>
      <c r="Q585" s="110"/>
      <c r="R585" s="110"/>
      <c r="T585" s="99"/>
      <c r="V585" s="110"/>
      <c r="W585" s="110"/>
      <c r="X585" s="110"/>
      <c r="Y585" s="110"/>
      <c r="Z585" s="227"/>
      <c r="AA585" s="110"/>
      <c r="AB585" s="110"/>
      <c r="AC585" s="141"/>
      <c r="AD585" s="141"/>
      <c r="AE585" s="110"/>
      <c r="AF585" s="110"/>
      <c r="AH585" s="207"/>
      <c r="AI585" s="110"/>
      <c r="AJ585" s="110"/>
      <c r="AL585" s="110"/>
      <c r="AM585" s="141"/>
      <c r="AN585" s="141"/>
    </row>
    <row r="586" spans="3:40" x14ac:dyDescent="0.3">
      <c r="C586" s="99"/>
      <c r="F586" s="172"/>
      <c r="T586" s="99"/>
      <c r="V586" s="110"/>
      <c r="W586" s="110"/>
      <c r="X586" s="110"/>
      <c r="Y586" s="110"/>
      <c r="Z586" s="227"/>
    </row>
    <row r="587" spans="3:40" x14ac:dyDescent="0.3">
      <c r="C587" s="99"/>
      <c r="H587" s="172"/>
      <c r="I587" s="172"/>
      <c r="J587" s="227"/>
      <c r="K587" s="227"/>
      <c r="L587" s="110"/>
      <c r="M587" s="110"/>
      <c r="N587" s="141"/>
      <c r="O587" s="141"/>
      <c r="P587" s="110"/>
      <c r="Q587" s="110"/>
      <c r="R587" s="110"/>
      <c r="T587" s="99"/>
      <c r="V587" s="110"/>
      <c r="W587" s="110"/>
      <c r="X587" s="110"/>
      <c r="Y587" s="110"/>
      <c r="Z587" s="227"/>
      <c r="AA587" s="110"/>
      <c r="AB587" s="110"/>
      <c r="AC587" s="141"/>
      <c r="AD587" s="141"/>
      <c r="AE587" s="110"/>
      <c r="AF587" s="110"/>
      <c r="AH587" s="207"/>
      <c r="AI587" s="110"/>
      <c r="AJ587" s="110"/>
      <c r="AL587" s="110"/>
      <c r="AM587" s="141"/>
      <c r="AN587" s="141"/>
    </row>
    <row r="588" spans="3:40" x14ac:dyDescent="0.3">
      <c r="F588" s="172"/>
      <c r="H588" s="192"/>
      <c r="I588" s="192"/>
      <c r="J588" s="217"/>
      <c r="K588" s="217"/>
      <c r="L588" s="192"/>
      <c r="M588" s="192"/>
      <c r="N588" s="192"/>
      <c r="O588" s="192"/>
      <c r="P588" s="192"/>
      <c r="Q588" s="192"/>
      <c r="R588" s="192"/>
      <c r="V588" s="192"/>
      <c r="Y588" s="192"/>
      <c r="Z588" s="217"/>
      <c r="AA588" s="192"/>
      <c r="AB588" s="192"/>
      <c r="AC588" s="192"/>
      <c r="AD588" s="192"/>
      <c r="AE588" s="192"/>
      <c r="AF588" s="192"/>
      <c r="AI588" s="192"/>
      <c r="AJ588" s="192"/>
      <c r="AK588" s="194"/>
      <c r="AL588" s="192"/>
    </row>
    <row r="589" spans="3:40" x14ac:dyDescent="0.3">
      <c r="C589" s="99"/>
      <c r="F589" s="192"/>
      <c r="H589" s="110"/>
      <c r="I589" s="110"/>
      <c r="L589" s="110"/>
      <c r="M589" s="110"/>
      <c r="N589" s="141"/>
      <c r="O589" s="141"/>
      <c r="P589" s="172"/>
      <c r="Q589" s="172"/>
      <c r="R589" s="110"/>
      <c r="T589" s="99"/>
      <c r="V589" s="110"/>
      <c r="W589" s="110"/>
      <c r="X589" s="110"/>
      <c r="Y589" s="110"/>
      <c r="Z589" s="227"/>
      <c r="AA589" s="110"/>
      <c r="AB589" s="110"/>
      <c r="AC589" s="141"/>
      <c r="AD589" s="141"/>
      <c r="AE589" s="110"/>
      <c r="AF589" s="110"/>
      <c r="AH589" s="207"/>
      <c r="AI589" s="172"/>
      <c r="AJ589" s="172"/>
      <c r="AL589" s="110"/>
      <c r="AM589" s="141"/>
      <c r="AN589" s="141"/>
    </row>
    <row r="590" spans="3:40" x14ac:dyDescent="0.3">
      <c r="F590" s="110"/>
      <c r="H590" s="192"/>
      <c r="I590" s="192"/>
      <c r="J590" s="217"/>
      <c r="K590" s="217"/>
      <c r="L590" s="192"/>
      <c r="M590" s="192"/>
      <c r="N590" s="192"/>
      <c r="O590" s="192"/>
      <c r="P590" s="192"/>
      <c r="Q590" s="192"/>
      <c r="R590" s="192"/>
      <c r="V590" s="192"/>
      <c r="Y590" s="192"/>
      <c r="Z590" s="217"/>
      <c r="AA590" s="192"/>
      <c r="AB590" s="192"/>
      <c r="AC590" s="192"/>
      <c r="AD590" s="192"/>
      <c r="AE590" s="192"/>
      <c r="AF590" s="192"/>
      <c r="AI590" s="192"/>
      <c r="AJ590" s="192"/>
      <c r="AK590" s="194"/>
      <c r="AL590" s="192"/>
    </row>
    <row r="591" spans="3:40" x14ac:dyDescent="0.3">
      <c r="C591" s="99"/>
      <c r="F591" s="192"/>
      <c r="H591" s="110"/>
      <c r="I591" s="110"/>
      <c r="L591" s="110"/>
      <c r="M591" s="110"/>
      <c r="N591" s="141"/>
      <c r="O591" s="141"/>
      <c r="P591" s="110"/>
      <c r="Q591" s="110"/>
      <c r="R591" s="110"/>
      <c r="T591" s="99"/>
      <c r="V591" s="110"/>
      <c r="W591" s="110"/>
      <c r="X591" s="110"/>
      <c r="Y591" s="110"/>
      <c r="AA591" s="110"/>
      <c r="AB591" s="110"/>
      <c r="AC591" s="141"/>
      <c r="AD591" s="141"/>
      <c r="AE591" s="110"/>
      <c r="AF591" s="110"/>
      <c r="AH591" s="207"/>
      <c r="AI591" s="110"/>
      <c r="AJ591" s="110"/>
      <c r="AL591" s="110"/>
      <c r="AM591" s="207"/>
      <c r="AN591" s="207"/>
    </row>
    <row r="592" spans="3:40" x14ac:dyDescent="0.3">
      <c r="F592" s="110"/>
      <c r="H592" s="192"/>
      <c r="I592" s="192"/>
      <c r="J592" s="217"/>
      <c r="K592" s="217"/>
      <c r="L592" s="192"/>
      <c r="M592" s="192"/>
      <c r="N592" s="192"/>
      <c r="O592" s="192"/>
      <c r="P592" s="192"/>
      <c r="Q592" s="192"/>
      <c r="R592" s="192"/>
      <c r="V592" s="192"/>
      <c r="Y592" s="192"/>
      <c r="Z592" s="217"/>
      <c r="AA592" s="192"/>
      <c r="AB592" s="192"/>
      <c r="AC592" s="192"/>
      <c r="AD592" s="192"/>
      <c r="AE592" s="192"/>
      <c r="AF592" s="192"/>
      <c r="AI592" s="192"/>
      <c r="AJ592" s="192"/>
      <c r="AK592" s="194"/>
      <c r="AL592" s="192"/>
    </row>
    <row r="594" spans="1:40" x14ac:dyDescent="0.3">
      <c r="F594" s="192"/>
    </row>
    <row r="595" spans="1:40" x14ac:dyDescent="0.3">
      <c r="A595" s="99"/>
    </row>
    <row r="597" spans="1:40" x14ac:dyDescent="0.3">
      <c r="H597" s="99"/>
      <c r="I597" s="99"/>
      <c r="Y597" s="99"/>
    </row>
    <row r="599" spans="1:40" x14ac:dyDescent="0.3">
      <c r="L599" s="99"/>
      <c r="M599" s="99"/>
      <c r="AA599" s="99"/>
      <c r="AB599" s="99"/>
    </row>
    <row r="600" spans="1:40" x14ac:dyDescent="0.3">
      <c r="R600" s="99"/>
      <c r="AK600" s="190"/>
      <c r="AL600" s="99"/>
    </row>
    <row r="601" spans="1:40" x14ac:dyDescent="0.3">
      <c r="R601" s="99"/>
      <c r="AK601" s="190"/>
      <c r="AL601" s="99"/>
    </row>
    <row r="602" spans="1:40" x14ac:dyDescent="0.3">
      <c r="A602" s="99"/>
      <c r="R602" s="99"/>
      <c r="AK602" s="190"/>
      <c r="AL602" s="99"/>
    </row>
    <row r="603" spans="1:40" x14ac:dyDescent="0.3">
      <c r="L603" s="99"/>
      <c r="M603" s="99"/>
      <c r="AA603" s="99"/>
      <c r="AB603" s="99"/>
    </row>
    <row r="604" spans="1:40" x14ac:dyDescent="0.3">
      <c r="A604" s="101"/>
      <c r="B604" s="101"/>
      <c r="C604" s="101"/>
      <c r="D604" s="101"/>
      <c r="E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T604" s="101"/>
      <c r="U604" s="101"/>
      <c r="V604" s="101"/>
      <c r="W604" s="101"/>
      <c r="X604" s="101"/>
      <c r="Y604" s="101"/>
      <c r="Z604" s="101"/>
      <c r="AA604" s="101"/>
      <c r="AB604" s="101"/>
      <c r="AC604" s="101"/>
      <c r="AD604" s="101"/>
      <c r="AE604" s="101"/>
      <c r="AF604" s="101"/>
      <c r="AG604" s="191"/>
      <c r="AH604" s="101"/>
      <c r="AI604" s="101"/>
      <c r="AJ604" s="101"/>
      <c r="AK604" s="191"/>
      <c r="AL604" s="101"/>
      <c r="AM604" s="101"/>
      <c r="AN604" s="101"/>
    </row>
    <row r="605" spans="1:40" x14ac:dyDescent="0.3">
      <c r="F605" s="101"/>
      <c r="L605" s="102"/>
      <c r="M605" s="102"/>
      <c r="N605" s="102"/>
      <c r="O605" s="102"/>
      <c r="R605" s="102"/>
      <c r="AA605" s="102"/>
      <c r="AB605" s="102"/>
      <c r="AC605" s="102"/>
      <c r="AD605" s="102"/>
      <c r="AE605" s="102"/>
      <c r="AF605" s="102"/>
      <c r="AG605" s="151"/>
      <c r="AH605" s="102"/>
      <c r="AK605" s="151"/>
      <c r="AL605" s="102"/>
      <c r="AM605" s="102"/>
      <c r="AN605" s="102"/>
    </row>
    <row r="606" spans="1:40" x14ac:dyDescent="0.3">
      <c r="L606" s="102"/>
      <c r="M606" s="102"/>
      <c r="N606" s="102"/>
      <c r="O606" s="102"/>
      <c r="R606" s="102"/>
      <c r="Z606" s="102"/>
      <c r="AA606" s="102"/>
      <c r="AB606" s="102"/>
      <c r="AC606" s="102"/>
      <c r="AD606" s="102"/>
      <c r="AE606" s="102"/>
      <c r="AF606" s="102"/>
      <c r="AG606" s="151"/>
      <c r="AH606" s="102"/>
      <c r="AK606" s="151"/>
      <c r="AL606" s="102"/>
      <c r="AM606" s="102"/>
      <c r="AN606" s="102"/>
    </row>
    <row r="607" spans="1:40" x14ac:dyDescent="0.3">
      <c r="A607" s="102"/>
      <c r="C607" s="102"/>
      <c r="D607" s="102"/>
      <c r="E607" s="102"/>
      <c r="J607" s="102"/>
      <c r="K607" s="102"/>
      <c r="L607" s="102"/>
      <c r="M607" s="102"/>
      <c r="N607" s="102"/>
      <c r="O607" s="102"/>
      <c r="P607" s="102"/>
      <c r="Q607" s="102"/>
      <c r="R607" s="102"/>
      <c r="T607" s="102"/>
      <c r="U607" s="102"/>
      <c r="V607" s="102"/>
      <c r="Z607" s="102"/>
      <c r="AA607" s="102"/>
      <c r="AB607" s="102"/>
      <c r="AC607" s="102"/>
      <c r="AD607" s="102"/>
      <c r="AE607" s="102"/>
      <c r="AF607" s="102"/>
      <c r="AG607" s="151"/>
      <c r="AH607" s="102"/>
      <c r="AI607" s="102"/>
      <c r="AJ607" s="102"/>
      <c r="AK607" s="151"/>
      <c r="AL607" s="102"/>
      <c r="AM607" s="102"/>
      <c r="AN607" s="102"/>
    </row>
    <row r="608" spans="1:40" x14ac:dyDescent="0.3">
      <c r="A608" s="102"/>
      <c r="C608" s="102"/>
      <c r="D608" s="102"/>
      <c r="E608" s="102"/>
      <c r="F608" s="102"/>
      <c r="H608" s="102"/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T608" s="102"/>
      <c r="U608" s="102"/>
      <c r="V608" s="102"/>
      <c r="Y608" s="102"/>
      <c r="Z608" s="102"/>
      <c r="AA608" s="102"/>
      <c r="AB608" s="102"/>
      <c r="AC608" s="102"/>
      <c r="AD608" s="102"/>
      <c r="AE608" s="102"/>
      <c r="AF608" s="102"/>
      <c r="AG608" s="151"/>
      <c r="AH608" s="102"/>
      <c r="AI608" s="102"/>
      <c r="AJ608" s="102"/>
      <c r="AK608" s="151"/>
      <c r="AL608" s="102"/>
      <c r="AM608" s="102"/>
      <c r="AN608" s="102"/>
    </row>
    <row r="609" spans="1:40" x14ac:dyDescent="0.3">
      <c r="C609" s="102"/>
      <c r="D609" s="102"/>
      <c r="E609" s="102"/>
      <c r="F609" s="102"/>
      <c r="H609" s="102"/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T609" s="102"/>
      <c r="U609" s="102"/>
      <c r="V609" s="102"/>
      <c r="Y609" s="102"/>
      <c r="Z609" s="102"/>
      <c r="AA609" s="102"/>
      <c r="AB609" s="102"/>
      <c r="AC609" s="102"/>
      <c r="AD609" s="102"/>
      <c r="AE609" s="102"/>
      <c r="AF609" s="102"/>
      <c r="AG609" s="151"/>
      <c r="AH609" s="102"/>
      <c r="AI609" s="102"/>
      <c r="AJ609" s="102"/>
      <c r="AK609" s="151"/>
      <c r="AL609" s="102"/>
      <c r="AM609" s="102"/>
      <c r="AN609" s="102"/>
    </row>
    <row r="610" spans="1:40" x14ac:dyDescent="0.3">
      <c r="A610" s="101"/>
      <c r="B610" s="101"/>
      <c r="C610" s="101"/>
      <c r="D610" s="101"/>
      <c r="E610" s="101"/>
      <c r="F610" s="102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T610" s="101"/>
      <c r="U610" s="101"/>
      <c r="V610" s="101"/>
      <c r="W610" s="101"/>
      <c r="X610" s="101"/>
      <c r="Y610" s="101"/>
      <c r="Z610" s="101"/>
      <c r="AA610" s="101"/>
      <c r="AB610" s="101"/>
      <c r="AC610" s="101"/>
      <c r="AD610" s="101"/>
      <c r="AE610" s="101"/>
      <c r="AF610" s="101"/>
      <c r="AG610" s="191"/>
      <c r="AH610" s="101"/>
      <c r="AI610" s="101"/>
      <c r="AJ610" s="101"/>
      <c r="AK610" s="191"/>
      <c r="AL610" s="101"/>
      <c r="AM610" s="101"/>
      <c r="AN610" s="101"/>
    </row>
    <row r="611" spans="1:40" x14ac:dyDescent="0.3">
      <c r="F611" s="101"/>
      <c r="H611" s="102"/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Y611" s="102"/>
      <c r="Z611" s="102"/>
      <c r="AA611" s="102"/>
      <c r="AB611" s="102"/>
      <c r="AC611" s="102"/>
      <c r="AD611" s="102"/>
      <c r="AE611" s="102"/>
      <c r="AF611" s="102"/>
      <c r="AG611" s="151"/>
      <c r="AH611" s="102"/>
      <c r="AI611" s="102"/>
      <c r="AJ611" s="102"/>
      <c r="AK611" s="151"/>
      <c r="AL611" s="102"/>
      <c r="AM611" s="102"/>
      <c r="AN611" s="102"/>
    </row>
    <row r="612" spans="1:40" x14ac:dyDescent="0.3">
      <c r="C612" s="99"/>
      <c r="D612" s="99"/>
      <c r="E612" s="99"/>
      <c r="H612" s="110"/>
      <c r="I612" s="110"/>
      <c r="J612" s="198"/>
      <c r="K612" s="198"/>
      <c r="L612" s="110"/>
      <c r="M612" s="110"/>
      <c r="N612" s="198"/>
      <c r="O612" s="198"/>
      <c r="P612" s="110"/>
      <c r="Q612" s="110"/>
      <c r="R612" s="110"/>
      <c r="T612" s="99"/>
      <c r="U612" s="99"/>
      <c r="V612" s="110"/>
      <c r="Y612" s="110"/>
      <c r="Z612" s="198"/>
      <c r="AA612" s="110"/>
      <c r="AB612" s="110"/>
      <c r="AC612" s="198"/>
      <c r="AD612" s="198"/>
      <c r="AE612" s="110"/>
      <c r="AF612" s="110"/>
      <c r="AH612" s="207"/>
      <c r="AI612" s="110"/>
      <c r="AJ612" s="110"/>
      <c r="AL612" s="110"/>
      <c r="AM612" s="141"/>
      <c r="AN612" s="141"/>
    </row>
    <row r="613" spans="1:40" x14ac:dyDescent="0.3">
      <c r="F613" s="110"/>
      <c r="H613" s="192"/>
      <c r="I613" s="192"/>
      <c r="J613" s="217"/>
      <c r="K613" s="217"/>
      <c r="L613" s="192"/>
      <c r="M613" s="192"/>
      <c r="N613" s="192"/>
      <c r="O613" s="192"/>
      <c r="P613" s="192"/>
      <c r="Q613" s="192"/>
      <c r="R613" s="192"/>
      <c r="V613" s="192"/>
      <c r="Y613" s="192"/>
      <c r="Z613" s="217"/>
      <c r="AA613" s="192"/>
      <c r="AB613" s="192"/>
      <c r="AC613" s="192"/>
      <c r="AD613" s="192"/>
      <c r="AE613" s="192"/>
      <c r="AF613" s="192"/>
      <c r="AI613" s="192"/>
      <c r="AJ613" s="192"/>
      <c r="AK613" s="194"/>
      <c r="AL613" s="192"/>
      <c r="AM613" s="141"/>
      <c r="AN613" s="141"/>
    </row>
    <row r="614" spans="1:40" x14ac:dyDescent="0.3">
      <c r="C614" s="99"/>
      <c r="F614" s="192"/>
      <c r="H614" s="110"/>
      <c r="I614" s="110"/>
      <c r="J614" s="198"/>
      <c r="K614" s="198"/>
      <c r="L614" s="110"/>
      <c r="M614" s="110"/>
      <c r="N614" s="198"/>
      <c r="O614" s="198"/>
      <c r="P614" s="110"/>
      <c r="Q614" s="110"/>
      <c r="R614" s="110"/>
      <c r="T614" s="99"/>
      <c r="V614" s="110"/>
      <c r="Y614" s="110"/>
      <c r="Z614" s="198"/>
      <c r="AA614" s="110"/>
      <c r="AB614" s="110"/>
      <c r="AC614" s="198"/>
      <c r="AD614" s="198"/>
      <c r="AE614" s="110"/>
      <c r="AF614" s="110"/>
      <c r="AH614" s="207"/>
      <c r="AI614" s="110"/>
      <c r="AJ614" s="110"/>
      <c r="AL614" s="110"/>
      <c r="AM614" s="141"/>
      <c r="AN614" s="141"/>
    </row>
    <row r="615" spans="1:40" x14ac:dyDescent="0.3">
      <c r="F615" s="110"/>
      <c r="H615" s="110"/>
      <c r="I615" s="110"/>
      <c r="J615" s="198"/>
      <c r="K615" s="198"/>
      <c r="L615" s="110"/>
      <c r="M615" s="110"/>
      <c r="N615" s="198"/>
      <c r="O615" s="198"/>
      <c r="P615" s="110"/>
      <c r="Q615" s="110"/>
      <c r="R615" s="110"/>
      <c r="V615" s="110"/>
      <c r="Y615" s="110"/>
      <c r="Z615" s="198"/>
      <c r="AA615" s="110"/>
      <c r="AB615" s="110"/>
      <c r="AC615" s="198"/>
      <c r="AD615" s="198"/>
      <c r="AH615" s="207"/>
      <c r="AI615" s="110"/>
      <c r="AJ615" s="110"/>
      <c r="AL615" s="110"/>
      <c r="AM615" s="141"/>
      <c r="AN615" s="141"/>
    </row>
    <row r="616" spans="1:40" x14ac:dyDescent="0.3">
      <c r="C616" s="99"/>
      <c r="D616" s="99"/>
      <c r="E616" s="99"/>
      <c r="F616" s="110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U616" s="99"/>
      <c r="V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1:40" x14ac:dyDescent="0.3">
      <c r="C617" s="99"/>
      <c r="D617" s="99"/>
      <c r="E617" s="99"/>
      <c r="F617" s="110"/>
      <c r="H617" s="110"/>
      <c r="I617" s="110"/>
      <c r="J617" s="198"/>
      <c r="K617" s="198"/>
      <c r="L617" s="110"/>
      <c r="M617" s="110"/>
      <c r="N617" s="198"/>
      <c r="O617" s="198"/>
      <c r="P617" s="110"/>
      <c r="Q617" s="110"/>
      <c r="R617" s="110"/>
      <c r="T617" s="99"/>
      <c r="U617" s="99"/>
      <c r="V617" s="110"/>
      <c r="Y617" s="110"/>
      <c r="Z617" s="198"/>
      <c r="AA617" s="110"/>
      <c r="AB617" s="110"/>
      <c r="AC617" s="198"/>
      <c r="AD617" s="198"/>
      <c r="AE617" s="110"/>
      <c r="AF617" s="110"/>
      <c r="AH617" s="207"/>
      <c r="AI617" s="110"/>
      <c r="AJ617" s="110"/>
      <c r="AL617" s="110"/>
      <c r="AM617" s="141"/>
      <c r="AN617" s="141"/>
    </row>
    <row r="618" spans="1:40" x14ac:dyDescent="0.3">
      <c r="C618" s="99"/>
      <c r="D618" s="99"/>
      <c r="E618" s="99"/>
      <c r="F618" s="110"/>
      <c r="H618" s="110"/>
      <c r="I618" s="110"/>
      <c r="J618" s="198"/>
      <c r="K618" s="198"/>
      <c r="L618" s="110"/>
      <c r="M618" s="110"/>
      <c r="N618" s="198"/>
      <c r="O618" s="198"/>
      <c r="P618" s="110"/>
      <c r="Q618" s="110"/>
      <c r="R618" s="110"/>
      <c r="T618" s="99"/>
      <c r="U618" s="99"/>
      <c r="V618" s="110"/>
      <c r="Y618" s="110"/>
      <c r="Z618" s="198"/>
      <c r="AA618" s="110"/>
      <c r="AB618" s="110"/>
      <c r="AC618" s="198"/>
      <c r="AD618" s="198"/>
      <c r="AE618" s="110"/>
      <c r="AF618" s="110"/>
      <c r="AH618" s="207"/>
      <c r="AI618" s="110"/>
      <c r="AJ618" s="110"/>
      <c r="AL618" s="110"/>
      <c r="AM618" s="141"/>
      <c r="AN618" s="141"/>
    </row>
    <row r="619" spans="1:40" x14ac:dyDescent="0.3">
      <c r="C619" s="99"/>
      <c r="D619" s="99"/>
      <c r="E619" s="99"/>
      <c r="F619" s="110"/>
      <c r="H619" s="110"/>
      <c r="I619" s="110"/>
      <c r="J619" s="198"/>
      <c r="K619" s="198"/>
      <c r="L619" s="110"/>
      <c r="M619" s="110"/>
      <c r="N619" s="198"/>
      <c r="O619" s="198"/>
      <c r="P619" s="110"/>
      <c r="Q619" s="110"/>
      <c r="R619" s="110"/>
      <c r="T619" s="99"/>
      <c r="U619" s="99"/>
      <c r="V619" s="110"/>
      <c r="Y619" s="110"/>
      <c r="Z619" s="198"/>
      <c r="AA619" s="110"/>
      <c r="AB619" s="110"/>
      <c r="AC619" s="198"/>
      <c r="AD619" s="198"/>
      <c r="AE619" s="110"/>
      <c r="AF619" s="110"/>
      <c r="AH619" s="207"/>
      <c r="AI619" s="110"/>
      <c r="AJ619" s="110"/>
      <c r="AL619" s="110"/>
      <c r="AM619" s="141"/>
      <c r="AN619" s="141"/>
    </row>
    <row r="620" spans="1:40" x14ac:dyDescent="0.3">
      <c r="C620" s="99"/>
      <c r="D620" s="99"/>
      <c r="E620" s="99"/>
      <c r="F620" s="110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U620" s="99"/>
      <c r="V620" s="110"/>
      <c r="Y620" s="110"/>
      <c r="Z620" s="198"/>
      <c r="AA620" s="110"/>
      <c r="AB620" s="110"/>
      <c r="AC620" s="198"/>
      <c r="AD620" s="198"/>
      <c r="AE620" s="110"/>
      <c r="AF620" s="110"/>
      <c r="AH620" s="207"/>
      <c r="AI620" s="110"/>
      <c r="AJ620" s="110"/>
      <c r="AL620" s="110"/>
      <c r="AM620" s="141"/>
      <c r="AN620" s="141"/>
    </row>
    <row r="621" spans="1:40" x14ac:dyDescent="0.3">
      <c r="C621" s="99"/>
      <c r="D621" s="99"/>
      <c r="E621" s="99"/>
      <c r="F621" s="110"/>
      <c r="H621" s="110"/>
      <c r="I621" s="110"/>
      <c r="J621" s="198"/>
      <c r="K621" s="198"/>
      <c r="L621" s="110"/>
      <c r="M621" s="110"/>
      <c r="N621" s="198"/>
      <c r="O621" s="198"/>
      <c r="P621" s="110"/>
      <c r="Q621" s="110"/>
      <c r="R621" s="110"/>
      <c r="T621" s="99"/>
      <c r="U621" s="99"/>
      <c r="V621" s="110"/>
      <c r="Y621" s="110"/>
      <c r="Z621" s="198"/>
      <c r="AA621" s="110"/>
      <c r="AB621" s="110"/>
      <c r="AC621" s="198"/>
      <c r="AD621" s="198"/>
      <c r="AE621" s="110"/>
      <c r="AF621" s="110"/>
      <c r="AH621" s="207"/>
      <c r="AI621" s="110"/>
      <c r="AJ621" s="110"/>
      <c r="AL621" s="110"/>
      <c r="AM621" s="141"/>
      <c r="AN621" s="141"/>
    </row>
    <row r="622" spans="1:40" x14ac:dyDescent="0.3">
      <c r="F622" s="110"/>
      <c r="H622" s="192"/>
      <c r="I622" s="192"/>
      <c r="J622" s="217"/>
      <c r="K622" s="217"/>
      <c r="L622" s="192"/>
      <c r="M622" s="192"/>
      <c r="N622" s="192"/>
      <c r="O622" s="192"/>
      <c r="P622" s="192"/>
      <c r="Q622" s="192"/>
      <c r="R622" s="192"/>
      <c r="V622" s="192"/>
      <c r="Y622" s="192"/>
      <c r="Z622" s="217"/>
      <c r="AA622" s="192"/>
      <c r="AB622" s="192"/>
      <c r="AC622" s="192"/>
      <c r="AD622" s="192"/>
      <c r="AE622" s="192"/>
      <c r="AF622" s="192"/>
      <c r="AI622" s="192"/>
      <c r="AJ622" s="192"/>
      <c r="AK622" s="194"/>
      <c r="AL622" s="192"/>
      <c r="AM622" s="141"/>
      <c r="AN622" s="141"/>
    </row>
    <row r="623" spans="1:40" x14ac:dyDescent="0.3">
      <c r="C623" s="99"/>
      <c r="F623" s="192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T623" s="99"/>
      <c r="V623" s="110"/>
      <c r="Y623" s="110"/>
      <c r="Z623" s="198"/>
      <c r="AA623" s="110"/>
      <c r="AB623" s="110"/>
      <c r="AC623" s="198"/>
      <c r="AD623" s="198"/>
      <c r="AE623" s="110"/>
      <c r="AF623" s="110"/>
      <c r="AH623" s="207"/>
      <c r="AI623" s="110"/>
      <c r="AJ623" s="110"/>
      <c r="AL623" s="110"/>
      <c r="AM623" s="141"/>
      <c r="AN623" s="141"/>
    </row>
    <row r="624" spans="1:40" x14ac:dyDescent="0.3">
      <c r="F624" s="110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V624" s="110"/>
      <c r="Y624" s="110"/>
      <c r="Z624" s="198"/>
      <c r="AA624" s="110"/>
      <c r="AB624" s="110"/>
      <c r="AC624" s="198"/>
      <c r="AD624" s="198"/>
      <c r="AH624" s="207"/>
      <c r="AI624" s="110"/>
      <c r="AJ624" s="110"/>
      <c r="AL624" s="110"/>
      <c r="AM624" s="141"/>
      <c r="AN624" s="141"/>
    </row>
    <row r="625" spans="3:40" x14ac:dyDescent="0.3">
      <c r="C625" s="99"/>
      <c r="D625" s="99"/>
      <c r="E625" s="99"/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T625" s="99"/>
      <c r="U625" s="99"/>
      <c r="V625" s="110"/>
      <c r="Y625" s="110"/>
      <c r="Z625" s="198"/>
      <c r="AA625" s="110"/>
      <c r="AB625" s="110"/>
      <c r="AC625" s="198"/>
      <c r="AD625" s="198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F626" s="110"/>
      <c r="H626" s="192"/>
      <c r="I626" s="192"/>
      <c r="J626" s="217"/>
      <c r="K626" s="217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  <c r="AM626" s="141"/>
      <c r="AN626" s="141"/>
    </row>
    <row r="627" spans="3:40" x14ac:dyDescent="0.3">
      <c r="C627" s="99"/>
      <c r="F627" s="192"/>
      <c r="H627" s="110"/>
      <c r="I627" s="110"/>
      <c r="J627" s="198"/>
      <c r="K627" s="198"/>
      <c r="L627" s="110"/>
      <c r="M627" s="110"/>
      <c r="N627" s="198"/>
      <c r="O627" s="198"/>
      <c r="P627" s="110"/>
      <c r="Q627" s="110"/>
      <c r="R627" s="110"/>
      <c r="T627" s="99"/>
      <c r="V627" s="110"/>
      <c r="Y627" s="110"/>
      <c r="Z627" s="198"/>
      <c r="AA627" s="110"/>
      <c r="AB627" s="110"/>
      <c r="AC627" s="198"/>
      <c r="AD627" s="198"/>
      <c r="AE627" s="110"/>
      <c r="AF627" s="110"/>
      <c r="AH627" s="207"/>
      <c r="AI627" s="110"/>
      <c r="AJ627" s="110"/>
      <c r="AL627" s="110"/>
      <c r="AM627" s="141"/>
      <c r="AN627" s="141"/>
    </row>
    <row r="628" spans="3:40" x14ac:dyDescent="0.3"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V628" s="110"/>
      <c r="Y628" s="110"/>
      <c r="Z628" s="198"/>
      <c r="AA628" s="110"/>
      <c r="AB628" s="110"/>
      <c r="AC628" s="198"/>
      <c r="AD628" s="198"/>
      <c r="AH628" s="207"/>
      <c r="AI628" s="110"/>
      <c r="AJ628" s="110"/>
      <c r="AL628" s="110"/>
      <c r="AM628" s="141"/>
      <c r="AN628" s="141"/>
    </row>
    <row r="629" spans="3:40" x14ac:dyDescent="0.3">
      <c r="C629" s="99"/>
      <c r="D629" s="99"/>
      <c r="E629" s="99"/>
      <c r="F629" s="110"/>
      <c r="H629" s="110"/>
      <c r="I629" s="110"/>
      <c r="J629" s="198"/>
      <c r="K629" s="198"/>
      <c r="L629" s="110"/>
      <c r="M629" s="110"/>
      <c r="N629" s="198"/>
      <c r="O629" s="198"/>
      <c r="P629" s="110"/>
      <c r="Q629" s="110"/>
      <c r="R629" s="110"/>
      <c r="T629" s="99"/>
      <c r="U629" s="99"/>
      <c r="V629" s="110"/>
      <c r="Y629" s="110"/>
      <c r="Z629" s="198"/>
      <c r="AA629" s="110"/>
      <c r="AB629" s="110"/>
      <c r="AC629" s="198"/>
      <c r="AD629" s="198"/>
      <c r="AE629" s="110"/>
      <c r="AF629" s="110"/>
      <c r="AH629" s="207"/>
      <c r="AI629" s="110"/>
      <c r="AJ629" s="110"/>
      <c r="AL629" s="110"/>
      <c r="AM629" s="141"/>
      <c r="AN629" s="141"/>
    </row>
    <row r="630" spans="3:40" x14ac:dyDescent="0.3">
      <c r="C630" s="99"/>
      <c r="D630" s="99"/>
      <c r="E630" s="99"/>
      <c r="F630" s="110"/>
      <c r="G630" s="110"/>
      <c r="H630" s="110"/>
      <c r="I630" s="110"/>
      <c r="J630" s="198"/>
      <c r="K630" s="198"/>
      <c r="L630" s="110"/>
      <c r="M630" s="110"/>
      <c r="N630" s="198"/>
      <c r="O630" s="198"/>
      <c r="P630" s="110"/>
      <c r="Q630" s="110"/>
      <c r="R630" s="110"/>
      <c r="T630" s="99"/>
      <c r="U630" s="99"/>
      <c r="V630" s="110"/>
      <c r="W630" s="110"/>
      <c r="X630" s="110"/>
      <c r="Y630" s="110"/>
      <c r="Z630" s="198"/>
      <c r="AA630" s="110"/>
      <c r="AB630" s="110"/>
      <c r="AC630" s="198"/>
      <c r="AD630" s="198"/>
      <c r="AE630" s="110"/>
      <c r="AF630" s="110"/>
      <c r="AH630" s="207"/>
      <c r="AI630" s="110"/>
      <c r="AJ630" s="110"/>
      <c r="AL630" s="110"/>
      <c r="AM630" s="141"/>
      <c r="AN630" s="141"/>
    </row>
    <row r="631" spans="3:40" x14ac:dyDescent="0.3">
      <c r="C631" s="99"/>
      <c r="D631" s="99"/>
      <c r="E631" s="99"/>
      <c r="F631" s="110"/>
      <c r="G631" s="110"/>
      <c r="H631" s="110"/>
      <c r="I631" s="110"/>
      <c r="J631" s="198"/>
      <c r="K631" s="198"/>
      <c r="L631" s="110"/>
      <c r="M631" s="110"/>
      <c r="N631" s="198"/>
      <c r="O631" s="198"/>
      <c r="P631" s="110"/>
      <c r="Q631" s="110"/>
      <c r="R631" s="110"/>
      <c r="T631" s="99"/>
      <c r="U631" s="99"/>
      <c r="V631" s="110"/>
      <c r="W631" s="110"/>
      <c r="X631" s="110"/>
      <c r="Y631" s="110"/>
      <c r="Z631" s="198"/>
      <c r="AA631" s="110"/>
      <c r="AB631" s="110"/>
      <c r="AC631" s="198"/>
      <c r="AD631" s="198"/>
      <c r="AE631" s="110"/>
      <c r="AF631" s="110"/>
      <c r="AH631" s="207"/>
      <c r="AI631" s="110"/>
      <c r="AJ631" s="110"/>
      <c r="AL631" s="110"/>
      <c r="AM631" s="141"/>
      <c r="AN631" s="141"/>
    </row>
    <row r="632" spans="3:40" x14ac:dyDescent="0.3">
      <c r="C632" s="99"/>
      <c r="D632" s="99"/>
      <c r="E632" s="99"/>
      <c r="F632" s="110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T632" s="99"/>
      <c r="U632" s="99"/>
      <c r="V632" s="110"/>
      <c r="Y632" s="110"/>
      <c r="Z632" s="198"/>
      <c r="AA632" s="110"/>
      <c r="AB632" s="110"/>
      <c r="AC632" s="198"/>
      <c r="AD632" s="198"/>
      <c r="AE632" s="110"/>
      <c r="AF632" s="110"/>
      <c r="AH632" s="207"/>
      <c r="AI632" s="110"/>
      <c r="AJ632" s="110"/>
      <c r="AL632" s="110"/>
      <c r="AM632" s="141"/>
      <c r="AN632" s="141"/>
    </row>
    <row r="633" spans="3:40" x14ac:dyDescent="0.3">
      <c r="C633" s="99"/>
      <c r="D633" s="99"/>
      <c r="E633" s="99"/>
      <c r="F633" s="110"/>
      <c r="H633" s="110"/>
      <c r="I633" s="110"/>
      <c r="J633" s="198"/>
      <c r="K633" s="198"/>
      <c r="L633" s="110"/>
      <c r="M633" s="110"/>
      <c r="N633" s="198"/>
      <c r="O633" s="198"/>
      <c r="P633" s="110"/>
      <c r="Q633" s="110"/>
      <c r="R633" s="110"/>
      <c r="T633" s="99"/>
      <c r="U633" s="99"/>
      <c r="V633" s="110"/>
      <c r="Y633" s="110"/>
      <c r="Z633" s="198"/>
      <c r="AA633" s="110"/>
      <c r="AB633" s="110"/>
      <c r="AC633" s="198"/>
      <c r="AD633" s="198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C634" s="99"/>
      <c r="D634" s="99"/>
      <c r="E634" s="99"/>
      <c r="F634" s="110"/>
      <c r="H634" s="110"/>
      <c r="I634" s="110"/>
      <c r="J634" s="198"/>
      <c r="K634" s="198"/>
      <c r="L634" s="110"/>
      <c r="M634" s="110"/>
      <c r="N634" s="198"/>
      <c r="O634" s="198"/>
      <c r="P634" s="110"/>
      <c r="Q634" s="110"/>
      <c r="R634" s="110"/>
      <c r="T634" s="99"/>
      <c r="U634" s="99"/>
      <c r="V634" s="110"/>
      <c r="Y634" s="110"/>
      <c r="Z634" s="198"/>
      <c r="AA634" s="110"/>
      <c r="AB634" s="110"/>
      <c r="AC634" s="198"/>
      <c r="AD634" s="198"/>
      <c r="AE634" s="110"/>
      <c r="AF634" s="110"/>
      <c r="AH634" s="207"/>
      <c r="AI634" s="110"/>
      <c r="AJ634" s="110"/>
      <c r="AL634" s="110"/>
      <c r="AM634" s="141"/>
      <c r="AN634" s="141"/>
    </row>
    <row r="635" spans="3:40" x14ac:dyDescent="0.3">
      <c r="C635" s="99"/>
      <c r="D635" s="99"/>
      <c r="E635" s="99"/>
      <c r="F635" s="110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T635" s="99"/>
      <c r="U635" s="99"/>
      <c r="V635" s="110"/>
      <c r="Y635" s="110"/>
      <c r="Z635" s="198"/>
      <c r="AA635" s="110"/>
      <c r="AB635" s="110"/>
      <c r="AC635" s="198"/>
      <c r="AD635" s="198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F636" s="110"/>
      <c r="H636" s="192"/>
      <c r="I636" s="192"/>
      <c r="J636" s="217"/>
      <c r="K636" s="217"/>
      <c r="L636" s="192"/>
      <c r="M636" s="192"/>
      <c r="N636" s="192"/>
      <c r="O636" s="192"/>
      <c r="P636" s="192"/>
      <c r="Q636" s="192"/>
      <c r="R636" s="192"/>
      <c r="V636" s="192"/>
      <c r="Y636" s="192"/>
      <c r="Z636" s="217"/>
      <c r="AA636" s="192"/>
      <c r="AB636" s="192"/>
      <c r="AC636" s="192"/>
      <c r="AD636" s="192"/>
      <c r="AE636" s="192"/>
      <c r="AF636" s="192"/>
      <c r="AI636" s="192"/>
      <c r="AJ636" s="192"/>
      <c r="AK636" s="194"/>
      <c r="AL636" s="192"/>
      <c r="AM636" s="141"/>
      <c r="AN636" s="141"/>
    </row>
    <row r="637" spans="3:40" x14ac:dyDescent="0.3">
      <c r="C637" s="99"/>
      <c r="F637" s="192"/>
      <c r="H637" s="110"/>
      <c r="I637" s="110"/>
      <c r="J637" s="198"/>
      <c r="K637" s="198"/>
      <c r="L637" s="110"/>
      <c r="M637" s="110"/>
      <c r="N637" s="198"/>
      <c r="O637" s="198"/>
      <c r="P637" s="110"/>
      <c r="Q637" s="110"/>
      <c r="R637" s="110"/>
      <c r="T637" s="99"/>
      <c r="V637" s="110"/>
      <c r="Y637" s="110"/>
      <c r="Z637" s="198"/>
      <c r="AA637" s="110"/>
      <c r="AB637" s="110"/>
      <c r="AC637" s="198"/>
      <c r="AD637" s="198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F638" s="110"/>
      <c r="V638" s="110"/>
      <c r="Y638" s="110"/>
      <c r="Z638" s="217"/>
      <c r="AA638" s="110"/>
      <c r="AB638" s="110"/>
      <c r="AC638" s="110"/>
      <c r="AD638" s="110"/>
      <c r="AE638" s="110"/>
      <c r="AF638" s="110"/>
      <c r="AI638" s="110"/>
      <c r="AJ638" s="110"/>
      <c r="AL638" s="110"/>
      <c r="AM638" s="141"/>
      <c r="AN638" s="141"/>
    </row>
    <row r="639" spans="3:40" x14ac:dyDescent="0.3">
      <c r="C639" s="99"/>
      <c r="D639" s="99"/>
      <c r="E639" s="99"/>
      <c r="L639" s="110"/>
      <c r="M639" s="110"/>
      <c r="N639" s="198"/>
      <c r="O639" s="198"/>
      <c r="R639" s="110"/>
      <c r="T639" s="99"/>
      <c r="U639" s="99"/>
      <c r="AA639" s="110"/>
      <c r="AB639" s="110"/>
      <c r="AC639" s="198"/>
      <c r="AD639" s="198"/>
      <c r="AE639" s="110"/>
      <c r="AF639" s="110"/>
      <c r="AH639" s="207"/>
      <c r="AL639" s="110"/>
      <c r="AM639" s="141"/>
      <c r="AN639" s="141"/>
    </row>
    <row r="640" spans="3:40" x14ac:dyDescent="0.3">
      <c r="D640" s="99"/>
      <c r="E640" s="99"/>
      <c r="H640" s="172"/>
      <c r="I640" s="172"/>
      <c r="J640" s="198"/>
      <c r="K640" s="198"/>
      <c r="L640" s="110"/>
      <c r="M640" s="110"/>
      <c r="N640" s="198"/>
      <c r="O640" s="198"/>
      <c r="P640" s="172"/>
      <c r="Q640" s="172"/>
      <c r="R640" s="110"/>
      <c r="U640" s="99"/>
      <c r="V640" s="110"/>
      <c r="Y640" s="110"/>
      <c r="Z640" s="198"/>
      <c r="AA640" s="110"/>
      <c r="AB640" s="110"/>
      <c r="AC640" s="198"/>
      <c r="AD640" s="198"/>
      <c r="AE640" s="110"/>
      <c r="AF640" s="110"/>
      <c r="AH640" s="207"/>
      <c r="AI640" s="110"/>
      <c r="AJ640" s="110"/>
      <c r="AL640" s="110"/>
      <c r="AM640" s="141"/>
      <c r="AN640" s="141"/>
    </row>
    <row r="641" spans="1:40" x14ac:dyDescent="0.3">
      <c r="F641" s="172"/>
      <c r="H641" s="192"/>
      <c r="I641" s="192"/>
      <c r="J641" s="217"/>
      <c r="K641" s="217"/>
      <c r="L641" s="192"/>
      <c r="M641" s="192"/>
      <c r="N641" s="192"/>
      <c r="O641" s="192"/>
      <c r="P641" s="192"/>
      <c r="Q641" s="192"/>
      <c r="R641" s="192"/>
      <c r="V641" s="192"/>
      <c r="Y641" s="192"/>
      <c r="Z641" s="217"/>
      <c r="AA641" s="192"/>
      <c r="AB641" s="192"/>
      <c r="AC641" s="192"/>
      <c r="AD641" s="192"/>
      <c r="AE641" s="192"/>
      <c r="AF641" s="192"/>
      <c r="AI641" s="192"/>
      <c r="AJ641" s="192"/>
      <c r="AK641" s="194"/>
      <c r="AL641" s="192"/>
      <c r="AM641" s="141"/>
      <c r="AN641" s="141"/>
    </row>
    <row r="642" spans="1:40" x14ac:dyDescent="0.3">
      <c r="C642" s="99"/>
      <c r="F642" s="192"/>
      <c r="H642" s="110"/>
      <c r="I642" s="110"/>
      <c r="J642" s="198"/>
      <c r="K642" s="198"/>
      <c r="L642" s="110"/>
      <c r="M642" s="110"/>
      <c r="N642" s="198"/>
      <c r="O642" s="198"/>
      <c r="P642" s="110"/>
      <c r="Q642" s="110"/>
      <c r="R642" s="110"/>
      <c r="T642" s="99"/>
      <c r="V642" s="110"/>
      <c r="Y642" s="110"/>
      <c r="Z642" s="198"/>
      <c r="AA642" s="110"/>
      <c r="AB642" s="110"/>
      <c r="AC642" s="198"/>
      <c r="AD642" s="198"/>
      <c r="AE642" s="110"/>
      <c r="AF642" s="110"/>
      <c r="AH642" s="207"/>
      <c r="AI642" s="110"/>
      <c r="AJ642" s="110"/>
      <c r="AL642" s="110"/>
      <c r="AM642" s="141"/>
      <c r="AN642" s="141"/>
    </row>
    <row r="643" spans="1:40" x14ac:dyDescent="0.3">
      <c r="F643" s="110"/>
      <c r="H643" s="110"/>
      <c r="I643" s="110"/>
      <c r="J643" s="198"/>
      <c r="K643" s="198"/>
      <c r="L643" s="110"/>
      <c r="M643" s="110"/>
      <c r="N643" s="198"/>
      <c r="O643" s="198"/>
      <c r="P643" s="110"/>
      <c r="Q643" s="110"/>
      <c r="R643" s="110"/>
      <c r="V643" s="110"/>
      <c r="Y643" s="110"/>
      <c r="Z643" s="198"/>
      <c r="AA643" s="110"/>
      <c r="AB643" s="110"/>
      <c r="AC643" s="198"/>
      <c r="AD643" s="198"/>
      <c r="AH643" s="207"/>
      <c r="AI643" s="110"/>
      <c r="AJ643" s="110"/>
      <c r="AL643" s="110"/>
      <c r="AM643" s="141"/>
      <c r="AN643" s="141"/>
    </row>
    <row r="644" spans="1:40" x14ac:dyDescent="0.3">
      <c r="D644" s="99"/>
      <c r="E644" s="99"/>
      <c r="F644" s="110"/>
      <c r="H644" s="110"/>
      <c r="I644" s="110"/>
      <c r="J644" s="198"/>
      <c r="K644" s="198"/>
      <c r="L644" s="172"/>
      <c r="M644" s="172"/>
      <c r="N644" s="198"/>
      <c r="O644" s="198"/>
      <c r="P644" s="110"/>
      <c r="Q644" s="110"/>
      <c r="R644" s="110"/>
      <c r="U644" s="99"/>
      <c r="V644" s="110"/>
      <c r="Y644" s="110"/>
      <c r="Z644" s="198"/>
      <c r="AA644" s="172"/>
      <c r="AB644" s="172"/>
      <c r="AC644" s="198"/>
      <c r="AD644" s="198"/>
      <c r="AE644" s="110"/>
      <c r="AF644" s="110"/>
      <c r="AH644" s="207"/>
      <c r="AI644" s="110"/>
      <c r="AJ644" s="110"/>
      <c r="AL644" s="110"/>
      <c r="AM644" s="141"/>
      <c r="AN644" s="141"/>
    </row>
    <row r="645" spans="1:40" x14ac:dyDescent="0.3">
      <c r="D645" s="99"/>
      <c r="E645" s="99"/>
      <c r="F645" s="110"/>
      <c r="H645" s="110"/>
      <c r="I645" s="110"/>
      <c r="J645" s="198"/>
      <c r="K645" s="198"/>
      <c r="L645" s="172"/>
      <c r="M645" s="172"/>
      <c r="N645" s="198"/>
      <c r="O645" s="198"/>
      <c r="P645" s="110"/>
      <c r="Q645" s="110"/>
      <c r="R645" s="110"/>
      <c r="U645" s="99"/>
      <c r="V645" s="110"/>
      <c r="Y645" s="110"/>
      <c r="Z645" s="198"/>
      <c r="AA645" s="172"/>
      <c r="AB645" s="172"/>
      <c r="AC645" s="198"/>
      <c r="AD645" s="198"/>
      <c r="AE645" s="110"/>
      <c r="AF645" s="110"/>
      <c r="AH645" s="207"/>
      <c r="AI645" s="110"/>
      <c r="AJ645" s="110"/>
      <c r="AL645" s="110"/>
      <c r="AM645" s="141"/>
      <c r="AN645" s="141"/>
    </row>
    <row r="646" spans="1:40" x14ac:dyDescent="0.3">
      <c r="D646" s="99"/>
      <c r="E646" s="99"/>
      <c r="F646" s="110"/>
      <c r="H646" s="110"/>
      <c r="I646" s="110"/>
      <c r="J646" s="198"/>
      <c r="K646" s="198"/>
      <c r="L646" s="172"/>
      <c r="M646" s="172"/>
      <c r="N646" s="198"/>
      <c r="O646" s="198"/>
      <c r="P646" s="110"/>
      <c r="Q646" s="110"/>
      <c r="R646" s="110"/>
      <c r="U646" s="99"/>
      <c r="V646" s="110"/>
      <c r="Y646" s="110"/>
      <c r="Z646" s="198"/>
      <c r="AA646" s="172"/>
      <c r="AB646" s="172"/>
      <c r="AC646" s="198"/>
      <c r="AD646" s="198"/>
      <c r="AE646" s="110"/>
      <c r="AF646" s="110"/>
      <c r="AH646" s="207"/>
      <c r="AI646" s="110"/>
      <c r="AJ646" s="110"/>
      <c r="AL646" s="110"/>
      <c r="AM646" s="141"/>
      <c r="AN646" s="141"/>
    </row>
    <row r="647" spans="1:40" x14ac:dyDescent="0.3">
      <c r="F647" s="110"/>
      <c r="H647" s="192"/>
      <c r="I647" s="192"/>
      <c r="J647" s="217"/>
      <c r="K647" s="217"/>
      <c r="L647" s="192"/>
      <c r="M647" s="192"/>
      <c r="N647" s="192"/>
      <c r="O647" s="192"/>
      <c r="P647" s="192"/>
      <c r="Q647" s="192"/>
      <c r="R647" s="192"/>
      <c r="V647" s="192"/>
      <c r="Y647" s="192"/>
      <c r="Z647" s="217"/>
      <c r="AA647" s="192"/>
      <c r="AB647" s="192"/>
      <c r="AC647" s="192"/>
      <c r="AD647" s="192"/>
      <c r="AE647" s="192"/>
      <c r="AF647" s="192"/>
      <c r="AI647" s="192"/>
      <c r="AJ647" s="192"/>
      <c r="AK647" s="194"/>
      <c r="AL647" s="192"/>
      <c r="AM647" s="141"/>
      <c r="AN647" s="141"/>
    </row>
    <row r="648" spans="1:40" x14ac:dyDescent="0.3">
      <c r="C648" s="99"/>
      <c r="F648" s="192"/>
      <c r="H648" s="110"/>
      <c r="I648" s="110"/>
      <c r="J648" s="198"/>
      <c r="K648" s="198"/>
      <c r="L648" s="110"/>
      <c r="M648" s="110"/>
      <c r="N648" s="198"/>
      <c r="O648" s="198"/>
      <c r="P648" s="110"/>
      <c r="Q648" s="110"/>
      <c r="R648" s="110"/>
      <c r="T648" s="99"/>
      <c r="V648" s="110"/>
      <c r="Y648" s="110"/>
      <c r="Z648" s="198"/>
      <c r="AA648" s="110"/>
      <c r="AB648" s="110"/>
      <c r="AC648" s="198"/>
      <c r="AD648" s="198"/>
      <c r="AE648" s="110"/>
      <c r="AF648" s="110"/>
      <c r="AH648" s="207"/>
      <c r="AI648" s="110"/>
      <c r="AJ648" s="110"/>
      <c r="AL648" s="110"/>
      <c r="AM648" s="141"/>
      <c r="AN648" s="141"/>
    </row>
    <row r="649" spans="1:40" x14ac:dyDescent="0.3">
      <c r="F649" s="110"/>
      <c r="H649" s="110"/>
      <c r="I649" s="110"/>
      <c r="J649" s="198"/>
      <c r="K649" s="198"/>
      <c r="L649" s="110"/>
      <c r="M649" s="110"/>
      <c r="N649" s="198"/>
      <c r="O649" s="198"/>
      <c r="P649" s="110"/>
      <c r="Q649" s="110"/>
      <c r="R649" s="110"/>
      <c r="V649" s="110"/>
      <c r="Y649" s="110"/>
      <c r="Z649" s="198"/>
      <c r="AA649" s="110"/>
      <c r="AB649" s="110"/>
      <c r="AC649" s="198"/>
      <c r="AD649" s="198"/>
      <c r="AH649" s="207"/>
      <c r="AI649" s="110"/>
      <c r="AJ649" s="110"/>
      <c r="AL649" s="110"/>
      <c r="AM649" s="141"/>
      <c r="AN649" s="141"/>
    </row>
    <row r="650" spans="1:40" x14ac:dyDescent="0.3">
      <c r="C650" s="99"/>
      <c r="F650" s="110"/>
      <c r="H650" s="110"/>
      <c r="I650" s="110"/>
      <c r="J650" s="198"/>
      <c r="K650" s="198"/>
      <c r="L650" s="110"/>
      <c r="M650" s="110"/>
      <c r="N650" s="198"/>
      <c r="O650" s="198"/>
      <c r="P650" s="110"/>
      <c r="Q650" s="110"/>
      <c r="R650" s="110"/>
      <c r="T650" s="99"/>
      <c r="V650" s="110"/>
      <c r="Y650" s="110"/>
      <c r="Z650" s="198"/>
      <c r="AA650" s="110"/>
      <c r="AB650" s="110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1:40" x14ac:dyDescent="0.3">
      <c r="F651" s="110"/>
      <c r="H651" s="192"/>
      <c r="I651" s="192"/>
      <c r="J651" s="217"/>
      <c r="K651" s="217"/>
      <c r="L651" s="192"/>
      <c r="M651" s="192"/>
      <c r="N651" s="192"/>
      <c r="O651" s="192"/>
      <c r="P651" s="192"/>
      <c r="Q651" s="192"/>
      <c r="R651" s="192"/>
      <c r="V651" s="192"/>
      <c r="Y651" s="192"/>
      <c r="Z651" s="217"/>
      <c r="AA651" s="192"/>
      <c r="AB651" s="192"/>
      <c r="AC651" s="192"/>
      <c r="AD651" s="192"/>
      <c r="AE651" s="192"/>
      <c r="AF651" s="192"/>
      <c r="AI651" s="192"/>
      <c r="AJ651" s="192"/>
      <c r="AK651" s="194"/>
      <c r="AL651" s="192"/>
    </row>
    <row r="653" spans="1:40" x14ac:dyDescent="0.3">
      <c r="C653" s="99"/>
      <c r="F653" s="192"/>
      <c r="L653" s="110"/>
      <c r="M653" s="110"/>
      <c r="P653" s="110"/>
      <c r="Q653" s="110"/>
      <c r="R653" s="110"/>
      <c r="T653" s="99"/>
    </row>
    <row r="654" spans="1:40" x14ac:dyDescent="0.3">
      <c r="A654" s="99"/>
      <c r="L654" s="110"/>
      <c r="M654" s="110"/>
      <c r="P654" s="110"/>
      <c r="Q654" s="110"/>
      <c r="R654" s="110"/>
    </row>
    <row r="655" spans="1:40" x14ac:dyDescent="0.3">
      <c r="L655" s="110"/>
      <c r="M655" s="110"/>
      <c r="P655" s="110"/>
      <c r="Q655" s="110"/>
      <c r="R655" s="110"/>
    </row>
    <row r="656" spans="1:40" x14ac:dyDescent="0.3">
      <c r="L656" s="110"/>
      <c r="M656" s="110"/>
      <c r="P656" s="110"/>
      <c r="Q656" s="110"/>
      <c r="R656" s="110"/>
    </row>
    <row r="657" spans="12:18" x14ac:dyDescent="0.3">
      <c r="L657" s="110"/>
      <c r="M657" s="110"/>
      <c r="P657" s="110"/>
      <c r="Q657" s="110"/>
      <c r="R657" s="110"/>
    </row>
    <row r="658" spans="12:18" x14ac:dyDescent="0.3">
      <c r="L658" s="110"/>
      <c r="M658" s="110"/>
      <c r="P658" s="110"/>
      <c r="Q658" s="110"/>
      <c r="R658" s="110"/>
    </row>
    <row r="659" spans="12:18" x14ac:dyDescent="0.3">
      <c r="L659" s="110"/>
      <c r="M659" s="110"/>
      <c r="P659" s="110"/>
      <c r="Q659" s="110"/>
      <c r="R659" s="110"/>
    </row>
    <row r="692" spans="49:49" x14ac:dyDescent="0.3">
      <c r="AW692" s="110"/>
    </row>
    <row r="693" spans="49:49" x14ac:dyDescent="0.3">
      <c r="AW693" s="110"/>
    </row>
    <row r="694" spans="49:49" x14ac:dyDescent="0.3">
      <c r="AW694" s="110"/>
    </row>
    <row r="695" spans="49:49" x14ac:dyDescent="0.3">
      <c r="AW695" s="110"/>
    </row>
    <row r="696" spans="49:49" x14ac:dyDescent="0.3">
      <c r="AW696" s="110"/>
    </row>
    <row r="697" spans="49:49" x14ac:dyDescent="0.3">
      <c r="AW697" s="110"/>
    </row>
    <row r="700" spans="49:49" x14ac:dyDescent="0.3">
      <c r="AW700" s="110"/>
    </row>
    <row r="701" spans="49:49" x14ac:dyDescent="0.3">
      <c r="AW701" s="110"/>
    </row>
    <row r="702" spans="49:49" x14ac:dyDescent="0.3">
      <c r="AW702" s="110"/>
    </row>
    <row r="703" spans="49:49" x14ac:dyDescent="0.3">
      <c r="AW703" s="110"/>
    </row>
    <row r="704" spans="49:49" x14ac:dyDescent="0.3">
      <c r="AW704" s="110"/>
    </row>
    <row r="705" spans="49:49" x14ac:dyDescent="0.3">
      <c r="AW705" s="110"/>
    </row>
    <row r="706" spans="49:49" x14ac:dyDescent="0.3">
      <c r="AW706" s="110"/>
    </row>
    <row r="707" spans="49:49" x14ac:dyDescent="0.3">
      <c r="AW707" s="110"/>
    </row>
    <row r="710" spans="49:49" x14ac:dyDescent="0.3">
      <c r="AW710" s="110"/>
    </row>
    <row r="711" spans="49:49" x14ac:dyDescent="0.3">
      <c r="AW711" s="110"/>
    </row>
    <row r="714" spans="49:49" x14ac:dyDescent="0.3">
      <c r="AW714" s="110"/>
    </row>
    <row r="715" spans="49:49" x14ac:dyDescent="0.3">
      <c r="AW715" s="110"/>
    </row>
    <row r="716" spans="49:49" x14ac:dyDescent="0.3">
      <c r="AW716" s="110"/>
    </row>
    <row r="717" spans="49:49" x14ac:dyDescent="0.3">
      <c r="AW717" s="110"/>
    </row>
    <row r="725" spans="45:69" x14ac:dyDescent="0.3">
      <c r="AY725" s="99"/>
    </row>
    <row r="726" spans="45:69" x14ac:dyDescent="0.3">
      <c r="AY726" s="99"/>
    </row>
    <row r="727" spans="45:69" x14ac:dyDescent="0.3">
      <c r="BD727" s="99"/>
    </row>
    <row r="728" spans="45:69" x14ac:dyDescent="0.3">
      <c r="BD728" s="99"/>
    </row>
    <row r="729" spans="45:69" x14ac:dyDescent="0.3">
      <c r="AS729" s="99"/>
      <c r="BD729" s="99"/>
    </row>
    <row r="731" spans="45:69" x14ac:dyDescent="0.3"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</row>
    <row r="732" spans="45:69" x14ac:dyDescent="0.3">
      <c r="AX732" s="99"/>
    </row>
    <row r="733" spans="45:69" x14ac:dyDescent="0.3">
      <c r="AX733" s="101"/>
      <c r="AY733" s="101"/>
      <c r="AZ733" s="101"/>
      <c r="BA733" s="101"/>
      <c r="BC733" s="102"/>
      <c r="BD733" s="102"/>
    </row>
    <row r="734" spans="45:69" x14ac:dyDescent="0.3">
      <c r="AV734" s="102"/>
      <c r="AW734" s="102"/>
      <c r="AZ734" s="102"/>
      <c r="BA734" s="102"/>
      <c r="BC734" s="102"/>
      <c r="BD734" s="102"/>
      <c r="BE734" s="102"/>
      <c r="BG734" s="101"/>
      <c r="BH734" s="99"/>
      <c r="BK734" s="101"/>
      <c r="BM734" s="101"/>
      <c r="BN734" s="99"/>
      <c r="BQ734" s="101"/>
    </row>
    <row r="735" spans="45:69" x14ac:dyDescent="0.3"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H735" s="102"/>
      <c r="BI735" s="102"/>
      <c r="BJ735" s="102"/>
      <c r="BN735" s="102"/>
      <c r="BO735" s="102"/>
      <c r="BP735" s="102"/>
    </row>
    <row r="736" spans="45:69" x14ac:dyDescent="0.3">
      <c r="AS736" s="102"/>
      <c r="AU736" s="99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G736" s="102"/>
      <c r="BH736" s="102"/>
      <c r="BI736" s="102"/>
      <c r="BJ736" s="102"/>
      <c r="BK736" s="102"/>
      <c r="BM736" s="102"/>
      <c r="BN736" s="102"/>
      <c r="BO736" s="102"/>
      <c r="BP736" s="102"/>
      <c r="BQ736" s="102"/>
    </row>
    <row r="737" spans="45:69" x14ac:dyDescent="0.3">
      <c r="AS737" s="102"/>
      <c r="AU737" s="99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G737" s="102"/>
      <c r="BH737" s="102"/>
      <c r="BI737" s="102"/>
      <c r="BJ737" s="102"/>
      <c r="BK737" s="102"/>
      <c r="BM737" s="102"/>
      <c r="BN737" s="102"/>
      <c r="BO737" s="102"/>
      <c r="BP737" s="102"/>
      <c r="BQ737" s="102"/>
    </row>
    <row r="738" spans="45:69" x14ac:dyDescent="0.3">
      <c r="AS738" s="101"/>
      <c r="AT738" s="101"/>
      <c r="AU738" s="101"/>
      <c r="AV738" s="101"/>
      <c r="AW738" s="101"/>
      <c r="AX738" s="101"/>
      <c r="AY738" s="101"/>
      <c r="AZ738" s="101"/>
      <c r="BA738" s="101"/>
      <c r="BB738" s="101"/>
      <c r="BC738" s="101"/>
      <c r="BD738" s="101"/>
      <c r="BE738" s="101"/>
      <c r="BG738" s="101"/>
      <c r="BH738" s="101"/>
      <c r="BI738" s="101"/>
      <c r="BJ738" s="101"/>
      <c r="BK738" s="101"/>
      <c r="BM738" s="101"/>
      <c r="BN738" s="101"/>
      <c r="BO738" s="101"/>
      <c r="BP738" s="101"/>
      <c r="BQ738" s="101"/>
    </row>
    <row r="739" spans="45:69" x14ac:dyDescent="0.3"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</row>
    <row r="740" spans="45:69" x14ac:dyDescent="0.3">
      <c r="AU740" s="99"/>
      <c r="AV740" s="102"/>
      <c r="AY740" s="198"/>
    </row>
    <row r="741" spans="45:69" x14ac:dyDescent="0.3">
      <c r="AV741" s="102"/>
      <c r="AW741" s="110"/>
      <c r="AX741" s="163"/>
      <c r="AY741" s="163"/>
      <c r="AZ741" s="163"/>
      <c r="BA741" s="141"/>
      <c r="BB741" s="163"/>
      <c r="BC741" s="198"/>
      <c r="BD741" s="198"/>
      <c r="BE741" s="141"/>
      <c r="BG741" s="163"/>
      <c r="BH741" s="163"/>
      <c r="BI741" s="163"/>
      <c r="BJ741" s="163"/>
      <c r="BK741" s="163"/>
      <c r="BM741" s="163"/>
      <c r="BN741" s="163"/>
      <c r="BO741" s="163"/>
      <c r="BP741" s="163"/>
      <c r="BQ741" s="163"/>
    </row>
    <row r="742" spans="45:69" x14ac:dyDescent="0.3">
      <c r="AV742" s="102"/>
      <c r="AW742" s="110"/>
      <c r="AX742" s="163"/>
      <c r="AY742" s="163"/>
      <c r="AZ742" s="163"/>
      <c r="BA742" s="141"/>
      <c r="BB742" s="163"/>
      <c r="BC742" s="198"/>
      <c r="BD742" s="198"/>
      <c r="BE742" s="141"/>
      <c r="BG742" s="163"/>
      <c r="BH742" s="163"/>
      <c r="BI742" s="163"/>
      <c r="BJ742" s="163"/>
      <c r="BK742" s="163"/>
      <c r="BM742" s="163"/>
      <c r="BN742" s="163"/>
      <c r="BO742" s="163"/>
      <c r="BP742" s="163"/>
      <c r="BQ742" s="163"/>
    </row>
    <row r="743" spans="45:69" x14ac:dyDescent="0.3">
      <c r="AV743" s="102"/>
      <c r="AW743" s="110"/>
      <c r="AX743" s="163"/>
      <c r="AY743" s="163"/>
      <c r="AZ743" s="163"/>
      <c r="BA743" s="141"/>
      <c r="BB743" s="163"/>
      <c r="BC743" s="198"/>
      <c r="BD743" s="198"/>
      <c r="BE743" s="141"/>
      <c r="BG743" s="163"/>
      <c r="BH743" s="163"/>
      <c r="BI743" s="163"/>
      <c r="BJ743" s="163"/>
      <c r="BK743" s="163"/>
      <c r="BM743" s="163"/>
      <c r="BN743" s="163"/>
      <c r="BO743" s="163"/>
      <c r="BP743" s="163"/>
      <c r="BQ743" s="163"/>
    </row>
    <row r="744" spans="45:69" x14ac:dyDescent="0.3">
      <c r="AV744" s="102"/>
      <c r="AW744" s="110"/>
      <c r="AX744" s="163"/>
      <c r="AY744" s="163"/>
      <c r="AZ744" s="163"/>
      <c r="BA744" s="141"/>
      <c r="BB744" s="163"/>
      <c r="BC744" s="198"/>
      <c r="BD744" s="198"/>
      <c r="BE744" s="141"/>
      <c r="BG744" s="163"/>
      <c r="BH744" s="163"/>
      <c r="BI744" s="163"/>
      <c r="BJ744" s="163"/>
      <c r="BK744" s="163"/>
      <c r="BM744" s="163"/>
      <c r="BN744" s="163"/>
      <c r="BO744" s="163"/>
      <c r="BP744" s="163"/>
      <c r="BQ744" s="163"/>
    </row>
    <row r="745" spans="45:69" x14ac:dyDescent="0.3">
      <c r="AV745" s="102"/>
      <c r="AW745" s="110"/>
      <c r="AX745" s="163"/>
      <c r="AY745" s="163"/>
      <c r="AZ745" s="163"/>
      <c r="BA745" s="141"/>
      <c r="BB745" s="163"/>
      <c r="BC745" s="198"/>
      <c r="BD745" s="198"/>
      <c r="BE745" s="141"/>
      <c r="BG745" s="163"/>
      <c r="BH745" s="163"/>
      <c r="BI745" s="163"/>
      <c r="BJ745" s="163"/>
      <c r="BK745" s="163"/>
      <c r="BM745" s="163"/>
      <c r="BN745" s="163"/>
      <c r="BO745" s="163"/>
      <c r="BP745" s="163"/>
      <c r="BQ745" s="163"/>
    </row>
    <row r="746" spans="45:69" x14ac:dyDescent="0.3">
      <c r="AV746" s="102"/>
      <c r="AW746" s="110"/>
      <c r="AX746" s="163"/>
      <c r="AY746" s="163"/>
      <c r="AZ746" s="163"/>
      <c r="BA746" s="141"/>
      <c r="BB746" s="163"/>
      <c r="BC746" s="198"/>
      <c r="BD746" s="198"/>
      <c r="BE746" s="141"/>
      <c r="BG746" s="163"/>
      <c r="BH746" s="163"/>
      <c r="BI746" s="163"/>
      <c r="BJ746" s="163"/>
      <c r="BK746" s="163"/>
      <c r="BM746" s="163"/>
      <c r="BN746" s="163"/>
      <c r="BO746" s="163"/>
      <c r="BP746" s="163"/>
      <c r="BQ746" s="163"/>
    </row>
    <row r="747" spans="45:69" x14ac:dyDescent="0.3">
      <c r="AV747" s="102"/>
      <c r="AW747" s="110"/>
      <c r="AX747" s="163"/>
      <c r="AY747" s="163"/>
      <c r="AZ747" s="163"/>
      <c r="BA747" s="141"/>
      <c r="BB747" s="163"/>
      <c r="BC747" s="198"/>
      <c r="BD747" s="198"/>
      <c r="BE747" s="141"/>
      <c r="BG747" s="163"/>
      <c r="BH747" s="163"/>
      <c r="BI747" s="163"/>
      <c r="BJ747" s="163"/>
      <c r="BK747" s="163"/>
      <c r="BM747" s="163"/>
      <c r="BN747" s="163"/>
      <c r="BO747" s="163"/>
      <c r="BP747" s="163"/>
      <c r="BQ747" s="163"/>
    </row>
    <row r="748" spans="45:69" x14ac:dyDescent="0.3">
      <c r="AY748" s="198"/>
      <c r="AZ748" s="163"/>
      <c r="BA748" s="141"/>
      <c r="BB748" s="163"/>
      <c r="BC748" s="198"/>
      <c r="BD748" s="198"/>
      <c r="BE748" s="141"/>
      <c r="BK748" s="163"/>
      <c r="BQ748" s="163"/>
    </row>
    <row r="749" spans="45:69" x14ac:dyDescent="0.3">
      <c r="AV749" s="102"/>
      <c r="AY749" s="198"/>
      <c r="AZ749" s="163"/>
      <c r="BA749" s="141"/>
      <c r="BB749" s="163"/>
      <c r="BC749" s="198"/>
      <c r="BD749" s="198"/>
      <c r="BE749" s="141"/>
      <c r="BK749" s="163"/>
      <c r="BQ749" s="163"/>
    </row>
    <row r="750" spans="45:69" x14ac:dyDescent="0.3">
      <c r="AV750" s="102"/>
      <c r="AW750" s="110"/>
      <c r="AX750" s="163"/>
      <c r="AY750" s="163"/>
      <c r="AZ750" s="163"/>
      <c r="BA750" s="141"/>
      <c r="BB750" s="163"/>
      <c r="BC750" s="198"/>
      <c r="BD750" s="198"/>
      <c r="BE750" s="141"/>
      <c r="BG750" s="163"/>
      <c r="BH750" s="163"/>
      <c r="BI750" s="163"/>
      <c r="BJ750" s="163"/>
      <c r="BK750" s="163"/>
      <c r="BM750" s="163"/>
      <c r="BN750" s="163"/>
      <c r="BO750" s="163"/>
      <c r="BP750" s="163"/>
      <c r="BQ750" s="163"/>
    </row>
    <row r="751" spans="45:69" x14ac:dyDescent="0.3">
      <c r="AV751" s="102"/>
      <c r="AW751" s="110"/>
      <c r="AX751" s="163"/>
      <c r="AY751" s="163"/>
      <c r="AZ751" s="163"/>
      <c r="BA751" s="141"/>
      <c r="BB751" s="163"/>
      <c r="BC751" s="198"/>
      <c r="BD751" s="198"/>
      <c r="BE751" s="141"/>
      <c r="BG751" s="163"/>
      <c r="BH751" s="163"/>
      <c r="BI751" s="163"/>
      <c r="BJ751" s="163"/>
      <c r="BK751" s="163"/>
      <c r="BM751" s="163"/>
      <c r="BN751" s="163"/>
      <c r="BO751" s="163"/>
      <c r="BP751" s="163"/>
      <c r="BQ751" s="163"/>
    </row>
    <row r="752" spans="45:69" x14ac:dyDescent="0.3">
      <c r="AV752" s="102"/>
      <c r="AW752" s="110"/>
      <c r="AX752" s="163"/>
      <c r="AY752" s="163"/>
      <c r="AZ752" s="163"/>
      <c r="BA752" s="141"/>
      <c r="BB752" s="163"/>
      <c r="BC752" s="198"/>
      <c r="BD752" s="198"/>
      <c r="BE752" s="141"/>
      <c r="BG752" s="163"/>
      <c r="BH752" s="163"/>
      <c r="BI752" s="163"/>
      <c r="BJ752" s="163"/>
      <c r="BK752" s="163"/>
      <c r="BM752" s="163"/>
      <c r="BN752" s="163"/>
      <c r="BO752" s="163"/>
      <c r="BP752" s="163"/>
      <c r="BQ752" s="163"/>
    </row>
    <row r="753" spans="45:69" x14ac:dyDescent="0.3">
      <c r="AV753" s="102"/>
      <c r="AW753" s="110"/>
      <c r="AX753" s="163"/>
      <c r="AY753" s="163"/>
      <c r="AZ753" s="163"/>
      <c r="BA753" s="141"/>
      <c r="BB753" s="163"/>
      <c r="BC753" s="198"/>
      <c r="BD753" s="198"/>
      <c r="BE753" s="141"/>
      <c r="BG753" s="163"/>
      <c r="BH753" s="163"/>
      <c r="BI753" s="163"/>
      <c r="BJ753" s="163"/>
      <c r="BK753" s="163"/>
      <c r="BM753" s="163"/>
      <c r="BN753" s="163"/>
      <c r="BO753" s="163"/>
      <c r="BP753" s="163"/>
      <c r="BQ753" s="163"/>
    </row>
    <row r="754" spans="45:69" x14ac:dyDescent="0.3">
      <c r="AV754" s="102"/>
      <c r="AW754" s="110"/>
      <c r="AX754" s="163"/>
      <c r="AY754" s="163"/>
      <c r="AZ754" s="163"/>
      <c r="BA754" s="141"/>
      <c r="BB754" s="163"/>
      <c r="BC754" s="198"/>
      <c r="BD754" s="198"/>
      <c r="BE754" s="141"/>
      <c r="BG754" s="163"/>
      <c r="BH754" s="163"/>
      <c r="BI754" s="163"/>
      <c r="BJ754" s="163"/>
      <c r="BK754" s="163"/>
      <c r="BM754" s="163"/>
      <c r="BN754" s="163"/>
      <c r="BO754" s="163"/>
      <c r="BP754" s="163"/>
      <c r="BQ754" s="163"/>
    </row>
    <row r="755" spans="45:69" x14ac:dyDescent="0.3">
      <c r="AV755" s="102"/>
      <c r="AW755" s="110"/>
      <c r="AX755" s="163"/>
      <c r="AY755" s="163"/>
      <c r="AZ755" s="163"/>
      <c r="BA755" s="141"/>
      <c r="BB755" s="163"/>
      <c r="BC755" s="198"/>
      <c r="BD755" s="198"/>
      <c r="BE755" s="141"/>
      <c r="BG755" s="163"/>
      <c r="BH755" s="163"/>
      <c r="BI755" s="163"/>
      <c r="BJ755" s="163"/>
      <c r="BK755" s="163"/>
      <c r="BM755" s="163"/>
      <c r="BN755" s="163"/>
      <c r="BO755" s="163"/>
      <c r="BP755" s="163"/>
      <c r="BQ755" s="163"/>
    </row>
    <row r="756" spans="45:69" x14ac:dyDescent="0.3">
      <c r="AV756" s="102"/>
      <c r="AW756" s="110"/>
      <c r="AX756" s="163"/>
      <c r="AY756" s="163"/>
      <c r="AZ756" s="163"/>
      <c r="BA756" s="141"/>
      <c r="BB756" s="163"/>
      <c r="BC756" s="198"/>
      <c r="BD756" s="198"/>
      <c r="BE756" s="141"/>
      <c r="BG756" s="163"/>
      <c r="BH756" s="163"/>
      <c r="BI756" s="163"/>
      <c r="BJ756" s="163"/>
      <c r="BK756" s="163"/>
      <c r="BM756" s="163"/>
      <c r="BN756" s="163"/>
      <c r="BO756" s="163"/>
      <c r="BP756" s="163"/>
      <c r="BQ756" s="163"/>
    </row>
    <row r="757" spans="45:69" x14ac:dyDescent="0.3">
      <c r="AV757" s="102"/>
      <c r="AW757" s="110"/>
      <c r="AX757" s="163"/>
      <c r="AY757" s="163"/>
      <c r="AZ757" s="163"/>
      <c r="BA757" s="141"/>
      <c r="BB757" s="163"/>
      <c r="BC757" s="198"/>
      <c r="BD757" s="198"/>
      <c r="BE757" s="141"/>
      <c r="BG757" s="163"/>
      <c r="BH757" s="163"/>
      <c r="BI757" s="163"/>
      <c r="BJ757" s="163"/>
      <c r="BK757" s="163"/>
      <c r="BM757" s="163"/>
      <c r="BN757" s="163"/>
      <c r="BO757" s="163"/>
      <c r="BP757" s="163"/>
      <c r="BQ757" s="163"/>
    </row>
    <row r="758" spans="45:69" x14ac:dyDescent="0.3">
      <c r="AY758" s="198"/>
      <c r="AZ758" s="163"/>
      <c r="BA758" s="141"/>
      <c r="BB758" s="163"/>
      <c r="BC758" s="198"/>
      <c r="BD758" s="198"/>
      <c r="BE758" s="141"/>
      <c r="BK758" s="163"/>
      <c r="BQ758" s="163"/>
    </row>
    <row r="759" spans="45:69" x14ac:dyDescent="0.3">
      <c r="AU759" s="99"/>
      <c r="AZ759" s="163"/>
      <c r="BB759" s="163"/>
      <c r="BG759" s="163"/>
      <c r="BH759" s="163"/>
      <c r="BJ759" s="163"/>
      <c r="BK759" s="163"/>
    </row>
    <row r="760" spans="45:69" x14ac:dyDescent="0.3">
      <c r="AZ760" s="163"/>
      <c r="BB760" s="163"/>
    </row>
    <row r="761" spans="45:69" x14ac:dyDescent="0.3">
      <c r="AS761" s="99"/>
      <c r="AZ761" s="163"/>
      <c r="BB761" s="163"/>
      <c r="BI761" s="163"/>
    </row>
    <row r="762" spans="45:69" x14ac:dyDescent="0.3">
      <c r="AZ762" s="163"/>
      <c r="BB762" s="163"/>
    </row>
    <row r="763" spans="45:69" x14ac:dyDescent="0.3">
      <c r="AY763" s="163"/>
      <c r="BB763" s="163"/>
    </row>
    <row r="764" spans="45:69" x14ac:dyDescent="0.3">
      <c r="AY764" s="99"/>
      <c r="AZ764" s="163"/>
      <c r="BB764" s="163"/>
    </row>
    <row r="765" spans="45:69" x14ac:dyDescent="0.3">
      <c r="AY765" s="99"/>
      <c r="AZ765" s="163"/>
      <c r="BB765" s="163"/>
    </row>
    <row r="766" spans="45:69" x14ac:dyDescent="0.3">
      <c r="AZ766" s="163"/>
      <c r="BB766" s="163"/>
      <c r="BD766" s="99"/>
    </row>
    <row r="767" spans="45:69" x14ac:dyDescent="0.3">
      <c r="AZ767" s="163"/>
      <c r="BB767" s="163"/>
      <c r="BD767" s="99"/>
    </row>
    <row r="768" spans="45:69" x14ac:dyDescent="0.3">
      <c r="AS768" s="99"/>
      <c r="AZ768" s="163"/>
      <c r="BB768" s="163"/>
      <c r="BD768" s="99"/>
    </row>
    <row r="769" spans="45:75" x14ac:dyDescent="0.3">
      <c r="AZ769" s="163"/>
      <c r="BB769" s="163"/>
    </row>
    <row r="770" spans="45:75" x14ac:dyDescent="0.3">
      <c r="AS770" s="101"/>
      <c r="AT770" s="101"/>
      <c r="AU770" s="101"/>
      <c r="AV770" s="101"/>
      <c r="AW770" s="101"/>
      <c r="AX770" s="101"/>
      <c r="AY770" s="101"/>
      <c r="AZ770" s="212"/>
      <c r="BA770" s="101"/>
      <c r="BB770" s="212"/>
      <c r="BC770" s="101"/>
      <c r="BD770" s="101"/>
      <c r="BE770" s="101"/>
    </row>
    <row r="771" spans="45:75" x14ac:dyDescent="0.3">
      <c r="AX771" s="99"/>
      <c r="AZ771" s="163"/>
      <c r="BB771" s="163"/>
    </row>
    <row r="772" spans="45:75" x14ac:dyDescent="0.3">
      <c r="AX772" s="101"/>
      <c r="AY772" s="101"/>
      <c r="AZ772" s="212"/>
      <c r="BA772" s="101"/>
      <c r="BB772" s="163"/>
      <c r="BC772" s="102"/>
      <c r="BD772" s="102"/>
    </row>
    <row r="773" spans="45:75" x14ac:dyDescent="0.3">
      <c r="AV773" s="102"/>
      <c r="AW773" s="102"/>
      <c r="AZ773" s="213"/>
      <c r="BA773" s="102"/>
      <c r="BB773" s="163"/>
      <c r="BC773" s="102"/>
      <c r="BD773" s="102"/>
      <c r="BE773" s="102"/>
      <c r="BG773" s="101"/>
      <c r="BH773" s="101"/>
      <c r="BI773" s="99"/>
      <c r="BM773" s="101"/>
      <c r="BN773" s="101"/>
      <c r="BP773" s="101"/>
      <c r="BQ773" s="101"/>
      <c r="BR773" s="99"/>
      <c r="BV773" s="101"/>
      <c r="BW773" s="101"/>
    </row>
    <row r="774" spans="45:75" x14ac:dyDescent="0.3">
      <c r="AV774" s="102"/>
      <c r="AW774" s="102"/>
      <c r="AX774" s="102"/>
      <c r="AY774" s="102"/>
      <c r="AZ774" s="213"/>
      <c r="BA774" s="102"/>
      <c r="BB774" s="213"/>
      <c r="BC774" s="102"/>
      <c r="BD774" s="102"/>
      <c r="BE774" s="102"/>
      <c r="BH774" s="102"/>
      <c r="BI774" s="102"/>
      <c r="BJ774" s="102"/>
      <c r="BK774" s="102"/>
      <c r="BL774" s="102"/>
      <c r="BM774" s="102"/>
      <c r="BQ774" s="102"/>
      <c r="BR774" s="102"/>
      <c r="BS774" s="102"/>
      <c r="BT774" s="102"/>
      <c r="BU774" s="102"/>
      <c r="BV774" s="102"/>
    </row>
    <row r="775" spans="45:75" x14ac:dyDescent="0.3">
      <c r="AS775" s="102"/>
      <c r="AU775" s="99"/>
      <c r="AV775" s="102"/>
      <c r="AW775" s="102"/>
      <c r="AX775" s="102"/>
      <c r="AY775" s="102"/>
      <c r="AZ775" s="213"/>
      <c r="BA775" s="102"/>
      <c r="BB775" s="213"/>
      <c r="BC775" s="102"/>
      <c r="BD775" s="102"/>
      <c r="BE775" s="102"/>
      <c r="BG775" s="102"/>
      <c r="BH775" s="102"/>
      <c r="BI775" s="102"/>
      <c r="BJ775" s="102"/>
      <c r="BK775" s="102"/>
      <c r="BL775" s="102"/>
      <c r="BM775" s="102"/>
      <c r="BN775" s="102"/>
      <c r="BP775" s="102"/>
      <c r="BQ775" s="102"/>
      <c r="BR775" s="102"/>
      <c r="BS775" s="102"/>
      <c r="BT775" s="102"/>
      <c r="BU775" s="102"/>
      <c r="BV775" s="102"/>
      <c r="BW775" s="102"/>
    </row>
    <row r="776" spans="45:75" x14ac:dyDescent="0.3">
      <c r="AS776" s="102"/>
      <c r="AU776" s="99"/>
      <c r="AV776" s="102"/>
      <c r="AW776" s="102"/>
      <c r="AX776" s="102"/>
      <c r="AY776" s="102"/>
      <c r="AZ776" s="213"/>
      <c r="BA776" s="102"/>
      <c r="BB776" s="213"/>
      <c r="BC776" s="102"/>
      <c r="BD776" s="102"/>
      <c r="BE776" s="102"/>
      <c r="BG776" s="102"/>
      <c r="BH776" s="102"/>
      <c r="BI776" s="102"/>
      <c r="BJ776" s="102"/>
      <c r="BK776" s="102"/>
      <c r="BL776" s="102"/>
      <c r="BM776" s="102"/>
      <c r="BN776" s="102"/>
      <c r="BP776" s="102"/>
      <c r="BQ776" s="102"/>
      <c r="BR776" s="102"/>
      <c r="BS776" s="102"/>
      <c r="BT776" s="102"/>
      <c r="BU776" s="102"/>
      <c r="BV776" s="102"/>
      <c r="BW776" s="102"/>
    </row>
    <row r="777" spans="45:75" x14ac:dyDescent="0.3">
      <c r="AS777" s="101"/>
      <c r="AT777" s="101"/>
      <c r="AU777" s="101"/>
      <c r="AV777" s="101"/>
      <c r="AW777" s="101"/>
      <c r="AX777" s="101"/>
      <c r="AY777" s="101"/>
      <c r="AZ777" s="212"/>
      <c r="BA777" s="101"/>
      <c r="BB777" s="212"/>
      <c r="BC777" s="101"/>
      <c r="BD777" s="101"/>
      <c r="BE777" s="101"/>
      <c r="BG777" s="101"/>
      <c r="BH777" s="101"/>
      <c r="BI777" s="101"/>
      <c r="BJ777" s="101"/>
      <c r="BK777" s="101"/>
      <c r="BL777" s="101"/>
      <c r="BM777" s="101"/>
      <c r="BN777" s="101"/>
      <c r="BP777" s="101"/>
      <c r="BQ777" s="101"/>
      <c r="BR777" s="101"/>
      <c r="BS777" s="101"/>
      <c r="BT777" s="101"/>
      <c r="BU777" s="101"/>
      <c r="BV777" s="101"/>
      <c r="BW777" s="101"/>
    </row>
    <row r="778" spans="45:75" x14ac:dyDescent="0.3">
      <c r="AV778" s="102"/>
      <c r="AW778" s="102"/>
      <c r="AX778" s="102"/>
      <c r="AY778" s="102"/>
      <c r="AZ778" s="213"/>
      <c r="BA778" s="102"/>
      <c r="BB778" s="213"/>
      <c r="BC778" s="102"/>
      <c r="BD778" s="102"/>
      <c r="BE778" s="102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</row>
    <row r="779" spans="45:75" x14ac:dyDescent="0.3">
      <c r="AU779" s="99"/>
      <c r="AW779" s="110"/>
      <c r="AX779" s="163"/>
      <c r="AY779" s="163"/>
      <c r="AZ779" s="163"/>
      <c r="BA779" s="207"/>
      <c r="BB779" s="163"/>
      <c r="BC779" s="163"/>
      <c r="BD779" s="163"/>
      <c r="BE779" s="207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</row>
    <row r="780" spans="45:75" x14ac:dyDescent="0.3">
      <c r="AW780" s="110"/>
      <c r="AX780" s="163"/>
      <c r="AY780" s="163"/>
      <c r="AZ780" s="163"/>
      <c r="BA780" s="207"/>
      <c r="BB780" s="163"/>
      <c r="BC780" s="163"/>
      <c r="BD780" s="163"/>
      <c r="BE780" s="207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</row>
    <row r="781" spans="45:75" x14ac:dyDescent="0.3">
      <c r="AW781" s="110"/>
      <c r="AX781" s="163"/>
      <c r="AY781" s="163"/>
      <c r="AZ781" s="163"/>
      <c r="BA781" s="207"/>
      <c r="BB781" s="163"/>
      <c r="BC781" s="163"/>
      <c r="BD781" s="163"/>
      <c r="BE781" s="207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</row>
    <row r="782" spans="45:75" x14ac:dyDescent="0.3">
      <c r="AW782" s="110"/>
      <c r="AX782" s="163"/>
      <c r="AY782" s="163"/>
      <c r="AZ782" s="163"/>
      <c r="BA782" s="207"/>
      <c r="BB782" s="163"/>
      <c r="BC782" s="163"/>
      <c r="BD782" s="163"/>
      <c r="BE782" s="207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</row>
    <row r="783" spans="45:75" x14ac:dyDescent="0.3"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</row>
    <row r="784" spans="45:75" x14ac:dyDescent="0.3"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</row>
    <row r="785" spans="49:75" x14ac:dyDescent="0.3"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</row>
    <row r="786" spans="49:75" x14ac:dyDescent="0.3"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</row>
    <row r="787" spans="49:75" x14ac:dyDescent="0.3">
      <c r="AW787" s="110"/>
      <c r="AX787" s="163"/>
      <c r="AY787" s="163"/>
      <c r="AZ787" s="163"/>
      <c r="BA787" s="207"/>
      <c r="BB787" s="163"/>
      <c r="BC787" s="163"/>
      <c r="BD787" s="163"/>
      <c r="BE787" s="207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</row>
    <row r="788" spans="49:75" x14ac:dyDescent="0.3">
      <c r="AW788" s="110"/>
      <c r="AX788" s="163"/>
      <c r="AY788" s="163"/>
      <c r="AZ788" s="163"/>
      <c r="BA788" s="207"/>
      <c r="BB788" s="163"/>
      <c r="BC788" s="163"/>
      <c r="BD788" s="163"/>
      <c r="BE788" s="207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</row>
    <row r="789" spans="49:75" x14ac:dyDescent="0.3">
      <c r="AW789" s="110"/>
      <c r="AX789" s="163"/>
      <c r="AY789" s="163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</row>
    <row r="790" spans="49:75" x14ac:dyDescent="0.3">
      <c r="AW790" s="110"/>
      <c r="AX790" s="163"/>
      <c r="AY790" s="163"/>
      <c r="AZ790" s="163"/>
      <c r="BA790" s="207"/>
      <c r="BB790" s="163"/>
      <c r="BC790" s="163"/>
      <c r="BD790" s="163"/>
      <c r="BE790" s="207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</row>
    <row r="791" spans="49:75" x14ac:dyDescent="0.3">
      <c r="AW791" s="110"/>
      <c r="AX791" s="163"/>
      <c r="AY791" s="163"/>
      <c r="AZ791" s="163"/>
      <c r="BA791" s="207"/>
      <c r="BB791" s="163"/>
      <c r="BC791" s="163"/>
      <c r="BD791" s="163"/>
      <c r="BE791" s="207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</row>
    <row r="792" spans="49:75" x14ac:dyDescent="0.3">
      <c r="AW792" s="110"/>
      <c r="AX792" s="163"/>
      <c r="AY792" s="163"/>
      <c r="AZ792" s="163"/>
      <c r="BA792" s="207"/>
      <c r="BB792" s="163"/>
      <c r="BC792" s="163"/>
      <c r="BD792" s="163"/>
      <c r="BE792" s="207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</row>
    <row r="793" spans="49:75" x14ac:dyDescent="0.3">
      <c r="AW793" s="110"/>
      <c r="AX793" s="163"/>
      <c r="AY793" s="163"/>
      <c r="AZ793" s="163"/>
      <c r="BA793" s="207"/>
      <c r="BB793" s="163"/>
      <c r="BC793" s="163"/>
      <c r="BD793" s="163"/>
      <c r="BE793" s="207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</row>
    <row r="794" spans="49:75" x14ac:dyDescent="0.3">
      <c r="AW794" s="110"/>
      <c r="AX794" s="163"/>
      <c r="AY794" s="163"/>
      <c r="AZ794" s="163"/>
      <c r="BA794" s="207"/>
      <c r="BB794" s="163"/>
      <c r="BC794" s="163"/>
      <c r="BD794" s="163"/>
      <c r="BE794" s="207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</row>
    <row r="795" spans="49:75" x14ac:dyDescent="0.3">
      <c r="AW795" s="110"/>
      <c r="AX795" s="163"/>
      <c r="AY795" s="163"/>
      <c r="AZ795" s="163"/>
      <c r="BA795" s="207"/>
      <c r="BB795" s="163"/>
      <c r="BC795" s="163"/>
      <c r="BD795" s="163"/>
      <c r="BE795" s="207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</row>
    <row r="796" spans="49:75" x14ac:dyDescent="0.3">
      <c r="AW796" s="110"/>
      <c r="AX796" s="163"/>
      <c r="AY796" s="163"/>
      <c r="AZ796" s="163"/>
      <c r="BA796" s="207"/>
      <c r="BB796" s="163"/>
      <c r="BC796" s="163"/>
      <c r="BD796" s="163"/>
      <c r="BE796" s="207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</row>
    <row r="797" spans="49:75" x14ac:dyDescent="0.3">
      <c r="AW797" s="110"/>
      <c r="AX797" s="163"/>
      <c r="AY797" s="163"/>
      <c r="AZ797" s="163"/>
      <c r="BA797" s="207"/>
      <c r="BB797" s="163"/>
      <c r="BC797" s="163"/>
      <c r="BD797" s="163"/>
      <c r="BE797" s="207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</row>
    <row r="798" spans="49:75" x14ac:dyDescent="0.3">
      <c r="AW798" s="110"/>
      <c r="AX798" s="163"/>
      <c r="AY798" s="163"/>
      <c r="AZ798" s="163"/>
      <c r="BA798" s="207"/>
      <c r="BB798" s="163"/>
      <c r="BC798" s="163"/>
      <c r="BD798" s="163"/>
      <c r="BE798" s="207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</row>
    <row r="799" spans="49:75" x14ac:dyDescent="0.3">
      <c r="AW799" s="110"/>
      <c r="AX799" s="163"/>
      <c r="AY799" s="163"/>
      <c r="AZ799" s="163"/>
      <c r="BA799" s="207"/>
      <c r="BB799" s="163"/>
      <c r="BC799" s="163"/>
      <c r="BD799" s="163"/>
      <c r="BE799" s="207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</row>
    <row r="800" spans="49:75" x14ac:dyDescent="0.3">
      <c r="AW800" s="110"/>
      <c r="AX800" s="163"/>
      <c r="AY800" s="163"/>
      <c r="AZ800" s="163"/>
      <c r="BA800" s="207"/>
      <c r="BB800" s="163"/>
      <c r="BC800" s="163"/>
      <c r="BD800" s="163"/>
      <c r="BE800" s="207"/>
      <c r="BG800" s="101"/>
      <c r="BH800" s="101"/>
      <c r="BI800" s="99"/>
      <c r="BM800" s="101"/>
      <c r="BN800" s="101"/>
      <c r="BO800" s="163"/>
      <c r="BP800" s="101"/>
      <c r="BQ800" s="101"/>
      <c r="BR800" s="99"/>
      <c r="BV800" s="101"/>
      <c r="BW800" s="101"/>
    </row>
    <row r="801" spans="45:75" x14ac:dyDescent="0.3">
      <c r="AU801" s="99"/>
      <c r="AV801" s="102"/>
      <c r="AW801" s="110"/>
      <c r="AX801" s="163"/>
      <c r="AY801" s="163"/>
      <c r="AZ801" s="163"/>
      <c r="BA801" s="207"/>
      <c r="BB801" s="163"/>
      <c r="BC801" s="163"/>
      <c r="BD801" s="163"/>
      <c r="BE801" s="207"/>
      <c r="BG801" s="213"/>
      <c r="BH801" s="163"/>
      <c r="BI801" s="163"/>
      <c r="BJ801" s="163"/>
      <c r="BK801" s="213"/>
      <c r="BL801" s="214"/>
      <c r="BM801" s="163"/>
      <c r="BN801" s="213"/>
      <c r="BO801" s="163"/>
      <c r="BP801" s="213"/>
      <c r="BQ801" s="163"/>
      <c r="BR801" s="163"/>
      <c r="BS801" s="163"/>
      <c r="BT801" s="213"/>
      <c r="BU801" s="214"/>
      <c r="BV801" s="163"/>
      <c r="BW801" s="213"/>
    </row>
    <row r="802" spans="45:75" x14ac:dyDescent="0.3">
      <c r="AV802" s="102"/>
      <c r="AW802" s="110"/>
      <c r="AX802" s="163"/>
      <c r="AY802" s="163"/>
      <c r="AZ802" s="163"/>
      <c r="BA802" s="207"/>
      <c r="BB802" s="163"/>
      <c r="BC802" s="163"/>
      <c r="BD802" s="163"/>
      <c r="BE802" s="207"/>
      <c r="BG802" s="163"/>
      <c r="BH802" s="163"/>
      <c r="BI802" s="163"/>
      <c r="BJ802" s="163"/>
      <c r="BK802" s="163"/>
      <c r="BL802" s="214"/>
      <c r="BM802" s="163"/>
      <c r="BN802" s="163"/>
      <c r="BO802" s="163"/>
      <c r="BP802" s="163"/>
      <c r="BQ802" s="163"/>
      <c r="BR802" s="163"/>
      <c r="BS802" s="163"/>
      <c r="BT802" s="163"/>
      <c r="BU802" s="214"/>
      <c r="BV802" s="163"/>
      <c r="BW802" s="163"/>
    </row>
    <row r="803" spans="45:75" x14ac:dyDescent="0.3">
      <c r="AV803" s="102"/>
      <c r="AW803" s="110"/>
      <c r="AX803" s="163"/>
      <c r="AY803" s="163"/>
      <c r="AZ803" s="163"/>
      <c r="BA803" s="207"/>
      <c r="BB803" s="163"/>
      <c r="BC803" s="163"/>
      <c r="BD803" s="163"/>
      <c r="BE803" s="207"/>
      <c r="BG803" s="163"/>
      <c r="BH803" s="163"/>
      <c r="BI803" s="163"/>
      <c r="BJ803" s="163"/>
      <c r="BK803" s="163"/>
      <c r="BL803" s="214"/>
      <c r="BM803" s="163"/>
      <c r="BN803" s="163"/>
      <c r="BO803" s="163"/>
      <c r="BP803" s="163"/>
      <c r="BQ803" s="163"/>
      <c r="BR803" s="163"/>
      <c r="BS803" s="163"/>
      <c r="BT803" s="163"/>
      <c r="BU803" s="214"/>
      <c r="BV803" s="163"/>
      <c r="BW803" s="163"/>
    </row>
    <row r="804" spans="45:75" x14ac:dyDescent="0.3">
      <c r="AV804" s="102"/>
      <c r="AW804" s="110"/>
      <c r="AX804" s="163"/>
      <c r="AY804" s="163"/>
      <c r="AZ804" s="163"/>
      <c r="BA804" s="207"/>
      <c r="BB804" s="163"/>
      <c r="BC804" s="163"/>
      <c r="BD804" s="163"/>
      <c r="BE804" s="207"/>
      <c r="BG804" s="163"/>
      <c r="BH804" s="163"/>
      <c r="BI804" s="163"/>
      <c r="BJ804" s="163"/>
      <c r="BK804" s="163"/>
      <c r="BL804" s="214"/>
      <c r="BM804" s="163"/>
      <c r="BN804" s="163"/>
      <c r="BO804" s="163"/>
      <c r="BP804" s="163"/>
      <c r="BQ804" s="163"/>
      <c r="BR804" s="163"/>
      <c r="BS804" s="163"/>
      <c r="BT804" s="163"/>
      <c r="BU804" s="214"/>
      <c r="BV804" s="163"/>
      <c r="BW804" s="163"/>
    </row>
    <row r="805" spans="45:75" x14ac:dyDescent="0.3">
      <c r="AX805" s="163"/>
      <c r="AY805" s="163"/>
      <c r="AZ805" s="163"/>
      <c r="BA805" s="207"/>
      <c r="BB805" s="163"/>
      <c r="BC805" s="163"/>
      <c r="BD805" s="163"/>
      <c r="BE805" s="207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</row>
    <row r="806" spans="45:75" x14ac:dyDescent="0.3">
      <c r="AU806" s="99"/>
    </row>
    <row r="807" spans="45:75" x14ac:dyDescent="0.3">
      <c r="AU807" s="99"/>
      <c r="AZ807" s="163"/>
      <c r="BA807" s="207"/>
      <c r="BB807" s="163"/>
      <c r="BC807" s="163"/>
      <c r="BD807" s="163"/>
      <c r="BE807" s="207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</row>
    <row r="808" spans="45:75" x14ac:dyDescent="0.3">
      <c r="AS808" s="99"/>
      <c r="AZ808" s="163"/>
      <c r="BB808" s="163"/>
    </row>
    <row r="809" spans="45:75" x14ac:dyDescent="0.3">
      <c r="AZ809" s="163"/>
      <c r="BB809" s="163"/>
      <c r="BO809" s="163"/>
      <c r="BP809" s="163"/>
      <c r="BQ809" s="163"/>
      <c r="BR809" s="163"/>
      <c r="BS809" s="163"/>
      <c r="BT809" s="163"/>
      <c r="BU809" s="163"/>
      <c r="BV809" s="163"/>
    </row>
    <row r="810" spans="45:75" x14ac:dyDescent="0.3">
      <c r="AY810" s="163"/>
      <c r="AZ810" s="163"/>
      <c r="BB810" s="163"/>
      <c r="BO810" s="163"/>
      <c r="BP810" s="163"/>
      <c r="BQ810" s="163"/>
      <c r="BR810" s="163"/>
      <c r="BS810" s="163"/>
      <c r="BT810" s="163"/>
      <c r="BU810" s="163"/>
      <c r="BV810" s="163"/>
    </row>
    <row r="811" spans="45:75" x14ac:dyDescent="0.3">
      <c r="AY811" s="99"/>
      <c r="AZ811" s="163"/>
      <c r="BB811" s="163"/>
      <c r="BO811" s="163"/>
      <c r="BP811" s="163"/>
      <c r="BQ811" s="163"/>
      <c r="BR811" s="163"/>
      <c r="BS811" s="163"/>
      <c r="BT811" s="163"/>
      <c r="BU811" s="163"/>
      <c r="BV811" s="163"/>
    </row>
    <row r="812" spans="45:75" x14ac:dyDescent="0.3">
      <c r="AY812" s="99"/>
      <c r="AZ812" s="163"/>
      <c r="BB812" s="163"/>
      <c r="BO812" s="163"/>
      <c r="BP812" s="163"/>
      <c r="BQ812" s="163"/>
      <c r="BR812" s="163"/>
      <c r="BS812" s="163"/>
      <c r="BT812" s="163"/>
      <c r="BU812" s="163"/>
      <c r="BV812" s="163"/>
    </row>
    <row r="813" spans="45:75" x14ac:dyDescent="0.3">
      <c r="AZ813" s="163"/>
      <c r="BB813" s="163"/>
      <c r="BD813" s="99"/>
      <c r="BO813" s="163"/>
      <c r="BP813" s="163"/>
      <c r="BQ813" s="163"/>
      <c r="BR813" s="163"/>
      <c r="BS813" s="163"/>
      <c r="BT813" s="163"/>
      <c r="BU813" s="163"/>
      <c r="BV813" s="163"/>
    </row>
    <row r="814" spans="45:75" x14ac:dyDescent="0.3">
      <c r="AZ814" s="163"/>
      <c r="BB814" s="163"/>
      <c r="BD814" s="99"/>
      <c r="BO814" s="163"/>
      <c r="BP814" s="163"/>
      <c r="BQ814" s="163"/>
      <c r="BR814" s="163"/>
      <c r="BS814" s="163"/>
      <c r="BT814" s="163"/>
      <c r="BU814" s="163"/>
      <c r="BV814" s="163"/>
    </row>
    <row r="815" spans="45:75" x14ac:dyDescent="0.3">
      <c r="AS815" s="99"/>
      <c r="AZ815" s="163"/>
      <c r="BB815" s="163"/>
      <c r="BD815" s="99"/>
      <c r="BO815" s="163"/>
      <c r="BP815" s="163"/>
      <c r="BQ815" s="163"/>
      <c r="BR815" s="163"/>
      <c r="BS815" s="163"/>
      <c r="BT815" s="163"/>
      <c r="BU815" s="163"/>
      <c r="BV815" s="163"/>
    </row>
    <row r="816" spans="45:75" x14ac:dyDescent="0.3">
      <c r="AZ816" s="163"/>
      <c r="BB816" s="163"/>
      <c r="BO816" s="163"/>
      <c r="BP816" s="163"/>
      <c r="BQ816" s="163"/>
      <c r="BR816" s="163"/>
      <c r="BS816" s="163"/>
      <c r="BT816" s="163"/>
      <c r="BU816" s="163"/>
      <c r="BV816" s="163"/>
    </row>
    <row r="817" spans="45:74" x14ac:dyDescent="0.3">
      <c r="AS817" s="101"/>
      <c r="AT817" s="101"/>
      <c r="AU817" s="101"/>
      <c r="AV817" s="101"/>
      <c r="AW817" s="101"/>
      <c r="AX817" s="101"/>
      <c r="AY817" s="101"/>
      <c r="AZ817" s="212"/>
      <c r="BA817" s="101"/>
      <c r="BB817" s="212"/>
      <c r="BC817" s="101"/>
      <c r="BD817" s="101"/>
      <c r="BE817" s="101"/>
      <c r="BO817" s="163"/>
      <c r="BP817" s="163"/>
      <c r="BQ817" s="163"/>
      <c r="BR817" s="163"/>
      <c r="BS817" s="163"/>
      <c r="BT817" s="163"/>
      <c r="BU817" s="163"/>
      <c r="BV817" s="163"/>
    </row>
    <row r="818" spans="45:74" x14ac:dyDescent="0.3">
      <c r="AX818" s="99"/>
      <c r="AZ818" s="163"/>
      <c r="BB818" s="163"/>
      <c r="BO818" s="163"/>
      <c r="BP818" s="163"/>
      <c r="BQ818" s="163"/>
      <c r="BR818" s="163"/>
      <c r="BS818" s="163"/>
      <c r="BT818" s="163"/>
      <c r="BU818" s="163"/>
      <c r="BV818" s="163"/>
    </row>
    <row r="819" spans="45:74" x14ac:dyDescent="0.3">
      <c r="AX819" s="101"/>
      <c r="AY819" s="101"/>
      <c r="AZ819" s="212"/>
      <c r="BA819" s="101"/>
      <c r="BB819" s="163"/>
      <c r="BC819" s="102"/>
      <c r="BD819" s="102"/>
      <c r="BO819" s="163"/>
      <c r="BP819" s="163"/>
      <c r="BQ819" s="163"/>
      <c r="BR819" s="163"/>
      <c r="BS819" s="163"/>
      <c r="BT819" s="163"/>
      <c r="BU819" s="163"/>
      <c r="BV819" s="163"/>
    </row>
    <row r="820" spans="45:74" x14ac:dyDescent="0.3">
      <c r="AV820" s="102"/>
      <c r="AW820" s="102"/>
      <c r="AZ820" s="213"/>
      <c r="BA820" s="102"/>
      <c r="BB820" s="163"/>
      <c r="BC820" s="102"/>
      <c r="BD820" s="102"/>
      <c r="BE820" s="102"/>
      <c r="BG820" s="101"/>
      <c r="BH820" s="99"/>
      <c r="BK820" s="101"/>
      <c r="BM820" s="101"/>
      <c r="BN820" s="99"/>
      <c r="BQ820" s="101"/>
    </row>
    <row r="821" spans="45:74" x14ac:dyDescent="0.3">
      <c r="AV821" s="102"/>
      <c r="AW821" s="102"/>
      <c r="AX821" s="102"/>
      <c r="AY821" s="102"/>
      <c r="AZ821" s="213"/>
      <c r="BA821" s="102"/>
      <c r="BB821" s="213"/>
      <c r="BC821" s="102"/>
      <c r="BD821" s="102"/>
      <c r="BE821" s="102"/>
      <c r="BH821" s="102"/>
      <c r="BI821" s="102"/>
      <c r="BN821" s="102"/>
      <c r="BO821" s="102"/>
    </row>
    <row r="822" spans="45:74" x14ac:dyDescent="0.3">
      <c r="AS822" s="102"/>
      <c r="AU822" s="99"/>
      <c r="AV822" s="102"/>
      <c r="AW822" s="102"/>
      <c r="AX822" s="102"/>
      <c r="AY822" s="102"/>
      <c r="AZ822" s="213"/>
      <c r="BA822" s="102"/>
      <c r="BB822" s="213"/>
      <c r="BC822" s="102"/>
      <c r="BD822" s="102"/>
      <c r="BE822" s="102"/>
      <c r="BG822" s="102"/>
      <c r="BH822" s="102"/>
      <c r="BI822" s="102"/>
      <c r="BJ822" s="102"/>
      <c r="BK822" s="102"/>
      <c r="BM822" s="102"/>
      <c r="BN822" s="102"/>
      <c r="BO822" s="102"/>
      <c r="BP822" s="102"/>
      <c r="BQ822" s="102"/>
    </row>
    <row r="823" spans="45:74" x14ac:dyDescent="0.3">
      <c r="AS823" s="102"/>
      <c r="AU823" s="99"/>
      <c r="AV823" s="102"/>
      <c r="AW823" s="102"/>
      <c r="AX823" s="102"/>
      <c r="AY823" s="102"/>
      <c r="AZ823" s="213"/>
      <c r="BA823" s="102"/>
      <c r="BB823" s="213"/>
      <c r="BC823" s="102"/>
      <c r="BD823" s="102"/>
      <c r="BE823" s="102"/>
      <c r="BG823" s="102"/>
      <c r="BH823" s="102"/>
      <c r="BI823" s="102"/>
      <c r="BJ823" s="102"/>
      <c r="BK823" s="102"/>
      <c r="BM823" s="102"/>
      <c r="BN823" s="102"/>
      <c r="BO823" s="102"/>
      <c r="BP823" s="102"/>
      <c r="BQ823" s="102"/>
    </row>
    <row r="824" spans="45:74" x14ac:dyDescent="0.3">
      <c r="AS824" s="101"/>
      <c r="AT824" s="101"/>
      <c r="AU824" s="101"/>
      <c r="AV824" s="101"/>
      <c r="AW824" s="101"/>
      <c r="AX824" s="101"/>
      <c r="AY824" s="101"/>
      <c r="AZ824" s="212"/>
      <c r="BA824" s="101"/>
      <c r="BB824" s="212"/>
      <c r="BC824" s="101"/>
      <c r="BD824" s="101"/>
      <c r="BE824" s="101"/>
      <c r="BG824" s="101"/>
      <c r="BH824" s="101"/>
      <c r="BI824" s="101"/>
      <c r="BJ824" s="101"/>
      <c r="BK824" s="101"/>
      <c r="BM824" s="101"/>
      <c r="BN824" s="101"/>
      <c r="BO824" s="101"/>
      <c r="BP824" s="101"/>
      <c r="BQ824" s="101"/>
    </row>
    <row r="825" spans="45:74" x14ac:dyDescent="0.3">
      <c r="AV825" s="102"/>
      <c r="AW825" s="102"/>
      <c r="AX825" s="102"/>
      <c r="AY825" s="102"/>
      <c r="AZ825" s="213"/>
      <c r="BA825" s="102"/>
      <c r="BB825" s="213"/>
      <c r="BC825" s="102"/>
      <c r="BD825" s="102"/>
      <c r="BE825" s="102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</row>
    <row r="826" spans="45:74" x14ac:dyDescent="0.3">
      <c r="AT826" s="99"/>
      <c r="AV826" s="110"/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</row>
    <row r="827" spans="45:74" x14ac:dyDescent="0.3">
      <c r="AV827" s="110"/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</row>
    <row r="828" spans="45:74" x14ac:dyDescent="0.3">
      <c r="AV828" s="110"/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</row>
    <row r="829" spans="45:74" x14ac:dyDescent="0.3">
      <c r="AV829" s="110"/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</row>
    <row r="830" spans="45:74" x14ac:dyDescent="0.3">
      <c r="AV830" s="110"/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</row>
    <row r="831" spans="45:74" x14ac:dyDescent="0.3"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</row>
    <row r="832" spans="45:74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</row>
    <row r="833" spans="46:71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</row>
    <row r="834" spans="46:71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</row>
    <row r="835" spans="46:71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</row>
    <row r="836" spans="46:71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</row>
    <row r="837" spans="46:71" x14ac:dyDescent="0.3">
      <c r="AV837" s="110"/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</row>
    <row r="838" spans="46:71" x14ac:dyDescent="0.3"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</row>
    <row r="839" spans="46:71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</row>
    <row r="840" spans="46:71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</row>
    <row r="841" spans="46:71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</row>
    <row r="842" spans="46:71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</row>
    <row r="843" spans="46:71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</row>
    <row r="844" spans="46:71" x14ac:dyDescent="0.3">
      <c r="AZ844" s="163"/>
      <c r="BB844" s="163"/>
      <c r="BC844" s="163"/>
      <c r="BD844" s="163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</row>
    <row r="845" spans="46:71" x14ac:dyDescent="0.3">
      <c r="AT845" s="99"/>
      <c r="AV845" s="110"/>
      <c r="AW845" s="110"/>
      <c r="AX845" s="163"/>
      <c r="AY845" s="163"/>
      <c r="AZ845" s="163"/>
      <c r="BA845" s="207"/>
      <c r="BB845" s="163"/>
      <c r="BC845" s="163"/>
      <c r="BD845" s="163"/>
      <c r="BE845" s="207"/>
    </row>
    <row r="846" spans="46:71" x14ac:dyDescent="0.3"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</row>
    <row r="847" spans="46:71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</row>
    <row r="848" spans="46:71" x14ac:dyDescent="0.3">
      <c r="AV848" s="110"/>
      <c r="AW848" s="110"/>
      <c r="AX848" s="163"/>
      <c r="AY848" s="163"/>
      <c r="AZ848" s="163"/>
      <c r="BA848" s="207"/>
      <c r="BB848" s="163"/>
      <c r="BC848" s="163"/>
      <c r="BD848" s="163"/>
      <c r="BE848" s="207"/>
    </row>
    <row r="849" spans="47:57" x14ac:dyDescent="0.3">
      <c r="AV849" s="110"/>
      <c r="AW849" s="110"/>
      <c r="AX849" s="163"/>
      <c r="AY849" s="163"/>
      <c r="AZ849" s="163"/>
      <c r="BA849" s="207"/>
      <c r="BB849" s="163"/>
      <c r="BC849" s="163"/>
      <c r="BD849" s="163"/>
      <c r="BE849" s="207"/>
    </row>
    <row r="850" spans="47:57" x14ac:dyDescent="0.3">
      <c r="AV850" s="110"/>
      <c r="AW850" s="110"/>
      <c r="AX850" s="163"/>
      <c r="AY850" s="163"/>
      <c r="AZ850" s="163"/>
      <c r="BA850" s="207"/>
      <c r="BB850" s="163"/>
      <c r="BC850" s="163"/>
      <c r="BD850" s="163"/>
      <c r="BE850" s="207"/>
    </row>
    <row r="851" spans="47:57" x14ac:dyDescent="0.3">
      <c r="AV851" s="110"/>
      <c r="AW851" s="110"/>
      <c r="AX851" s="163"/>
      <c r="AY851" s="163"/>
      <c r="AZ851" s="163"/>
      <c r="BA851" s="207"/>
      <c r="BB851" s="163"/>
      <c r="BC851" s="163"/>
      <c r="BD851" s="163"/>
      <c r="BE851" s="207"/>
    </row>
    <row r="852" spans="47:57" x14ac:dyDescent="0.3">
      <c r="AV852" s="110"/>
      <c r="AW852" s="110"/>
      <c r="AX852" s="163"/>
      <c r="AY852" s="163"/>
      <c r="AZ852" s="163"/>
      <c r="BA852" s="207"/>
      <c r="BB852" s="163"/>
      <c r="BC852" s="163"/>
      <c r="BD852" s="163"/>
      <c r="BE852" s="207"/>
    </row>
    <row r="853" spans="47:57" x14ac:dyDescent="0.3">
      <c r="AV853" s="110"/>
      <c r="AW853" s="110"/>
      <c r="AX853" s="163"/>
      <c r="AY853" s="163"/>
      <c r="AZ853" s="163"/>
      <c r="BA853" s="207"/>
      <c r="BB853" s="163"/>
      <c r="BC853" s="163"/>
      <c r="BD853" s="163"/>
      <c r="BE853" s="207"/>
    </row>
    <row r="854" spans="47:57" x14ac:dyDescent="0.3">
      <c r="AV854" s="110"/>
      <c r="AW854" s="110"/>
      <c r="AX854" s="163"/>
      <c r="AY854" s="163"/>
      <c r="AZ854" s="163"/>
      <c r="BA854" s="207"/>
      <c r="BB854" s="163"/>
      <c r="BC854" s="163"/>
      <c r="BD854" s="163"/>
      <c r="BE854" s="207"/>
    </row>
    <row r="855" spans="47:57" x14ac:dyDescent="0.3">
      <c r="AV855" s="110"/>
      <c r="AW855" s="110"/>
      <c r="AX855" s="163"/>
      <c r="AY855" s="163"/>
      <c r="AZ855" s="163"/>
      <c r="BA855" s="207"/>
      <c r="BB855" s="163"/>
      <c r="BC855" s="163"/>
      <c r="BD855" s="163"/>
      <c r="BE855" s="207"/>
    </row>
    <row r="856" spans="47:57" x14ac:dyDescent="0.3">
      <c r="AV856" s="110"/>
      <c r="AW856" s="110"/>
      <c r="AX856" s="163"/>
      <c r="AY856" s="163"/>
      <c r="AZ856" s="163"/>
      <c r="BA856" s="207"/>
      <c r="BB856" s="163"/>
      <c r="BC856" s="163"/>
      <c r="BD856" s="163"/>
      <c r="BE856" s="207"/>
    </row>
    <row r="857" spans="47:57" x14ac:dyDescent="0.3">
      <c r="AV857" s="110"/>
      <c r="AW857" s="110"/>
      <c r="AX857" s="163"/>
      <c r="AY857" s="163"/>
      <c r="AZ857" s="163"/>
      <c r="BA857" s="207"/>
      <c r="BB857" s="163"/>
      <c r="BC857" s="163"/>
      <c r="BD857" s="163"/>
      <c r="BE857" s="207"/>
    </row>
    <row r="858" spans="47:57" x14ac:dyDescent="0.3">
      <c r="AV858" s="110"/>
      <c r="AW858" s="110"/>
      <c r="AX858" s="163"/>
      <c r="AY858" s="163"/>
      <c r="AZ858" s="163"/>
      <c r="BA858" s="207"/>
      <c r="BB858" s="163"/>
      <c r="BC858" s="163"/>
      <c r="BD858" s="163"/>
      <c r="BE858" s="207"/>
    </row>
    <row r="859" spans="47:57" x14ac:dyDescent="0.3">
      <c r="AV859" s="110"/>
      <c r="AW859" s="110"/>
      <c r="AX859" s="163"/>
      <c r="AY859" s="163"/>
      <c r="AZ859" s="163"/>
      <c r="BA859" s="207"/>
      <c r="BB859" s="163"/>
      <c r="BC859" s="163"/>
      <c r="BD859" s="163"/>
      <c r="BE859" s="207"/>
    </row>
    <row r="860" spans="47:57" x14ac:dyDescent="0.3">
      <c r="AV860" s="110"/>
      <c r="AW860" s="110"/>
      <c r="AX860" s="163"/>
      <c r="AY860" s="163"/>
      <c r="AZ860" s="163"/>
      <c r="BA860" s="207"/>
      <c r="BB860" s="163"/>
      <c r="BC860" s="163"/>
      <c r="BD860" s="163"/>
      <c r="BE860" s="207"/>
    </row>
    <row r="861" spans="47:57" x14ac:dyDescent="0.3">
      <c r="AV861" s="110"/>
      <c r="AW861" s="110"/>
      <c r="AX861" s="163"/>
      <c r="AY861" s="163"/>
      <c r="AZ861" s="163"/>
      <c r="BA861" s="207"/>
      <c r="BB861" s="163"/>
      <c r="BC861" s="163"/>
      <c r="BD861" s="163"/>
      <c r="BE861" s="207"/>
    </row>
    <row r="862" spans="47:57" x14ac:dyDescent="0.3">
      <c r="AV862" s="110"/>
      <c r="AW862" s="110"/>
      <c r="AX862" s="163"/>
      <c r="AY862" s="163"/>
      <c r="AZ862" s="163"/>
      <c r="BA862" s="207"/>
      <c r="BB862" s="163"/>
      <c r="BC862" s="163"/>
      <c r="BD862" s="163"/>
      <c r="BE862" s="207"/>
    </row>
    <row r="863" spans="47:57" x14ac:dyDescent="0.3">
      <c r="BB863" s="163"/>
    </row>
    <row r="864" spans="47:57" x14ac:dyDescent="0.3">
      <c r="AU864" s="99"/>
      <c r="BB864" s="163"/>
    </row>
    <row r="865" spans="45:57" x14ac:dyDescent="0.3">
      <c r="AU865" s="99"/>
    </row>
    <row r="866" spans="45:57" x14ac:dyDescent="0.3">
      <c r="AU866" s="99"/>
      <c r="BB866" s="163"/>
    </row>
    <row r="867" spans="45:57" x14ac:dyDescent="0.3">
      <c r="AS867" s="99"/>
      <c r="AZ867" s="163"/>
      <c r="BB867" s="163"/>
    </row>
    <row r="868" spans="45:57" x14ac:dyDescent="0.3">
      <c r="AZ868" s="163"/>
      <c r="BB868" s="163"/>
    </row>
    <row r="869" spans="45:57" x14ac:dyDescent="0.3">
      <c r="AY869" s="163"/>
      <c r="AZ869" s="163"/>
      <c r="BB869" s="163"/>
    </row>
    <row r="870" spans="45:57" x14ac:dyDescent="0.3">
      <c r="AY870" s="99"/>
      <c r="AZ870" s="163"/>
      <c r="BB870" s="163"/>
    </row>
    <row r="871" spans="45:57" x14ac:dyDescent="0.3">
      <c r="AY871" s="99"/>
      <c r="AZ871" s="163"/>
      <c r="BB871" s="163"/>
    </row>
    <row r="872" spans="45:57" x14ac:dyDescent="0.3">
      <c r="AZ872" s="163"/>
      <c r="BB872" s="163"/>
      <c r="BD872" s="99"/>
    </row>
    <row r="873" spans="45:57" x14ac:dyDescent="0.3">
      <c r="AZ873" s="163"/>
      <c r="BB873" s="163"/>
      <c r="BD873" s="99"/>
    </row>
    <row r="874" spans="45:57" x14ac:dyDescent="0.3">
      <c r="AS874" s="99"/>
      <c r="AZ874" s="163"/>
      <c r="BB874" s="163"/>
      <c r="BD874" s="99"/>
    </row>
    <row r="875" spans="45:57" x14ac:dyDescent="0.3">
      <c r="AZ875" s="163"/>
      <c r="BB875" s="163"/>
    </row>
    <row r="876" spans="45:57" x14ac:dyDescent="0.3">
      <c r="AS876" s="101"/>
      <c r="AT876" s="101"/>
      <c r="AU876" s="101"/>
      <c r="AV876" s="101"/>
      <c r="AW876" s="101"/>
      <c r="AX876" s="101"/>
      <c r="AY876" s="101"/>
      <c r="AZ876" s="212"/>
      <c r="BA876" s="101"/>
      <c r="BB876" s="212"/>
      <c r="BC876" s="101"/>
      <c r="BD876" s="101"/>
      <c r="BE876" s="101"/>
    </row>
    <row r="877" spans="45:57" x14ac:dyDescent="0.3">
      <c r="AX877" s="99"/>
      <c r="AZ877" s="163"/>
      <c r="BB877" s="163"/>
    </row>
    <row r="878" spans="45:57" x14ac:dyDescent="0.3">
      <c r="AX878" s="101"/>
      <c r="AY878" s="101"/>
      <c r="AZ878" s="212"/>
      <c r="BA878" s="101"/>
      <c r="BB878" s="163"/>
      <c r="BC878" s="102"/>
      <c r="BD878" s="102"/>
    </row>
    <row r="879" spans="45:57" x14ac:dyDescent="0.3">
      <c r="AV879" s="102"/>
      <c r="AW879" s="102"/>
      <c r="AZ879" s="213"/>
      <c r="BA879" s="102"/>
      <c r="BB879" s="163"/>
      <c r="BC879" s="102"/>
      <c r="BD879" s="102"/>
      <c r="BE879" s="102"/>
    </row>
    <row r="880" spans="45:57" x14ac:dyDescent="0.3">
      <c r="AV880" s="102"/>
      <c r="AW880" s="102"/>
      <c r="AX880" s="102"/>
      <c r="AY880" s="102"/>
      <c r="AZ880" s="213"/>
      <c r="BA880" s="102"/>
      <c r="BB880" s="213"/>
      <c r="BC880" s="102"/>
      <c r="BD880" s="102"/>
      <c r="BE880" s="102"/>
    </row>
    <row r="881" spans="45:57" x14ac:dyDescent="0.3">
      <c r="AS881" s="102"/>
      <c r="AU881" s="99"/>
      <c r="AV881" s="102"/>
      <c r="AW881" s="102"/>
      <c r="AX881" s="102"/>
      <c r="AY881" s="102"/>
      <c r="AZ881" s="213"/>
      <c r="BA881" s="102"/>
      <c r="BB881" s="213"/>
      <c r="BC881" s="102"/>
      <c r="BD881" s="102"/>
      <c r="BE881" s="102"/>
    </row>
    <row r="882" spans="45:57" x14ac:dyDescent="0.3">
      <c r="AS882" s="102"/>
      <c r="AU882" s="99"/>
      <c r="AV882" s="102"/>
      <c r="AW882" s="102"/>
      <c r="AX882" s="102"/>
      <c r="AY882" s="102"/>
      <c r="AZ882" s="213"/>
      <c r="BA882" s="102"/>
      <c r="BB882" s="213"/>
      <c r="BC882" s="102"/>
      <c r="BD882" s="102"/>
      <c r="BE882" s="102"/>
    </row>
    <row r="883" spans="45:57" x14ac:dyDescent="0.3">
      <c r="AS883" s="101"/>
      <c r="AT883" s="101"/>
      <c r="AU883" s="101"/>
      <c r="AV883" s="101"/>
      <c r="AW883" s="101"/>
      <c r="AX883" s="101"/>
      <c r="AY883" s="101"/>
      <c r="AZ883" s="212"/>
      <c r="BA883" s="101"/>
      <c r="BB883" s="212"/>
      <c r="BC883" s="101"/>
      <c r="BD883" s="101"/>
      <c r="BE883" s="101"/>
    </row>
    <row r="884" spans="45:57" x14ac:dyDescent="0.3">
      <c r="AV884" s="102"/>
      <c r="AW884" s="102"/>
      <c r="AX884" s="102"/>
      <c r="AY884" s="102"/>
      <c r="AZ884" s="213"/>
      <c r="BA884" s="102"/>
      <c r="BB884" s="213"/>
      <c r="BC884" s="102"/>
      <c r="BD884" s="102"/>
      <c r="BE884" s="102"/>
    </row>
    <row r="885" spans="45:57" x14ac:dyDescent="0.3">
      <c r="AT885" s="99"/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5:57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5:57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5:57" x14ac:dyDescent="0.3">
      <c r="AV888" s="110"/>
      <c r="AW888" s="110"/>
      <c r="AX888" s="163"/>
      <c r="AY888" s="163"/>
      <c r="AZ888" s="163"/>
      <c r="BA888" s="207"/>
      <c r="BB888" s="163"/>
      <c r="BC888" s="163"/>
      <c r="BD888" s="163"/>
      <c r="BE888" s="207"/>
    </row>
    <row r="889" spans="45:57" x14ac:dyDescent="0.3"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5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5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5:57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5:57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5:57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5:57" x14ac:dyDescent="0.3">
      <c r="AV895" s="110"/>
      <c r="AW895" s="110"/>
      <c r="BB895" s="163"/>
    </row>
    <row r="896" spans="45:57" x14ac:dyDescent="0.3">
      <c r="AT896" s="99"/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5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5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5:57" x14ac:dyDescent="0.3">
      <c r="AV899" s="110"/>
      <c r="AW899" s="110"/>
      <c r="AX899" s="163"/>
      <c r="AY899" s="163"/>
      <c r="AZ899" s="163"/>
      <c r="BA899" s="207"/>
      <c r="BB899" s="163"/>
      <c r="BC899" s="163"/>
      <c r="BD899" s="163"/>
      <c r="BE899" s="207"/>
    </row>
    <row r="900" spans="45:57" x14ac:dyDescent="0.3"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5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5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5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5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5:57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7" spans="45:57" x14ac:dyDescent="0.3">
      <c r="AU907" s="99"/>
    </row>
    <row r="908" spans="45:57" x14ac:dyDescent="0.3">
      <c r="AU908" s="99"/>
    </row>
    <row r="909" spans="45:57" x14ac:dyDescent="0.3">
      <c r="AU909" s="99"/>
    </row>
    <row r="910" spans="45:57" x14ac:dyDescent="0.3">
      <c r="AS910" s="99"/>
    </row>
    <row r="931" spans="52:71" x14ac:dyDescent="0.3">
      <c r="AZ931" s="163"/>
      <c r="BB931" s="163"/>
      <c r="BC931" s="163"/>
      <c r="BD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</row>
    <row r="932" spans="52:71" x14ac:dyDescent="0.3">
      <c r="AZ932" s="163"/>
      <c r="BB932" s="163"/>
      <c r="BC932" s="163"/>
      <c r="BD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</row>
    <row r="933" spans="52:71" x14ac:dyDescent="0.3">
      <c r="AZ933" s="163"/>
      <c r="BB933" s="163"/>
      <c r="BC933" s="163"/>
      <c r="BD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</row>
    <row r="934" spans="52:71" x14ac:dyDescent="0.3">
      <c r="AZ934" s="163"/>
      <c r="BB934" s="163"/>
      <c r="BC934" s="163"/>
      <c r="BD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</row>
    <row r="935" spans="52:71" x14ac:dyDescent="0.3">
      <c r="AZ935" s="163"/>
      <c r="BB935" s="163"/>
      <c r="BC935" s="163"/>
      <c r="BD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</row>
    <row r="936" spans="52:71" x14ac:dyDescent="0.3">
      <c r="AZ936" s="163"/>
      <c r="BB936" s="163"/>
      <c r="BC936" s="163"/>
      <c r="BD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</row>
    <row r="937" spans="52:71" x14ac:dyDescent="0.3">
      <c r="AZ937" s="163"/>
      <c r="BB937" s="163"/>
      <c r="BC937" s="163"/>
      <c r="BD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</row>
    <row r="938" spans="52:71" x14ac:dyDescent="0.3">
      <c r="AZ938" s="163"/>
      <c r="BB938" s="163"/>
      <c r="BC938" s="163"/>
      <c r="BD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</row>
    <row r="939" spans="52:71" x14ac:dyDescent="0.3">
      <c r="AZ939" s="163"/>
      <c r="BB939" s="163"/>
      <c r="BC939" s="163"/>
      <c r="BD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</row>
    <row r="940" spans="52:71" x14ac:dyDescent="0.3">
      <c r="AZ940" s="163"/>
      <c r="BB940" s="163"/>
      <c r="BC940" s="163"/>
      <c r="BD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</row>
    <row r="941" spans="52:71" x14ac:dyDescent="0.3">
      <c r="AZ941" s="163"/>
      <c r="BB941" s="163"/>
      <c r="BC941" s="163"/>
      <c r="BD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</row>
    <row r="942" spans="52:71" x14ac:dyDescent="0.3">
      <c r="AZ942" s="163"/>
      <c r="BB942" s="163"/>
      <c r="BC942" s="163"/>
      <c r="BD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</row>
    <row r="943" spans="52:71" x14ac:dyDescent="0.3">
      <c r="AZ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</row>
    <row r="944" spans="52:71" x14ac:dyDescent="0.3">
      <c r="AZ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</row>
    <row r="945" spans="52:71" x14ac:dyDescent="0.3">
      <c r="AZ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</row>
    <row r="946" spans="52:71" x14ac:dyDescent="0.3">
      <c r="AZ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</row>
    <row r="947" spans="52:71" x14ac:dyDescent="0.3">
      <c r="AZ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</row>
    <row r="948" spans="52:71" x14ac:dyDescent="0.3">
      <c r="AZ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</row>
    <row r="949" spans="52:71" x14ac:dyDescent="0.3">
      <c r="AZ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</row>
    <row r="950" spans="52:71" x14ac:dyDescent="0.3">
      <c r="AZ950" s="163"/>
    </row>
    <row r="951" spans="52:71" x14ac:dyDescent="0.3">
      <c r="AZ951" s="163"/>
    </row>
    <row r="965" spans="1:28" x14ac:dyDescent="0.3">
      <c r="A965" s="99"/>
    </row>
    <row r="968" spans="1:28" x14ac:dyDescent="0.3">
      <c r="Y968" s="99"/>
    </row>
    <row r="969" spans="1:28" x14ac:dyDescent="0.3">
      <c r="A969" s="99"/>
      <c r="H969" s="99"/>
      <c r="I969" s="99"/>
    </row>
    <row r="970" spans="1:28" x14ac:dyDescent="0.3">
      <c r="A970" s="99"/>
      <c r="V970" s="102"/>
      <c r="AA970" s="102"/>
      <c r="AB970" s="102"/>
    </row>
    <row r="971" spans="1:28" x14ac:dyDescent="0.3">
      <c r="A971" s="99"/>
      <c r="V971" s="101"/>
      <c r="AA971" s="101"/>
      <c r="AB971" s="101"/>
    </row>
    <row r="972" spans="1:28" x14ac:dyDescent="0.3">
      <c r="A972" s="99"/>
      <c r="U972" s="99"/>
      <c r="AA972" s="102"/>
      <c r="AB972" s="102"/>
    </row>
    <row r="973" spans="1:28" x14ac:dyDescent="0.3">
      <c r="A973" s="99"/>
    </row>
    <row r="974" spans="1:28" x14ac:dyDescent="0.3">
      <c r="A974" s="99"/>
      <c r="U974" s="99"/>
      <c r="AA974" s="102"/>
      <c r="AB974" s="102"/>
    </row>
    <row r="975" spans="1:28" x14ac:dyDescent="0.3">
      <c r="A975" s="99"/>
    </row>
    <row r="976" spans="1:28" x14ac:dyDescent="0.3">
      <c r="A976" s="99"/>
      <c r="U976" s="99"/>
      <c r="V976" s="231"/>
      <c r="AA976" s="102"/>
      <c r="AB976" s="102"/>
    </row>
    <row r="977" spans="1:28" x14ac:dyDescent="0.3">
      <c r="A977" s="99"/>
    </row>
    <row r="978" spans="1:28" x14ac:dyDescent="0.3">
      <c r="A978" s="99"/>
      <c r="U978" s="99"/>
      <c r="AA978" s="102"/>
      <c r="AB978" s="102"/>
    </row>
    <row r="979" spans="1:28" x14ac:dyDescent="0.3">
      <c r="A979" s="99"/>
    </row>
    <row r="980" spans="1:28" x14ac:dyDescent="0.3">
      <c r="A980" s="99"/>
      <c r="U980" s="99"/>
      <c r="AA980" s="102"/>
      <c r="AB980" s="102"/>
    </row>
    <row r="981" spans="1:28" x14ac:dyDescent="0.3">
      <c r="A981" s="99"/>
    </row>
    <row r="982" spans="1:28" x14ac:dyDescent="0.3">
      <c r="A982" s="99"/>
    </row>
    <row r="983" spans="1:28" x14ac:dyDescent="0.3">
      <c r="A983" s="99"/>
    </row>
    <row r="984" spans="1:28" x14ac:dyDescent="0.3">
      <c r="A984" s="99"/>
    </row>
    <row r="985" spans="1:28" x14ac:dyDescent="0.3">
      <c r="A985" s="99"/>
    </row>
    <row r="986" spans="1:28" x14ac:dyDescent="0.3">
      <c r="A986" s="99"/>
    </row>
    <row r="987" spans="1:28" x14ac:dyDescent="0.3">
      <c r="A987" s="99"/>
    </row>
    <row r="988" spans="1:28" x14ac:dyDescent="0.3">
      <c r="A988" s="99"/>
    </row>
    <row r="989" spans="1:28" x14ac:dyDescent="0.3">
      <c r="A989" s="99"/>
    </row>
    <row r="990" spans="1:28" x14ac:dyDescent="0.3">
      <c r="A990" s="99"/>
    </row>
    <row r="991" spans="1:28" x14ac:dyDescent="0.3">
      <c r="A991" s="99"/>
      <c r="H991" s="99"/>
      <c r="I991" s="99"/>
    </row>
    <row r="994" spans="1:1" x14ac:dyDescent="0.3">
      <c r="A994" s="99"/>
    </row>
    <row r="997" spans="1:1" x14ac:dyDescent="0.3">
      <c r="A997" s="99"/>
    </row>
    <row r="1000" spans="1:1" x14ac:dyDescent="0.3">
      <c r="A1000" s="99"/>
    </row>
    <row r="1001" spans="1:1" x14ac:dyDescent="0.3">
      <c r="A1001" s="99"/>
    </row>
    <row r="1002" spans="1:1" x14ac:dyDescent="0.3">
      <c r="A1002" s="99"/>
    </row>
    <row r="1003" spans="1:1" x14ac:dyDescent="0.3">
      <c r="A1003" s="99"/>
    </row>
    <row r="1004" spans="1:1" x14ac:dyDescent="0.3">
      <c r="A1004" s="99"/>
    </row>
    <row r="1005" spans="1:1" x14ac:dyDescent="0.3">
      <c r="A1005" s="99"/>
    </row>
    <row r="1006" spans="1:1" x14ac:dyDescent="0.3">
      <c r="A1006" s="99"/>
    </row>
    <row r="1007" spans="1:1" x14ac:dyDescent="0.3">
      <c r="A1007" s="99"/>
    </row>
    <row r="1008" spans="1:1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1" spans="1:1" x14ac:dyDescent="0.3">
      <c r="A1021" s="99"/>
    </row>
    <row r="1022" spans="1:1" x14ac:dyDescent="0.3">
      <c r="A1022" s="99"/>
    </row>
    <row r="1023" spans="1:1" x14ac:dyDescent="0.3">
      <c r="A1023" s="99"/>
    </row>
    <row r="1024" spans="1:1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28" spans="1:1" x14ac:dyDescent="0.3">
      <c r="A1028" s="99"/>
    </row>
    <row r="1029" spans="1:1" x14ac:dyDescent="0.3">
      <c r="A1029" s="99"/>
    </row>
    <row r="1030" spans="1:1" x14ac:dyDescent="0.3">
      <c r="A1030" s="99"/>
    </row>
    <row r="1031" spans="1:1" x14ac:dyDescent="0.3">
      <c r="A1031" s="99"/>
    </row>
    <row r="1032" spans="1:1" x14ac:dyDescent="0.3">
      <c r="A1032" s="99"/>
    </row>
    <row r="1033" spans="1:1" x14ac:dyDescent="0.3">
      <c r="A1033" s="99"/>
    </row>
    <row r="1034" spans="1:1" x14ac:dyDescent="0.3">
      <c r="A1034" s="99"/>
    </row>
    <row r="1039" spans="1:1" x14ac:dyDescent="0.3">
      <c r="A1039" s="99"/>
    </row>
    <row r="1040" spans="1:1" x14ac:dyDescent="0.3">
      <c r="A1040" s="99"/>
    </row>
    <row r="1043" spans="1:1" x14ac:dyDescent="0.3">
      <c r="A1043" s="99"/>
    </row>
    <row r="1045" spans="1:1" x14ac:dyDescent="0.3">
      <c r="A1045" s="99"/>
    </row>
    <row r="1047" spans="1:1" x14ac:dyDescent="0.3">
      <c r="A1047" s="99"/>
    </row>
    <row r="1049" spans="1:1" x14ac:dyDescent="0.3">
      <c r="A1049" s="99"/>
    </row>
    <row r="1052" spans="1:1" x14ac:dyDescent="0.3">
      <c r="A1052" s="99"/>
    </row>
    <row r="1053" spans="1:1" x14ac:dyDescent="0.3">
      <c r="A1053" s="99"/>
    </row>
    <row r="1054" spans="1:1" x14ac:dyDescent="0.3">
      <c r="A1054" s="99"/>
    </row>
    <row r="1055" spans="1:1" x14ac:dyDescent="0.3">
      <c r="A1055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</sheetData>
  <pageMargins left="0.5" right="0.5" top="1" bottom="0" header="0" footer="0"/>
  <pageSetup scale="53" orientation="landscape" r:id="rId1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W30"/>
  <sheetViews>
    <sheetView zoomScaleNormal="100" workbookViewId="0"/>
  </sheetViews>
  <sheetFormatPr defaultRowHeight="15" x14ac:dyDescent="0.25"/>
  <cols>
    <col min="1" max="1" width="1.75" customWidth="1"/>
    <col min="2" max="2" width="9.9140625" customWidth="1"/>
    <col min="3" max="3" width="1.75" customWidth="1"/>
    <col min="4" max="4" width="11" customWidth="1"/>
    <col min="5" max="5" width="1.75" customWidth="1"/>
    <col min="6" max="6" width="11" customWidth="1"/>
    <col min="7" max="7" width="1.75" customWidth="1"/>
    <col min="8" max="8" width="11" customWidth="1"/>
    <col min="9" max="9" width="1.75" customWidth="1"/>
    <col min="10" max="10" width="11" customWidth="1"/>
    <col min="11" max="11" width="8.75" customWidth="1"/>
    <col min="12" max="12" width="9.4140625" customWidth="1"/>
    <col min="13" max="13" width="1.75" customWidth="1"/>
    <col min="14" max="14" width="11" customWidth="1"/>
    <col min="15" max="15" width="1.75" customWidth="1"/>
    <col min="16" max="16" width="11" customWidth="1"/>
    <col min="17" max="17" width="1.75" customWidth="1"/>
    <col min="18" max="18" width="11" customWidth="1"/>
    <col min="19" max="19" width="1.75" customWidth="1"/>
    <col min="20" max="20" width="11" customWidth="1"/>
  </cols>
  <sheetData>
    <row r="1" spans="1:23" ht="25.5" customHeight="1" x14ac:dyDescent="0.5">
      <c r="A1" s="14"/>
      <c r="B1" s="351" t="str">
        <f>+INPUT!A1</f>
        <v>BASE PERIOD WITH RIDERS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14"/>
      <c r="V1" s="14"/>
      <c r="W1" s="14"/>
    </row>
    <row r="2" spans="1:23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ht="17.25" customHeight="1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ht="43.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ht="15.6" thickBot="1" x14ac:dyDescent="0.3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ht="24" customHeight="1" thickBot="1" x14ac:dyDescent="0.35">
      <c r="A6" s="14"/>
      <c r="B6" s="348" t="s">
        <v>425</v>
      </c>
      <c r="C6" s="349"/>
      <c r="D6" s="349"/>
      <c r="E6" s="349"/>
      <c r="F6" s="349"/>
      <c r="G6" s="349"/>
      <c r="H6" s="349"/>
      <c r="I6" s="349"/>
      <c r="J6" s="350"/>
      <c r="K6" s="14"/>
      <c r="L6" s="348" t="s">
        <v>426</v>
      </c>
      <c r="M6" s="349"/>
      <c r="N6" s="349"/>
      <c r="O6" s="349"/>
      <c r="P6" s="349"/>
      <c r="Q6" s="349"/>
      <c r="R6" s="349"/>
      <c r="S6" s="349"/>
      <c r="T6" s="350"/>
      <c r="U6" s="14"/>
      <c r="V6" s="14"/>
      <c r="W6" s="14"/>
    </row>
    <row r="7" spans="1:23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ht="39.9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ht="39.9" customHeight="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ht="39.9" customHeight="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ht="39.9" customHeight="1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 ht="39.9" customHeight="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pans="1:23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</row>
    <row r="18" spans="1:23" ht="39.9" customHeight="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</row>
    <row r="19" spans="1:23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</row>
    <row r="20" spans="1:23" ht="39.9" customHeight="1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1:23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</row>
    <row r="23" spans="1:23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</row>
    <row r="25" spans="1:23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</row>
    <row r="26" spans="1:23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</row>
    <row r="27" spans="1:23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</row>
    <row r="28" spans="1:23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</row>
    <row r="29" spans="1:23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</row>
    <row r="30" spans="1:23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</row>
  </sheetData>
  <customSheetViews>
    <customSheetView guid="{F562D92E-120C-4AE9-9663-89E64D41DC53}">
      <pageMargins left="0.75" right="0.75" top="1" bottom="1" header="0.5" footer="0.5"/>
      <pageSetup orientation="portrait" horizontalDpi="300" verticalDpi="300" r:id="rId1"/>
      <headerFooter alignWithMargins="0"/>
    </customSheetView>
    <customSheetView guid="{35F19056-2E6F-4935-B863-78836FE990BF}" showPageBreaks="1" showRuler="0">
      <pageMargins left="0.75" right="0.75" top="1" bottom="1" header="0.5" footer="0.5"/>
      <pageSetup orientation="portrait" horizontalDpi="300" verticalDpi="300" r:id="rId2"/>
      <headerFooter alignWithMargins="0"/>
    </customSheetView>
    <customSheetView guid="{18BDED73-BFA0-442E-87EC-CED86EE4CF94}" showRuler="0">
      <pageMargins left="0.75" right="0.75" top="1" bottom="1" header="0.5" footer="0.5"/>
      <pageSetup orientation="portrait" horizontalDpi="300" verticalDpi="300" r:id="rId3"/>
      <headerFooter alignWithMargins="0"/>
    </customSheetView>
    <customSheetView guid="{0BC1F393-8A13-47D5-BC6C-0C99615B5AB9}" showRuler="0">
      <pageMargins left="0.75" right="0.75" top="1" bottom="1" header="0.5" footer="0.5"/>
      <pageSetup orientation="portrait" horizontalDpi="300" verticalDpi="300" r:id="rId4"/>
      <headerFooter alignWithMargins="0"/>
    </customSheetView>
    <customSheetView guid="{6B3D5C27-2FDE-4561-9575-1E98BFB869D0}" showRuler="0">
      <selection activeCell="B26" sqref="B26"/>
      <pageMargins left="0.75" right="0.75" top="1" bottom="1" header="0.5" footer="0.5"/>
      <pageSetup orientation="portrait" horizontalDpi="300" verticalDpi="300" r:id="rId5"/>
      <headerFooter alignWithMargins="0"/>
    </customSheetView>
    <customSheetView guid="{8FB94551-8874-4095-B8FB-5316E0D2FD2C}" showRuler="0">
      <pageMargins left="0.75" right="0.75" top="1" bottom="1" header="0.5" footer="0.5"/>
      <pageSetup orientation="portrait" horizontalDpi="300" verticalDpi="300" r:id="rId6"/>
      <headerFooter alignWithMargins="0"/>
    </customSheetView>
    <customSheetView guid="{8FC77C99-DBF7-40B8-99B8-01B75826CDCB}" showRuler="0">
      <pageMargins left="0.75" right="0.75" top="1" bottom="1" header="0.5" footer="0.5"/>
      <pageSetup orientation="portrait" horizontalDpi="300" verticalDpi="300" r:id="rId7"/>
      <headerFooter alignWithMargins="0"/>
    </customSheetView>
    <customSheetView guid="{2EA35095-1ADC-4CC7-8C3C-B487D65FA247}" showRuler="0">
      <pageMargins left="0.75" right="0.75" top="1" bottom="1" header="0.5" footer="0.5"/>
      <pageSetup orientation="portrait" horizontalDpi="300" verticalDpi="300" r:id="rId8"/>
      <headerFooter alignWithMargins="0"/>
    </customSheetView>
    <customSheetView guid="{2431C9E5-7CC2-4B8D-99C3-962247B1DBF5}" showRuler="0">
      <pageMargins left="0.75" right="0.75" top="1" bottom="1" header="0.5" footer="0.5"/>
      <pageSetup orientation="portrait" horizontalDpi="300" verticalDpi="300" r:id="rId9"/>
      <headerFooter alignWithMargins="0"/>
    </customSheetView>
    <customSheetView guid="{4BC93440-BA85-4935-A8C9-66DC6AE5DE5E}" showRuler="0">
      <selection activeCell="B26" sqref="B26"/>
      <pageMargins left="0.75" right="0.75" top="1" bottom="1" header="0.5" footer="0.5"/>
      <pageSetup orientation="portrait" horizontalDpi="300" verticalDpi="300" r:id="rId10"/>
      <headerFooter alignWithMargins="0"/>
    </customSheetView>
    <customSheetView guid="{0C49E549-011E-46F4-A82E-2CC8951A9C1E}" showRuler="0">
      <selection activeCell="C25" sqref="C25"/>
      <pageMargins left="0.75" right="0.75" top="1" bottom="1" header="0.5" footer="0.5"/>
      <pageSetup orientation="portrait" horizontalDpi="300" verticalDpi="300" r:id="rId11"/>
      <headerFooter alignWithMargins="0"/>
    </customSheetView>
    <customSheetView guid="{195DF303-1BBD-4236-94B5-47432850B006}" showRuler="0">
      <pageMargins left="0.75" right="0.75" top="1" bottom="1" header="0.5" footer="0.5"/>
      <pageSetup orientation="portrait" horizontalDpi="300" verticalDpi="300" r:id="rId12"/>
      <headerFooter alignWithMargins="0"/>
    </customSheetView>
  </customSheetViews>
  <mergeCells count="3">
    <mergeCell ref="B6:J6"/>
    <mergeCell ref="L6:T6"/>
    <mergeCell ref="B1:T1"/>
  </mergeCells>
  <phoneticPr fontId="11" type="noConversion"/>
  <pageMargins left="0.75" right="0.75" top="1" bottom="1" header="0.5" footer="0.5"/>
  <pageSetup orientation="portrait" horizontalDpi="300" verticalDpi="300" r:id="rId13"/>
  <headerFooter alignWithMargins="0"/>
  <drawing r:id="rId14"/>
  <legacyDrawing r:id="rId1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16" name="Button 1">
              <controlPr defaultSize="0" print="0" autoFill="0" autoPict="0" macro="[0]!Module1.PRINT_SCH_M">
                <anchor moveWithCells="1" sizeWithCells="1">
                  <from>
                    <xdr:col>1</xdr:col>
                    <xdr:colOff>7620</xdr:colOff>
                    <xdr:row>3</xdr:row>
                    <xdr:rowOff>22860</xdr:rowOff>
                  </from>
                  <to>
                    <xdr:col>7</xdr:col>
                    <xdr:colOff>7620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17" name="Button 2">
              <controlPr defaultSize="0" print="0" autoFill="0" autoPict="0" macro="[0]!Module1.PRINT_SCH_N">
                <anchor moveWithCells="1" sizeWithCells="1">
                  <from>
                    <xdr:col>15</xdr:col>
                    <xdr:colOff>7620</xdr:colOff>
                    <xdr:row>3</xdr:row>
                    <xdr:rowOff>0</xdr:rowOff>
                  </from>
                  <to>
                    <xdr:col>20</xdr:col>
                    <xdr:colOff>0</xdr:colOff>
                    <xdr:row>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18" name="Button 3">
              <controlPr defaultSize="0" print="0" autoFill="0" autoPict="0" macro="[0]!PRINT_SCH_M_2_2">
                <anchor moveWithCells="1" sizeWithCells="1">
                  <from>
                    <xdr:col>1</xdr:col>
                    <xdr:colOff>0</xdr:colOff>
                    <xdr:row>7</xdr:row>
                    <xdr:rowOff>0</xdr:rowOff>
                  </from>
                  <to>
                    <xdr:col>2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19" name="Button 4">
              <controlPr defaultSize="0" print="0" autoFill="0" autoPict="0" macro="[0]!PRINT_SCH_M_2_2_SUMMARY">
                <anchor moveWithCells="1" sizeWithCells="1">
                  <from>
                    <xdr:col>0</xdr:col>
                    <xdr:colOff>754380</xdr:colOff>
                    <xdr:row>9</xdr:row>
                    <xdr:rowOff>7620</xdr:rowOff>
                  </from>
                  <to>
                    <xdr:col>2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20" name="Button 5">
              <controlPr defaultSize="0" print="0" autoFill="0" autoPict="0" macro="[0]!PRINT_SCH_M_2_2_DETAIL">
                <anchor moveWithCells="1" sizeWithCells="1">
                  <from>
                    <xdr:col>1</xdr:col>
                    <xdr:colOff>0</xdr:colOff>
                    <xdr:row>11</xdr:row>
                    <xdr:rowOff>0</xdr:rowOff>
                  </from>
                  <to>
                    <xdr:col>2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21" name="Button 6">
              <controlPr defaultSize="0" print="0" autoFill="0" autoPict="0" macro="[0]!PRINT_SCH_M_2_2_RESCURR">
                <anchor moveWithCells="1" sizeWithCells="1">
                  <from>
                    <xdr:col>3</xdr:col>
                    <xdr:colOff>0</xdr:colOff>
                    <xdr:row>7</xdr:row>
                    <xdr:rowOff>0</xdr:rowOff>
                  </from>
                  <to>
                    <xdr:col>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22" name="Button 7">
              <controlPr defaultSize="0" print="0" autoFill="0" autoPict="0" macro="[0]!PRINT_SCH_M_2_2_DSCURR">
                <anchor moveWithCells="1" sizeWithCells="1">
                  <from>
                    <xdr:col>3</xdr:col>
                    <xdr:colOff>0</xdr:colOff>
                    <xdr:row>8</xdr:row>
                    <xdr:rowOff>182880</xdr:rowOff>
                  </from>
                  <to>
                    <xdr:col>3</xdr:col>
                    <xdr:colOff>1089660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23" name="Button 8">
              <controlPr defaultSize="0" print="0" autoFill="0" autoPict="0" macro="[0]!PRINT_SCH_M_2_2_DTCURR_PRI">
                <anchor moveWithCells="1" sizeWithCells="1">
                  <from>
                    <xdr:col>3</xdr:col>
                    <xdr:colOff>0</xdr:colOff>
                    <xdr:row>11</xdr:row>
                    <xdr:rowOff>7620</xdr:rowOff>
                  </from>
                  <to>
                    <xdr:col>4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24" name="Button 9">
              <controlPr defaultSize="0" print="0" autoFill="0" autoPict="0" macro="[0]!PRINT_SCH_M_2_2_DPCURR">
                <anchor moveWithCells="1" sizeWithCells="1">
                  <from>
                    <xdr:col>5</xdr:col>
                    <xdr:colOff>0</xdr:colOff>
                    <xdr:row>9</xdr:row>
                    <xdr:rowOff>7620</xdr:rowOff>
                  </from>
                  <to>
                    <xdr:col>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25" name="Button 10">
              <controlPr defaultSize="0" print="0" autoFill="0" autoPict="0" macro="[0]!PRINT_SCH_M_2_2_GSFLCURR">
                <anchor moveWithCells="1" sizeWithCells="1">
                  <from>
                    <xdr:col>5</xdr:col>
                    <xdr:colOff>0</xdr:colOff>
                    <xdr:row>6</xdr:row>
                    <xdr:rowOff>190500</xdr:rowOff>
                  </from>
                  <to>
                    <xdr:col>6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26" name="Button 11">
              <controlPr defaultSize="0" print="0" autoFill="0" autoPict="0" macro="[0]!PRINT_SCH_M_2_2_EHCURR">
                <anchor moveWithCells="1" sizeWithCells="1">
                  <from>
                    <xdr:col>3</xdr:col>
                    <xdr:colOff>0</xdr:colOff>
                    <xdr:row>14</xdr:row>
                    <xdr:rowOff>182880</xdr:rowOff>
                  </from>
                  <to>
                    <xdr:col>4</xdr:col>
                    <xdr:colOff>7620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27" name="Button 12">
              <controlPr defaultSize="0" print="0" autoFill="0" autoPict="0" macro="[0]!PRINT_SCH_M_2_2_TTCURR">
                <anchor moveWithCells="1" sizeWithCells="1">
                  <from>
                    <xdr:col>4</xdr:col>
                    <xdr:colOff>1074420</xdr:colOff>
                    <xdr:row>10</xdr:row>
                    <xdr:rowOff>182880</xdr:rowOff>
                  </from>
                  <to>
                    <xdr:col>6</xdr:col>
                    <xdr:colOff>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28" name="Button 13">
              <controlPr defaultSize="0" print="0" autoFill="0" autoPict="0" macro="[0]!PRINT_SCH_M_2_2_SLCURR">
                <anchor moveWithCells="1" sizeWithCells="1">
                  <from>
                    <xdr:col>7</xdr:col>
                    <xdr:colOff>0</xdr:colOff>
                    <xdr:row>9</xdr:row>
                    <xdr:rowOff>7620</xdr:rowOff>
                  </from>
                  <to>
                    <xdr:col>8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29" name="Button 14">
              <controlPr defaultSize="0" print="0" autoFill="0" autoPict="0" macro="[0]!PRINT_SCH_M_2_2_SECURR">
                <anchor moveWithCells="1" sizeWithCells="1">
                  <from>
                    <xdr:col>9</xdr:col>
                    <xdr:colOff>22860</xdr:colOff>
                    <xdr:row>9</xdr:row>
                    <xdr:rowOff>7620</xdr:rowOff>
                  </from>
                  <to>
                    <xdr:col>10</xdr:col>
                    <xdr:colOff>7620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30" name="Button 15">
              <controlPr defaultSize="0" print="0" autoFill="0" autoPict="0" macro="[0]!PRINT_SCH_M_2_2_TLCURR">
                <anchor moveWithCells="1" sizeWithCells="1">
                  <from>
                    <xdr:col>7</xdr:col>
                    <xdr:colOff>0</xdr:colOff>
                    <xdr:row>11</xdr:row>
                    <xdr:rowOff>7620</xdr:rowOff>
                  </from>
                  <to>
                    <xdr:col>8</xdr:col>
                    <xdr:colOff>0</xdr:colOff>
                    <xdr:row>11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31" name="Button 17">
              <controlPr defaultSize="0" print="0" autoFill="0" autoPict="0" macro="[0]!PRINT_SCH_M_2_2_NSUCURR">
                <anchor moveWithCells="1" sizeWithCells="1">
                  <from>
                    <xdr:col>7</xdr:col>
                    <xdr:colOff>22860</xdr:colOff>
                    <xdr:row>15</xdr:row>
                    <xdr:rowOff>0</xdr:rowOff>
                  </from>
                  <to>
                    <xdr:col>8</xdr:col>
                    <xdr:colOff>22860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32" name="Button 19">
              <controlPr defaultSize="0" print="0" autoFill="0" autoPict="0" macro="[0]!PRINT_SCH_M_2_3">
                <anchor moveWithCells="1" sizeWithCells="1">
                  <from>
                    <xdr:col>11</xdr:col>
                    <xdr:colOff>0</xdr:colOff>
                    <xdr:row>7</xdr:row>
                    <xdr:rowOff>7620</xdr:rowOff>
                  </from>
                  <to>
                    <xdr:col>12</xdr:col>
                    <xdr:colOff>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33" name="Button 20">
              <controlPr defaultSize="0" print="0" autoFill="0" autoPict="0" macro="[0]!PRINT_SCH_M_2_3_SUMMARY">
                <anchor moveWithCells="1" sizeWithCells="1">
                  <from>
                    <xdr:col>10</xdr:col>
                    <xdr:colOff>746760</xdr:colOff>
                    <xdr:row>9</xdr:row>
                    <xdr:rowOff>0</xdr:rowOff>
                  </from>
                  <to>
                    <xdr:col>12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34" name="Button 21">
              <controlPr defaultSize="0" print="0" autoFill="0" autoPict="0" macro="[0]!PRINT_SCH_M_2_3_DETAIL">
                <anchor moveWithCells="1" sizeWithCells="1">
                  <from>
                    <xdr:col>11</xdr:col>
                    <xdr:colOff>0</xdr:colOff>
                    <xdr:row>11</xdr:row>
                    <xdr:rowOff>0</xdr:rowOff>
                  </from>
                  <to>
                    <xdr:col>12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35" name="Button 22">
              <controlPr defaultSize="0" print="0" autoFill="0" autoPict="0" macro="[0]!PRINT_SCH_M_2_3_RESPROP">
                <anchor moveWithCells="1" sizeWithCells="1">
                  <from>
                    <xdr:col>13</xdr:col>
                    <xdr:colOff>0</xdr:colOff>
                    <xdr:row>7</xdr:row>
                    <xdr:rowOff>7620</xdr:rowOff>
                  </from>
                  <to>
                    <xdr:col>14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36" name="Button 23">
              <controlPr defaultSize="0" print="0" autoFill="0" autoPict="0" macro="[0]!PRINT_SCH_M_2_3_DSPROP">
                <anchor moveWithCells="1" sizeWithCells="1">
                  <from>
                    <xdr:col>12</xdr:col>
                    <xdr:colOff>160020</xdr:colOff>
                    <xdr:row>8</xdr:row>
                    <xdr:rowOff>182880</xdr:rowOff>
                  </from>
                  <to>
                    <xdr:col>13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37" name="Button 24">
              <controlPr defaultSize="0" print="0" autoFill="0" autoPict="0" macro="[0]!PRINT_SCH_M_2_3_DTPROP_PRI">
                <anchor moveWithCells="1" sizeWithCells="1">
                  <from>
                    <xdr:col>12</xdr:col>
                    <xdr:colOff>160020</xdr:colOff>
                    <xdr:row>11</xdr:row>
                    <xdr:rowOff>0</xdr:rowOff>
                  </from>
                  <to>
                    <xdr:col>14</xdr:col>
                    <xdr:colOff>0</xdr:colOff>
                    <xdr:row>12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38" name="Button 25">
              <controlPr defaultSize="0" print="0" autoFill="0" autoPict="0" macro="[0]!PRINT_SCH_M_2_3_DPPROP">
                <anchor moveWithCells="1" sizeWithCells="1">
                  <from>
                    <xdr:col>15</xdr:col>
                    <xdr:colOff>0</xdr:colOff>
                    <xdr:row>9</xdr:row>
                    <xdr:rowOff>7620</xdr:rowOff>
                  </from>
                  <to>
                    <xdr:col>15</xdr:col>
                    <xdr:colOff>1089660</xdr:colOff>
                    <xdr:row>10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39" name="Button 26">
              <controlPr defaultSize="0" print="0" autoFill="0" autoPict="0" macro="[0]!PRINT_SCH_M_2_3_GSFLPROP">
                <anchor moveWithCells="1" sizeWithCells="1">
                  <from>
                    <xdr:col>15</xdr:col>
                    <xdr:colOff>0</xdr:colOff>
                    <xdr:row>7</xdr:row>
                    <xdr:rowOff>7620</xdr:rowOff>
                  </from>
                  <to>
                    <xdr:col>15</xdr:col>
                    <xdr:colOff>1089660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40" name="Button 27">
              <controlPr defaultSize="0" print="0" autoFill="0" autoPict="0" macro="[0]!PRINT_SCH_M_2_3_EHPROP">
                <anchor moveWithCells="1" sizeWithCells="1">
                  <from>
                    <xdr:col>13</xdr:col>
                    <xdr:colOff>0</xdr:colOff>
                    <xdr:row>15</xdr:row>
                    <xdr:rowOff>0</xdr:rowOff>
                  </from>
                  <to>
                    <xdr:col>13</xdr:col>
                    <xdr:colOff>1089660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41" name="Button 28">
              <controlPr defaultSize="0" print="0" autoFill="0" autoPict="0" macro="[0]!PRINT_SCH_M_2_3_TTPROP">
                <anchor moveWithCells="1" sizeWithCells="1">
                  <from>
                    <xdr:col>15</xdr:col>
                    <xdr:colOff>7620</xdr:colOff>
                    <xdr:row>11</xdr:row>
                    <xdr:rowOff>7620</xdr:rowOff>
                  </from>
                  <to>
                    <xdr:col>15</xdr:col>
                    <xdr:colOff>1089660</xdr:colOff>
                    <xdr:row>11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42" name="Button 29">
              <controlPr defaultSize="0" print="0" autoFill="0" autoPict="0" macro="[0]!PRINT_SCH_M_2_3_SLPROP">
                <anchor moveWithCells="1" sizeWithCells="1">
                  <from>
                    <xdr:col>17</xdr:col>
                    <xdr:colOff>0</xdr:colOff>
                    <xdr:row>9</xdr:row>
                    <xdr:rowOff>7620</xdr:rowOff>
                  </from>
                  <to>
                    <xdr:col>18</xdr:col>
                    <xdr:colOff>22860</xdr:colOff>
                    <xdr:row>9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43" name="Button 30">
              <controlPr defaultSize="0" print="0" autoFill="0" autoPict="0" macro="[0]!PRINT_SCH_M_2_3_SEPROP">
                <anchor moveWithCells="1" sizeWithCells="1">
                  <from>
                    <xdr:col>19</xdr:col>
                    <xdr:colOff>30480</xdr:colOff>
                    <xdr:row>8</xdr:row>
                    <xdr:rowOff>152400</xdr:rowOff>
                  </from>
                  <to>
                    <xdr:col>20</xdr:col>
                    <xdr:colOff>7620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44" name="Button 31">
              <controlPr defaultSize="0" print="0" autoFill="0" autoPict="0" macro="[0]!PRINT_SCH_M_2_3_TLPROP">
                <anchor moveWithCells="1" sizeWithCells="1">
                  <from>
                    <xdr:col>17</xdr:col>
                    <xdr:colOff>7620</xdr:colOff>
                    <xdr:row>11</xdr:row>
                    <xdr:rowOff>7620</xdr:rowOff>
                  </from>
                  <to>
                    <xdr:col>18</xdr:col>
                    <xdr:colOff>7620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45" name="Button 33">
              <controlPr defaultSize="0" print="0" autoFill="0" autoPict="0" macro="[0]!PRINT_SCH_M_2_3_NSUPROP">
                <anchor moveWithCells="1" sizeWithCells="1">
                  <from>
                    <xdr:col>17</xdr:col>
                    <xdr:colOff>38100</xdr:colOff>
                    <xdr:row>15</xdr:row>
                    <xdr:rowOff>7620</xdr:rowOff>
                  </from>
                  <to>
                    <xdr:col>18</xdr:col>
                    <xdr:colOff>38100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46" name="Button 35">
              <controlPr defaultSize="0" print="0" autoFill="0" autoPict="0" macro="[0]!PRINT_SCH_M_2_1">
                <anchor moveWithCells="1" sizeWithCells="1">
                  <from>
                    <xdr:col>8</xdr:col>
                    <xdr:colOff>0</xdr:colOff>
                    <xdr:row>2</xdr:row>
                    <xdr:rowOff>213360</xdr:rowOff>
                  </from>
                  <to>
                    <xdr:col>13</xdr:col>
                    <xdr:colOff>7620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47" name="Button 36">
              <controlPr defaultSize="0" print="0" autoFill="0" autoPict="0" macro="[0]!PRINT_SCH_M_2_2_SCCURR">
                <anchor moveWithCells="1" sizeWithCells="1">
                  <from>
                    <xdr:col>9</xdr:col>
                    <xdr:colOff>7620</xdr:colOff>
                    <xdr:row>7</xdr:row>
                    <xdr:rowOff>7620</xdr:rowOff>
                  </from>
                  <to>
                    <xdr:col>10</xdr:col>
                    <xdr:colOff>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8" name="Button 37">
              <controlPr defaultSize="0" print="0" autoFill="0" autoPict="0" macro="[0]!PRINT_SCH_M_2_3_SCPROP">
                <anchor moveWithCells="1" sizeWithCells="1">
                  <from>
                    <xdr:col>19</xdr:col>
                    <xdr:colOff>7620</xdr:colOff>
                    <xdr:row>7</xdr:row>
                    <xdr:rowOff>7620</xdr:rowOff>
                  </from>
                  <to>
                    <xdr:col>20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9" name="Button 38">
              <controlPr defaultSize="0" print="0" autoFill="0" autoPict="0" macro="[0]!PRINT_RTP_CURRENT">
                <anchor moveWithCells="1" sizeWithCells="1">
                  <from>
                    <xdr:col>0</xdr:col>
                    <xdr:colOff>746760</xdr:colOff>
                    <xdr:row>13</xdr:row>
                    <xdr:rowOff>7620</xdr:rowOff>
                  </from>
                  <to>
                    <xdr:col>2</xdr:col>
                    <xdr:colOff>7620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50" name="Button 39">
              <controlPr defaultSize="0" print="0" autoFill="0" autoPict="0" macro="[0]!PRINT_RTP_DETAIL">
                <anchor moveWithCells="1" sizeWithCells="1">
                  <from>
                    <xdr:col>11</xdr:col>
                    <xdr:colOff>0</xdr:colOff>
                    <xdr:row>13</xdr:row>
                    <xdr:rowOff>22860</xdr:rowOff>
                  </from>
                  <to>
                    <xdr:col>12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51" name="Button 40">
              <controlPr defaultSize="0" print="0" autoFill="0" autoPict="0" macro="[0]!PRINT_SCH_M_2_3_DTPROP_SEC">
                <anchor moveWithCells="1" sizeWithCells="1">
                  <from>
                    <xdr:col>13</xdr:col>
                    <xdr:colOff>7620</xdr:colOff>
                    <xdr:row>13</xdr:row>
                    <xdr:rowOff>0</xdr:rowOff>
                  </from>
                  <to>
                    <xdr:col>14</xdr:col>
                    <xdr:colOff>0</xdr:colOff>
                    <xdr:row>13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52" name="Button 41">
              <controlPr defaultSize="0" print="0" autoFill="0" autoPict="0" macro="[0]!PRINT_SCH_M_2_2_DTCURR_SEC">
                <anchor moveWithCells="1" sizeWithCells="1">
                  <from>
                    <xdr:col>2</xdr:col>
                    <xdr:colOff>1089660</xdr:colOff>
                    <xdr:row>12</xdr:row>
                    <xdr:rowOff>182880</xdr:rowOff>
                  </from>
                  <to>
                    <xdr:col>4</xdr:col>
                    <xdr:colOff>7620</xdr:colOff>
                    <xdr:row>13</xdr:row>
                    <xdr:rowOff>487680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53" name="Button 43">
              <controlPr defaultSize="0" print="0" autoFill="0" autoPict="0" macro="[0]!PRINT_SCH_M_2_3_UOLSPROP">
                <anchor moveWithCells="1" sizeWithCells="1">
                  <from>
                    <xdr:col>17</xdr:col>
                    <xdr:colOff>22860</xdr:colOff>
                    <xdr:row>13</xdr:row>
                    <xdr:rowOff>7620</xdr:rowOff>
                  </from>
                  <to>
                    <xdr:col>18</xdr:col>
                    <xdr:colOff>22860</xdr:colOff>
                    <xdr:row>13</xdr:row>
                    <xdr:rowOff>502920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54" name="Button 46">
              <controlPr defaultSize="0" print="0" autoFill="0" autoPict="0" macro="[0]!PRINT_SCH_M_2_2_UOLSCURR">
                <anchor moveWithCells="1" sizeWithCells="1">
                  <from>
                    <xdr:col>7</xdr:col>
                    <xdr:colOff>7620</xdr:colOff>
                    <xdr:row>13</xdr:row>
                    <xdr:rowOff>0</xdr:rowOff>
                  </from>
                  <to>
                    <xdr:col>8</xdr:col>
                    <xdr:colOff>0</xdr:colOff>
                    <xdr:row>14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5" name="Button 47">
              <controlPr defaultSize="0" print="0" autoFill="0" autoPict="0" macro="[0]!PRINT_SCH_M_2_2_DTRTP_P_CURR">
                <anchor moveWithCells="1" sizeWithCells="1">
                  <from>
                    <xdr:col>4</xdr:col>
                    <xdr:colOff>1089660</xdr:colOff>
                    <xdr:row>13</xdr:row>
                    <xdr:rowOff>0</xdr:rowOff>
                  </from>
                  <to>
                    <xdr:col>6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6" name="Button 48">
              <controlPr defaultSize="0" print="0" autoFill="0" autoPict="0" macro="[0]!PRINT_SCH_M_2_2_DTRTP_S_CURR">
                <anchor moveWithCells="1" sizeWithCells="1">
                  <from>
                    <xdr:col>5</xdr:col>
                    <xdr:colOff>7620</xdr:colOff>
                    <xdr:row>15</xdr:row>
                    <xdr:rowOff>0</xdr:rowOff>
                  </from>
                  <to>
                    <xdr:col>6</xdr:col>
                    <xdr:colOff>0</xdr:colOff>
                    <xdr:row>15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7" name="Button 49">
              <controlPr defaultSize="0" print="0" autoFill="0" autoPict="0" macro="[0]!PRINT_SCH_M_2_2_DSRTP_CURR">
                <anchor moveWithCells="1" sizeWithCells="1">
                  <from>
                    <xdr:col>7</xdr:col>
                    <xdr:colOff>7620</xdr:colOff>
                    <xdr:row>7</xdr:row>
                    <xdr:rowOff>7620</xdr:rowOff>
                  </from>
                  <to>
                    <xdr:col>8</xdr:col>
                    <xdr:colOff>7620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8" name="Button 51">
              <controlPr defaultSize="0" print="0" autoFill="0" autoPict="0" macro="[0]!PRINT_SCH_M_2_3_DTRTP_P_PROP">
                <anchor moveWithCells="1" sizeWithCells="1">
                  <from>
                    <xdr:col>14</xdr:col>
                    <xdr:colOff>175260</xdr:colOff>
                    <xdr:row>13</xdr:row>
                    <xdr:rowOff>7620</xdr:rowOff>
                  </from>
                  <to>
                    <xdr:col>15</xdr:col>
                    <xdr:colOff>1089660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9" name="Button 52">
              <controlPr defaultSize="0" print="0" autoFill="0" autoPict="0" macro="[0]!PRINT_SCH_M_2_3_DTRTP_S_PROP">
                <anchor moveWithCells="1" sizeWithCells="1">
                  <from>
                    <xdr:col>14</xdr:col>
                    <xdr:colOff>152400</xdr:colOff>
                    <xdr:row>15</xdr:row>
                    <xdr:rowOff>7620</xdr:rowOff>
                  </from>
                  <to>
                    <xdr:col>16</xdr:col>
                    <xdr:colOff>7620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60" name="Button 53">
              <controlPr defaultSize="0" print="0" autoFill="0" autoPict="0" macro="[0]!PRINT_SCH_M_2_3_DSRTP_PROP">
                <anchor moveWithCells="1" sizeWithCells="1">
                  <from>
                    <xdr:col>16</xdr:col>
                    <xdr:colOff>1074420</xdr:colOff>
                    <xdr:row>7</xdr:row>
                    <xdr:rowOff>7620</xdr:rowOff>
                  </from>
                  <to>
                    <xdr:col>18</xdr:col>
                    <xdr:colOff>7620</xdr:colOff>
                    <xdr:row>7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61" name="Button 54">
              <controlPr defaultSize="0" print="0" autoFill="0" autoPict="0" macro="[0]!PRINT_SCH_M_2_2_LEDCURR">
                <anchor moveWithCells="1" sizeWithCells="1">
                  <from>
                    <xdr:col>9</xdr:col>
                    <xdr:colOff>22860</xdr:colOff>
                    <xdr:row>11</xdr:row>
                    <xdr:rowOff>7620</xdr:rowOff>
                  </from>
                  <to>
                    <xdr:col>10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62" name="Button 56">
              <controlPr defaultSize="0" print="0" autoFill="0" autoPict="0" macro="[0]!PRINT_SCH_M_2_3_LEDPROP">
                <anchor moveWithCells="1" sizeWithCells="1">
                  <from>
                    <xdr:col>19</xdr:col>
                    <xdr:colOff>22860</xdr:colOff>
                    <xdr:row>11</xdr:row>
                    <xdr:rowOff>7620</xdr:rowOff>
                  </from>
                  <to>
                    <xdr:col>20</xdr:col>
                    <xdr:colOff>7620</xdr:colOff>
                    <xdr:row>12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syncVertical="1" syncRef="A1" transitionEvaluation="1" transitionEntry="1" codeName="Sheet13">
    <pageSetUpPr fitToPage="1"/>
  </sheetPr>
  <dimension ref="A1:BY1067"/>
  <sheetViews>
    <sheetView zoomScale="75" zoomScaleNormal="75" workbookViewId="0"/>
  </sheetViews>
  <sheetFormatPr defaultColWidth="8.9140625" defaultRowHeight="15.6" x14ac:dyDescent="0.3"/>
  <cols>
    <col min="1" max="1" width="5.25" style="98" customWidth="1"/>
    <col min="2" max="2" width="0.4140625" style="98" customWidth="1"/>
    <col min="3" max="3" width="9.4140625" style="98" customWidth="1"/>
    <col min="4" max="4" width="36.6640625" style="98" customWidth="1"/>
    <col min="5" max="5" width="0.582031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1.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5" style="98" customWidth="1"/>
    <col min="15" max="15" width="0.58203125" style="98" customWidth="1"/>
    <col min="16" max="16" width="15.6640625" style="98" customWidth="1"/>
    <col min="17" max="17" width="0.58203125" style="98" customWidth="1"/>
    <col min="18" max="18" width="16.4140625" style="98" customWidth="1"/>
    <col min="19" max="19" width="6.75" style="98" customWidth="1"/>
    <col min="20" max="20" width="6.25" style="98" customWidth="1"/>
    <col min="21" max="21" width="0.58203125" style="98" customWidth="1"/>
    <col min="22" max="22" width="7.08203125" style="98" customWidth="1"/>
    <col min="23" max="23" width="33" style="98" customWidth="1"/>
    <col min="24" max="24" width="0.58203125" style="98" customWidth="1"/>
    <col min="25" max="25" width="13.25" style="98" customWidth="1"/>
    <col min="26" max="26" width="1" style="98" customWidth="1"/>
    <col min="27" max="27" width="14.58203125" style="98" customWidth="1"/>
    <col min="28" max="28" width="0.6640625" style="98" customWidth="1"/>
    <col min="29" max="29" width="13.33203125" style="98" customWidth="1"/>
    <col min="30" max="30" width="0.6640625" style="98" customWidth="1"/>
    <col min="31" max="31" width="14.33203125" style="98" customWidth="1"/>
    <col min="32" max="32" width="0.9140625" style="98" customWidth="1"/>
    <col min="33" max="33" width="12.9140625" style="148" customWidth="1"/>
    <col min="34" max="34" width="0.75" style="98" customWidth="1"/>
    <col min="35" max="35" width="14.75" style="98" customWidth="1"/>
    <col min="36" max="36" width="0.6640625" style="98" customWidth="1"/>
    <col min="37" max="37" width="14.33203125" style="148" customWidth="1"/>
    <col min="38" max="38" width="0.75" style="98" customWidth="1"/>
    <col min="39" max="39" width="12.4140625" style="98" customWidth="1"/>
    <col min="40" max="40" width="0.58203125" style="98" customWidth="1"/>
    <col min="41" max="41" width="12.08203125" style="98" customWidth="1"/>
    <col min="42" max="42" width="0.58203125" style="98" customWidth="1"/>
    <col min="43" max="43" width="13.25" style="194" customWidth="1"/>
    <col min="44" max="44" width="0.6640625" style="98" customWidth="1"/>
    <col min="45" max="45" width="11.25" style="98" customWidth="1"/>
    <col min="46" max="46" width="14.75" style="98" customWidth="1"/>
    <col min="47" max="47" width="4.75" style="98" customWidth="1"/>
    <col min="48" max="48" width="5.75" style="98" customWidth="1"/>
    <col min="49" max="49" width="10.75" style="98" customWidth="1"/>
    <col min="50" max="50" width="11.75" style="98" customWidth="1"/>
    <col min="51" max="51" width="12.75" style="98" customWidth="1"/>
    <col min="52" max="54" width="15.75" style="98" customWidth="1"/>
    <col min="55" max="55" width="12.75" style="98" customWidth="1"/>
    <col min="56" max="58" width="15.75" style="98" customWidth="1"/>
    <col min="59" max="59" width="12.75" style="98" customWidth="1"/>
    <col min="60" max="61" width="9.75" style="98"/>
    <col min="62" max="64" width="12.75" style="98" customWidth="1"/>
    <col min="65" max="65" width="14.75" style="98" customWidth="1"/>
    <col min="66" max="67" width="9.75" style="98"/>
    <col min="68" max="70" width="12.75" style="98" customWidth="1"/>
    <col min="71" max="71" width="14.75" style="98" customWidth="1"/>
    <col min="72" max="78" width="9.75" style="98"/>
    <col min="79" max="79" width="1.75" style="98" customWidth="1"/>
    <col min="80" max="81" width="9.75" style="98"/>
    <col min="82" max="82" width="10.75" style="98" customWidth="1"/>
    <col min="83" max="84" width="9.75" style="98"/>
    <col min="85" max="85" width="7.75" style="98" customWidth="1"/>
    <col min="86" max="16384" width="8.9140625" style="98"/>
  </cols>
  <sheetData>
    <row r="1" spans="1:42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AA1" s="98" t="s">
        <v>539</v>
      </c>
      <c r="AG1" s="303">
        <f>'[1]Rate SL'!AG1</f>
        <v>0.14260999999999999</v>
      </c>
    </row>
    <row r="2" spans="1:42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AC2" s="264"/>
      <c r="AE2" s="99"/>
    </row>
    <row r="3" spans="1:42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AC3" s="265"/>
      <c r="AE3" s="99"/>
    </row>
    <row r="4" spans="1:42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AA4" s="98" t="s">
        <v>282</v>
      </c>
      <c r="AI4" s="98" t="s">
        <v>297</v>
      </c>
    </row>
    <row r="5" spans="1:42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252" t="s">
        <v>283</v>
      </c>
      <c r="AC5" s="163">
        <v>4.84</v>
      </c>
      <c r="AE5" s="234">
        <f t="shared" ref="AE5:AE18" si="0">ROUND(AC5*$AG$1,2)</f>
        <v>0.69</v>
      </c>
      <c r="AG5" s="266">
        <f t="shared" ref="AG5:AG18" si="1">AC5+AE5</f>
        <v>5.5299999999999994</v>
      </c>
      <c r="AI5" s="98">
        <v>3</v>
      </c>
      <c r="AM5" s="99"/>
      <c r="AN5" s="99"/>
    </row>
    <row r="6" spans="1:42" x14ac:dyDescent="0.3">
      <c r="A6" s="98" t="str">
        <f>DATA_PERIOD</f>
        <v>DATA: __X__ BASE PERIOD   ____FORECASTED PERIOD</v>
      </c>
      <c r="R6" s="99" t="s">
        <v>156</v>
      </c>
      <c r="AA6" s="252" t="s">
        <v>284</v>
      </c>
      <c r="AC6" s="163">
        <v>4.78</v>
      </c>
      <c r="AE6" s="234">
        <f t="shared" si="0"/>
        <v>0.68</v>
      </c>
      <c r="AG6" s="266">
        <f t="shared" si="1"/>
        <v>5.46</v>
      </c>
      <c r="AI6" s="98">
        <v>4</v>
      </c>
      <c r="AM6" s="99"/>
      <c r="AN6" s="99"/>
    </row>
    <row r="7" spans="1:42" x14ac:dyDescent="0.3">
      <c r="A7" s="98" t="str">
        <f>TYPE</f>
        <v>TYPE OF FILING: _X_ ORIGINAL   ___UPDATED  ___ REVISED</v>
      </c>
      <c r="R7" s="116" t="str">
        <f>"PAGE 13 OF "&amp;TEXT(Page_Num_2.3,"00")</f>
        <v>PAGE 13 OF 24</v>
      </c>
      <c r="AA7" s="252" t="s">
        <v>285</v>
      </c>
      <c r="AC7" s="163">
        <v>4.84</v>
      </c>
      <c r="AE7" s="234">
        <f t="shared" si="0"/>
        <v>0.69</v>
      </c>
      <c r="AG7" s="266">
        <f t="shared" si="1"/>
        <v>5.5299999999999994</v>
      </c>
      <c r="AI7" s="98">
        <v>5</v>
      </c>
      <c r="AM7" s="99"/>
      <c r="AN7" s="99"/>
    </row>
    <row r="8" spans="1:42" x14ac:dyDescent="0.3">
      <c r="A8" s="99" t="s">
        <v>170</v>
      </c>
      <c r="R8" s="99" t="s">
        <v>3</v>
      </c>
      <c r="AA8" s="252" t="s">
        <v>286</v>
      </c>
      <c r="AC8" s="163">
        <v>5.8</v>
      </c>
      <c r="AE8" s="234">
        <f t="shared" si="0"/>
        <v>0.83</v>
      </c>
      <c r="AG8" s="266">
        <f t="shared" si="1"/>
        <v>6.63</v>
      </c>
      <c r="AI8" s="98">
        <v>6</v>
      </c>
      <c r="AM8" s="99"/>
      <c r="AN8" s="99"/>
    </row>
    <row r="9" spans="1:42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AA9" s="252" t="s">
        <v>287</v>
      </c>
      <c r="AC9" s="163">
        <v>13.16</v>
      </c>
      <c r="AE9" s="234">
        <f t="shared" si="0"/>
        <v>1.88</v>
      </c>
      <c r="AG9" s="266">
        <f t="shared" si="1"/>
        <v>15.04</v>
      </c>
      <c r="AI9" s="98">
        <v>7</v>
      </c>
    </row>
    <row r="10" spans="1:42" ht="15" customHeight="1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AA10" s="252" t="s">
        <v>288</v>
      </c>
      <c r="AC10" s="163">
        <v>7.63</v>
      </c>
      <c r="AE10" s="234">
        <f t="shared" si="0"/>
        <v>1.0900000000000001</v>
      </c>
      <c r="AG10" s="266">
        <f t="shared" si="1"/>
        <v>8.7200000000000006</v>
      </c>
      <c r="AI10" s="98">
        <v>8</v>
      </c>
    </row>
    <row r="11" spans="1:42" x14ac:dyDescent="0.3">
      <c r="A11" s="101"/>
      <c r="B11" s="101"/>
      <c r="C11" s="101"/>
      <c r="D11" s="101"/>
      <c r="E11" s="101"/>
      <c r="G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T11" s="101"/>
      <c r="U11" s="101"/>
      <c r="V11" s="101"/>
      <c r="W11" s="101"/>
      <c r="X11" s="101"/>
      <c r="Y11" s="101"/>
      <c r="Z11" s="101"/>
      <c r="AA11" s="252" t="s">
        <v>289</v>
      </c>
      <c r="AB11" s="101"/>
      <c r="AC11" s="163">
        <v>7.71</v>
      </c>
      <c r="AD11" s="101"/>
      <c r="AE11" s="234">
        <f t="shared" si="0"/>
        <v>1.1000000000000001</v>
      </c>
      <c r="AF11" s="101"/>
      <c r="AG11" s="266">
        <f t="shared" si="1"/>
        <v>8.81</v>
      </c>
      <c r="AH11" s="101"/>
      <c r="AI11" s="267" t="s">
        <v>330</v>
      </c>
      <c r="AJ11" s="101"/>
      <c r="AL11" s="101"/>
      <c r="AM11" s="101"/>
      <c r="AN11" s="101"/>
      <c r="AO11" s="101"/>
      <c r="AP11" s="101"/>
    </row>
    <row r="12" spans="1:42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AA12" s="252" t="s">
        <v>290</v>
      </c>
      <c r="AC12" s="163">
        <v>15.24</v>
      </c>
      <c r="AE12" s="234">
        <f t="shared" si="0"/>
        <v>2.17</v>
      </c>
      <c r="AG12" s="266">
        <f t="shared" si="1"/>
        <v>17.41</v>
      </c>
      <c r="AH12" s="102"/>
      <c r="AI12" s="252">
        <v>9</v>
      </c>
      <c r="AJ12" s="102"/>
      <c r="AM12" s="102"/>
      <c r="AN12" s="102"/>
      <c r="AO12" s="102"/>
      <c r="AP12" s="102"/>
    </row>
    <row r="13" spans="1:42" x14ac:dyDescent="0.3">
      <c r="L13" s="102" t="s">
        <v>12</v>
      </c>
      <c r="M13" s="102"/>
      <c r="N13" s="102" t="s">
        <v>13</v>
      </c>
      <c r="O13" s="102"/>
      <c r="R13" s="102" t="s">
        <v>11</v>
      </c>
      <c r="AA13" s="252" t="s">
        <v>291</v>
      </c>
      <c r="AC13" s="163">
        <v>4.84</v>
      </c>
      <c r="AE13" s="234">
        <f t="shared" si="0"/>
        <v>0.69</v>
      </c>
      <c r="AF13" s="102"/>
      <c r="AG13" s="266">
        <f t="shared" si="1"/>
        <v>5.5299999999999994</v>
      </c>
      <c r="AH13" s="102"/>
      <c r="AI13" s="252">
        <v>10</v>
      </c>
      <c r="AJ13" s="102"/>
      <c r="AM13" s="102"/>
      <c r="AN13" s="102"/>
      <c r="AO13" s="102"/>
      <c r="AP13" s="102"/>
    </row>
    <row r="14" spans="1:42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102"/>
      <c r="U14" s="102"/>
      <c r="V14" s="102"/>
      <c r="AA14" s="252" t="s">
        <v>296</v>
      </c>
      <c r="AC14" s="163">
        <v>14.15</v>
      </c>
      <c r="AE14" s="234">
        <f t="shared" si="0"/>
        <v>2.02</v>
      </c>
      <c r="AF14" s="102"/>
      <c r="AG14" s="266">
        <f t="shared" si="1"/>
        <v>16.170000000000002</v>
      </c>
      <c r="AH14" s="102"/>
      <c r="AI14" s="252">
        <v>11</v>
      </c>
      <c r="AJ14" s="102"/>
      <c r="AL14" s="102"/>
      <c r="AM14" s="102"/>
      <c r="AN14" s="102"/>
      <c r="AO14" s="102"/>
      <c r="AP14" s="102"/>
    </row>
    <row r="15" spans="1:42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325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102"/>
      <c r="U15" s="102"/>
      <c r="V15" s="102"/>
      <c r="AA15" s="252" t="s">
        <v>292</v>
      </c>
      <c r="AC15" s="163">
        <v>9.2100000000000009</v>
      </c>
      <c r="AE15" s="234">
        <f t="shared" si="0"/>
        <v>1.31</v>
      </c>
      <c r="AF15" s="102"/>
      <c r="AG15" s="266">
        <f t="shared" si="1"/>
        <v>10.520000000000001</v>
      </c>
      <c r="AH15" s="102"/>
      <c r="AI15" s="252">
        <v>12</v>
      </c>
      <c r="AJ15" s="102"/>
      <c r="AL15" s="102"/>
      <c r="AM15" s="102"/>
      <c r="AN15" s="102"/>
      <c r="AO15" s="102"/>
      <c r="AP15" s="102"/>
    </row>
    <row r="16" spans="1:42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T16" s="101"/>
      <c r="U16" s="101"/>
      <c r="V16" s="101"/>
      <c r="W16" s="101"/>
      <c r="X16" s="101"/>
      <c r="Y16" s="101"/>
      <c r="Z16" s="101"/>
      <c r="AA16" s="252" t="s">
        <v>293</v>
      </c>
      <c r="AC16" s="163">
        <v>9.4600000000000009</v>
      </c>
      <c r="AE16" s="234">
        <f t="shared" si="0"/>
        <v>1.35</v>
      </c>
      <c r="AF16" s="102"/>
      <c r="AG16" s="266">
        <f t="shared" si="1"/>
        <v>10.81</v>
      </c>
      <c r="AH16" s="101"/>
      <c r="AI16" s="252">
        <v>13</v>
      </c>
      <c r="AJ16" s="101"/>
      <c r="AL16" s="101"/>
      <c r="AM16" s="101"/>
      <c r="AN16" s="101"/>
      <c r="AO16" s="101"/>
      <c r="AP16" s="101"/>
    </row>
    <row r="17" spans="1:45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69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Y17" s="102"/>
      <c r="AA17" s="252" t="s">
        <v>294</v>
      </c>
      <c r="AC17" s="163">
        <v>12.44</v>
      </c>
      <c r="AE17" s="234">
        <f t="shared" si="0"/>
        <v>1.77</v>
      </c>
      <c r="AF17" s="102"/>
      <c r="AG17" s="266">
        <f t="shared" si="1"/>
        <v>14.209999999999999</v>
      </c>
      <c r="AH17" s="102"/>
      <c r="AI17" s="252">
        <v>16</v>
      </c>
      <c r="AJ17" s="102"/>
      <c r="AL17" s="102"/>
      <c r="AM17" s="102"/>
      <c r="AN17" s="102"/>
      <c r="AO17" s="102"/>
      <c r="AP17" s="102"/>
    </row>
    <row r="18" spans="1:45" x14ac:dyDescent="0.3">
      <c r="A18" s="268">
        <v>1</v>
      </c>
      <c r="C18" s="124" t="s">
        <v>77</v>
      </c>
      <c r="D18" s="169" t="s">
        <v>259</v>
      </c>
      <c r="E18" s="9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99"/>
      <c r="U18" s="99"/>
      <c r="Y18" s="102"/>
      <c r="AA18" s="252" t="s">
        <v>295</v>
      </c>
      <c r="AC18" s="163">
        <v>18.36</v>
      </c>
      <c r="AE18" s="234">
        <f t="shared" si="0"/>
        <v>2.62</v>
      </c>
      <c r="AG18" s="266">
        <f t="shared" si="1"/>
        <v>20.98</v>
      </c>
      <c r="AI18" s="98">
        <v>17</v>
      </c>
    </row>
    <row r="19" spans="1:45" x14ac:dyDescent="0.3">
      <c r="A19" s="268">
        <v>2</v>
      </c>
      <c r="C19" s="124" t="s">
        <v>79</v>
      </c>
      <c r="D19" s="134"/>
      <c r="F19" s="147"/>
      <c r="G19" s="1"/>
      <c r="H19" s="147"/>
      <c r="I19" s="147"/>
      <c r="J19" s="171"/>
      <c r="K19" s="171"/>
      <c r="L19" s="106"/>
      <c r="M19" s="106"/>
      <c r="N19" s="175"/>
      <c r="O19" s="175"/>
      <c r="P19" s="106"/>
      <c r="Q19" s="106"/>
      <c r="R19" s="106"/>
      <c r="S19" s="110"/>
      <c r="V19" s="192"/>
      <c r="Y19" s="102"/>
      <c r="AH19" s="110"/>
      <c r="AL19" s="110"/>
      <c r="AM19" s="110"/>
      <c r="AN19" s="110"/>
    </row>
    <row r="20" spans="1:45" x14ac:dyDescent="0.3">
      <c r="A20" s="268">
        <v>3</v>
      </c>
      <c r="C20" s="169" t="s">
        <v>201</v>
      </c>
      <c r="D20" s="13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10"/>
      <c r="V20" s="192"/>
      <c r="AA20" s="102"/>
      <c r="AC20" s="98" t="s">
        <v>520</v>
      </c>
      <c r="AF20" s="172"/>
      <c r="AG20" s="190"/>
      <c r="AH20" s="192"/>
      <c r="AK20" s="194"/>
      <c r="AL20" s="192"/>
      <c r="AM20" s="192"/>
      <c r="AN20" s="192"/>
      <c r="AO20" s="141"/>
      <c r="AP20" s="141"/>
    </row>
    <row r="21" spans="1:45" x14ac:dyDescent="0.3">
      <c r="A21" s="268">
        <v>4</v>
      </c>
      <c r="C21" s="116" t="s">
        <v>206</v>
      </c>
      <c r="F21" s="172">
        <v>45142</v>
      </c>
      <c r="G21" s="1"/>
      <c r="H21" s="172">
        <f>ROUND(F21*AC21/12,0)</f>
        <v>3020752</v>
      </c>
      <c r="I21" s="147"/>
      <c r="J21" s="228">
        <f>ROUND(AC175+(AC175*$AG$1),2)</f>
        <v>13.13</v>
      </c>
      <c r="K21" s="242"/>
      <c r="L21" s="106">
        <f>ROUND((F21*J21),0)</f>
        <v>592714</v>
      </c>
      <c r="M21" s="106"/>
      <c r="N21" s="175">
        <f>ROUND((L21/L$139)*100,1)</f>
        <v>36.6</v>
      </c>
      <c r="O21" s="175"/>
      <c r="P21" s="106">
        <f>ROUND($P$139/$H$139*H21,0)</f>
        <v>10534</v>
      </c>
      <c r="Q21" s="106"/>
      <c r="R21" s="106">
        <f>L21+P21</f>
        <v>603248</v>
      </c>
      <c r="S21" s="3"/>
      <c r="V21" s="228"/>
      <c r="Y21" s="304"/>
      <c r="AA21" s="172"/>
      <c r="AB21" s="217"/>
      <c r="AC21" s="192">
        <v>803</v>
      </c>
      <c r="AD21" s="192"/>
      <c r="AE21" s="192"/>
      <c r="AF21" s="192"/>
      <c r="AG21" s="194"/>
      <c r="AH21" s="192"/>
      <c r="AK21" s="194"/>
      <c r="AL21" s="192"/>
      <c r="AM21" s="192"/>
      <c r="AN21" s="192"/>
      <c r="AO21" s="269"/>
      <c r="AP21" s="141"/>
    </row>
    <row r="22" spans="1:45" x14ac:dyDescent="0.3">
      <c r="A22" s="268">
        <v>5</v>
      </c>
      <c r="C22" s="116" t="s">
        <v>205</v>
      </c>
      <c r="F22" s="172">
        <v>48</v>
      </c>
      <c r="G22" s="1"/>
      <c r="H22" s="172">
        <f t="shared" ref="H22:H40" si="2">ROUND(F22*AC22/12,0)</f>
        <v>3412</v>
      </c>
      <c r="I22" s="147"/>
      <c r="J22" s="228">
        <f>ROUND(AC176+(AC176*$AG$1),2)</f>
        <v>11.16</v>
      </c>
      <c r="K22" s="242"/>
      <c r="L22" s="106">
        <f>ROUND((F22*J22),0)</f>
        <v>536</v>
      </c>
      <c r="M22" s="106"/>
      <c r="N22" s="175">
        <f>ROUND((L22/L$139)*100,1)</f>
        <v>0</v>
      </c>
      <c r="O22" s="175"/>
      <c r="P22" s="106">
        <f>ROUND($P$139/$H$139*H22,0)</f>
        <v>12</v>
      </c>
      <c r="Q22" s="106"/>
      <c r="R22" s="106">
        <f>L22+P22</f>
        <v>548</v>
      </c>
      <c r="S22" s="3"/>
      <c r="V22" s="228"/>
      <c r="Y22" s="304"/>
      <c r="AA22" s="172"/>
      <c r="AB22" s="217"/>
      <c r="AC22" s="110">
        <v>853</v>
      </c>
      <c r="AD22" s="110"/>
      <c r="AE22" s="141"/>
      <c r="AF22" s="141"/>
      <c r="AH22" s="110"/>
      <c r="AL22" s="110"/>
      <c r="AM22" s="110"/>
      <c r="AN22" s="110"/>
      <c r="AO22" s="269"/>
      <c r="AP22" s="141"/>
    </row>
    <row r="23" spans="1:45" x14ac:dyDescent="0.3">
      <c r="A23" s="268">
        <v>6</v>
      </c>
      <c r="C23" s="116" t="s">
        <v>207</v>
      </c>
      <c r="F23" s="172">
        <v>1453</v>
      </c>
      <c r="G23" s="1"/>
      <c r="H23" s="172">
        <f t="shared" si="2"/>
        <v>138519</v>
      </c>
      <c r="I23" s="147"/>
      <c r="J23" s="228">
        <f>ROUND(AC177+(AC177*$AG$1),2)</f>
        <v>15.39</v>
      </c>
      <c r="K23" s="242"/>
      <c r="L23" s="106">
        <f>ROUND((F23*J23),0)</f>
        <v>22362</v>
      </c>
      <c r="M23" s="106"/>
      <c r="N23" s="175">
        <f>ROUND((L23/L$139)*100,1)</f>
        <v>1.4</v>
      </c>
      <c r="O23" s="175"/>
      <c r="P23" s="106">
        <f>ROUND($P$139/$H$139*H23,0)</f>
        <v>483</v>
      </c>
      <c r="Q23" s="106"/>
      <c r="R23" s="106">
        <f>L23+P23</f>
        <v>22845</v>
      </c>
      <c r="S23" s="3"/>
      <c r="V23" s="228"/>
      <c r="Y23" s="304"/>
      <c r="AA23" s="172"/>
      <c r="AB23" s="217"/>
      <c r="AC23" s="110">
        <v>1144</v>
      </c>
      <c r="AD23" s="110"/>
      <c r="AE23" s="141"/>
      <c r="AF23" s="141"/>
      <c r="AH23" s="110"/>
      <c r="AL23" s="110"/>
      <c r="AM23" s="110"/>
      <c r="AN23" s="110"/>
      <c r="AO23" s="269"/>
      <c r="AP23" s="141"/>
    </row>
    <row r="24" spans="1:45" x14ac:dyDescent="0.3">
      <c r="A24" s="268">
        <v>7</v>
      </c>
      <c r="C24" s="116" t="s">
        <v>208</v>
      </c>
      <c r="F24" s="172">
        <v>4963</v>
      </c>
      <c r="G24" s="1"/>
      <c r="H24" s="172">
        <f t="shared" si="2"/>
        <v>739901</v>
      </c>
      <c r="I24" s="147"/>
      <c r="J24" s="228">
        <f>ROUND(AC178+(AC178*$AG$1),2)</f>
        <v>20.88</v>
      </c>
      <c r="K24" s="242"/>
      <c r="L24" s="106">
        <f>ROUND((F24*J24),0)</f>
        <v>103627</v>
      </c>
      <c r="M24" s="106"/>
      <c r="N24" s="175">
        <f>ROUND((L24/L$139)*100,1)</f>
        <v>6.4</v>
      </c>
      <c r="O24" s="175"/>
      <c r="P24" s="106">
        <f>ROUND($P$139/$H$139*H24,0)</f>
        <v>2580</v>
      </c>
      <c r="Q24" s="106"/>
      <c r="R24" s="106">
        <f>L24+P24</f>
        <v>106207</v>
      </c>
      <c r="S24" s="3"/>
      <c r="U24" s="97"/>
      <c r="V24" s="228"/>
      <c r="W24" s="97"/>
      <c r="X24" s="97"/>
      <c r="Y24" s="304"/>
      <c r="Z24" s="97"/>
      <c r="AA24" s="172"/>
      <c r="AB24" s="97"/>
      <c r="AC24" s="110">
        <v>1789</v>
      </c>
      <c r="AD24" s="97"/>
      <c r="AE24" s="97"/>
      <c r="AF24" s="97"/>
      <c r="AG24" s="149"/>
      <c r="AH24" s="97"/>
      <c r="AI24" s="97"/>
      <c r="AJ24" s="97"/>
      <c r="AK24" s="149"/>
      <c r="AL24" s="97"/>
      <c r="AM24" s="97"/>
      <c r="AN24" s="97"/>
      <c r="AO24" s="269"/>
      <c r="AP24" s="97"/>
      <c r="AR24" s="97"/>
      <c r="AS24" s="97"/>
    </row>
    <row r="25" spans="1:45" x14ac:dyDescent="0.3">
      <c r="A25" s="268">
        <v>8</v>
      </c>
      <c r="C25" s="124" t="s">
        <v>267</v>
      </c>
      <c r="F25" s="172"/>
      <c r="G25" s="1"/>
      <c r="H25" s="172"/>
      <c r="I25" s="147"/>
      <c r="J25" s="242"/>
      <c r="K25" s="242"/>
      <c r="L25" s="106"/>
      <c r="M25" s="106"/>
      <c r="N25" s="175"/>
      <c r="O25" s="175"/>
      <c r="P25" s="106"/>
      <c r="Q25" s="106"/>
      <c r="R25" s="106"/>
      <c r="S25" s="3"/>
      <c r="U25" s="97"/>
      <c r="V25" s="228"/>
      <c r="W25" s="99"/>
      <c r="X25" s="97"/>
      <c r="Y25" s="304"/>
      <c r="Z25" s="97"/>
      <c r="AA25" s="172"/>
      <c r="AB25" s="97"/>
      <c r="AC25" s="110"/>
      <c r="AD25" s="97"/>
      <c r="AE25" s="97"/>
      <c r="AF25" s="97"/>
      <c r="AG25" s="149"/>
      <c r="AH25" s="97"/>
      <c r="AI25" s="97"/>
      <c r="AJ25" s="97"/>
      <c r="AK25" s="149"/>
      <c r="AL25" s="97"/>
      <c r="AM25" s="97"/>
      <c r="AN25" s="97"/>
      <c r="AO25" s="269"/>
      <c r="AP25" s="97"/>
      <c r="AR25" s="97"/>
      <c r="AS25" s="97"/>
    </row>
    <row r="26" spans="1:45" x14ac:dyDescent="0.3">
      <c r="A26" s="268">
        <v>9</v>
      </c>
      <c r="C26" s="99" t="s">
        <v>270</v>
      </c>
      <c r="F26" s="172">
        <v>292</v>
      </c>
      <c r="G26" s="1"/>
      <c r="H26" s="172">
        <f t="shared" si="2"/>
        <v>19540</v>
      </c>
      <c r="I26" s="147"/>
      <c r="J26" s="228">
        <f>ROUND(AC180+(AC180*$AG$1),2)</f>
        <v>13.13</v>
      </c>
      <c r="K26" s="242"/>
      <c r="L26" s="106">
        <f>ROUND((F26*J26),0)</f>
        <v>3834</v>
      </c>
      <c r="M26" s="106"/>
      <c r="N26" s="175">
        <f>ROUND((L26/L$139)*100,1)</f>
        <v>0.2</v>
      </c>
      <c r="O26" s="175"/>
      <c r="P26" s="106">
        <f>ROUND($P$139/$H$139*H26,0)</f>
        <v>68</v>
      </c>
      <c r="Q26" s="106"/>
      <c r="R26" s="106">
        <f>L26+P26</f>
        <v>3902</v>
      </c>
      <c r="S26" s="270"/>
      <c r="U26" s="97"/>
      <c r="V26" s="228"/>
      <c r="W26" s="97"/>
      <c r="X26" s="97"/>
      <c r="Y26" s="304"/>
      <c r="Z26" s="97"/>
      <c r="AA26" s="172"/>
      <c r="AB26" s="97"/>
      <c r="AC26" s="110">
        <v>803</v>
      </c>
      <c r="AD26" s="97"/>
      <c r="AE26" s="97"/>
      <c r="AF26" s="97"/>
      <c r="AG26" s="149"/>
      <c r="AH26" s="97"/>
      <c r="AI26" s="97"/>
      <c r="AJ26" s="97"/>
      <c r="AK26" s="149"/>
      <c r="AL26" s="97"/>
      <c r="AM26" s="97"/>
      <c r="AN26" s="97"/>
      <c r="AO26" s="269"/>
      <c r="AP26" s="97"/>
      <c r="AR26" s="97"/>
      <c r="AS26" s="97"/>
    </row>
    <row r="27" spans="1:45" x14ac:dyDescent="0.3">
      <c r="A27" s="268">
        <v>10</v>
      </c>
      <c r="C27" s="99" t="s">
        <v>271</v>
      </c>
      <c r="F27" s="172">
        <v>155</v>
      </c>
      <c r="G27" s="1"/>
      <c r="H27" s="172">
        <f t="shared" si="2"/>
        <v>14777</v>
      </c>
      <c r="I27" s="147"/>
      <c r="J27" s="228">
        <f>ROUND(AC181+(AC181*$AG$1),2)</f>
        <v>15.39</v>
      </c>
      <c r="K27" s="242"/>
      <c r="L27" s="106">
        <f>ROUND((F27*J27),0)</f>
        <v>2385</v>
      </c>
      <c r="M27" s="106"/>
      <c r="N27" s="175">
        <f>ROUND((L27/L$139)*100,1)</f>
        <v>0.1</v>
      </c>
      <c r="O27" s="175"/>
      <c r="P27" s="106">
        <f>ROUND($P$139/$H$139*H27,0)</f>
        <v>52</v>
      </c>
      <c r="Q27" s="106"/>
      <c r="R27" s="106">
        <f>L27+P27</f>
        <v>2437</v>
      </c>
      <c r="S27" s="3"/>
      <c r="U27" s="97"/>
      <c r="V27" s="228"/>
      <c r="W27" s="99"/>
      <c r="X27" s="97"/>
      <c r="Y27" s="304"/>
      <c r="Z27" s="97"/>
      <c r="AA27" s="172"/>
      <c r="AB27" s="97"/>
      <c r="AC27" s="271">
        <v>1144</v>
      </c>
      <c r="AD27" s="97"/>
      <c r="AE27" s="97"/>
      <c r="AF27" s="97"/>
      <c r="AG27" s="149"/>
      <c r="AH27" s="97"/>
      <c r="AI27" s="97"/>
      <c r="AJ27" s="97"/>
      <c r="AK27" s="149"/>
      <c r="AL27" s="97"/>
      <c r="AM27" s="97"/>
      <c r="AN27" s="97"/>
      <c r="AO27" s="269"/>
      <c r="AP27" s="97"/>
      <c r="AR27" s="97"/>
      <c r="AS27" s="97"/>
    </row>
    <row r="28" spans="1:45" x14ac:dyDescent="0.3">
      <c r="A28" s="268">
        <v>11</v>
      </c>
      <c r="C28" s="99" t="s">
        <v>269</v>
      </c>
      <c r="F28" s="172">
        <v>0</v>
      </c>
      <c r="G28" s="1"/>
      <c r="H28" s="172">
        <f t="shared" si="2"/>
        <v>0</v>
      </c>
      <c r="I28" s="147"/>
      <c r="J28" s="228">
        <f>ROUND(AC182+(AC182*$AG$1),2)</f>
        <v>20.88</v>
      </c>
      <c r="K28" s="242"/>
      <c r="L28" s="106">
        <f>ROUND((F28*J28),0)</f>
        <v>0</v>
      </c>
      <c r="M28" s="106"/>
      <c r="N28" s="175">
        <f>ROUND((L28/L$139)*100,1)</f>
        <v>0</v>
      </c>
      <c r="O28" s="175"/>
      <c r="P28" s="106">
        <f>ROUND($P$139/$H$139*H28,0)</f>
        <v>0</v>
      </c>
      <c r="Q28" s="106"/>
      <c r="R28" s="106">
        <f>L28+P28</f>
        <v>0</v>
      </c>
      <c r="S28" s="3"/>
      <c r="V28" s="228"/>
      <c r="Y28" s="304"/>
      <c r="AA28" s="172"/>
      <c r="AC28" s="110">
        <v>1789</v>
      </c>
      <c r="AD28" s="110"/>
      <c r="AE28" s="110"/>
      <c r="AF28" s="110"/>
      <c r="AL28" s="110"/>
      <c r="AM28" s="110"/>
      <c r="AN28" s="110"/>
      <c r="AO28" s="269"/>
    </row>
    <row r="29" spans="1:45" x14ac:dyDescent="0.3">
      <c r="A29" s="268">
        <v>12</v>
      </c>
      <c r="C29" s="169" t="s">
        <v>202</v>
      </c>
      <c r="F29" s="305"/>
      <c r="G29" s="1"/>
      <c r="H29" s="172"/>
      <c r="I29" s="1"/>
      <c r="J29" s="3"/>
      <c r="K29" s="3"/>
      <c r="L29" s="106"/>
      <c r="M29" s="1"/>
      <c r="N29" s="1"/>
      <c r="O29" s="1"/>
      <c r="P29" s="1"/>
      <c r="Q29" s="1"/>
      <c r="R29" s="1"/>
      <c r="S29" s="3"/>
      <c r="V29" s="228"/>
      <c r="Y29" s="304"/>
      <c r="AA29" s="172"/>
      <c r="AC29" s="110"/>
      <c r="AD29" s="110"/>
      <c r="AE29" s="110"/>
      <c r="AF29" s="110"/>
      <c r="AL29" s="110"/>
      <c r="AM29" s="110"/>
      <c r="AN29" s="110"/>
      <c r="AO29" s="269"/>
    </row>
    <row r="30" spans="1:45" ht="15" customHeight="1" x14ac:dyDescent="0.3">
      <c r="A30" s="268">
        <v>13</v>
      </c>
      <c r="C30" s="116" t="s">
        <v>210</v>
      </c>
      <c r="F30" s="172">
        <v>17891</v>
      </c>
      <c r="G30" s="1"/>
      <c r="H30" s="172">
        <f t="shared" si="2"/>
        <v>726076</v>
      </c>
      <c r="I30" s="147"/>
      <c r="J30" s="228">
        <f t="shared" ref="J30:J35" si="3">ROUND(AC184+(AC184*$AG$1),2)</f>
        <v>14.1</v>
      </c>
      <c r="K30" s="242"/>
      <c r="L30" s="106">
        <f t="shared" ref="L30:L35" si="4">ROUND((F30*J30),0)</f>
        <v>252263</v>
      </c>
      <c r="M30" s="106"/>
      <c r="N30" s="175">
        <f t="shared" ref="N30:N35" si="5">ROUND((L30/L$139)*100,1)</f>
        <v>15.6</v>
      </c>
      <c r="O30" s="175"/>
      <c r="P30" s="106">
        <f t="shared" ref="P30:P35" si="6">ROUND($P$139/$H$139*H30,0)</f>
        <v>2532</v>
      </c>
      <c r="Q30" s="106"/>
      <c r="R30" s="106">
        <f t="shared" ref="R30:R35" si="7">L30+P30</f>
        <v>254795</v>
      </c>
      <c r="S30" s="3"/>
      <c r="V30" s="228"/>
      <c r="Y30" s="304"/>
      <c r="AA30" s="172"/>
      <c r="AC30" s="110">
        <v>487</v>
      </c>
      <c r="AO30" s="269"/>
    </row>
    <row r="31" spans="1:45" ht="15.75" customHeight="1" x14ac:dyDescent="0.3">
      <c r="A31" s="268">
        <v>14</v>
      </c>
      <c r="C31" s="116" t="s">
        <v>209</v>
      </c>
      <c r="F31" s="172">
        <v>96</v>
      </c>
      <c r="G31" s="1"/>
      <c r="H31" s="172">
        <f t="shared" si="2"/>
        <v>3896</v>
      </c>
      <c r="I31" s="147"/>
      <c r="J31" s="228">
        <f t="shared" si="3"/>
        <v>10.72</v>
      </c>
      <c r="K31" s="242"/>
      <c r="L31" s="106">
        <f t="shared" si="4"/>
        <v>1029</v>
      </c>
      <c r="M31" s="106"/>
      <c r="N31" s="175">
        <f t="shared" si="5"/>
        <v>0.1</v>
      </c>
      <c r="O31" s="175"/>
      <c r="P31" s="106">
        <f t="shared" si="6"/>
        <v>14</v>
      </c>
      <c r="Q31" s="106"/>
      <c r="R31" s="106">
        <f t="shared" si="7"/>
        <v>1043</v>
      </c>
      <c r="S31" s="3"/>
      <c r="U31" s="97"/>
      <c r="V31" s="228"/>
      <c r="W31" s="97"/>
      <c r="X31" s="97"/>
      <c r="Y31" s="304"/>
      <c r="Z31" s="97"/>
      <c r="AA31" s="172"/>
      <c r="AB31" s="97"/>
      <c r="AC31" s="110">
        <v>487</v>
      </c>
      <c r="AD31" s="97"/>
      <c r="AE31" s="97"/>
      <c r="AF31" s="97"/>
      <c r="AG31" s="149"/>
      <c r="AH31" s="97"/>
      <c r="AI31" s="97"/>
      <c r="AJ31" s="97"/>
      <c r="AK31" s="149"/>
      <c r="AL31" s="97"/>
      <c r="AM31" s="97"/>
      <c r="AN31" s="97"/>
      <c r="AO31" s="269"/>
      <c r="AP31" s="97"/>
      <c r="AR31" s="97"/>
      <c r="AS31" s="97"/>
    </row>
    <row r="32" spans="1:45" ht="15.75" customHeight="1" x14ac:dyDescent="0.3">
      <c r="A32" s="268">
        <v>15</v>
      </c>
      <c r="C32" s="116" t="s">
        <v>211</v>
      </c>
      <c r="F32" s="172">
        <v>362</v>
      </c>
      <c r="G32" s="1"/>
      <c r="H32" s="172">
        <f t="shared" si="2"/>
        <v>21449</v>
      </c>
      <c r="I32" s="147"/>
      <c r="J32" s="228">
        <f t="shared" si="3"/>
        <v>15.59</v>
      </c>
      <c r="K32" s="242"/>
      <c r="L32" s="106">
        <f t="shared" si="4"/>
        <v>5644</v>
      </c>
      <c r="M32" s="106"/>
      <c r="N32" s="175">
        <f t="shared" si="5"/>
        <v>0.3</v>
      </c>
      <c r="O32" s="175"/>
      <c r="P32" s="106">
        <f t="shared" si="6"/>
        <v>75</v>
      </c>
      <c r="Q32" s="106"/>
      <c r="R32" s="106">
        <f t="shared" si="7"/>
        <v>5719</v>
      </c>
      <c r="S32" s="3"/>
      <c r="U32" s="97"/>
      <c r="V32" s="228"/>
      <c r="W32" s="97"/>
      <c r="X32" s="97"/>
      <c r="Y32" s="304"/>
      <c r="Z32" s="97"/>
      <c r="AA32" s="147"/>
      <c r="AB32" s="97"/>
      <c r="AC32" s="97">
        <v>711</v>
      </c>
      <c r="AD32" s="97"/>
      <c r="AE32" s="97"/>
      <c r="AF32" s="97"/>
      <c r="AG32" s="149"/>
      <c r="AH32" s="97"/>
      <c r="AI32" s="97"/>
      <c r="AJ32" s="97"/>
      <c r="AK32" s="149"/>
      <c r="AL32" s="97"/>
      <c r="AM32" s="97"/>
      <c r="AN32" s="97"/>
      <c r="AO32" s="269"/>
      <c r="AP32" s="97"/>
      <c r="AR32" s="97"/>
      <c r="AS32" s="97"/>
    </row>
    <row r="33" spans="1:45" ht="15.75" customHeight="1" x14ac:dyDescent="0.3">
      <c r="A33" s="268">
        <v>16</v>
      </c>
      <c r="C33" s="116" t="s">
        <v>212</v>
      </c>
      <c r="F33" s="172">
        <v>3660</v>
      </c>
      <c r="G33" s="1"/>
      <c r="H33" s="172">
        <f t="shared" si="2"/>
        <v>289140</v>
      </c>
      <c r="I33" s="147"/>
      <c r="J33" s="228">
        <f t="shared" si="3"/>
        <v>20.22</v>
      </c>
      <c r="K33" s="242"/>
      <c r="L33" s="106">
        <f t="shared" si="4"/>
        <v>74005</v>
      </c>
      <c r="M33" s="106"/>
      <c r="N33" s="175">
        <f t="shared" si="5"/>
        <v>4.5999999999999996</v>
      </c>
      <c r="O33" s="175"/>
      <c r="P33" s="106">
        <f t="shared" si="6"/>
        <v>1008</v>
      </c>
      <c r="Q33" s="106"/>
      <c r="R33" s="106">
        <f t="shared" si="7"/>
        <v>75013</v>
      </c>
      <c r="S33" s="3"/>
      <c r="U33" s="97"/>
      <c r="V33" s="228"/>
      <c r="W33" s="97"/>
      <c r="X33" s="97"/>
      <c r="Y33" s="304"/>
      <c r="Z33" s="97"/>
      <c r="AA33" s="172"/>
      <c r="AB33" s="97"/>
      <c r="AC33" s="110">
        <v>948</v>
      </c>
      <c r="AD33" s="97"/>
      <c r="AE33" s="97"/>
      <c r="AF33" s="97"/>
      <c r="AG33" s="149"/>
      <c r="AH33" s="97"/>
      <c r="AI33" s="97"/>
      <c r="AJ33" s="97"/>
      <c r="AK33" s="149"/>
      <c r="AL33" s="97"/>
      <c r="AM33" s="97"/>
      <c r="AN33" s="97"/>
      <c r="AO33" s="269"/>
      <c r="AP33" s="97"/>
      <c r="AR33" s="97"/>
      <c r="AS33" s="97"/>
    </row>
    <row r="34" spans="1:45" ht="15.75" customHeight="1" x14ac:dyDescent="0.3">
      <c r="A34" s="268">
        <v>17</v>
      </c>
      <c r="B34" s="272"/>
      <c r="C34" s="116" t="s">
        <v>278</v>
      </c>
      <c r="F34" s="172">
        <v>96</v>
      </c>
      <c r="G34" s="1"/>
      <c r="H34" s="172">
        <f t="shared" si="2"/>
        <v>7584</v>
      </c>
      <c r="I34" s="147"/>
      <c r="J34" s="228">
        <f t="shared" si="3"/>
        <v>20.22</v>
      </c>
      <c r="K34" s="242"/>
      <c r="L34" s="106">
        <f t="shared" si="4"/>
        <v>1941</v>
      </c>
      <c r="M34" s="106"/>
      <c r="N34" s="175">
        <f t="shared" si="5"/>
        <v>0.1</v>
      </c>
      <c r="O34" s="175"/>
      <c r="P34" s="106">
        <f t="shared" si="6"/>
        <v>26</v>
      </c>
      <c r="Q34" s="106"/>
      <c r="R34" s="106">
        <f t="shared" si="7"/>
        <v>1967</v>
      </c>
      <c r="S34" s="3"/>
      <c r="U34" s="97"/>
      <c r="V34" s="228"/>
      <c r="W34" s="97"/>
      <c r="X34" s="97"/>
      <c r="Y34" s="304"/>
      <c r="Z34" s="97"/>
      <c r="AA34" s="172"/>
      <c r="AB34" s="97"/>
      <c r="AC34" s="110">
        <v>948</v>
      </c>
      <c r="AD34" s="97"/>
      <c r="AE34" s="97"/>
      <c r="AF34" s="97"/>
      <c r="AG34" s="149"/>
      <c r="AH34" s="97"/>
      <c r="AI34" s="97"/>
      <c r="AJ34" s="97"/>
      <c r="AK34" s="149"/>
      <c r="AL34" s="97"/>
      <c r="AM34" s="97"/>
      <c r="AN34" s="97"/>
      <c r="AO34" s="269"/>
      <c r="AP34" s="97"/>
      <c r="AR34" s="97"/>
      <c r="AS34" s="97"/>
    </row>
    <row r="35" spans="1:45" ht="15.75" customHeight="1" x14ac:dyDescent="0.3">
      <c r="A35" s="268">
        <v>18</v>
      </c>
      <c r="B35" s="272"/>
      <c r="C35" s="116" t="s">
        <v>213</v>
      </c>
      <c r="F35" s="172">
        <v>7299</v>
      </c>
      <c r="G35" s="1"/>
      <c r="H35" s="172">
        <f t="shared" si="2"/>
        <v>1191562</v>
      </c>
      <c r="I35" s="147"/>
      <c r="J35" s="228">
        <f t="shared" si="3"/>
        <v>27.91</v>
      </c>
      <c r="K35" s="242"/>
      <c r="L35" s="106">
        <f t="shared" si="4"/>
        <v>203715</v>
      </c>
      <c r="M35" s="106"/>
      <c r="N35" s="175">
        <f t="shared" si="5"/>
        <v>12.6</v>
      </c>
      <c r="O35" s="175"/>
      <c r="P35" s="106">
        <f t="shared" si="6"/>
        <v>4155</v>
      </c>
      <c r="Q35" s="106"/>
      <c r="R35" s="106">
        <f t="shared" si="7"/>
        <v>207870</v>
      </c>
      <c r="S35" s="3"/>
      <c r="U35" s="97"/>
      <c r="V35" s="228"/>
      <c r="W35" s="97"/>
      <c r="X35" s="97"/>
      <c r="Y35" s="304"/>
      <c r="Z35" s="97"/>
      <c r="AA35" s="172"/>
      <c r="AB35" s="97"/>
      <c r="AC35" s="110">
        <v>1959</v>
      </c>
      <c r="AD35" s="97"/>
      <c r="AE35" s="97"/>
      <c r="AF35" s="97"/>
      <c r="AG35" s="149"/>
      <c r="AH35" s="97"/>
      <c r="AI35" s="97"/>
      <c r="AJ35" s="97"/>
      <c r="AK35" s="149"/>
      <c r="AL35" s="97"/>
      <c r="AM35" s="97"/>
      <c r="AN35" s="97"/>
      <c r="AO35" s="269"/>
      <c r="AP35" s="97"/>
      <c r="AR35" s="97"/>
      <c r="AS35" s="97"/>
    </row>
    <row r="36" spans="1:45" ht="15.75" customHeight="1" x14ac:dyDescent="0.3">
      <c r="A36" s="268">
        <v>19</v>
      </c>
      <c r="B36" s="272"/>
      <c r="C36" s="124" t="s">
        <v>203</v>
      </c>
      <c r="F36" s="172"/>
      <c r="G36" s="1"/>
      <c r="H36" s="172"/>
      <c r="I36" s="147"/>
      <c r="J36" s="242"/>
      <c r="K36" s="242"/>
      <c r="L36" s="106"/>
      <c r="M36" s="106"/>
      <c r="N36" s="175"/>
      <c r="O36" s="175"/>
      <c r="P36" s="106"/>
      <c r="Q36" s="106"/>
      <c r="R36" s="106"/>
      <c r="S36" s="3"/>
      <c r="U36" s="97"/>
      <c r="V36" s="228"/>
      <c r="W36" s="97"/>
      <c r="X36" s="97"/>
      <c r="Y36" s="304"/>
      <c r="Z36" s="97"/>
      <c r="AA36" s="172"/>
      <c r="AB36" s="97"/>
      <c r="AC36" s="110"/>
      <c r="AD36" s="97"/>
      <c r="AE36" s="97"/>
      <c r="AF36" s="97"/>
      <c r="AG36" s="149"/>
      <c r="AH36" s="97"/>
      <c r="AI36" s="97"/>
      <c r="AJ36" s="97"/>
      <c r="AK36" s="149"/>
      <c r="AL36" s="97"/>
      <c r="AM36" s="97"/>
      <c r="AN36" s="97"/>
      <c r="AO36" s="269"/>
      <c r="AP36" s="97"/>
      <c r="AR36" s="97"/>
      <c r="AS36" s="97"/>
    </row>
    <row r="37" spans="1:45" ht="15.75" customHeight="1" x14ac:dyDescent="0.3">
      <c r="A37" s="268">
        <v>20</v>
      </c>
      <c r="C37" s="116" t="s">
        <v>390</v>
      </c>
      <c r="F37" s="172">
        <v>0</v>
      </c>
      <c r="G37" s="1"/>
      <c r="H37" s="172">
        <f t="shared" si="2"/>
        <v>0</v>
      </c>
      <c r="I37" s="147"/>
      <c r="J37" s="228">
        <f>ROUND(AC191+(AC191*$AG$1),2)</f>
        <v>17.41</v>
      </c>
      <c r="K37" s="242"/>
      <c r="L37" s="106">
        <f>ROUND((F37*J37),0)</f>
        <v>0</v>
      </c>
      <c r="M37" s="106"/>
      <c r="N37" s="175">
        <f>ROUND((L37/L$139)*100,1)</f>
        <v>0</v>
      </c>
      <c r="O37" s="175"/>
      <c r="P37" s="106">
        <f>ROUND($P$139/$H$139*H37,0)</f>
        <v>0</v>
      </c>
      <c r="Q37" s="106"/>
      <c r="R37" s="106">
        <f>L37+P37</f>
        <v>0</v>
      </c>
      <c r="S37" s="3"/>
      <c r="U37" s="97"/>
      <c r="V37" s="228"/>
      <c r="W37" s="97"/>
      <c r="X37" s="97"/>
      <c r="Y37" s="304"/>
      <c r="Z37" s="97"/>
      <c r="AA37" s="172"/>
      <c r="AB37" s="97"/>
      <c r="AC37" s="110">
        <v>487</v>
      </c>
      <c r="AD37" s="97"/>
      <c r="AE37" s="97"/>
      <c r="AF37" s="97"/>
      <c r="AG37" s="149"/>
      <c r="AH37" s="97"/>
      <c r="AI37" s="97"/>
      <c r="AJ37" s="97"/>
      <c r="AK37" s="149"/>
      <c r="AL37" s="97"/>
      <c r="AM37" s="97"/>
      <c r="AN37" s="97"/>
      <c r="AO37" s="269"/>
      <c r="AP37" s="97"/>
      <c r="AR37" s="97"/>
      <c r="AS37" s="97"/>
    </row>
    <row r="38" spans="1:45" ht="15.75" customHeight="1" x14ac:dyDescent="0.3">
      <c r="A38" s="268">
        <v>21</v>
      </c>
      <c r="B38" s="273"/>
      <c r="C38" s="116" t="s">
        <v>391</v>
      </c>
      <c r="F38" s="305">
        <v>12</v>
      </c>
      <c r="G38" s="1"/>
      <c r="H38" s="172">
        <f t="shared" si="2"/>
        <v>1023</v>
      </c>
      <c r="I38" s="147"/>
      <c r="J38" s="228">
        <f>ROUND(AC192+(AC192*$AG$1),2)</f>
        <v>21.96</v>
      </c>
      <c r="K38" s="242"/>
      <c r="L38" s="106">
        <f>ROUND((F38*J38),0)</f>
        <v>264</v>
      </c>
      <c r="M38" s="106"/>
      <c r="N38" s="175">
        <f>ROUND((L38/L$139)*100,1)</f>
        <v>0</v>
      </c>
      <c r="O38" s="175"/>
      <c r="P38" s="106">
        <f>ROUND($P$139/$H$139*H38,0)</f>
        <v>4</v>
      </c>
      <c r="Q38" s="106"/>
      <c r="R38" s="106">
        <f>L38+P38</f>
        <v>268</v>
      </c>
      <c r="S38" s="3"/>
      <c r="U38" s="97"/>
      <c r="V38" s="228"/>
      <c r="W38" s="97"/>
      <c r="X38" s="97"/>
      <c r="Y38" s="304"/>
      <c r="Z38" s="97"/>
      <c r="AA38" s="172"/>
      <c r="AB38" s="97"/>
      <c r="AC38" s="110">
        <v>1023</v>
      </c>
      <c r="AD38" s="97"/>
      <c r="AE38" s="97"/>
      <c r="AF38" s="97"/>
      <c r="AG38" s="149"/>
      <c r="AH38" s="97"/>
      <c r="AI38" s="97"/>
      <c r="AJ38" s="97"/>
      <c r="AK38" s="149"/>
      <c r="AL38" s="97"/>
      <c r="AM38" s="97"/>
      <c r="AN38" s="97"/>
      <c r="AO38" s="269"/>
      <c r="AP38" s="97"/>
      <c r="AR38" s="97"/>
      <c r="AS38" s="97"/>
    </row>
    <row r="39" spans="1:45" ht="15.75" customHeight="1" x14ac:dyDescent="0.3">
      <c r="A39" s="268">
        <v>22</v>
      </c>
      <c r="C39" s="116" t="s">
        <v>392</v>
      </c>
      <c r="F39" s="172">
        <v>204</v>
      </c>
      <c r="G39" s="1"/>
      <c r="H39" s="172">
        <f t="shared" si="2"/>
        <v>33303</v>
      </c>
      <c r="I39" s="147"/>
      <c r="J39" s="228">
        <f>ROUND(AC193+(AC193*$AG$1),2)</f>
        <v>29.72</v>
      </c>
      <c r="K39" s="242"/>
      <c r="L39" s="106">
        <f>ROUND((F39*J39),0)</f>
        <v>6063</v>
      </c>
      <c r="M39" s="106"/>
      <c r="N39" s="175">
        <f>ROUND((L39/L$139)*100,1)</f>
        <v>0.4</v>
      </c>
      <c r="O39" s="175"/>
      <c r="P39" s="106">
        <f>ROUND($P$139/$H$139*H39,0)</f>
        <v>116</v>
      </c>
      <c r="Q39" s="106"/>
      <c r="R39" s="106">
        <f>L39+P39</f>
        <v>6179</v>
      </c>
      <c r="S39" s="3"/>
      <c r="U39" s="97"/>
      <c r="V39" s="228"/>
      <c r="W39" s="97"/>
      <c r="X39" s="97"/>
      <c r="Y39" s="304"/>
      <c r="Z39" s="97"/>
      <c r="AA39" s="172"/>
      <c r="AB39" s="97"/>
      <c r="AC39" s="110">
        <v>1959</v>
      </c>
      <c r="AD39" s="97"/>
      <c r="AE39" s="97"/>
      <c r="AF39" s="97"/>
      <c r="AG39" s="149"/>
      <c r="AH39" s="97"/>
      <c r="AI39" s="97"/>
      <c r="AJ39" s="97"/>
      <c r="AK39" s="149"/>
      <c r="AL39" s="97"/>
      <c r="AM39" s="97"/>
      <c r="AN39" s="97"/>
      <c r="AO39" s="269"/>
      <c r="AP39" s="97"/>
      <c r="AR39" s="97"/>
      <c r="AS39" s="97"/>
    </row>
    <row r="40" spans="1:45" x14ac:dyDescent="0.3">
      <c r="A40" s="268">
        <v>23</v>
      </c>
      <c r="C40" s="116" t="s">
        <v>389</v>
      </c>
      <c r="F40" s="172">
        <v>241</v>
      </c>
      <c r="G40" s="1"/>
      <c r="H40" s="172">
        <f t="shared" si="2"/>
        <v>39343</v>
      </c>
      <c r="I40" s="147"/>
      <c r="J40" s="228">
        <f>ROUND(AC194+(AC194*$AG$1),2)</f>
        <v>43.19</v>
      </c>
      <c r="K40" s="242"/>
      <c r="L40" s="106">
        <f>ROUND((F40*J40),0)</f>
        <v>10409</v>
      </c>
      <c r="M40" s="106"/>
      <c r="N40" s="175">
        <f>ROUND((L40/L$139)*100,1)</f>
        <v>0.6</v>
      </c>
      <c r="O40" s="175"/>
      <c r="P40" s="106">
        <f>ROUND($P$139/$H$139*H40,0)</f>
        <v>137</v>
      </c>
      <c r="Q40" s="106"/>
      <c r="R40" s="106">
        <f>L40+P40</f>
        <v>10546</v>
      </c>
      <c r="S40" s="3"/>
      <c r="V40" s="228"/>
      <c r="Y40" s="304"/>
      <c r="AA40" s="110"/>
      <c r="AC40" s="110">
        <v>1959</v>
      </c>
      <c r="AO40" s="269"/>
    </row>
    <row r="41" spans="1:45" x14ac:dyDescent="0.3">
      <c r="A41" s="268">
        <v>24</v>
      </c>
      <c r="S41" s="3"/>
      <c r="V41" s="228"/>
      <c r="Y41" s="304"/>
      <c r="AA41" s="172"/>
      <c r="AO41" s="269"/>
    </row>
    <row r="42" spans="1:45" x14ac:dyDescent="0.3">
      <c r="A42" s="268">
        <v>25</v>
      </c>
      <c r="C42" s="169" t="s">
        <v>264</v>
      </c>
      <c r="F42" s="112">
        <f>SUM(F21:F40)</f>
        <v>81914</v>
      </c>
      <c r="G42" s="1"/>
      <c r="H42" s="112">
        <f>SUM(H21:H40)</f>
        <v>6250277</v>
      </c>
      <c r="I42" s="106"/>
      <c r="J42" s="3"/>
      <c r="K42" s="3"/>
      <c r="L42" s="112">
        <f>SUM(L21:L40)</f>
        <v>1280791</v>
      </c>
      <c r="M42" s="106"/>
      <c r="N42" s="193">
        <f>ROUND((L42/L$139)*100,1)</f>
        <v>79.2</v>
      </c>
      <c r="O42" s="138"/>
      <c r="P42" s="261">
        <f>ROUND(H42*CUR_FAC,0)</f>
        <v>21796</v>
      </c>
      <c r="Q42" s="106"/>
      <c r="R42" s="112">
        <f>SUM(R21:R40)</f>
        <v>1302587</v>
      </c>
      <c r="S42" s="3"/>
      <c r="V42" s="228"/>
      <c r="Y42" s="304"/>
      <c r="AA42" s="172"/>
      <c r="AO42" s="269"/>
    </row>
    <row r="43" spans="1:45" x14ac:dyDescent="0.3">
      <c r="A43" s="268">
        <v>26</v>
      </c>
      <c r="C43" s="116"/>
      <c r="F43" s="172"/>
      <c r="G43" s="1"/>
      <c r="H43" s="172"/>
      <c r="I43" s="147"/>
      <c r="J43" s="228"/>
      <c r="K43" s="242"/>
      <c r="L43" s="106"/>
      <c r="M43" s="106"/>
      <c r="N43" s="175"/>
      <c r="O43" s="175"/>
      <c r="P43" s="106"/>
      <c r="Q43" s="106"/>
      <c r="R43" s="106"/>
      <c r="S43" s="3"/>
      <c r="V43" s="228"/>
      <c r="Y43" s="304"/>
      <c r="AA43" s="172"/>
      <c r="AO43" s="269"/>
      <c r="AR43" s="99"/>
    </row>
    <row r="44" spans="1:45" x14ac:dyDescent="0.3">
      <c r="A44" s="268">
        <v>27</v>
      </c>
      <c r="C44" s="124" t="s">
        <v>80</v>
      </c>
      <c r="F44" s="1"/>
      <c r="G44" s="1"/>
      <c r="H44" s="1"/>
      <c r="I44" s="1"/>
      <c r="J44" s="3"/>
      <c r="K44" s="3"/>
      <c r="L44" s="1"/>
      <c r="M44" s="1"/>
      <c r="N44" s="1"/>
      <c r="O44" s="1"/>
      <c r="P44" s="1"/>
      <c r="Q44" s="1"/>
      <c r="R44" s="1"/>
      <c r="S44" s="3"/>
      <c r="V44" s="228"/>
      <c r="Y44" s="304"/>
      <c r="AA44" s="172"/>
      <c r="AO44" s="269"/>
      <c r="AR44" s="99"/>
    </row>
    <row r="45" spans="1:45" x14ac:dyDescent="0.3">
      <c r="A45" s="268">
        <v>28</v>
      </c>
      <c r="C45" s="169" t="s">
        <v>204</v>
      </c>
      <c r="F45" s="1"/>
      <c r="G45" s="1"/>
      <c r="H45" s="1"/>
      <c r="I45" s="1"/>
      <c r="J45" s="3"/>
      <c r="K45" s="3"/>
      <c r="L45" s="1"/>
      <c r="M45" s="1"/>
      <c r="N45" s="1"/>
      <c r="O45" s="1"/>
      <c r="P45" s="1"/>
      <c r="Q45" s="1"/>
      <c r="R45" s="1"/>
      <c r="S45" s="3"/>
      <c r="V45" s="228"/>
      <c r="Y45" s="304"/>
      <c r="AA45" s="172"/>
      <c r="AO45" s="269"/>
      <c r="AR45" s="99"/>
    </row>
    <row r="46" spans="1:45" x14ac:dyDescent="0.3">
      <c r="A46" s="268">
        <v>29</v>
      </c>
      <c r="C46" s="116" t="s">
        <v>206</v>
      </c>
      <c r="F46" s="172">
        <v>272</v>
      </c>
      <c r="G46" s="1"/>
      <c r="H46" s="172">
        <f t="shared" ref="H46:H53" si="8">ROUND(F46*AC46/12,0)</f>
        <v>19811</v>
      </c>
      <c r="I46" s="147"/>
      <c r="J46" s="228">
        <f>ROUND(AC200+(AC200*$AG$1),2)</f>
        <v>13.41</v>
      </c>
      <c r="K46" s="242"/>
      <c r="L46" s="106">
        <f>ROUND((F46*J46),0)</f>
        <v>3648</v>
      </c>
      <c r="M46" s="106"/>
      <c r="N46" s="175">
        <f>ROUND((L46/L$139)*100,1)</f>
        <v>0.2</v>
      </c>
      <c r="O46" s="175"/>
      <c r="P46" s="106">
        <f>ROUND($P$139/$H$139*H46,0)</f>
        <v>69</v>
      </c>
      <c r="Q46" s="106"/>
      <c r="R46" s="106">
        <f>L46+P46</f>
        <v>3717</v>
      </c>
      <c r="S46" s="3"/>
      <c r="V46" s="228"/>
      <c r="Y46" s="304"/>
      <c r="AA46" s="172"/>
      <c r="AC46" s="98">
        <v>874</v>
      </c>
      <c r="AO46" s="269"/>
    </row>
    <row r="47" spans="1:45" x14ac:dyDescent="0.3">
      <c r="A47" s="268">
        <v>30</v>
      </c>
      <c r="C47" s="116" t="s">
        <v>205</v>
      </c>
      <c r="F47" s="172">
        <v>0</v>
      </c>
      <c r="G47" s="1"/>
      <c r="H47" s="172">
        <f t="shared" si="8"/>
        <v>0</v>
      </c>
      <c r="I47" s="147"/>
      <c r="J47" s="228">
        <f>ROUND(AC201+(AC201*$AG$1),2)</f>
        <v>11.16</v>
      </c>
      <c r="K47" s="242"/>
      <c r="L47" s="106">
        <f>ROUND((F47*J47),0)</f>
        <v>0</v>
      </c>
      <c r="M47" s="106"/>
      <c r="N47" s="175">
        <f>ROUND((L47/L$139)*100,1)</f>
        <v>0</v>
      </c>
      <c r="O47" s="175"/>
      <c r="P47" s="106">
        <f>ROUND($P$139/$H$139*H47,0)</f>
        <v>0</v>
      </c>
      <c r="Q47" s="106"/>
      <c r="R47" s="106">
        <f>L47+P47</f>
        <v>0</v>
      </c>
      <c r="S47" s="3"/>
      <c r="V47" s="228"/>
      <c r="Y47" s="304"/>
      <c r="AA47" s="172"/>
      <c r="AC47" s="98">
        <v>853</v>
      </c>
      <c r="AO47" s="269"/>
    </row>
    <row r="48" spans="1:45" x14ac:dyDescent="0.3">
      <c r="A48" s="268">
        <v>31</v>
      </c>
      <c r="B48" s="274"/>
      <c r="C48" s="116" t="s">
        <v>214</v>
      </c>
      <c r="F48" s="172">
        <v>132</v>
      </c>
      <c r="G48" s="1"/>
      <c r="H48" s="172">
        <f t="shared" si="8"/>
        <v>13365</v>
      </c>
      <c r="I48" s="147"/>
      <c r="J48" s="228">
        <f>ROUND(AC202+(AC202*$AG$1),2)</f>
        <v>15.72</v>
      </c>
      <c r="K48" s="242"/>
      <c r="L48" s="106">
        <f>ROUND((F48*J48),0)</f>
        <v>2075</v>
      </c>
      <c r="M48" s="106"/>
      <c r="N48" s="175">
        <f>ROUND((L48/L$139)*100,1)</f>
        <v>0.1</v>
      </c>
      <c r="O48" s="175"/>
      <c r="P48" s="106">
        <f>ROUND($P$139/$H$139*H48,0)</f>
        <v>47</v>
      </c>
      <c r="Q48" s="106"/>
      <c r="R48" s="106">
        <f>L48+P48</f>
        <v>2122</v>
      </c>
      <c r="S48" s="3"/>
      <c r="V48" s="228"/>
      <c r="Y48" s="304"/>
      <c r="AA48" s="172"/>
      <c r="AC48" s="98">
        <v>1215</v>
      </c>
      <c r="AO48" s="269"/>
    </row>
    <row r="49" spans="1:45" x14ac:dyDescent="0.3">
      <c r="A49" s="268">
        <v>32</v>
      </c>
      <c r="C49" s="116" t="s">
        <v>89</v>
      </c>
      <c r="F49" s="172">
        <v>228</v>
      </c>
      <c r="G49" s="1"/>
      <c r="H49" s="172">
        <f t="shared" si="8"/>
        <v>36366</v>
      </c>
      <c r="I49" s="147"/>
      <c r="J49" s="228">
        <f>ROUND(AC203+(AC203*$AG$1),2)</f>
        <v>21.48</v>
      </c>
      <c r="K49" s="242"/>
      <c r="L49" s="106">
        <f>ROUND((F49*J49),0)</f>
        <v>4897</v>
      </c>
      <c r="M49" s="106"/>
      <c r="N49" s="175">
        <f>ROUND((L49/L$139)*100,1)</f>
        <v>0.3</v>
      </c>
      <c r="O49" s="175"/>
      <c r="P49" s="106">
        <f>ROUND($P$139/$H$139*H49,0)</f>
        <v>127</v>
      </c>
      <c r="Q49" s="106"/>
      <c r="R49" s="106">
        <f>L49+P49</f>
        <v>5024</v>
      </c>
      <c r="S49" s="3"/>
      <c r="V49" s="228"/>
      <c r="Y49" s="304"/>
      <c r="AA49" s="172"/>
      <c r="AC49" s="98">
        <v>1914</v>
      </c>
      <c r="AO49" s="269"/>
    </row>
    <row r="50" spans="1:45" x14ac:dyDescent="0.3">
      <c r="A50" s="268">
        <v>33</v>
      </c>
      <c r="C50" s="124" t="s">
        <v>267</v>
      </c>
      <c r="F50" s="172"/>
      <c r="G50" s="1"/>
      <c r="H50" s="172"/>
      <c r="I50" s="147"/>
      <c r="J50" s="242"/>
      <c r="K50" s="242"/>
      <c r="L50" s="106"/>
      <c r="M50" s="106"/>
      <c r="N50" s="175"/>
      <c r="O50" s="175"/>
      <c r="P50" s="106"/>
      <c r="Q50" s="106"/>
      <c r="R50" s="106"/>
      <c r="S50" s="3"/>
      <c r="V50" s="228"/>
      <c r="Y50" s="304"/>
      <c r="AA50" s="172"/>
      <c r="AO50" s="269"/>
    </row>
    <row r="51" spans="1:45" x14ac:dyDescent="0.3">
      <c r="A51" s="268">
        <v>34</v>
      </c>
      <c r="C51" s="99" t="s">
        <v>270</v>
      </c>
      <c r="F51" s="172">
        <v>0</v>
      </c>
      <c r="G51" s="1"/>
      <c r="H51" s="172">
        <f t="shared" si="8"/>
        <v>0</v>
      </c>
      <c r="I51" s="147"/>
      <c r="J51" s="228">
        <f>ROUND(AC205+(AC205*$AG$1),2)</f>
        <v>13.41</v>
      </c>
      <c r="K51" s="242"/>
      <c r="L51" s="106">
        <f>ROUND((F51*J51),0)</f>
        <v>0</v>
      </c>
      <c r="M51" s="106"/>
      <c r="N51" s="175">
        <f>ROUND((L51/L$139)*100,1)</f>
        <v>0</v>
      </c>
      <c r="O51" s="175"/>
      <c r="P51" s="106">
        <f>ROUND($P$139/$H$139*H51,0)</f>
        <v>0</v>
      </c>
      <c r="Q51" s="106"/>
      <c r="R51" s="106">
        <f>L51+P51</f>
        <v>0</v>
      </c>
      <c r="S51" s="3"/>
      <c r="V51" s="228"/>
      <c r="Y51" s="304"/>
      <c r="AA51" s="172"/>
      <c r="AC51" s="98">
        <v>874</v>
      </c>
      <c r="AO51" s="269"/>
    </row>
    <row r="52" spans="1:45" x14ac:dyDescent="0.3">
      <c r="A52" s="268">
        <v>35</v>
      </c>
      <c r="C52" s="99" t="s">
        <v>271</v>
      </c>
      <c r="F52" s="172">
        <v>0</v>
      </c>
      <c r="G52" s="1"/>
      <c r="H52" s="172">
        <f t="shared" si="8"/>
        <v>0</v>
      </c>
      <c r="I52" s="147"/>
      <c r="J52" s="228">
        <f>ROUND(AC206+(AC206*$AG$1),2)</f>
        <v>15.72</v>
      </c>
      <c r="K52" s="242"/>
      <c r="L52" s="106">
        <f>ROUND((F52*J52),0)</f>
        <v>0</v>
      </c>
      <c r="M52" s="106"/>
      <c r="N52" s="175">
        <f>ROUND((L52/L$139)*100,1)</f>
        <v>0</v>
      </c>
      <c r="O52" s="175"/>
      <c r="P52" s="106">
        <f>ROUND($P$139/$H$139*H52,0)</f>
        <v>0</v>
      </c>
      <c r="Q52" s="106"/>
      <c r="R52" s="106">
        <f>L52+P52</f>
        <v>0</v>
      </c>
      <c r="S52" s="3"/>
      <c r="V52" s="228"/>
      <c r="Y52" s="304"/>
      <c r="AA52" s="172"/>
      <c r="AC52" s="98">
        <v>1215</v>
      </c>
      <c r="AO52" s="269"/>
    </row>
    <row r="53" spans="1:45" x14ac:dyDescent="0.3">
      <c r="A53" s="268">
        <v>36</v>
      </c>
      <c r="C53" s="99" t="s">
        <v>269</v>
      </c>
      <c r="F53" s="172">
        <v>0</v>
      </c>
      <c r="G53" s="1"/>
      <c r="H53" s="172">
        <f t="shared" si="8"/>
        <v>0</v>
      </c>
      <c r="I53" s="147"/>
      <c r="J53" s="228">
        <f>ROUND(AC207+(AC207*$AG$1),2)</f>
        <v>21.48</v>
      </c>
      <c r="K53" s="242"/>
      <c r="L53" s="106">
        <f>ROUND((F53*J53),0)</f>
        <v>0</v>
      </c>
      <c r="M53" s="106"/>
      <c r="N53" s="175">
        <f>ROUND((L53/L$139)*100,1)</f>
        <v>0</v>
      </c>
      <c r="O53" s="175"/>
      <c r="P53" s="106">
        <f>ROUND($P$139/$H$139*H53,0)</f>
        <v>0</v>
      </c>
      <c r="Q53" s="106"/>
      <c r="R53" s="106">
        <f>L53+P53</f>
        <v>0</v>
      </c>
      <c r="S53" s="3"/>
      <c r="V53" s="228"/>
      <c r="Y53" s="304"/>
      <c r="AA53" s="172"/>
      <c r="AC53" s="98">
        <v>1914</v>
      </c>
      <c r="AO53" s="269"/>
    </row>
    <row r="54" spans="1:45" x14ac:dyDescent="0.3">
      <c r="A54" s="268">
        <v>37</v>
      </c>
      <c r="S54" s="3"/>
      <c r="V54" s="228"/>
      <c r="Y54" s="304"/>
      <c r="AA54" s="172"/>
      <c r="AO54" s="269"/>
    </row>
    <row r="55" spans="1:45" x14ac:dyDescent="0.3">
      <c r="A55" s="268">
        <v>38</v>
      </c>
      <c r="C55" s="169" t="s">
        <v>202</v>
      </c>
      <c r="G55" s="1"/>
      <c r="H55" s="1"/>
      <c r="I55" s="1"/>
      <c r="J55" s="3"/>
      <c r="K55" s="3"/>
      <c r="L55" s="106">
        <f t="shared" ref="L55:L61" si="9">ROUND((F55*J55),0)</f>
        <v>0</v>
      </c>
      <c r="M55" s="1"/>
      <c r="N55" s="1"/>
      <c r="O55" s="1"/>
      <c r="P55" s="1"/>
      <c r="Q55" s="1"/>
      <c r="R55" s="1"/>
      <c r="S55" s="3"/>
      <c r="V55" s="228"/>
      <c r="AO55" s="269"/>
    </row>
    <row r="56" spans="1:45" x14ac:dyDescent="0.3">
      <c r="A56" s="268">
        <v>39</v>
      </c>
      <c r="C56" s="116" t="s">
        <v>396</v>
      </c>
      <c r="F56" s="172">
        <v>282</v>
      </c>
      <c r="G56" s="1"/>
      <c r="H56" s="172">
        <f t="shared" ref="H56:H61" si="10">ROUND(F56*AC56/12,0)</f>
        <v>11445</v>
      </c>
      <c r="I56" s="147"/>
      <c r="J56" s="228">
        <f t="shared" ref="J56:J61" si="11">ROUND(AC210+(AC210*$AG$1),2)</f>
        <v>14.1</v>
      </c>
      <c r="K56" s="242"/>
      <c r="L56" s="106">
        <f t="shared" si="9"/>
        <v>3976</v>
      </c>
      <c r="M56" s="106"/>
      <c r="N56" s="175">
        <f t="shared" ref="N56:N61" si="12">ROUND((L56/L$139)*100,1)</f>
        <v>0.2</v>
      </c>
      <c r="O56" s="175"/>
      <c r="P56" s="106">
        <f t="shared" ref="P56:P61" si="13">ROUND($P$139/$H$139*H56,0)</f>
        <v>40</v>
      </c>
      <c r="Q56" s="106"/>
      <c r="R56" s="106">
        <f t="shared" ref="R56:R61" si="14">L56+P56</f>
        <v>4016</v>
      </c>
      <c r="S56" s="3"/>
      <c r="V56" s="228"/>
      <c r="Y56" s="304"/>
      <c r="AA56" s="172"/>
      <c r="AC56" s="98">
        <v>487</v>
      </c>
      <c r="AO56" s="269"/>
    </row>
    <row r="57" spans="1:45" x14ac:dyDescent="0.3">
      <c r="A57" s="268">
        <v>40</v>
      </c>
      <c r="C57" s="275" t="s">
        <v>209</v>
      </c>
      <c r="D57" s="276"/>
      <c r="F57" s="172">
        <v>0</v>
      </c>
      <c r="G57" s="1"/>
      <c r="H57" s="172">
        <f t="shared" si="10"/>
        <v>0</v>
      </c>
      <c r="I57" s="147"/>
      <c r="J57" s="228">
        <f t="shared" si="11"/>
        <v>10.87</v>
      </c>
      <c r="K57" s="242"/>
      <c r="L57" s="106">
        <f t="shared" si="9"/>
        <v>0</v>
      </c>
      <c r="M57" s="106"/>
      <c r="N57" s="175">
        <f t="shared" si="12"/>
        <v>0</v>
      </c>
      <c r="O57" s="175"/>
      <c r="P57" s="106">
        <f t="shared" si="13"/>
        <v>0</v>
      </c>
      <c r="Q57" s="106"/>
      <c r="R57" s="106">
        <f t="shared" si="14"/>
        <v>0</v>
      </c>
      <c r="S57" s="3"/>
      <c r="V57" s="228"/>
      <c r="Y57" s="304"/>
      <c r="AA57" s="110"/>
      <c r="AC57" s="98">
        <v>487</v>
      </c>
      <c r="AO57" s="269"/>
    </row>
    <row r="58" spans="1:45" x14ac:dyDescent="0.3">
      <c r="A58" s="268">
        <v>41</v>
      </c>
      <c r="C58" s="275" t="s">
        <v>211</v>
      </c>
      <c r="D58" s="276"/>
      <c r="F58" s="172">
        <v>24</v>
      </c>
      <c r="G58" s="1"/>
      <c r="H58" s="172">
        <f t="shared" si="10"/>
        <v>1422</v>
      </c>
      <c r="I58" s="147"/>
      <c r="J58" s="228">
        <f t="shared" si="11"/>
        <v>15.54</v>
      </c>
      <c r="K58" s="242"/>
      <c r="L58" s="106">
        <f t="shared" si="9"/>
        <v>373</v>
      </c>
      <c r="M58" s="106"/>
      <c r="N58" s="175">
        <f t="shared" si="12"/>
        <v>0</v>
      </c>
      <c r="O58" s="175"/>
      <c r="P58" s="106">
        <f t="shared" si="13"/>
        <v>5</v>
      </c>
      <c r="Q58" s="106"/>
      <c r="R58" s="106">
        <f t="shared" si="14"/>
        <v>378</v>
      </c>
      <c r="S58" s="3"/>
      <c r="V58" s="228"/>
      <c r="Y58" s="304"/>
      <c r="AA58" s="172"/>
      <c r="AC58" s="98">
        <v>711</v>
      </c>
      <c r="AO58" s="269"/>
    </row>
    <row r="59" spans="1:45" x14ac:dyDescent="0.3">
      <c r="A59" s="268">
        <v>42</v>
      </c>
      <c r="C59" s="116" t="s">
        <v>212</v>
      </c>
      <c r="F59" s="172">
        <v>204</v>
      </c>
      <c r="G59" s="1"/>
      <c r="H59" s="172">
        <f t="shared" si="10"/>
        <v>16116</v>
      </c>
      <c r="I59" s="147"/>
      <c r="J59" s="228">
        <f t="shared" si="11"/>
        <v>20.22</v>
      </c>
      <c r="K59" s="242"/>
      <c r="L59" s="106">
        <f t="shared" si="9"/>
        <v>4125</v>
      </c>
      <c r="M59" s="106"/>
      <c r="N59" s="175">
        <f t="shared" si="12"/>
        <v>0.3</v>
      </c>
      <c r="O59" s="175"/>
      <c r="P59" s="106">
        <f t="shared" si="13"/>
        <v>56</v>
      </c>
      <c r="Q59" s="106"/>
      <c r="R59" s="106">
        <f t="shared" si="14"/>
        <v>4181</v>
      </c>
      <c r="S59" s="3"/>
      <c r="V59" s="228"/>
      <c r="Y59" s="304"/>
      <c r="AA59" s="172"/>
      <c r="AC59" s="98">
        <v>948</v>
      </c>
      <c r="AO59" s="269"/>
    </row>
    <row r="60" spans="1:45" x14ac:dyDescent="0.3">
      <c r="A60" s="268">
        <v>43</v>
      </c>
      <c r="C60" s="277" t="s">
        <v>278</v>
      </c>
      <c r="D60" s="278"/>
      <c r="F60" s="172">
        <v>12</v>
      </c>
      <c r="G60" s="1"/>
      <c r="H60" s="172">
        <f t="shared" si="10"/>
        <v>1323</v>
      </c>
      <c r="I60" s="147"/>
      <c r="J60" s="228">
        <f t="shared" si="11"/>
        <v>20.61</v>
      </c>
      <c r="K60" s="242"/>
      <c r="L60" s="106">
        <f t="shared" si="9"/>
        <v>247</v>
      </c>
      <c r="M60" s="106"/>
      <c r="N60" s="175">
        <f t="shared" si="12"/>
        <v>0</v>
      </c>
      <c r="O60" s="175"/>
      <c r="P60" s="106">
        <f t="shared" si="13"/>
        <v>5</v>
      </c>
      <c r="Q60" s="106"/>
      <c r="R60" s="106">
        <f t="shared" si="14"/>
        <v>252</v>
      </c>
      <c r="S60" s="3"/>
      <c r="V60" s="228"/>
      <c r="Y60" s="304"/>
      <c r="AA60" s="172"/>
      <c r="AC60" s="98">
        <v>1323</v>
      </c>
      <c r="AO60" s="269"/>
    </row>
    <row r="61" spans="1:45" x14ac:dyDescent="0.3">
      <c r="A61" s="268">
        <v>44</v>
      </c>
      <c r="C61" s="116" t="s">
        <v>213</v>
      </c>
      <c r="F61" s="172">
        <v>96</v>
      </c>
      <c r="G61" s="1"/>
      <c r="H61" s="172">
        <f t="shared" si="10"/>
        <v>15672</v>
      </c>
      <c r="I61" s="147"/>
      <c r="J61" s="228">
        <f t="shared" si="11"/>
        <v>27.91</v>
      </c>
      <c r="K61" s="242"/>
      <c r="L61" s="106">
        <f t="shared" si="9"/>
        <v>2679</v>
      </c>
      <c r="M61" s="106"/>
      <c r="N61" s="175">
        <f t="shared" si="12"/>
        <v>0.2</v>
      </c>
      <c r="O61" s="175"/>
      <c r="P61" s="106">
        <f t="shared" si="13"/>
        <v>55</v>
      </c>
      <c r="Q61" s="106"/>
      <c r="R61" s="106">
        <f t="shared" si="14"/>
        <v>2734</v>
      </c>
      <c r="S61" s="3"/>
      <c r="V61" s="228"/>
      <c r="Y61" s="304"/>
      <c r="AA61" s="172"/>
      <c r="AC61" s="98">
        <v>1959</v>
      </c>
      <c r="AO61" s="269"/>
    </row>
    <row r="63" spans="1:45" x14ac:dyDescent="0.3">
      <c r="A63" s="178" t="s">
        <v>76</v>
      </c>
      <c r="B63" s="279"/>
      <c r="C63" s="279"/>
      <c r="D63" s="279"/>
      <c r="E63" s="279"/>
      <c r="F63" s="279"/>
      <c r="G63" s="279"/>
      <c r="H63" s="279"/>
      <c r="I63" s="279"/>
      <c r="J63" s="248"/>
      <c r="K63" s="279"/>
      <c r="L63" s="280"/>
      <c r="M63" s="279"/>
      <c r="N63" s="279"/>
      <c r="O63" s="279"/>
      <c r="P63" s="248"/>
      <c r="Q63" s="134"/>
      <c r="R63" s="134"/>
      <c r="V63" s="99"/>
      <c r="AA63" s="110"/>
      <c r="AC63" s="110"/>
      <c r="AD63" s="110"/>
      <c r="AE63" s="198"/>
      <c r="AF63" s="198"/>
      <c r="AH63" s="110"/>
      <c r="AI63" s="141"/>
      <c r="AJ63" s="141"/>
      <c r="AL63" s="110"/>
      <c r="AM63" s="207"/>
      <c r="AN63" s="207"/>
      <c r="AO63" s="110"/>
      <c r="AP63" s="110"/>
      <c r="AR63" s="110"/>
      <c r="AS63" s="141"/>
    </row>
    <row r="64" spans="1:45" x14ac:dyDescent="0.3">
      <c r="A64" s="178" t="str">
        <f>"(1A) REFLECTS FUEL COST RECOVERY INCLUDED IN BASE RATES OF "&amp;TEXT(CUR_BASE_FUEL,"$0.000000;($0.000000)")&amp;"  PER KWH."</f>
        <v>(1A) REFLECTS FUEL COST RECOVERY INCLUDED IN BASE RATES OF $0.033780  PER KWH.</v>
      </c>
      <c r="B64" s="279"/>
      <c r="C64" s="279"/>
      <c r="D64" s="279"/>
      <c r="E64" s="279"/>
      <c r="F64" s="281"/>
      <c r="G64" s="279"/>
      <c r="H64" s="279"/>
      <c r="I64" s="279"/>
      <c r="J64" s="248"/>
      <c r="K64" s="279"/>
      <c r="L64" s="280"/>
      <c r="M64" s="279"/>
      <c r="N64" s="279"/>
      <c r="O64" s="279"/>
      <c r="P64" s="248"/>
      <c r="Q64" s="134"/>
      <c r="R64" s="134"/>
      <c r="V64" s="99"/>
      <c r="AA64" s="110"/>
      <c r="AC64" s="110"/>
      <c r="AD64" s="110"/>
      <c r="AE64" s="198"/>
      <c r="AF64" s="198"/>
      <c r="AH64" s="110"/>
      <c r="AI64" s="141"/>
      <c r="AJ64" s="141"/>
      <c r="AL64" s="110"/>
      <c r="AM64" s="207"/>
      <c r="AN64" s="207"/>
      <c r="AO64" s="110"/>
      <c r="AP64" s="110"/>
      <c r="AR64" s="110"/>
      <c r="AS64" s="141"/>
    </row>
    <row r="65" spans="1:45" x14ac:dyDescent="0.3">
      <c r="A65" s="178" t="str">
        <f>"(2) REFLECTS FUEL COMPONENT OF "&amp;TEXT(CUR_FAC,"$0.000000;($0.000000)")&amp;"  PER KWH."</f>
        <v>(2) REFLECTS FUEL COMPONENT OF $0.003487  PER KWH.</v>
      </c>
      <c r="B65" s="279"/>
      <c r="C65" s="279"/>
      <c r="D65" s="279"/>
      <c r="E65" s="279"/>
      <c r="F65" s="281"/>
      <c r="G65" s="279"/>
      <c r="H65" s="279"/>
      <c r="I65" s="279"/>
      <c r="J65" s="248"/>
      <c r="K65" s="279"/>
      <c r="L65" s="280"/>
      <c r="M65" s="279"/>
      <c r="N65" s="279"/>
      <c r="O65" s="279"/>
      <c r="P65" s="248"/>
      <c r="Q65" s="134"/>
      <c r="R65" s="134"/>
      <c r="V65" s="99"/>
      <c r="AA65" s="110"/>
      <c r="AC65" s="110"/>
      <c r="AD65" s="110"/>
      <c r="AE65" s="198"/>
      <c r="AF65" s="198"/>
      <c r="AH65" s="110"/>
      <c r="AI65" s="141"/>
      <c r="AJ65" s="141"/>
      <c r="AL65" s="110"/>
      <c r="AM65" s="207"/>
      <c r="AN65" s="207"/>
      <c r="AO65" s="110"/>
      <c r="AP65" s="110"/>
      <c r="AR65" s="110"/>
      <c r="AS65" s="141"/>
    </row>
    <row r="66" spans="1:45" x14ac:dyDescent="0.3">
      <c r="A66" s="248"/>
      <c r="B66" s="279"/>
      <c r="C66" s="279"/>
      <c r="D66" s="279"/>
      <c r="E66" s="279"/>
      <c r="F66" s="281"/>
      <c r="G66" s="279"/>
      <c r="H66" s="279"/>
      <c r="I66" s="279"/>
      <c r="J66" s="248"/>
      <c r="K66" s="279"/>
      <c r="L66" s="280"/>
      <c r="M66" s="279"/>
      <c r="N66" s="279"/>
      <c r="O66" s="279"/>
      <c r="P66" s="248"/>
      <c r="Q66" s="134"/>
      <c r="R66" s="134"/>
      <c r="V66" s="99"/>
      <c r="AA66" s="110"/>
      <c r="AC66" s="110"/>
      <c r="AD66" s="110"/>
      <c r="AE66" s="216"/>
      <c r="AF66" s="216"/>
      <c r="AH66" s="110"/>
      <c r="AI66" s="141"/>
      <c r="AJ66" s="141"/>
      <c r="AL66" s="110"/>
      <c r="AM66" s="207"/>
      <c r="AN66" s="207"/>
      <c r="AO66" s="110"/>
      <c r="AP66" s="110"/>
      <c r="AR66" s="110"/>
      <c r="AS66" s="141"/>
    </row>
    <row r="67" spans="1:45" x14ac:dyDescent="0.3">
      <c r="A67" s="248"/>
      <c r="B67" s="279"/>
      <c r="C67" s="279"/>
      <c r="D67" s="279"/>
      <c r="E67" s="279"/>
      <c r="F67" s="281"/>
      <c r="G67" s="279"/>
      <c r="H67" s="279"/>
      <c r="I67" s="279"/>
      <c r="J67" s="248"/>
      <c r="K67" s="279"/>
      <c r="L67" s="280"/>
      <c r="M67" s="279"/>
      <c r="N67" s="279"/>
      <c r="O67" s="279"/>
      <c r="P67" s="248"/>
      <c r="Q67" s="134"/>
      <c r="R67" s="134"/>
    </row>
    <row r="68" spans="1:45" x14ac:dyDescent="0.3">
      <c r="A68" s="116"/>
      <c r="F68" s="163"/>
      <c r="J68" s="116"/>
      <c r="V68" s="99"/>
      <c r="AA68" s="110"/>
      <c r="AC68" s="110"/>
      <c r="AD68" s="110"/>
      <c r="AE68" s="217"/>
      <c r="AF68" s="217"/>
      <c r="AH68" s="110"/>
      <c r="AI68" s="141"/>
      <c r="AJ68" s="141"/>
      <c r="AL68" s="110"/>
      <c r="AM68" s="141"/>
      <c r="AN68" s="141"/>
      <c r="AO68" s="110"/>
      <c r="AP68" s="110"/>
      <c r="AR68" s="110"/>
      <c r="AS68" s="141"/>
    </row>
    <row r="69" spans="1:45" x14ac:dyDescent="0.3">
      <c r="A69" s="116"/>
      <c r="F69" s="163"/>
      <c r="J69" s="116"/>
      <c r="N69" s="163"/>
      <c r="P69" s="116"/>
      <c r="V69" s="99"/>
      <c r="AA69" s="110"/>
      <c r="AC69" s="110"/>
      <c r="AD69" s="110"/>
      <c r="AE69" s="217"/>
      <c r="AF69" s="217"/>
      <c r="AH69" s="110"/>
      <c r="AI69" s="141"/>
      <c r="AJ69" s="141"/>
      <c r="AL69" s="110"/>
      <c r="AM69" s="141"/>
      <c r="AN69" s="141"/>
      <c r="AO69" s="110"/>
      <c r="AP69" s="110"/>
      <c r="AR69" s="110"/>
      <c r="AS69" s="141"/>
    </row>
    <row r="70" spans="1:45" x14ac:dyDescent="0.3">
      <c r="A70" s="97" t="str">
        <f>NAME</f>
        <v>DUKE ENERGY KENTUCKY, INC.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AA70" s="99"/>
    </row>
    <row r="71" spans="1:45" x14ac:dyDescent="0.3">
      <c r="A71" s="97" t="str">
        <f>CASE_NO</f>
        <v>CASE NO.   2024-00354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AA71" s="99"/>
    </row>
    <row r="72" spans="1:45" x14ac:dyDescent="0.3">
      <c r="A72" s="97" t="str">
        <f>TITLE</f>
        <v>ANNUALIZED BASE YEAR REVENUES AT PROPOSED VS. MOST CURRENT RATES</v>
      </c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</row>
    <row r="73" spans="1:45" x14ac:dyDescent="0.3">
      <c r="A73" s="97" t="str">
        <f>DATE</f>
        <v>FOR THE TWELVE MONTHS ENDED February 28, 2025</v>
      </c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AC73" s="99"/>
      <c r="AD73" s="99"/>
    </row>
    <row r="74" spans="1:45" x14ac:dyDescent="0.3">
      <c r="A74" s="97" t="str">
        <f>SERVICE</f>
        <v>(ELECTRIC SERVICE)</v>
      </c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AM74" s="99"/>
      <c r="AN74" s="99"/>
    </row>
    <row r="75" spans="1:45" x14ac:dyDescent="0.3">
      <c r="A75" s="98" t="str">
        <f>DATA_PERIOD</f>
        <v>DATA: __X__ BASE PERIOD   ____FORECASTED PERIOD</v>
      </c>
      <c r="R75" s="99" t="s">
        <v>156</v>
      </c>
      <c r="AM75" s="99"/>
      <c r="AN75" s="99"/>
    </row>
    <row r="76" spans="1:45" x14ac:dyDescent="0.3">
      <c r="A76" s="98" t="str">
        <f>TYPE</f>
        <v>TYPE OF FILING: _X_ ORIGINAL   ___UPDATED  ___ REVISED</v>
      </c>
      <c r="R76" s="116" t="str">
        <f>"PAGE 14 OF "&amp;TEXT(Page_Num_2.3,"00")</f>
        <v>PAGE 14 OF 24</v>
      </c>
      <c r="AM76" s="99"/>
      <c r="AN76" s="99"/>
    </row>
    <row r="77" spans="1:45" x14ac:dyDescent="0.3">
      <c r="A77" s="99" t="s">
        <v>170</v>
      </c>
      <c r="R77" s="99" t="s">
        <v>3</v>
      </c>
      <c r="AM77" s="99"/>
      <c r="AN77" s="99"/>
    </row>
    <row r="78" spans="1:45" x14ac:dyDescent="0.3">
      <c r="A78" s="134" t="str">
        <f>TIME</f>
        <v>6 Months Actual and 6 Months Projected with Riders</v>
      </c>
      <c r="M78" s="99"/>
      <c r="R78" s="98" t="str">
        <f>WIT</f>
        <v>B. L. Sailers</v>
      </c>
      <c r="AC78" s="99"/>
      <c r="AD78" s="99"/>
    </row>
    <row r="79" spans="1:45" x14ac:dyDescent="0.3">
      <c r="A79" s="97" t="s">
        <v>129</v>
      </c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AC79" s="99"/>
      <c r="AD79" s="99"/>
    </row>
    <row r="80" spans="1:45" x14ac:dyDescent="0.3">
      <c r="A80" s="101"/>
      <c r="B80" s="101"/>
      <c r="C80" s="101"/>
      <c r="D80" s="101"/>
      <c r="E80" s="101"/>
      <c r="G80" s="101"/>
      <c r="H80" s="101"/>
      <c r="I80" s="101"/>
      <c r="J80" s="101"/>
      <c r="K80" s="101"/>
      <c r="L80" s="100"/>
      <c r="M80" s="100"/>
      <c r="N80" s="100"/>
      <c r="O80" s="100"/>
      <c r="P80" s="100"/>
      <c r="Q80" s="100"/>
      <c r="R80" s="100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91"/>
      <c r="AH80" s="101"/>
      <c r="AI80" s="101"/>
      <c r="AJ80" s="101"/>
      <c r="AK80" s="191"/>
      <c r="AL80" s="101"/>
      <c r="AM80" s="101"/>
      <c r="AN80" s="101"/>
      <c r="AO80" s="101"/>
      <c r="AP80" s="101"/>
    </row>
    <row r="81" spans="1:49" ht="18" customHeight="1" x14ac:dyDescent="0.3">
      <c r="A81" s="174"/>
      <c r="B81" s="174"/>
      <c r="C81" s="174"/>
      <c r="D81" s="174"/>
      <c r="E81" s="174"/>
      <c r="F81" s="174"/>
      <c r="G81" s="174"/>
      <c r="H81" s="174"/>
      <c r="I81" s="174"/>
      <c r="J81" s="174"/>
      <c r="K81" s="174"/>
      <c r="L81" s="102" t="s">
        <v>6</v>
      </c>
      <c r="M81" s="102"/>
      <c r="N81" s="102" t="s">
        <v>7</v>
      </c>
      <c r="O81" s="102"/>
      <c r="R81" s="102" t="s">
        <v>6</v>
      </c>
      <c r="AC81" s="102"/>
      <c r="AD81" s="102"/>
      <c r="AE81" s="102"/>
      <c r="AF81" s="102"/>
      <c r="AG81" s="151"/>
      <c r="AH81" s="102"/>
      <c r="AI81" s="102"/>
      <c r="AJ81" s="102"/>
      <c r="AM81" s="102"/>
      <c r="AN81" s="102"/>
      <c r="AO81" s="102"/>
      <c r="AP81" s="102"/>
    </row>
    <row r="82" spans="1:49" x14ac:dyDescent="0.3">
      <c r="L82" s="102" t="s">
        <v>12</v>
      </c>
      <c r="M82" s="102"/>
      <c r="N82" s="102" t="s">
        <v>13</v>
      </c>
      <c r="O82" s="102"/>
      <c r="R82" s="102" t="s">
        <v>11</v>
      </c>
      <c r="AB82" s="102"/>
      <c r="AC82" s="102"/>
      <c r="AD82" s="102"/>
      <c r="AE82" s="102"/>
      <c r="AF82" s="102"/>
      <c r="AG82" s="151"/>
      <c r="AH82" s="102"/>
      <c r="AI82" s="102"/>
      <c r="AJ82" s="102"/>
      <c r="AM82" s="102"/>
      <c r="AN82" s="102"/>
      <c r="AO82" s="102"/>
      <c r="AP82" s="102"/>
    </row>
    <row r="83" spans="1:49" x14ac:dyDescent="0.3">
      <c r="A83" s="102" t="s">
        <v>17</v>
      </c>
      <c r="C83" s="102" t="s">
        <v>18</v>
      </c>
      <c r="D83" s="102" t="s">
        <v>19</v>
      </c>
      <c r="E83" s="102"/>
      <c r="F83" s="102" t="s">
        <v>20</v>
      </c>
      <c r="J83" s="102" t="s">
        <v>6</v>
      </c>
      <c r="K83" s="102"/>
      <c r="L83" s="102" t="s">
        <v>593</v>
      </c>
      <c r="M83" s="102"/>
      <c r="N83" s="102" t="s">
        <v>593</v>
      </c>
      <c r="O83" s="102"/>
      <c r="P83" s="102" t="s">
        <v>593</v>
      </c>
      <c r="Q83" s="102"/>
      <c r="R83" s="102" t="s">
        <v>9</v>
      </c>
      <c r="U83" s="102"/>
      <c r="V83" s="102"/>
      <c r="AB83" s="102"/>
      <c r="AC83" s="102"/>
      <c r="AD83" s="102"/>
      <c r="AE83" s="102"/>
      <c r="AF83" s="102"/>
      <c r="AG83" s="151"/>
      <c r="AH83" s="102"/>
      <c r="AI83" s="102"/>
      <c r="AJ83" s="102"/>
      <c r="AK83" s="151"/>
      <c r="AL83" s="102"/>
      <c r="AM83" s="102"/>
      <c r="AN83" s="102"/>
      <c r="AO83" s="102"/>
      <c r="AP83" s="102"/>
    </row>
    <row r="84" spans="1:49" x14ac:dyDescent="0.3">
      <c r="A84" s="102" t="s">
        <v>22</v>
      </c>
      <c r="C84" s="102" t="s">
        <v>23</v>
      </c>
      <c r="D84" s="102" t="s">
        <v>24</v>
      </c>
      <c r="E84" s="102"/>
      <c r="F84" s="102" t="s">
        <v>25</v>
      </c>
      <c r="H84" s="102" t="s">
        <v>26</v>
      </c>
      <c r="I84" s="102"/>
      <c r="J84" s="103" t="s">
        <v>325</v>
      </c>
      <c r="K84" s="102"/>
      <c r="L84" s="102" t="s">
        <v>9</v>
      </c>
      <c r="M84" s="102"/>
      <c r="N84" s="102" t="s">
        <v>9</v>
      </c>
      <c r="O84" s="102"/>
      <c r="P84" s="102" t="s">
        <v>323</v>
      </c>
      <c r="Q84" s="102"/>
      <c r="R84" s="131" t="s">
        <v>28</v>
      </c>
      <c r="U84" s="102"/>
      <c r="V84" s="102"/>
      <c r="AA84" s="102"/>
      <c r="AB84" s="102"/>
      <c r="AC84" s="102"/>
      <c r="AD84" s="102"/>
      <c r="AE84" s="102"/>
      <c r="AF84" s="102"/>
      <c r="AG84" s="151"/>
      <c r="AH84" s="102"/>
      <c r="AI84" s="102"/>
      <c r="AJ84" s="102"/>
      <c r="AK84" s="151"/>
      <c r="AL84" s="102"/>
      <c r="AM84" s="102"/>
      <c r="AN84" s="102"/>
      <c r="AO84" s="102"/>
      <c r="AP84" s="102"/>
    </row>
    <row r="85" spans="1:49" x14ac:dyDescent="0.3">
      <c r="C85" s="131" t="s">
        <v>33</v>
      </c>
      <c r="D85" s="131" t="s">
        <v>34</v>
      </c>
      <c r="E85" s="131"/>
      <c r="F85" s="131" t="s">
        <v>35</v>
      </c>
      <c r="G85" s="134"/>
      <c r="H85" s="131" t="s">
        <v>36</v>
      </c>
      <c r="I85" s="131"/>
      <c r="J85" s="131" t="s">
        <v>37</v>
      </c>
      <c r="K85" s="131"/>
      <c r="L85" s="131" t="s">
        <v>38</v>
      </c>
      <c r="M85" s="131"/>
      <c r="N85" s="131" t="s">
        <v>39</v>
      </c>
      <c r="O85" s="131"/>
      <c r="P85" s="131" t="s">
        <v>40</v>
      </c>
      <c r="Q85" s="131"/>
      <c r="R85" s="131" t="s">
        <v>41</v>
      </c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91"/>
      <c r="AH85" s="101"/>
      <c r="AI85" s="101"/>
      <c r="AJ85" s="101"/>
      <c r="AK85" s="191"/>
      <c r="AL85" s="101"/>
      <c r="AM85" s="101"/>
      <c r="AN85" s="101"/>
      <c r="AO85" s="101"/>
      <c r="AP85" s="101"/>
    </row>
    <row r="86" spans="1:49" ht="17.100000000000001" customHeight="1" x14ac:dyDescent="0.3">
      <c r="A86" s="174"/>
      <c r="B86" s="174"/>
      <c r="C86" s="174"/>
      <c r="D86" s="174"/>
      <c r="E86" s="174"/>
      <c r="F86" s="174"/>
      <c r="G86" s="174"/>
      <c r="H86" s="258" t="s">
        <v>49</v>
      </c>
      <c r="I86" s="258"/>
      <c r="J86" s="257" t="s">
        <v>69</v>
      </c>
      <c r="K86" s="258"/>
      <c r="L86" s="258" t="s">
        <v>50</v>
      </c>
      <c r="M86" s="258"/>
      <c r="N86" s="258" t="s">
        <v>51</v>
      </c>
      <c r="O86" s="258"/>
      <c r="P86" s="258" t="s">
        <v>50</v>
      </c>
      <c r="Q86" s="258"/>
      <c r="R86" s="258" t="s">
        <v>50</v>
      </c>
      <c r="AA86" s="102"/>
      <c r="AB86" s="102"/>
      <c r="AC86" s="102"/>
      <c r="AD86" s="102"/>
      <c r="AE86" s="102"/>
      <c r="AF86" s="102"/>
      <c r="AG86" s="151"/>
      <c r="AH86" s="102"/>
      <c r="AI86" s="102"/>
      <c r="AJ86" s="102"/>
      <c r="AK86" s="151"/>
      <c r="AL86" s="102"/>
      <c r="AM86" s="102"/>
      <c r="AN86" s="102"/>
      <c r="AO86" s="102"/>
      <c r="AP86" s="102"/>
    </row>
    <row r="87" spans="1:49" x14ac:dyDescent="0.3">
      <c r="A87" s="282">
        <v>45</v>
      </c>
      <c r="C87" s="124" t="s">
        <v>77</v>
      </c>
      <c r="D87" s="116" t="s">
        <v>265</v>
      </c>
      <c r="E87" s="99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U87" s="99"/>
    </row>
    <row r="88" spans="1:49" x14ac:dyDescent="0.3">
      <c r="A88" s="282">
        <v>46</v>
      </c>
      <c r="C88" s="124" t="s">
        <v>403</v>
      </c>
      <c r="D88" s="116"/>
      <c r="E88" s="99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U88" s="99"/>
    </row>
    <row r="89" spans="1:49" x14ac:dyDescent="0.3">
      <c r="A89" s="282">
        <v>47</v>
      </c>
      <c r="C89" s="169" t="s">
        <v>275</v>
      </c>
      <c r="G89" s="1"/>
      <c r="H89" s="172"/>
      <c r="I89" s="1"/>
      <c r="J89" s="3"/>
      <c r="K89" s="3"/>
      <c r="L89" s="106"/>
      <c r="M89" s="1"/>
      <c r="N89" s="1"/>
      <c r="O89" s="1"/>
      <c r="P89" s="1"/>
      <c r="Q89" s="1"/>
      <c r="R89" s="1"/>
      <c r="U89" s="99"/>
      <c r="Y89" s="304"/>
      <c r="AA89" s="172"/>
      <c r="AO89" s="269"/>
    </row>
    <row r="90" spans="1:49" ht="20.100000000000001" customHeight="1" x14ac:dyDescent="0.3">
      <c r="A90" s="282">
        <v>48</v>
      </c>
      <c r="C90" s="99" t="s">
        <v>272</v>
      </c>
      <c r="F90" s="172">
        <v>2743</v>
      </c>
      <c r="G90" s="1"/>
      <c r="H90" s="172">
        <f t="shared" ref="H90:H110" si="15">ROUND(F90*AC90/12,0)</f>
        <v>194982</v>
      </c>
      <c r="I90" s="147"/>
      <c r="J90" s="228">
        <f>ROUND(AC244+(AC244*$AG$1),2)</f>
        <v>13.84</v>
      </c>
      <c r="K90" s="242"/>
      <c r="L90" s="106">
        <f>ROUND((F90*J90),0)</f>
        <v>37963</v>
      </c>
      <c r="M90" s="106"/>
      <c r="N90" s="175">
        <f>ROUND((L90/L$139)*100,1)</f>
        <v>2.2999999999999998</v>
      </c>
      <c r="O90" s="175"/>
      <c r="P90" s="106">
        <f>ROUND($P$139/$H$139*H90,0)</f>
        <v>680</v>
      </c>
      <c r="Q90" s="106"/>
      <c r="R90" s="106">
        <f>L90+P90</f>
        <v>38643</v>
      </c>
      <c r="V90" s="102"/>
      <c r="W90" s="102"/>
      <c r="AA90" s="172"/>
      <c r="AC90" s="98">
        <v>853</v>
      </c>
      <c r="AE90" s="102"/>
      <c r="AF90" s="102"/>
      <c r="AG90" s="151"/>
      <c r="AH90" s="102"/>
      <c r="AI90" s="102"/>
      <c r="AJ90" s="102"/>
      <c r="AK90" s="151"/>
      <c r="AL90" s="102"/>
      <c r="AM90" s="102"/>
      <c r="AN90" s="102"/>
      <c r="AR90" s="102"/>
      <c r="AS90" s="102"/>
    </row>
    <row r="91" spans="1:49" x14ac:dyDescent="0.3">
      <c r="A91" s="282">
        <v>49</v>
      </c>
      <c r="C91" s="99" t="s">
        <v>273</v>
      </c>
      <c r="F91" s="172">
        <v>904</v>
      </c>
      <c r="G91" s="1"/>
      <c r="H91" s="172">
        <f t="shared" si="15"/>
        <v>65841</v>
      </c>
      <c r="I91" s="147"/>
      <c r="J91" s="228">
        <f>ROUND(AC245+(AC245*$AG$1),2)</f>
        <v>17.149999999999999</v>
      </c>
      <c r="K91" s="242"/>
      <c r="L91" s="106">
        <f>ROUND((F91*J91),0)</f>
        <v>15504</v>
      </c>
      <c r="M91" s="106"/>
      <c r="N91" s="175">
        <f>ROUND((L91/L$139)*100,1)</f>
        <v>1</v>
      </c>
      <c r="O91" s="175"/>
      <c r="P91" s="106">
        <f>ROUND($P$139/$H$139*H91,0)</f>
        <v>230</v>
      </c>
      <c r="Q91" s="106"/>
      <c r="R91" s="106">
        <f>L91+P91</f>
        <v>15734</v>
      </c>
      <c r="AA91" s="172"/>
      <c r="AC91" s="98">
        <v>874</v>
      </c>
    </row>
    <row r="92" spans="1:49" x14ac:dyDescent="0.3">
      <c r="A92" s="282">
        <v>50</v>
      </c>
      <c r="C92" s="116" t="s">
        <v>812</v>
      </c>
      <c r="F92" s="305">
        <v>27</v>
      </c>
      <c r="G92" s="1"/>
      <c r="H92" s="172">
        <f t="shared" si="15"/>
        <v>1967</v>
      </c>
      <c r="I92" s="147"/>
      <c r="J92" s="228">
        <f>ROUND(AC246+(AC246*$AG$1),2)</f>
        <v>38.049999999999997</v>
      </c>
      <c r="K92" s="242"/>
      <c r="L92" s="106">
        <f>ROUND((F92*J92),0)</f>
        <v>1027</v>
      </c>
      <c r="M92" s="106"/>
      <c r="N92" s="175">
        <f>ROUND((L92/L$139)*100,1)</f>
        <v>0.1</v>
      </c>
      <c r="O92" s="175"/>
      <c r="P92" s="106">
        <f>ROUND($P$139/$H$139*H92,0)</f>
        <v>7</v>
      </c>
      <c r="Q92" s="106"/>
      <c r="R92" s="106">
        <f>L92+P92</f>
        <v>1034</v>
      </c>
      <c r="S92" s="1"/>
      <c r="T92" s="234"/>
      <c r="V92" s="228"/>
      <c r="W92" s="99"/>
      <c r="X92" s="102"/>
      <c r="Y92" s="102"/>
      <c r="Z92" s="102"/>
      <c r="AA92" s="172"/>
      <c r="AC92" s="102">
        <v>874</v>
      </c>
      <c r="AD92" s="102"/>
      <c r="AE92" s="102"/>
      <c r="AF92" s="102"/>
      <c r="AG92" s="151"/>
      <c r="AH92" s="102"/>
      <c r="AI92" s="102"/>
      <c r="AJ92" s="102"/>
      <c r="AK92" s="151"/>
      <c r="AL92" s="102"/>
      <c r="AM92" s="102"/>
      <c r="AN92" s="102"/>
      <c r="AO92" s="102"/>
      <c r="AP92" s="102"/>
      <c r="AR92" s="102"/>
      <c r="AS92" s="102"/>
      <c r="AU92" s="110"/>
      <c r="AV92" s="110"/>
      <c r="AW92" s="141"/>
    </row>
    <row r="93" spans="1:49" x14ac:dyDescent="0.3">
      <c r="A93" s="282">
        <v>51</v>
      </c>
      <c r="C93" s="99" t="s">
        <v>397</v>
      </c>
      <c r="F93" s="305">
        <v>0</v>
      </c>
      <c r="G93" s="1"/>
      <c r="H93" s="172">
        <f t="shared" si="15"/>
        <v>0</v>
      </c>
      <c r="I93" s="147"/>
      <c r="J93" s="228">
        <f>ROUND(AC247+(AC247*$AG$1),2)</f>
        <v>13.97</v>
      </c>
      <c r="K93" s="242"/>
      <c r="L93" s="106">
        <f>ROUND((F93*J93),0)</f>
        <v>0</v>
      </c>
      <c r="M93" s="106"/>
      <c r="N93" s="175">
        <f>ROUND((L93/L$139)*100,1)</f>
        <v>0</v>
      </c>
      <c r="O93" s="175"/>
      <c r="P93" s="106">
        <f>ROUND($P$139/$H$139*H93,0)</f>
        <v>0</v>
      </c>
      <c r="Q93" s="106"/>
      <c r="R93" s="106">
        <f>L93+P93</f>
        <v>0</v>
      </c>
      <c r="S93" s="1"/>
      <c r="V93" s="228"/>
      <c r="W93" s="99"/>
      <c r="AA93" s="1"/>
      <c r="AC93" s="102">
        <v>853</v>
      </c>
      <c r="AD93" s="102"/>
      <c r="AE93" s="102"/>
      <c r="AF93" s="102"/>
      <c r="AG93" s="151"/>
      <c r="AH93" s="102"/>
      <c r="AI93" s="102"/>
      <c r="AJ93" s="102"/>
      <c r="AK93" s="151"/>
      <c r="AL93" s="102"/>
      <c r="AM93" s="102"/>
      <c r="AN93" s="102"/>
      <c r="AO93" s="102"/>
      <c r="AP93" s="102"/>
      <c r="AR93" s="102"/>
      <c r="AS93" s="102"/>
      <c r="AU93" s="110"/>
      <c r="AV93" s="110"/>
      <c r="AW93" s="226"/>
    </row>
    <row r="94" spans="1:49" x14ac:dyDescent="0.3">
      <c r="A94" s="282">
        <v>52</v>
      </c>
      <c r="C94" s="99" t="s">
        <v>274</v>
      </c>
      <c r="F94" s="305">
        <v>24</v>
      </c>
      <c r="G94" s="1"/>
      <c r="H94" s="172">
        <f t="shared" si="15"/>
        <v>1748</v>
      </c>
      <c r="I94" s="147"/>
      <c r="J94" s="228">
        <f>ROUND(AC248+(AC248*$AG$1),2)</f>
        <v>24.44</v>
      </c>
      <c r="K94" s="242"/>
      <c r="L94" s="106">
        <f>ROUND((F94*J94),0)</f>
        <v>587</v>
      </c>
      <c r="M94" s="106"/>
      <c r="N94" s="175">
        <f>ROUND((L94/L$139)*100,1)</f>
        <v>0</v>
      </c>
      <c r="O94" s="175"/>
      <c r="P94" s="106">
        <f>ROUND($P$139/$H$139*H94,0)</f>
        <v>6</v>
      </c>
      <c r="Q94" s="106"/>
      <c r="R94" s="106">
        <f>L94+P94</f>
        <v>593</v>
      </c>
      <c r="S94" s="1"/>
      <c r="V94" s="228"/>
      <c r="W94" s="99"/>
      <c r="X94" s="99"/>
      <c r="Y94" s="304"/>
      <c r="Z94" s="99"/>
      <c r="AA94" s="172"/>
      <c r="AC94" s="98">
        <v>874</v>
      </c>
      <c r="AU94" s="110"/>
      <c r="AV94" s="110"/>
      <c r="AW94" s="141"/>
    </row>
    <row r="95" spans="1:49" x14ac:dyDescent="0.3">
      <c r="A95" s="282">
        <v>53</v>
      </c>
      <c r="C95" s="124" t="s">
        <v>279</v>
      </c>
      <c r="F95" s="305"/>
      <c r="G95" s="1"/>
      <c r="H95" s="172"/>
      <c r="I95" s="147"/>
      <c r="J95" s="242"/>
      <c r="K95" s="242"/>
      <c r="L95" s="106"/>
      <c r="M95" s="106"/>
      <c r="N95" s="175"/>
      <c r="O95" s="175"/>
      <c r="P95" s="106"/>
      <c r="Q95" s="106"/>
      <c r="R95" s="106"/>
      <c r="V95" s="228"/>
      <c r="X95" s="99"/>
      <c r="Y95" s="304"/>
      <c r="Z95" s="99"/>
      <c r="AA95" s="172"/>
      <c r="AU95" s="110"/>
      <c r="AV95" s="110"/>
      <c r="AW95" s="141"/>
    </row>
    <row r="96" spans="1:49" x14ac:dyDescent="0.3">
      <c r="A96" s="282">
        <v>54</v>
      </c>
      <c r="C96" s="283" t="s">
        <v>398</v>
      </c>
      <c r="D96" s="284"/>
      <c r="F96" s="305">
        <v>132</v>
      </c>
      <c r="G96" s="1"/>
      <c r="H96" s="172">
        <f t="shared" si="15"/>
        <v>9383</v>
      </c>
      <c r="I96" s="147"/>
      <c r="J96" s="228">
        <f>ROUND(AC250+(AC250*$AG$1),2)</f>
        <v>13.81</v>
      </c>
      <c r="K96" s="242"/>
      <c r="L96" s="106">
        <f>ROUND((F96*J96),0)</f>
        <v>1823</v>
      </c>
      <c r="M96" s="106"/>
      <c r="N96" s="175">
        <f>ROUND((L96/L$139)*100,1)</f>
        <v>0.1</v>
      </c>
      <c r="O96" s="175"/>
      <c r="P96" s="106">
        <f>ROUND($P$139/$H$139*H96,0)</f>
        <v>33</v>
      </c>
      <c r="Q96" s="106"/>
      <c r="R96" s="106">
        <f>L96+P96</f>
        <v>1856</v>
      </c>
      <c r="V96" s="228"/>
      <c r="X96" s="99"/>
      <c r="Y96" s="304"/>
      <c r="Z96" s="99"/>
      <c r="AA96" s="172"/>
      <c r="AC96" s="98">
        <v>853</v>
      </c>
      <c r="AU96" s="110"/>
      <c r="AV96" s="110"/>
      <c r="AW96" s="141"/>
    </row>
    <row r="97" spans="1:49" x14ac:dyDescent="0.3">
      <c r="A97" s="282">
        <v>55</v>
      </c>
      <c r="C97" s="283" t="s">
        <v>280</v>
      </c>
      <c r="D97" s="284"/>
      <c r="F97" s="305">
        <v>0</v>
      </c>
      <c r="G97" s="1"/>
      <c r="H97" s="172">
        <f t="shared" si="15"/>
        <v>0</v>
      </c>
      <c r="I97" s="147"/>
      <c r="J97" s="228">
        <f>ROUND(AC251+(AC251*$AG$1),2)</f>
        <v>24.44</v>
      </c>
      <c r="K97" s="242"/>
      <c r="L97" s="106">
        <f>ROUND((F97*J97),0)</f>
        <v>0</v>
      </c>
      <c r="M97" s="106"/>
      <c r="N97" s="175">
        <f>ROUND((L97/L$139)*100,1)</f>
        <v>0</v>
      </c>
      <c r="O97" s="175"/>
      <c r="P97" s="106">
        <f>ROUND($P$139/$H$139*H97,0)</f>
        <v>0</v>
      </c>
      <c r="Q97" s="106"/>
      <c r="R97" s="106">
        <f>L97+P97</f>
        <v>0</v>
      </c>
      <c r="S97" s="1"/>
      <c r="V97" s="228"/>
      <c r="W97" s="99"/>
      <c r="Y97" s="304"/>
      <c r="AA97" s="172"/>
      <c r="AC97" s="98">
        <v>874</v>
      </c>
      <c r="AE97" s="209"/>
      <c r="AF97" s="209"/>
      <c r="AH97" s="110"/>
      <c r="AR97" s="110"/>
      <c r="AU97" s="110"/>
      <c r="AV97" s="110"/>
      <c r="AW97" s="141"/>
    </row>
    <row r="98" spans="1:49" x14ac:dyDescent="0.3">
      <c r="A98" s="282">
        <v>56</v>
      </c>
      <c r="C98" s="285" t="s">
        <v>401</v>
      </c>
      <c r="D98" s="284"/>
      <c r="F98" s="305">
        <v>0</v>
      </c>
      <c r="G98" s="1"/>
      <c r="H98" s="172">
        <f t="shared" si="15"/>
        <v>0</v>
      </c>
      <c r="I98" s="147"/>
      <c r="J98" s="228">
        <f>ROUND(AC252+(AC252*$AG$1),2)</f>
        <v>38.19</v>
      </c>
      <c r="K98" s="242"/>
      <c r="L98" s="106">
        <f>ROUND((F98*J98),0)</f>
        <v>0</v>
      </c>
      <c r="M98" s="106"/>
      <c r="N98" s="175">
        <f>ROUND((L98/L$139)*100,1)</f>
        <v>0</v>
      </c>
      <c r="O98" s="175"/>
      <c r="P98" s="106">
        <f>ROUND($P$139/$H$139*H98,0)</f>
        <v>0</v>
      </c>
      <c r="Q98" s="106"/>
      <c r="R98" s="106">
        <f>L98+P98</f>
        <v>0</v>
      </c>
      <c r="V98" s="228"/>
      <c r="Y98" s="304"/>
      <c r="AA98" s="172"/>
      <c r="AC98" s="98">
        <v>874</v>
      </c>
      <c r="AD98" s="110"/>
      <c r="AE98" s="181"/>
      <c r="AF98" s="181"/>
      <c r="AH98" s="110"/>
      <c r="AI98" s="141"/>
      <c r="AJ98" s="141"/>
      <c r="AL98" s="110"/>
      <c r="AM98" s="207"/>
      <c r="AN98" s="207"/>
      <c r="AO98" s="110"/>
      <c r="AP98" s="110"/>
      <c r="AR98" s="110"/>
      <c r="AS98" s="141"/>
      <c r="AT98" s="110"/>
      <c r="AU98" s="110"/>
      <c r="AV98" s="110"/>
      <c r="AW98" s="141"/>
    </row>
    <row r="99" spans="1:49" x14ac:dyDescent="0.3">
      <c r="A99" s="282">
        <v>57</v>
      </c>
      <c r="C99" s="283" t="s">
        <v>475</v>
      </c>
      <c r="D99" s="284"/>
      <c r="F99" s="305">
        <v>298</v>
      </c>
      <c r="G99" s="1"/>
      <c r="H99" s="172">
        <f t="shared" si="15"/>
        <v>21382</v>
      </c>
      <c r="I99" s="147"/>
      <c r="J99" s="228">
        <f>ROUND(AC253+(AC253*$AG$1),2)</f>
        <v>38.17</v>
      </c>
      <c r="K99" s="242"/>
      <c r="L99" s="106">
        <f>ROUND((F99*J99),0)</f>
        <v>11375</v>
      </c>
      <c r="M99" s="106"/>
      <c r="N99" s="175">
        <f>ROUND((L99/L$139)*100,1)</f>
        <v>0.7</v>
      </c>
      <c r="O99" s="175"/>
      <c r="P99" s="106">
        <f>ROUND($P$139/$H$139*H99,0)</f>
        <v>75</v>
      </c>
      <c r="Q99" s="106"/>
      <c r="R99" s="106">
        <f>L99+P99</f>
        <v>11450</v>
      </c>
      <c r="S99" s="1"/>
      <c r="U99" s="97"/>
      <c r="V99" s="228"/>
      <c r="W99" s="97"/>
      <c r="X99" s="99"/>
      <c r="Y99" s="304"/>
      <c r="Z99" s="99"/>
      <c r="AA99" s="172"/>
      <c r="AC99" s="98">
        <v>861</v>
      </c>
      <c r="AU99" s="110"/>
      <c r="AV99" s="110"/>
      <c r="AW99" s="141"/>
    </row>
    <row r="100" spans="1:49" x14ac:dyDescent="0.3">
      <c r="A100" s="282">
        <v>58</v>
      </c>
      <c r="C100" s="169" t="s">
        <v>203</v>
      </c>
      <c r="G100" s="1"/>
      <c r="H100" s="172"/>
      <c r="I100" s="1"/>
      <c r="J100" s="3"/>
      <c r="K100" s="3"/>
      <c r="L100" s="1"/>
      <c r="M100" s="1"/>
      <c r="N100" s="1"/>
      <c r="O100" s="1"/>
      <c r="P100" s="1"/>
      <c r="Q100" s="1"/>
      <c r="R100" s="1"/>
      <c r="V100" s="286"/>
      <c r="Y100" s="304"/>
      <c r="AA100" s="172"/>
      <c r="AR100" s="110"/>
      <c r="AU100" s="110"/>
      <c r="AV100" s="110"/>
      <c r="AW100" s="141"/>
    </row>
    <row r="101" spans="1:49" x14ac:dyDescent="0.3">
      <c r="A101" s="282">
        <v>59</v>
      </c>
      <c r="C101" s="99" t="s">
        <v>276</v>
      </c>
      <c r="F101" s="305">
        <v>1598</v>
      </c>
      <c r="G101" s="1"/>
      <c r="H101" s="172">
        <f t="shared" si="15"/>
        <v>64852</v>
      </c>
      <c r="I101" s="1"/>
      <c r="J101" s="228">
        <f t="shared" ref="J101:J110" si="16">ROUND(AC255+(AC255*$AG$1),2)</f>
        <v>19.39</v>
      </c>
      <c r="K101" s="3"/>
      <c r="L101" s="106">
        <f>ROUND((F101*J101),0)</f>
        <v>30985</v>
      </c>
      <c r="M101" s="1"/>
      <c r="N101" s="175">
        <f t="shared" ref="N101:N111" si="17">ROUND((L101/L$139)*100,1)</f>
        <v>1.9</v>
      </c>
      <c r="O101" s="1"/>
      <c r="P101" s="106">
        <f t="shared" ref="P101:P110" si="18">ROUND($P$139/$H$139*H101,0)</f>
        <v>226</v>
      </c>
      <c r="Q101" s="1"/>
      <c r="R101" s="106">
        <f t="shared" ref="R101:R110" si="19">L101+P101</f>
        <v>31211</v>
      </c>
      <c r="S101" s="1"/>
      <c r="V101" s="228"/>
      <c r="X101" s="97"/>
      <c r="Y101" s="304"/>
      <c r="Z101" s="97"/>
      <c r="AA101" s="172"/>
      <c r="AB101" s="97"/>
      <c r="AC101" s="98">
        <v>487</v>
      </c>
      <c r="AD101" s="97"/>
      <c r="AE101" s="97"/>
      <c r="AF101" s="97"/>
      <c r="AG101" s="149"/>
      <c r="AH101" s="97"/>
      <c r="AI101" s="97"/>
      <c r="AJ101" s="97"/>
      <c r="AK101" s="149"/>
      <c r="AL101" s="97"/>
      <c r="AM101" s="97"/>
      <c r="AT101" s="110"/>
      <c r="AU101" s="110"/>
      <c r="AV101" s="110"/>
      <c r="AW101" s="141"/>
    </row>
    <row r="102" spans="1:49" x14ac:dyDescent="0.3">
      <c r="A102" s="282">
        <v>60</v>
      </c>
      <c r="C102" s="99" t="s">
        <v>277</v>
      </c>
      <c r="F102" s="305">
        <v>868</v>
      </c>
      <c r="G102" s="1"/>
      <c r="H102" s="172">
        <f t="shared" si="15"/>
        <v>38481</v>
      </c>
      <c r="I102" s="1"/>
      <c r="J102" s="228">
        <f t="shared" si="16"/>
        <v>21.01</v>
      </c>
      <c r="K102" s="3"/>
      <c r="L102" s="106">
        <f>ROUND((F102*J102),0)</f>
        <v>18237</v>
      </c>
      <c r="M102" s="1"/>
      <c r="N102" s="175">
        <f t="shared" si="17"/>
        <v>1.1000000000000001</v>
      </c>
      <c r="O102" s="1"/>
      <c r="P102" s="106">
        <f t="shared" si="18"/>
        <v>134</v>
      </c>
      <c r="Q102" s="1"/>
      <c r="R102" s="106">
        <f t="shared" si="19"/>
        <v>18371</v>
      </c>
      <c r="S102" s="1"/>
      <c r="V102" s="228"/>
      <c r="Y102" s="304"/>
      <c r="AA102" s="172"/>
      <c r="AC102" s="98">
        <v>532</v>
      </c>
      <c r="AU102" s="110"/>
      <c r="AV102" s="110"/>
      <c r="AW102" s="141"/>
    </row>
    <row r="103" spans="1:49" x14ac:dyDescent="0.3">
      <c r="A103" s="282">
        <v>61</v>
      </c>
      <c r="C103" s="116" t="s">
        <v>813</v>
      </c>
      <c r="F103" s="305">
        <v>0</v>
      </c>
      <c r="G103" s="1"/>
      <c r="H103" s="172">
        <f t="shared" si="15"/>
        <v>0</v>
      </c>
      <c r="I103" s="1"/>
      <c r="J103" s="228">
        <f t="shared" si="16"/>
        <v>15.95</v>
      </c>
      <c r="K103" s="3"/>
      <c r="L103" s="106">
        <f>ROUND((F103*J103),0)</f>
        <v>0</v>
      </c>
      <c r="M103" s="1"/>
      <c r="N103" s="175">
        <f t="shared" si="17"/>
        <v>0</v>
      </c>
      <c r="O103" s="1"/>
      <c r="P103" s="106">
        <f t="shared" si="18"/>
        <v>0</v>
      </c>
      <c r="Q103" s="1"/>
      <c r="R103" s="106">
        <f t="shared" si="19"/>
        <v>0</v>
      </c>
      <c r="S103" s="1"/>
      <c r="V103" s="228"/>
      <c r="Y103" s="304"/>
      <c r="AA103" s="172"/>
      <c r="AC103" s="98">
        <v>487</v>
      </c>
      <c r="AU103" s="110"/>
      <c r="AV103" s="110"/>
      <c r="AW103" s="141"/>
    </row>
    <row r="104" spans="1:49" x14ac:dyDescent="0.3">
      <c r="A104" s="282">
        <v>62</v>
      </c>
      <c r="C104" s="116" t="s">
        <v>814</v>
      </c>
      <c r="F104" s="305">
        <v>252</v>
      </c>
      <c r="G104" s="1"/>
      <c r="H104" s="172">
        <f t="shared" si="15"/>
        <v>11172</v>
      </c>
      <c r="I104" s="1"/>
      <c r="J104" s="228">
        <f t="shared" si="16"/>
        <v>40.25</v>
      </c>
      <c r="K104" s="3"/>
      <c r="L104" s="106">
        <f t="shared" ref="L104:L110" si="20">ROUND((F104*J104),0)</f>
        <v>10143</v>
      </c>
      <c r="M104" s="1"/>
      <c r="N104" s="175">
        <f t="shared" si="17"/>
        <v>0.6</v>
      </c>
      <c r="O104" s="1"/>
      <c r="P104" s="106">
        <f t="shared" si="18"/>
        <v>39</v>
      </c>
      <c r="Q104" s="1"/>
      <c r="R104" s="106">
        <f t="shared" si="19"/>
        <v>10182</v>
      </c>
      <c r="S104" s="1"/>
      <c r="T104" s="228"/>
      <c r="W104" s="228"/>
      <c r="Y104" s="304"/>
      <c r="AA104" s="172"/>
      <c r="AC104" s="98">
        <v>532</v>
      </c>
      <c r="AU104" s="110"/>
      <c r="AV104" s="110"/>
      <c r="AW104" s="141"/>
    </row>
    <row r="105" spans="1:49" x14ac:dyDescent="0.3">
      <c r="A105" s="282">
        <v>63</v>
      </c>
      <c r="C105" s="99" t="s">
        <v>547</v>
      </c>
      <c r="F105" s="305">
        <v>696</v>
      </c>
      <c r="G105" s="1"/>
      <c r="H105" s="172">
        <f t="shared" si="15"/>
        <v>30856</v>
      </c>
      <c r="I105" s="1"/>
      <c r="J105" s="228">
        <f t="shared" si="16"/>
        <v>24.38</v>
      </c>
      <c r="K105" s="3"/>
      <c r="L105" s="106">
        <f t="shared" si="20"/>
        <v>16968</v>
      </c>
      <c r="M105" s="1"/>
      <c r="N105" s="175">
        <f t="shared" si="17"/>
        <v>1</v>
      </c>
      <c r="O105" s="1"/>
      <c r="P105" s="106">
        <f t="shared" si="18"/>
        <v>108</v>
      </c>
      <c r="Q105" s="1"/>
      <c r="R105" s="106">
        <f t="shared" si="19"/>
        <v>17076</v>
      </c>
      <c r="S105" s="1"/>
      <c r="V105" s="228"/>
      <c r="Y105" s="304"/>
      <c r="AA105" s="147"/>
      <c r="AC105" s="98">
        <v>532</v>
      </c>
      <c r="AU105" s="110"/>
      <c r="AV105" s="110"/>
      <c r="AW105" s="141"/>
    </row>
    <row r="106" spans="1:49" x14ac:dyDescent="0.3">
      <c r="A106" s="282">
        <v>64</v>
      </c>
      <c r="C106" s="99" t="s">
        <v>399</v>
      </c>
      <c r="F106" s="305">
        <v>622</v>
      </c>
      <c r="G106" s="1"/>
      <c r="H106" s="172">
        <f t="shared" si="15"/>
        <v>25243</v>
      </c>
      <c r="I106" s="1"/>
      <c r="J106" s="228">
        <f t="shared" si="16"/>
        <v>19.39</v>
      </c>
      <c r="K106" s="3"/>
      <c r="L106" s="106">
        <f t="shared" si="20"/>
        <v>12061</v>
      </c>
      <c r="M106" s="1"/>
      <c r="N106" s="175">
        <f t="shared" si="17"/>
        <v>0.7</v>
      </c>
      <c r="O106" s="1"/>
      <c r="P106" s="106">
        <f t="shared" si="18"/>
        <v>88</v>
      </c>
      <c r="Q106" s="1"/>
      <c r="R106" s="106">
        <f t="shared" si="19"/>
        <v>12149</v>
      </c>
      <c r="Y106" s="304"/>
      <c r="AA106" s="172"/>
      <c r="AC106" s="98">
        <v>487</v>
      </c>
      <c r="AU106" s="110"/>
      <c r="AV106" s="110"/>
      <c r="AW106" s="141"/>
    </row>
    <row r="107" spans="1:49" x14ac:dyDescent="0.3">
      <c r="A107" s="282">
        <v>65</v>
      </c>
      <c r="C107" s="99" t="s">
        <v>400</v>
      </c>
      <c r="F107" s="305">
        <v>0</v>
      </c>
      <c r="G107" s="1"/>
      <c r="H107" s="172">
        <f t="shared" si="15"/>
        <v>0</v>
      </c>
      <c r="I107" s="1"/>
      <c r="J107" s="228">
        <f t="shared" si="16"/>
        <v>24.38</v>
      </c>
      <c r="K107" s="3"/>
      <c r="L107" s="106">
        <f t="shared" si="20"/>
        <v>0</v>
      </c>
      <c r="M107" s="1"/>
      <c r="N107" s="175">
        <f t="shared" si="17"/>
        <v>0</v>
      </c>
      <c r="O107" s="1"/>
      <c r="P107" s="106">
        <f t="shared" si="18"/>
        <v>0</v>
      </c>
      <c r="Q107" s="1"/>
      <c r="R107" s="106">
        <f t="shared" si="19"/>
        <v>0</v>
      </c>
      <c r="S107" s="1"/>
      <c r="V107" s="228"/>
      <c r="Y107" s="304"/>
      <c r="AA107" s="172"/>
      <c r="AC107" s="98">
        <v>532</v>
      </c>
      <c r="AU107" s="110"/>
      <c r="AV107" s="110"/>
      <c r="AW107" s="141"/>
    </row>
    <row r="108" spans="1:49" x14ac:dyDescent="0.3">
      <c r="A108" s="282">
        <v>66</v>
      </c>
      <c r="C108" s="116" t="s">
        <v>393</v>
      </c>
      <c r="F108" s="172">
        <v>168</v>
      </c>
      <c r="G108" s="1"/>
      <c r="H108" s="172">
        <f t="shared" si="15"/>
        <v>14322</v>
      </c>
      <c r="I108" s="147"/>
      <c r="J108" s="228">
        <f t="shared" si="16"/>
        <v>22.08</v>
      </c>
      <c r="K108" s="242"/>
      <c r="L108" s="106">
        <f t="shared" si="20"/>
        <v>3709</v>
      </c>
      <c r="M108" s="106"/>
      <c r="N108" s="175">
        <f t="shared" si="17"/>
        <v>0.2</v>
      </c>
      <c r="O108" s="175"/>
      <c r="P108" s="106">
        <f t="shared" si="18"/>
        <v>50</v>
      </c>
      <c r="Q108" s="106"/>
      <c r="R108" s="106">
        <f t="shared" si="19"/>
        <v>3759</v>
      </c>
      <c r="S108" s="1"/>
      <c r="V108" s="228"/>
      <c r="Y108" s="304"/>
      <c r="AA108" s="172"/>
      <c r="AC108" s="98">
        <v>1023</v>
      </c>
      <c r="AU108" s="110"/>
      <c r="AV108" s="110"/>
      <c r="AW108" s="141"/>
    </row>
    <row r="109" spans="1:49" x14ac:dyDescent="0.3">
      <c r="A109" s="282">
        <v>67</v>
      </c>
      <c r="C109" s="116" t="s">
        <v>394</v>
      </c>
      <c r="F109" s="172">
        <v>60</v>
      </c>
      <c r="G109" s="1"/>
      <c r="H109" s="172">
        <f t="shared" si="15"/>
        <v>9795</v>
      </c>
      <c r="I109" s="147"/>
      <c r="J109" s="228">
        <f t="shared" si="16"/>
        <v>29.82</v>
      </c>
      <c r="K109" s="242"/>
      <c r="L109" s="106">
        <f t="shared" si="20"/>
        <v>1789</v>
      </c>
      <c r="M109" s="106"/>
      <c r="N109" s="175">
        <f t="shared" si="17"/>
        <v>0.1</v>
      </c>
      <c r="O109" s="175"/>
      <c r="P109" s="106">
        <f t="shared" si="18"/>
        <v>34</v>
      </c>
      <c r="Q109" s="106"/>
      <c r="R109" s="106">
        <f t="shared" si="19"/>
        <v>1823</v>
      </c>
      <c r="S109" s="1"/>
      <c r="V109" s="228"/>
      <c r="Y109" s="304"/>
      <c r="AA109" s="1"/>
      <c r="AC109" s="98">
        <v>1959</v>
      </c>
    </row>
    <row r="110" spans="1:49" x14ac:dyDescent="0.3">
      <c r="A110" s="282">
        <v>68</v>
      </c>
      <c r="C110" s="116" t="s">
        <v>395</v>
      </c>
      <c r="F110" s="172">
        <v>12</v>
      </c>
      <c r="G110" s="1"/>
      <c r="H110" s="172">
        <f t="shared" si="15"/>
        <v>1959</v>
      </c>
      <c r="I110" s="147"/>
      <c r="J110" s="228">
        <f t="shared" si="16"/>
        <v>43.19</v>
      </c>
      <c r="K110" s="242"/>
      <c r="L110" s="106">
        <f t="shared" si="20"/>
        <v>518</v>
      </c>
      <c r="M110" s="106"/>
      <c r="N110" s="236">
        <f t="shared" si="17"/>
        <v>0</v>
      </c>
      <c r="O110" s="175"/>
      <c r="P110" s="117">
        <f t="shared" si="18"/>
        <v>7</v>
      </c>
      <c r="Q110" s="106"/>
      <c r="R110" s="106">
        <f t="shared" si="19"/>
        <v>525</v>
      </c>
      <c r="S110" s="1"/>
      <c r="V110" s="228"/>
      <c r="Y110" s="304"/>
      <c r="AA110" s="172"/>
      <c r="AC110" s="98">
        <v>1959</v>
      </c>
    </row>
    <row r="111" spans="1:49" x14ac:dyDescent="0.3">
      <c r="A111" s="282">
        <v>69</v>
      </c>
      <c r="B111" s="276"/>
      <c r="C111" s="169" t="s">
        <v>266</v>
      </c>
      <c r="F111" s="112">
        <f>SUM(F46:F110)</f>
        <v>9654</v>
      </c>
      <c r="G111" s="1"/>
      <c r="H111" s="112">
        <f>SUM(H46:H110)</f>
        <v>607503</v>
      </c>
      <c r="I111" s="106"/>
      <c r="J111" s="1"/>
      <c r="K111" s="1"/>
      <c r="L111" s="112">
        <f>SUM(L46:L110)</f>
        <v>184709</v>
      </c>
      <c r="M111" s="106"/>
      <c r="N111" s="193">
        <f t="shared" si="17"/>
        <v>11.4</v>
      </c>
      <c r="O111" s="138"/>
      <c r="P111" s="112">
        <f>ROUND(H111*CUR_FAC,0)</f>
        <v>2118</v>
      </c>
      <c r="Q111" s="106"/>
      <c r="R111" s="112">
        <f>SUM(R46:R110)</f>
        <v>186830</v>
      </c>
      <c r="Y111" s="304"/>
      <c r="AA111" s="172"/>
    </row>
    <row r="112" spans="1:49" x14ac:dyDescent="0.3">
      <c r="A112" s="282">
        <v>70</v>
      </c>
      <c r="B112" s="276"/>
      <c r="Y112" s="304"/>
      <c r="AA112" s="172"/>
    </row>
    <row r="113" spans="1:46" x14ac:dyDescent="0.3">
      <c r="A113" s="282">
        <v>71</v>
      </c>
      <c r="B113" s="276"/>
      <c r="C113" s="169" t="s">
        <v>797</v>
      </c>
      <c r="F113" s="106"/>
      <c r="G113" s="1"/>
      <c r="H113" s="106"/>
      <c r="I113" s="106"/>
      <c r="J113" s="1"/>
      <c r="K113" s="1"/>
      <c r="L113" s="106"/>
      <c r="M113" s="106"/>
      <c r="N113" s="175"/>
      <c r="O113" s="138"/>
      <c r="P113" s="106"/>
      <c r="Q113" s="106"/>
      <c r="R113" s="106"/>
      <c r="S113" s="1"/>
      <c r="V113" s="228"/>
      <c r="Y113" s="304"/>
      <c r="AA113" s="172"/>
    </row>
    <row r="114" spans="1:46" x14ac:dyDescent="0.3">
      <c r="A114" s="282">
        <v>72</v>
      </c>
      <c r="B114" s="276"/>
      <c r="C114" s="116" t="s">
        <v>798</v>
      </c>
      <c r="F114" s="305">
        <v>204</v>
      </c>
      <c r="G114" s="1"/>
      <c r="H114" s="106"/>
      <c r="I114" s="106"/>
      <c r="J114" s="228">
        <f t="shared" ref="J114:J127" si="21">ROUND(AC268+(AC268*$AG$1),2)</f>
        <v>7.14</v>
      </c>
      <c r="K114" s="1"/>
      <c r="L114" s="106">
        <f>ROUND((F114*J114),0)</f>
        <v>1457</v>
      </c>
      <c r="M114" s="1"/>
      <c r="N114" s="175">
        <f t="shared" ref="N114:N128" si="22">ROUND((L114/L$139)*100,1)</f>
        <v>0.1</v>
      </c>
      <c r="O114" s="1"/>
      <c r="P114" s="106"/>
      <c r="Q114" s="1"/>
      <c r="R114" s="106">
        <f>L114+P114</f>
        <v>1457</v>
      </c>
      <c r="S114" s="1"/>
      <c r="V114" s="228"/>
      <c r="Y114" s="304"/>
      <c r="AA114" s="172"/>
    </row>
    <row r="115" spans="1:46" x14ac:dyDescent="0.3">
      <c r="A115" s="282">
        <v>73</v>
      </c>
      <c r="B115" s="276"/>
      <c r="C115" s="116" t="s">
        <v>799</v>
      </c>
      <c r="F115" s="305">
        <v>212</v>
      </c>
      <c r="G115" s="1"/>
      <c r="H115" s="106"/>
      <c r="I115" s="106"/>
      <c r="J115" s="228">
        <f t="shared" si="21"/>
        <v>7.05</v>
      </c>
      <c r="K115" s="1"/>
      <c r="L115" s="106">
        <f t="shared" ref="L115:L127" si="23">ROUND((F115*J115),0)</f>
        <v>1495</v>
      </c>
      <c r="M115" s="1"/>
      <c r="N115" s="175">
        <f t="shared" si="22"/>
        <v>0.1</v>
      </c>
      <c r="O115" s="1"/>
      <c r="P115" s="106"/>
      <c r="Q115" s="1"/>
      <c r="R115" s="106">
        <f t="shared" ref="R115:R127" si="24">L115+P115</f>
        <v>1495</v>
      </c>
      <c r="S115" s="1"/>
      <c r="V115" s="228"/>
      <c r="Y115" s="304"/>
      <c r="AA115" s="172"/>
    </row>
    <row r="116" spans="1:46" x14ac:dyDescent="0.3">
      <c r="A116" s="282">
        <v>74</v>
      </c>
      <c r="B116" s="276"/>
      <c r="C116" s="116" t="s">
        <v>800</v>
      </c>
      <c r="F116" s="305">
        <v>1525</v>
      </c>
      <c r="G116" s="1"/>
      <c r="H116" s="106"/>
      <c r="I116" s="106"/>
      <c r="J116" s="228">
        <f t="shared" si="21"/>
        <v>7.14</v>
      </c>
      <c r="K116" s="1"/>
      <c r="L116" s="106">
        <f t="shared" si="23"/>
        <v>10889</v>
      </c>
      <c r="M116" s="1"/>
      <c r="N116" s="175">
        <f t="shared" si="22"/>
        <v>0.7</v>
      </c>
      <c r="O116" s="1"/>
      <c r="P116" s="106"/>
      <c r="Q116" s="1"/>
      <c r="R116" s="106">
        <f t="shared" si="24"/>
        <v>10889</v>
      </c>
      <c r="S116" s="1"/>
      <c r="V116" s="228"/>
      <c r="Y116" s="304"/>
      <c r="AA116" s="172"/>
    </row>
    <row r="117" spans="1:46" x14ac:dyDescent="0.3">
      <c r="A117" s="282">
        <v>75</v>
      </c>
      <c r="B117" s="276"/>
      <c r="C117" s="116" t="s">
        <v>801</v>
      </c>
      <c r="F117" s="305">
        <v>1611</v>
      </c>
      <c r="G117" s="1"/>
      <c r="H117" s="106"/>
      <c r="I117" s="106"/>
      <c r="J117" s="228">
        <f t="shared" si="21"/>
        <v>8.5500000000000007</v>
      </c>
      <c r="K117" s="1"/>
      <c r="L117" s="106">
        <f t="shared" si="23"/>
        <v>13774</v>
      </c>
      <c r="M117" s="1"/>
      <c r="N117" s="175">
        <f t="shared" si="22"/>
        <v>0.9</v>
      </c>
      <c r="O117" s="1"/>
      <c r="P117" s="106"/>
      <c r="Q117" s="1"/>
      <c r="R117" s="106">
        <f t="shared" si="24"/>
        <v>13774</v>
      </c>
      <c r="S117" s="1"/>
      <c r="V117" s="228"/>
      <c r="Y117" s="304"/>
      <c r="AA117" s="172"/>
    </row>
    <row r="118" spans="1:46" x14ac:dyDescent="0.3">
      <c r="A118" s="282">
        <v>76</v>
      </c>
      <c r="C118" s="116" t="s">
        <v>802</v>
      </c>
      <c r="F118" s="305">
        <v>780</v>
      </c>
      <c r="G118" s="1"/>
      <c r="H118" s="106"/>
      <c r="I118" s="106"/>
      <c r="J118" s="228">
        <f t="shared" si="21"/>
        <v>19.399999999999999</v>
      </c>
      <c r="K118" s="1"/>
      <c r="L118" s="106">
        <f t="shared" si="23"/>
        <v>15132</v>
      </c>
      <c r="M118" s="1"/>
      <c r="N118" s="175">
        <f t="shared" si="22"/>
        <v>0.9</v>
      </c>
      <c r="O118" s="1"/>
      <c r="P118" s="106"/>
      <c r="Q118" s="1"/>
      <c r="R118" s="106">
        <f t="shared" si="24"/>
        <v>15132</v>
      </c>
      <c r="S118" s="1"/>
      <c r="V118" s="228"/>
      <c r="Y118" s="304"/>
      <c r="AA118" s="172"/>
    </row>
    <row r="119" spans="1:46" x14ac:dyDescent="0.3">
      <c r="A119" s="282">
        <v>77</v>
      </c>
      <c r="C119" s="116" t="s">
        <v>803</v>
      </c>
      <c r="F119" s="305">
        <v>708</v>
      </c>
      <c r="G119" s="1"/>
      <c r="H119" s="106"/>
      <c r="I119" s="106"/>
      <c r="J119" s="228">
        <f t="shared" si="21"/>
        <v>11.24</v>
      </c>
      <c r="K119" s="1"/>
      <c r="L119" s="106">
        <f t="shared" si="23"/>
        <v>7958</v>
      </c>
      <c r="M119" s="1"/>
      <c r="N119" s="175">
        <f t="shared" si="22"/>
        <v>0.5</v>
      </c>
      <c r="O119" s="1"/>
      <c r="P119" s="106"/>
      <c r="Q119" s="1"/>
      <c r="R119" s="106">
        <f t="shared" si="24"/>
        <v>7958</v>
      </c>
      <c r="S119" s="1"/>
      <c r="V119" s="228"/>
      <c r="Y119" s="304"/>
      <c r="AA119" s="172"/>
    </row>
    <row r="120" spans="1:46" x14ac:dyDescent="0.3">
      <c r="A120" s="282">
        <v>78</v>
      </c>
      <c r="C120" s="116" t="s">
        <v>804</v>
      </c>
      <c r="F120" s="305">
        <v>168</v>
      </c>
      <c r="G120" s="1"/>
      <c r="H120" s="106"/>
      <c r="I120" s="106"/>
      <c r="J120" s="228">
        <f t="shared" si="21"/>
        <v>11.37</v>
      </c>
      <c r="K120" s="1"/>
      <c r="L120" s="106">
        <f t="shared" si="23"/>
        <v>1910</v>
      </c>
      <c r="M120" s="1"/>
      <c r="N120" s="175">
        <f t="shared" si="22"/>
        <v>0.1</v>
      </c>
      <c r="O120" s="1"/>
      <c r="P120" s="106"/>
      <c r="Q120" s="1"/>
      <c r="R120" s="106">
        <f t="shared" si="24"/>
        <v>1910</v>
      </c>
      <c r="S120" s="1"/>
      <c r="U120" s="101"/>
      <c r="V120" s="228"/>
      <c r="W120" s="101"/>
      <c r="Y120" s="304"/>
      <c r="AA120" s="172"/>
    </row>
    <row r="121" spans="1:46" x14ac:dyDescent="0.3">
      <c r="A121" s="282">
        <v>79</v>
      </c>
      <c r="C121" s="116" t="s">
        <v>805</v>
      </c>
      <c r="F121" s="305">
        <v>84</v>
      </c>
      <c r="G121" s="1"/>
      <c r="H121" s="106"/>
      <c r="I121" s="106"/>
      <c r="J121" s="228">
        <f t="shared" si="21"/>
        <v>22.46</v>
      </c>
      <c r="K121" s="1"/>
      <c r="L121" s="106">
        <f t="shared" si="23"/>
        <v>1887</v>
      </c>
      <c r="M121" s="1"/>
      <c r="N121" s="175">
        <f t="shared" si="22"/>
        <v>0.1</v>
      </c>
      <c r="O121" s="1"/>
      <c r="P121" s="106"/>
      <c r="Q121" s="1"/>
      <c r="R121" s="106">
        <f t="shared" si="24"/>
        <v>1887</v>
      </c>
      <c r="S121" s="1"/>
      <c r="U121" s="101"/>
      <c r="V121" s="228"/>
      <c r="W121" s="101"/>
      <c r="Y121" s="304"/>
      <c r="AA121" s="172"/>
    </row>
    <row r="122" spans="1:46" x14ac:dyDescent="0.3">
      <c r="A122" s="282">
        <v>80</v>
      </c>
      <c r="B122" s="278"/>
      <c r="C122" s="116" t="s">
        <v>806</v>
      </c>
      <c r="F122" s="305">
        <v>6003</v>
      </c>
      <c r="G122" s="1"/>
      <c r="H122" s="106"/>
      <c r="I122" s="106"/>
      <c r="J122" s="228">
        <f t="shared" si="21"/>
        <v>7.14</v>
      </c>
      <c r="K122" s="1"/>
      <c r="L122" s="106">
        <f t="shared" si="23"/>
        <v>42861</v>
      </c>
      <c r="M122" s="1"/>
      <c r="N122" s="175">
        <f t="shared" si="22"/>
        <v>2.6</v>
      </c>
      <c r="O122" s="1"/>
      <c r="P122" s="106"/>
      <c r="Q122" s="1"/>
      <c r="R122" s="106">
        <f t="shared" si="24"/>
        <v>42861</v>
      </c>
      <c r="S122" s="1"/>
      <c r="U122" s="101"/>
      <c r="V122" s="228"/>
      <c r="W122" s="101"/>
      <c r="Y122" s="304"/>
      <c r="AA122" s="172"/>
    </row>
    <row r="123" spans="1:46" x14ac:dyDescent="0.3">
      <c r="A123" s="282">
        <v>81</v>
      </c>
      <c r="B123" s="278"/>
      <c r="C123" s="116" t="s">
        <v>807</v>
      </c>
      <c r="F123" s="305">
        <v>216</v>
      </c>
      <c r="G123" s="1"/>
      <c r="H123" s="106"/>
      <c r="I123" s="106"/>
      <c r="J123" s="228">
        <f t="shared" si="21"/>
        <v>20.86</v>
      </c>
      <c r="K123" s="1"/>
      <c r="L123" s="106">
        <f t="shared" si="23"/>
        <v>4506</v>
      </c>
      <c r="M123" s="1"/>
      <c r="N123" s="175">
        <f t="shared" si="22"/>
        <v>0.3</v>
      </c>
      <c r="O123" s="1"/>
      <c r="P123" s="106"/>
      <c r="Q123" s="1"/>
      <c r="R123" s="106">
        <f t="shared" si="24"/>
        <v>4506</v>
      </c>
      <c r="S123" s="1"/>
      <c r="U123" s="101"/>
      <c r="V123" s="228"/>
      <c r="W123" s="101"/>
      <c r="Y123" s="304"/>
      <c r="AA123" s="172"/>
    </row>
    <row r="124" spans="1:46" x14ac:dyDescent="0.3">
      <c r="A124" s="282">
        <v>82</v>
      </c>
      <c r="C124" s="116" t="s">
        <v>808</v>
      </c>
      <c r="F124" s="305">
        <v>204</v>
      </c>
      <c r="G124" s="1"/>
      <c r="H124" s="106"/>
      <c r="I124" s="106"/>
      <c r="J124" s="228">
        <f t="shared" si="21"/>
        <v>13.57</v>
      </c>
      <c r="K124" s="1"/>
      <c r="L124" s="106">
        <f t="shared" si="23"/>
        <v>2768</v>
      </c>
      <c r="M124" s="1"/>
      <c r="N124" s="175">
        <f t="shared" si="22"/>
        <v>0.2</v>
      </c>
      <c r="O124" s="1"/>
      <c r="P124" s="106"/>
      <c r="Q124" s="1"/>
      <c r="R124" s="106">
        <f t="shared" si="24"/>
        <v>2768</v>
      </c>
      <c r="S124" s="1"/>
      <c r="V124" s="228"/>
      <c r="Y124" s="304"/>
      <c r="AA124" s="172"/>
    </row>
    <row r="125" spans="1:46" x14ac:dyDescent="0.3">
      <c r="A125" s="282">
        <v>83</v>
      </c>
      <c r="C125" s="116" t="s">
        <v>809</v>
      </c>
      <c r="F125" s="305">
        <v>27</v>
      </c>
      <c r="G125" s="1"/>
      <c r="H125" s="106"/>
      <c r="I125" s="106"/>
      <c r="J125" s="228">
        <f t="shared" si="21"/>
        <v>13.95</v>
      </c>
      <c r="K125" s="1"/>
      <c r="L125" s="106">
        <f t="shared" si="23"/>
        <v>377</v>
      </c>
      <c r="M125" s="1"/>
      <c r="N125" s="175">
        <f t="shared" si="22"/>
        <v>0</v>
      </c>
      <c r="O125" s="1"/>
      <c r="P125" s="106"/>
      <c r="Q125" s="1"/>
      <c r="R125" s="106">
        <f t="shared" si="24"/>
        <v>377</v>
      </c>
      <c r="S125" s="1"/>
      <c r="V125" s="228"/>
      <c r="Y125" s="304"/>
      <c r="AA125" s="172"/>
    </row>
    <row r="126" spans="1:46" x14ac:dyDescent="0.3">
      <c r="A126" s="282">
        <v>84</v>
      </c>
      <c r="C126" s="116" t="s">
        <v>810</v>
      </c>
      <c r="F126" s="305">
        <v>0</v>
      </c>
      <c r="G126" s="1"/>
      <c r="H126" s="106"/>
      <c r="I126" s="106"/>
      <c r="J126" s="228">
        <f t="shared" si="21"/>
        <v>18.34</v>
      </c>
      <c r="K126" s="1"/>
      <c r="L126" s="106">
        <f t="shared" si="23"/>
        <v>0</v>
      </c>
      <c r="M126" s="1"/>
      <c r="N126" s="175">
        <f t="shared" si="22"/>
        <v>0</v>
      </c>
      <c r="O126" s="1"/>
      <c r="P126" s="106"/>
      <c r="Q126" s="1"/>
      <c r="R126" s="106">
        <f t="shared" si="24"/>
        <v>0</v>
      </c>
      <c r="S126" s="1"/>
      <c r="V126" s="228"/>
      <c r="Y126" s="304"/>
      <c r="AA126" s="172"/>
    </row>
    <row r="127" spans="1:46" x14ac:dyDescent="0.3">
      <c r="A127" s="282">
        <v>85</v>
      </c>
      <c r="C127" s="116" t="s">
        <v>811</v>
      </c>
      <c r="F127" s="305">
        <v>0</v>
      </c>
      <c r="G127" s="1"/>
      <c r="H127" s="106"/>
      <c r="I127" s="106"/>
      <c r="J127" s="228">
        <f t="shared" si="21"/>
        <v>27.07</v>
      </c>
      <c r="K127" s="1"/>
      <c r="L127" s="106">
        <f t="shared" si="23"/>
        <v>0</v>
      </c>
      <c r="M127" s="1"/>
      <c r="N127" s="175">
        <f t="shared" si="22"/>
        <v>0</v>
      </c>
      <c r="O127" s="1"/>
      <c r="P127" s="106"/>
      <c r="Q127" s="1"/>
      <c r="R127" s="106">
        <f t="shared" si="24"/>
        <v>0</v>
      </c>
      <c r="U127" s="97"/>
      <c r="V127" s="286"/>
      <c r="W127" s="97"/>
      <c r="X127" s="97"/>
      <c r="Y127" s="304"/>
      <c r="Z127" s="97"/>
      <c r="AA127" s="1"/>
      <c r="AB127" s="97"/>
      <c r="AC127" s="97"/>
      <c r="AD127" s="97"/>
      <c r="AE127" s="97"/>
      <c r="AF127" s="97"/>
      <c r="AG127" s="149"/>
      <c r="AH127" s="97"/>
      <c r="AI127" s="97"/>
      <c r="AJ127" s="97"/>
      <c r="AK127" s="149"/>
      <c r="AL127" s="97"/>
      <c r="AM127" s="97"/>
      <c r="AT127" s="110"/>
    </row>
    <row r="128" spans="1:46" x14ac:dyDescent="0.3">
      <c r="A128" s="282">
        <v>86</v>
      </c>
      <c r="C128" s="169" t="s">
        <v>796</v>
      </c>
      <c r="F128" s="112">
        <f>SUM(F113:F127)</f>
        <v>11742</v>
      </c>
      <c r="G128" s="1"/>
      <c r="H128" s="112"/>
      <c r="I128" s="106"/>
      <c r="J128" s="1"/>
      <c r="K128" s="1"/>
      <c r="L128" s="112">
        <f>SUM(L113:L127)</f>
        <v>105014</v>
      </c>
      <c r="M128" s="106"/>
      <c r="N128" s="193">
        <f t="shared" si="22"/>
        <v>6.5</v>
      </c>
      <c r="O128" s="138"/>
      <c r="P128" s="112"/>
      <c r="Q128" s="106"/>
      <c r="R128" s="112">
        <f>SUM(R113:R127)</f>
        <v>105014</v>
      </c>
      <c r="S128" s="1"/>
      <c r="U128" s="97"/>
      <c r="V128" s="228"/>
      <c r="W128" s="97"/>
      <c r="X128" s="97"/>
      <c r="Y128" s="304"/>
      <c r="Z128" s="97"/>
      <c r="AA128" s="172"/>
      <c r="AB128" s="97"/>
      <c r="AD128" s="97"/>
      <c r="AE128" s="97"/>
      <c r="AF128" s="97"/>
      <c r="AG128" s="149"/>
      <c r="AH128" s="97"/>
      <c r="AI128" s="97"/>
      <c r="AJ128" s="97"/>
      <c r="AK128" s="149"/>
      <c r="AL128" s="97"/>
      <c r="AM128" s="97"/>
      <c r="AT128" s="172"/>
    </row>
    <row r="129" spans="1:46" x14ac:dyDescent="0.3">
      <c r="A129" s="282">
        <v>87</v>
      </c>
      <c r="S129" s="1"/>
      <c r="U129" s="97"/>
      <c r="V129" s="228"/>
      <c r="W129" s="97"/>
      <c r="X129" s="97"/>
      <c r="Y129" s="304"/>
      <c r="Z129" s="97"/>
      <c r="AA129" s="172"/>
      <c r="AB129" s="97"/>
      <c r="AD129" s="97"/>
      <c r="AE129" s="97"/>
      <c r="AF129" s="97"/>
      <c r="AG129" s="149"/>
      <c r="AH129" s="97"/>
      <c r="AI129" s="97"/>
      <c r="AJ129" s="97"/>
      <c r="AK129" s="149"/>
      <c r="AL129" s="97"/>
      <c r="AM129" s="97"/>
      <c r="AT129" s="172"/>
    </row>
    <row r="130" spans="1:46" x14ac:dyDescent="0.3">
      <c r="A130" s="282">
        <v>88</v>
      </c>
      <c r="C130" s="306" t="s">
        <v>872</v>
      </c>
      <c r="F130" s="106"/>
      <c r="G130" s="1"/>
      <c r="H130" s="106"/>
      <c r="I130" s="106"/>
      <c r="J130" s="1"/>
      <c r="K130" s="1"/>
      <c r="L130" s="106"/>
      <c r="M130" s="106"/>
      <c r="N130" s="175"/>
      <c r="O130" s="138"/>
      <c r="P130" s="110"/>
      <c r="Q130" s="106"/>
      <c r="R130" s="106"/>
      <c r="S130" s="1"/>
      <c r="U130" s="97"/>
      <c r="V130" s="228"/>
      <c r="W130" s="97"/>
      <c r="X130" s="97"/>
      <c r="Y130" s="304"/>
      <c r="Z130" s="97"/>
      <c r="AA130" s="172"/>
      <c r="AB130" s="97"/>
      <c r="AD130" s="97"/>
      <c r="AE130" s="97"/>
      <c r="AF130" s="97"/>
      <c r="AG130" s="149"/>
      <c r="AH130" s="97"/>
      <c r="AI130" s="97"/>
      <c r="AJ130" s="97"/>
      <c r="AK130" s="149"/>
      <c r="AL130" s="97"/>
      <c r="AM130" s="97"/>
      <c r="AT130" s="172"/>
    </row>
    <row r="131" spans="1:46" x14ac:dyDescent="0.3">
      <c r="A131" s="282">
        <v>89</v>
      </c>
      <c r="C131" s="176" t="str">
        <f>ESM_Name</f>
        <v>ENVIRONMENTAL SURCHARGE MECHANISM RIDER (ESM)</v>
      </c>
      <c r="F131" s="106"/>
      <c r="G131" s="1"/>
      <c r="H131" s="106"/>
      <c r="I131" s="106"/>
      <c r="J131" s="304">
        <f>PRO_ESM_NONRES</f>
        <v>5.3681872802409589E-3</v>
      </c>
      <c r="K131" s="1"/>
      <c r="L131" s="106">
        <f>ROUND((R42-(PRO_BASE_FUEL*H42)-P42+R111-(PRO_BASE_FUEL*H111)-P111+R132+R128)*J131,0)</f>
        <v>7278</v>
      </c>
      <c r="M131" s="106"/>
      <c r="N131" s="175">
        <f>ROUND((L131/L$139)*100,1)</f>
        <v>0.4</v>
      </c>
      <c r="O131" s="138"/>
      <c r="P131" s="110"/>
      <c r="Q131" s="106"/>
      <c r="R131" s="106">
        <f>L131+P131</f>
        <v>7278</v>
      </c>
      <c r="S131" s="1"/>
      <c r="V131" s="228"/>
      <c r="Y131" s="304"/>
      <c r="AA131" s="172"/>
      <c r="AM131" s="99"/>
      <c r="AR131" s="99"/>
      <c r="AT131" s="110"/>
    </row>
    <row r="132" spans="1:46" x14ac:dyDescent="0.3">
      <c r="A132" s="282">
        <v>90</v>
      </c>
      <c r="C132" s="176" t="str">
        <f>PSM_Name</f>
        <v>PROFIT SHARING MECHANISM (PSM)</v>
      </c>
      <c r="F132" s="106"/>
      <c r="G132" s="1"/>
      <c r="H132" s="106"/>
      <c r="I132" s="106"/>
      <c r="J132" s="307">
        <f>PRO_PSM</f>
        <v>2.4750000000000002E-3</v>
      </c>
      <c r="K132" s="1"/>
      <c r="L132" s="117">
        <f>ROUND(($H$111+$H$42)*J132,0)</f>
        <v>16973</v>
      </c>
      <c r="M132" s="106"/>
      <c r="N132" s="156">
        <f>ROUND((L132/L$139)*100,1)</f>
        <v>1</v>
      </c>
      <c r="O132" s="138"/>
      <c r="P132" s="243"/>
      <c r="Q132" s="106"/>
      <c r="R132" s="117">
        <f>L132+P132</f>
        <v>16973</v>
      </c>
      <c r="S132" s="1"/>
      <c r="V132" s="228"/>
      <c r="Y132" s="304"/>
      <c r="AA132" s="172"/>
      <c r="AM132" s="99"/>
      <c r="AR132" s="99"/>
      <c r="AT132" s="110"/>
    </row>
    <row r="133" spans="1:46" x14ac:dyDescent="0.3">
      <c r="A133" s="282">
        <v>91</v>
      </c>
      <c r="C133" s="124" t="s">
        <v>461</v>
      </c>
      <c r="F133" s="106"/>
      <c r="G133" s="1"/>
      <c r="H133" s="106"/>
      <c r="I133" s="106"/>
      <c r="J133" s="1"/>
      <c r="K133" s="1"/>
      <c r="L133" s="112">
        <f>SUM(L131:L132)</f>
        <v>24251</v>
      </c>
      <c r="M133" s="106"/>
      <c r="N133" s="158">
        <f>ROUND((L133/L$139)*100,1)</f>
        <v>1.5</v>
      </c>
      <c r="O133" s="138"/>
      <c r="P133" s="261"/>
      <c r="Q133" s="106"/>
      <c r="R133" s="112">
        <f>SUM(R131:R132)</f>
        <v>24251</v>
      </c>
      <c r="S133" s="1"/>
      <c r="V133" s="228"/>
      <c r="Y133" s="304"/>
      <c r="AA133" s="172"/>
      <c r="AM133" s="99"/>
      <c r="AR133" s="99"/>
      <c r="AT133" s="110"/>
    </row>
    <row r="134" spans="1:46" x14ac:dyDescent="0.3">
      <c r="A134" s="282">
        <v>92</v>
      </c>
      <c r="S134" s="1"/>
      <c r="V134" s="228"/>
      <c r="Y134" s="304"/>
      <c r="AA134" s="172"/>
      <c r="AM134" s="99"/>
      <c r="AR134" s="99"/>
      <c r="AT134" s="110"/>
    </row>
    <row r="135" spans="1:46" x14ac:dyDescent="0.3">
      <c r="A135" s="282">
        <v>93</v>
      </c>
      <c r="C135" s="124" t="s">
        <v>303</v>
      </c>
      <c r="F135" s="106"/>
      <c r="G135" s="1"/>
      <c r="H135" s="110"/>
      <c r="I135" s="106"/>
      <c r="J135" s="1"/>
      <c r="K135" s="1"/>
      <c r="L135" s="1"/>
      <c r="M135" s="1"/>
      <c r="N135" s="175"/>
      <c r="O135" s="1"/>
      <c r="P135" s="106"/>
      <c r="Q135" s="106"/>
      <c r="R135" s="175"/>
      <c r="S135" s="1"/>
      <c r="V135" s="228"/>
      <c r="Y135" s="304"/>
      <c r="AA135" s="172"/>
      <c r="AM135" s="99"/>
      <c r="AR135" s="99"/>
      <c r="AT135" s="110"/>
    </row>
    <row r="136" spans="1:46" x14ac:dyDescent="0.3">
      <c r="A136" s="282">
        <v>94</v>
      </c>
      <c r="C136" s="99" t="s">
        <v>860</v>
      </c>
      <c r="F136" s="172">
        <f>ROUND((F42/88045)*4932,0)</f>
        <v>4589</v>
      </c>
      <c r="G136" s="1"/>
      <c r="H136" s="106"/>
      <c r="I136" s="147"/>
      <c r="J136" s="228">
        <f>ROUND(AC290+(AC290*$AG$1),2)</f>
        <v>0.87</v>
      </c>
      <c r="K136" s="242"/>
      <c r="L136" s="106">
        <f>ROUND((F136*J136),0)</f>
        <v>3992</v>
      </c>
      <c r="M136" s="106"/>
      <c r="N136" s="175">
        <f>ROUND((L136/L$139)*100,1)</f>
        <v>0.2</v>
      </c>
      <c r="O136" s="175"/>
      <c r="P136" s="106"/>
      <c r="Q136" s="106"/>
      <c r="R136" s="106">
        <f>L136+P136</f>
        <v>3992</v>
      </c>
      <c r="S136" s="1"/>
      <c r="V136" s="228"/>
      <c r="Y136" s="304"/>
      <c r="AA136" s="172"/>
      <c r="AM136" s="99"/>
      <c r="AR136" s="99"/>
      <c r="AT136" s="110"/>
    </row>
    <row r="137" spans="1:46" x14ac:dyDescent="0.3">
      <c r="A137" s="282">
        <v>95</v>
      </c>
      <c r="C137" s="99" t="s">
        <v>861</v>
      </c>
      <c r="F137" s="183">
        <f>ROUND(20364*(F111/12995),0)</f>
        <v>15128</v>
      </c>
      <c r="G137" s="1"/>
      <c r="H137" s="147"/>
      <c r="I137" s="147"/>
      <c r="J137" s="228">
        <f>ROUND(AC291+(AC291*$AG$1),2)</f>
        <v>1.26</v>
      </c>
      <c r="K137" s="242"/>
      <c r="L137" s="106">
        <f>ROUND((F137*J137),0)</f>
        <v>19061</v>
      </c>
      <c r="M137" s="106"/>
      <c r="N137" s="236">
        <f>ROUND((L137/L$139)*100,1)</f>
        <v>1.2</v>
      </c>
      <c r="O137" s="175"/>
      <c r="P137" s="106"/>
      <c r="Q137" s="106"/>
      <c r="R137" s="117">
        <f>L137+P137</f>
        <v>19061</v>
      </c>
      <c r="S137" s="1"/>
      <c r="V137" s="228"/>
      <c r="Y137" s="304"/>
      <c r="AA137" s="172"/>
      <c r="AM137" s="99"/>
      <c r="AR137" s="99"/>
      <c r="AT137" s="110"/>
    </row>
    <row r="138" spans="1:46" x14ac:dyDescent="0.3">
      <c r="A138" s="282">
        <v>96</v>
      </c>
      <c r="C138" s="124" t="s">
        <v>304</v>
      </c>
      <c r="F138" s="246">
        <f>SUM(F136:F137)</f>
        <v>19717</v>
      </c>
      <c r="G138" s="1"/>
      <c r="H138" s="147"/>
      <c r="I138" s="147"/>
      <c r="J138" s="242"/>
      <c r="K138" s="242"/>
      <c r="L138" s="246">
        <f>SUM(L136:L137)</f>
        <v>23053</v>
      </c>
      <c r="M138" s="242"/>
      <c r="N138" s="193">
        <f>ROUND((L138/L$139)*100,1)</f>
        <v>1.4</v>
      </c>
      <c r="O138" s="242"/>
      <c r="P138" s="112">
        <v>0</v>
      </c>
      <c r="Q138" s="106"/>
      <c r="R138" s="117">
        <f>SUM(R136:R137)</f>
        <v>23053</v>
      </c>
      <c r="S138" s="1"/>
      <c r="V138" s="228"/>
      <c r="Y138" s="304"/>
      <c r="AA138" s="172"/>
      <c r="AM138" s="99"/>
      <c r="AR138" s="99"/>
      <c r="AT138" s="110"/>
    </row>
    <row r="139" spans="1:46" ht="16.2" thickBot="1" x14ac:dyDescent="0.35">
      <c r="A139" s="282">
        <v>97</v>
      </c>
      <c r="C139" s="124" t="s">
        <v>473</v>
      </c>
      <c r="F139" s="143">
        <f>F42+F111+F128</f>
        <v>103310</v>
      </c>
      <c r="G139" s="1"/>
      <c r="H139" s="143">
        <f>H42+H111</f>
        <v>6857780</v>
      </c>
      <c r="I139" s="106"/>
      <c r="J139" s="1"/>
      <c r="K139" s="1"/>
      <c r="L139" s="143">
        <f>L42+L111+L133+L138+L128</f>
        <v>1617818</v>
      </c>
      <c r="M139" s="106"/>
      <c r="N139" s="287">
        <v>100</v>
      </c>
      <c r="O139" s="175"/>
      <c r="P139" s="120">
        <f>ROUND(H139*CUR_FAC,0)</f>
        <v>23915</v>
      </c>
      <c r="Q139" s="106"/>
      <c r="R139" s="143">
        <f>R42+R111+R133+R138+R128</f>
        <v>1641735</v>
      </c>
      <c r="S139" s="1"/>
      <c r="V139" s="228"/>
      <c r="Y139" s="304"/>
      <c r="AA139" s="172"/>
      <c r="AM139" s="99"/>
      <c r="AR139" s="99"/>
      <c r="AT139" s="110"/>
    </row>
    <row r="140" spans="1:46" ht="16.2" thickTop="1" x14ac:dyDescent="0.3">
      <c r="C140" s="99"/>
      <c r="F140" s="305"/>
      <c r="G140" s="1"/>
      <c r="H140" s="172"/>
      <c r="I140" s="147"/>
      <c r="J140" s="228"/>
      <c r="K140" s="242"/>
      <c r="L140" s="106"/>
      <c r="M140" s="106"/>
      <c r="N140" s="175"/>
      <c r="O140" s="175"/>
      <c r="P140" s="106"/>
      <c r="Q140" s="106"/>
      <c r="R140" s="106"/>
      <c r="S140" s="1"/>
      <c r="V140" s="228"/>
      <c r="Y140" s="163"/>
      <c r="AM140" s="99"/>
      <c r="AR140" s="99"/>
      <c r="AT140" s="110"/>
    </row>
    <row r="141" spans="1:46" x14ac:dyDescent="0.3">
      <c r="A141" s="178" t="s">
        <v>76</v>
      </c>
      <c r="B141" s="279"/>
      <c r="C141" s="279"/>
      <c r="D141" s="279"/>
      <c r="E141" s="279"/>
      <c r="F141" s="279"/>
      <c r="G141" s="279"/>
      <c r="H141" s="279"/>
      <c r="I141" s="279"/>
      <c r="J141" s="248"/>
      <c r="K141" s="279"/>
      <c r="L141" s="280"/>
      <c r="M141" s="279"/>
      <c r="N141" s="279"/>
      <c r="O141" s="279"/>
      <c r="P141" s="248"/>
      <c r="Q141" s="134"/>
      <c r="R141" s="134"/>
      <c r="V141" s="99"/>
      <c r="AA141" s="110"/>
      <c r="AC141" s="110"/>
      <c r="AD141" s="110"/>
      <c r="AE141" s="198"/>
      <c r="AF141" s="198"/>
      <c r="AH141" s="110"/>
      <c r="AI141" s="141"/>
      <c r="AJ141" s="141"/>
      <c r="AL141" s="110"/>
      <c r="AM141" s="207"/>
      <c r="AN141" s="207"/>
      <c r="AO141" s="110"/>
      <c r="AP141" s="110"/>
      <c r="AR141" s="110"/>
      <c r="AS141" s="141"/>
    </row>
    <row r="142" spans="1:46" x14ac:dyDescent="0.3">
      <c r="A142" s="178" t="str">
        <f>"(1A) REFLECTS FUEL COST RECOVERY INCLUDED IN BASE RATES OF "&amp;TEXT(CUR_BASE_FUEL,"$0.000000;($0.000000)")&amp;"  PER KWH."</f>
        <v>(1A) REFLECTS FUEL COST RECOVERY INCLUDED IN BASE RATES OF $0.033780  PER KWH.</v>
      </c>
      <c r="B142" s="279"/>
      <c r="C142" s="279"/>
      <c r="D142" s="279"/>
      <c r="E142" s="279"/>
      <c r="F142" s="281"/>
      <c r="G142" s="279"/>
      <c r="H142" s="279"/>
      <c r="I142" s="279"/>
      <c r="J142" s="248"/>
      <c r="K142" s="279"/>
      <c r="L142" s="280"/>
      <c r="M142" s="279"/>
      <c r="N142" s="279"/>
      <c r="O142" s="279"/>
      <c r="P142" s="248"/>
      <c r="Q142" s="134"/>
      <c r="R142" s="134"/>
      <c r="V142" s="99"/>
      <c r="AA142" s="110"/>
      <c r="AC142" s="110"/>
      <c r="AD142" s="110"/>
      <c r="AE142" s="198"/>
      <c r="AF142" s="198"/>
      <c r="AH142" s="110"/>
      <c r="AI142" s="141"/>
      <c r="AJ142" s="141"/>
      <c r="AL142" s="110"/>
      <c r="AM142" s="207"/>
      <c r="AN142" s="207"/>
      <c r="AO142" s="110"/>
      <c r="AP142" s="110"/>
      <c r="AR142" s="110"/>
      <c r="AS142" s="141"/>
    </row>
    <row r="143" spans="1:46" x14ac:dyDescent="0.3">
      <c r="A143" s="178" t="str">
        <f>"(2) REFLECTS FUEL COMPONENT OF "&amp;TEXT(CUR_FAC,"$0.000000;($0.000000)")&amp;"  PER KWH."</f>
        <v>(2) REFLECTS FUEL COMPONENT OF $0.003487  PER KWH.</v>
      </c>
      <c r="B143" s="279"/>
      <c r="C143" s="279"/>
      <c r="D143" s="279"/>
      <c r="E143" s="279"/>
      <c r="F143" s="281"/>
      <c r="G143" s="279"/>
      <c r="H143" s="279"/>
      <c r="I143" s="279"/>
      <c r="J143" s="248"/>
      <c r="K143" s="279"/>
      <c r="L143" s="280"/>
      <c r="M143" s="279"/>
      <c r="N143" s="279"/>
      <c r="O143" s="279"/>
      <c r="P143" s="248"/>
      <c r="Q143" s="134"/>
      <c r="R143" s="134"/>
      <c r="V143" s="99"/>
      <c r="AA143" s="110"/>
      <c r="AC143" s="110"/>
      <c r="AD143" s="110"/>
      <c r="AE143" s="198"/>
      <c r="AF143" s="198"/>
      <c r="AH143" s="110"/>
      <c r="AI143" s="141"/>
      <c r="AJ143" s="141"/>
      <c r="AL143" s="110"/>
      <c r="AM143" s="207"/>
      <c r="AN143" s="207"/>
      <c r="AO143" s="110"/>
      <c r="AP143" s="110"/>
      <c r="AR143" s="110"/>
      <c r="AS143" s="141"/>
    </row>
    <row r="144" spans="1:46" x14ac:dyDescent="0.3">
      <c r="A144" s="178" t="str">
        <f>"(3) REFLECTS REDUCTION IN LIGHTING SYSTEMS."</f>
        <v>(3) REFLECTS REDUCTION IN LIGHTING SYSTEMS.</v>
      </c>
      <c r="B144" s="279"/>
      <c r="C144" s="279"/>
      <c r="D144" s="279"/>
      <c r="E144" s="279"/>
      <c r="F144" s="281"/>
      <c r="G144" s="279"/>
      <c r="H144" s="279"/>
      <c r="I144" s="279"/>
      <c r="J144" s="248"/>
      <c r="K144" s="279"/>
      <c r="L144" s="280"/>
      <c r="M144" s="279"/>
      <c r="N144" s="279"/>
      <c r="O144" s="279"/>
      <c r="P144" s="248"/>
      <c r="Q144" s="134"/>
      <c r="R144" s="134"/>
      <c r="V144" s="99"/>
      <c r="AA144" s="110"/>
      <c r="AC144" s="110"/>
      <c r="AD144" s="110"/>
      <c r="AE144" s="216"/>
      <c r="AF144" s="216"/>
      <c r="AH144" s="110"/>
      <c r="AI144" s="141"/>
      <c r="AJ144" s="141"/>
      <c r="AL144" s="110"/>
      <c r="AM144" s="207"/>
      <c r="AN144" s="207"/>
      <c r="AO144" s="110"/>
      <c r="AP144" s="110"/>
      <c r="AR144" s="110"/>
      <c r="AS144" s="141"/>
    </row>
    <row r="145" spans="1:53" x14ac:dyDescent="0.3">
      <c r="A145" s="248"/>
      <c r="B145" s="279"/>
      <c r="C145" s="279"/>
      <c r="D145" s="279"/>
      <c r="E145" s="279"/>
      <c r="F145" s="281"/>
      <c r="G145" s="279"/>
      <c r="H145" s="279"/>
      <c r="I145" s="279"/>
      <c r="J145" s="248"/>
      <c r="K145" s="279"/>
      <c r="L145" s="280"/>
      <c r="M145" s="279"/>
      <c r="N145" s="279"/>
      <c r="O145" s="279"/>
      <c r="P145" s="248"/>
      <c r="Q145" s="134"/>
      <c r="R145" s="134"/>
    </row>
    <row r="146" spans="1:53" x14ac:dyDescent="0.3">
      <c r="C146" s="99"/>
      <c r="F146" s="305"/>
      <c r="G146" s="1"/>
      <c r="H146" s="172"/>
      <c r="I146" s="147"/>
      <c r="J146" s="228"/>
      <c r="K146" s="242"/>
      <c r="L146" s="106"/>
      <c r="M146" s="106"/>
      <c r="N146" s="175"/>
      <c r="O146" s="175"/>
      <c r="P146" s="106"/>
      <c r="Q146" s="106"/>
      <c r="R146" s="106"/>
      <c r="S146" s="1"/>
      <c r="V146" s="228"/>
      <c r="Y146" s="163"/>
      <c r="AM146" s="99"/>
      <c r="AR146" s="99"/>
      <c r="AT146" s="110"/>
    </row>
    <row r="147" spans="1:53" x14ac:dyDescent="0.3">
      <c r="C147" s="99"/>
      <c r="F147" s="305"/>
      <c r="G147" s="1"/>
      <c r="H147" s="172"/>
      <c r="I147" s="147"/>
      <c r="J147" s="228"/>
      <c r="K147" s="242"/>
      <c r="L147" s="106"/>
      <c r="M147" s="106"/>
      <c r="N147" s="175"/>
      <c r="O147" s="175"/>
      <c r="P147" s="106"/>
      <c r="Q147" s="106"/>
      <c r="R147" s="106"/>
      <c r="S147" s="1"/>
      <c r="V147" s="228"/>
      <c r="Y147" s="163"/>
      <c r="AM147" s="99"/>
      <c r="AR147" s="99"/>
      <c r="AT147" s="110"/>
    </row>
    <row r="148" spans="1:53" x14ac:dyDescent="0.3">
      <c r="A148" s="248"/>
      <c r="B148" s="279"/>
      <c r="C148" s="279"/>
      <c r="D148" s="279"/>
      <c r="E148" s="279"/>
      <c r="F148" s="281"/>
      <c r="G148" s="279"/>
      <c r="H148" s="279"/>
      <c r="I148" s="279"/>
      <c r="J148" s="248"/>
      <c r="K148" s="279"/>
      <c r="L148" s="280"/>
      <c r="M148" s="279"/>
      <c r="N148" s="279"/>
      <c r="O148" s="279"/>
      <c r="P148" s="248"/>
      <c r="Q148" s="134"/>
      <c r="R148" s="134"/>
      <c r="AA148" s="110"/>
      <c r="AC148" s="110"/>
      <c r="AD148" s="110"/>
      <c r="AE148" s="216"/>
      <c r="AF148" s="216"/>
      <c r="AH148" s="110"/>
      <c r="AI148" s="141"/>
      <c r="AJ148" s="141"/>
      <c r="AL148" s="110"/>
      <c r="AM148" s="207"/>
      <c r="AN148" s="207"/>
      <c r="AO148" s="110"/>
      <c r="AP148" s="110"/>
      <c r="AR148" s="110"/>
      <c r="AS148" s="141"/>
    </row>
    <row r="149" spans="1:53" x14ac:dyDescent="0.3">
      <c r="A149" s="248"/>
      <c r="B149" s="279"/>
      <c r="C149" s="279"/>
      <c r="D149" s="279"/>
      <c r="E149" s="279"/>
      <c r="F149" s="281"/>
      <c r="G149" s="279"/>
      <c r="H149" s="279"/>
      <c r="I149" s="279"/>
      <c r="J149" s="248"/>
      <c r="K149" s="279"/>
      <c r="L149" s="280"/>
      <c r="M149" s="279"/>
      <c r="N149" s="279"/>
      <c r="O149" s="279"/>
      <c r="P149" s="248"/>
      <c r="Q149" s="134"/>
      <c r="R149" s="134"/>
    </row>
    <row r="150" spans="1:53" ht="18" customHeight="1" x14ac:dyDescent="0.3">
      <c r="A150" s="116"/>
      <c r="F150" s="163"/>
      <c r="J150" s="116"/>
      <c r="V150" s="99"/>
      <c r="AA150" s="110"/>
      <c r="AC150" s="110"/>
      <c r="AD150" s="110"/>
      <c r="AE150" s="217"/>
      <c r="AF150" s="217"/>
      <c r="AH150" s="110"/>
      <c r="AI150" s="141"/>
      <c r="AJ150" s="141"/>
      <c r="AL150" s="110"/>
      <c r="AM150" s="141"/>
      <c r="AN150" s="141"/>
      <c r="AO150" s="110"/>
      <c r="AP150" s="110"/>
      <c r="AR150" s="110"/>
      <c r="AS150" s="141"/>
    </row>
    <row r="151" spans="1:53" ht="15" customHeight="1" x14ac:dyDescent="0.3">
      <c r="A151" s="116"/>
      <c r="F151" s="110"/>
      <c r="H151" s="110"/>
      <c r="J151" s="116"/>
      <c r="N151" s="163"/>
      <c r="P151" s="116"/>
      <c r="V151" s="99"/>
      <c r="AA151" s="172"/>
      <c r="AC151" s="172"/>
      <c r="AD151" s="172"/>
      <c r="AE151" s="217"/>
      <c r="AF151" s="217"/>
      <c r="AH151" s="110"/>
      <c r="AI151" s="141"/>
      <c r="AJ151" s="141"/>
      <c r="AL151" s="110"/>
      <c r="AO151" s="110"/>
      <c r="AP151" s="110"/>
      <c r="AR151" s="110"/>
      <c r="AS151" s="141"/>
    </row>
    <row r="153" spans="1:53" x14ac:dyDescent="0.3">
      <c r="V153" s="99"/>
      <c r="AA153" s="110"/>
      <c r="AC153" s="172"/>
      <c r="AD153" s="172"/>
      <c r="AE153" s="181"/>
      <c r="AF153" s="181"/>
      <c r="AH153" s="110"/>
      <c r="AI153" s="141"/>
      <c r="AJ153" s="141"/>
      <c r="AL153" s="110"/>
      <c r="AM153" s="207"/>
      <c r="AN153" s="207"/>
      <c r="AR153" s="110"/>
      <c r="AS153" s="141"/>
    </row>
    <row r="154" spans="1:53" x14ac:dyDescent="0.3">
      <c r="C154" s="99"/>
      <c r="F154" s="106"/>
      <c r="G154" s="1"/>
      <c r="H154" s="110"/>
      <c r="I154" s="106"/>
      <c r="J154" s="1"/>
      <c r="K154" s="1"/>
      <c r="L154" s="1"/>
      <c r="M154" s="1"/>
      <c r="N154" s="1"/>
      <c r="O154" s="1"/>
      <c r="P154" s="106"/>
      <c r="Q154" s="106"/>
      <c r="R154" s="175"/>
      <c r="S154" s="138"/>
      <c r="T154" s="106"/>
      <c r="U154" s="106"/>
      <c r="V154" s="106"/>
      <c r="Z154" s="102"/>
      <c r="AA154" s="102"/>
      <c r="AB154" s="102"/>
      <c r="AC154" s="102"/>
      <c r="AD154" s="102"/>
      <c r="AE154" s="102"/>
      <c r="AG154" s="151"/>
      <c r="AH154" s="102"/>
      <c r="AI154" s="102"/>
      <c r="AJ154" s="102"/>
      <c r="AK154" s="151"/>
      <c r="AL154" s="102"/>
      <c r="AM154" s="102"/>
      <c r="AN154" s="102"/>
      <c r="AO154" s="102"/>
      <c r="AP154" s="102"/>
      <c r="AQ154" s="151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</row>
    <row r="155" spans="1:53" x14ac:dyDescent="0.3">
      <c r="C155" s="99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75"/>
      <c r="T155" s="353" t="str">
        <f>NAME</f>
        <v>DUKE ENERGY KENTUCKY, INC.</v>
      </c>
      <c r="U155" s="353"/>
      <c r="V155" s="353"/>
      <c r="W155" s="353"/>
      <c r="X155" s="353"/>
      <c r="Y155" s="353"/>
      <c r="Z155" s="353"/>
      <c r="AA155" s="353"/>
      <c r="AB155" s="353"/>
      <c r="AC155" s="353"/>
      <c r="AD155" s="353"/>
      <c r="AE155" s="353"/>
      <c r="AF155" s="353"/>
      <c r="AG155" s="353"/>
      <c r="AH155" s="353"/>
      <c r="AI155" s="353"/>
      <c r="AJ155" s="353"/>
      <c r="AK155" s="353"/>
      <c r="AL155" s="353"/>
      <c r="AM155" s="353"/>
      <c r="AN155" s="353"/>
      <c r="AO155" s="353"/>
      <c r="AP155" s="353"/>
      <c r="AQ155" s="353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</row>
    <row r="156" spans="1:53" x14ac:dyDescent="0.3">
      <c r="C156" s="99"/>
      <c r="F156" s="147"/>
      <c r="G156" s="106"/>
      <c r="H156" s="147"/>
      <c r="I156" s="147"/>
      <c r="J156" s="147"/>
      <c r="K156" s="147"/>
      <c r="L156" s="242"/>
      <c r="M156" s="147"/>
      <c r="N156" s="147"/>
      <c r="O156" s="147"/>
      <c r="P156" s="106"/>
      <c r="Q156" s="106"/>
      <c r="R156" s="106"/>
      <c r="S156" s="175"/>
      <c r="T156" s="97" t="str">
        <f>CASE_NO</f>
        <v>CASE NO.   2024-00354</v>
      </c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</row>
    <row r="157" spans="1:53" x14ac:dyDescent="0.3">
      <c r="C157" s="99"/>
      <c r="F157" s="147"/>
      <c r="G157" s="106"/>
      <c r="H157" s="147"/>
      <c r="I157" s="147"/>
      <c r="J157" s="147"/>
      <c r="K157" s="147"/>
      <c r="L157" s="147"/>
      <c r="M157" s="147"/>
      <c r="N157" s="147"/>
      <c r="O157" s="147"/>
      <c r="P157" s="147"/>
      <c r="Q157" s="106"/>
      <c r="R157" s="147"/>
      <c r="S157" s="175"/>
      <c r="T157" s="97" t="str">
        <f>TITLE</f>
        <v>ANNUALIZED BASE YEAR REVENUES AT PROPOSED VS. MOST CURRENT RATES</v>
      </c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</row>
    <row r="158" spans="1:53" x14ac:dyDescent="0.3">
      <c r="C158" s="99"/>
      <c r="F158" s="172"/>
      <c r="G158" s="110"/>
      <c r="H158" s="172"/>
      <c r="I158" s="172"/>
      <c r="J158" s="172"/>
      <c r="K158" s="172"/>
      <c r="L158" s="110"/>
      <c r="M158" s="110"/>
      <c r="N158" s="110"/>
      <c r="O158" s="110"/>
      <c r="P158" s="110"/>
      <c r="Q158" s="110"/>
      <c r="R158" s="110"/>
      <c r="T158" s="97" t="str">
        <f>DATE</f>
        <v>FOR THE TWELVE MONTHS ENDED February 28, 2025</v>
      </c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110"/>
      <c r="AS158" s="141"/>
    </row>
    <row r="159" spans="1:53" x14ac:dyDescent="0.3">
      <c r="F159" s="192"/>
      <c r="H159" s="110"/>
      <c r="I159" s="110"/>
      <c r="J159" s="217"/>
      <c r="K159" s="217"/>
      <c r="L159" s="192"/>
      <c r="M159" s="192"/>
      <c r="N159" s="192"/>
      <c r="O159" s="192"/>
      <c r="P159" s="192"/>
      <c r="Q159" s="192"/>
      <c r="R159" s="192"/>
      <c r="T159" s="97" t="str">
        <f>SERVICE</f>
        <v>(ELECTRIC SERVICE)</v>
      </c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110"/>
      <c r="AS159" s="141"/>
    </row>
    <row r="160" spans="1:53" x14ac:dyDescent="0.3">
      <c r="F160" s="192"/>
      <c r="H160" s="110"/>
      <c r="I160" s="110"/>
      <c r="J160" s="217"/>
      <c r="K160" s="217"/>
      <c r="L160" s="192"/>
      <c r="M160" s="192"/>
      <c r="N160" s="192"/>
      <c r="O160" s="192"/>
      <c r="P160" s="192"/>
      <c r="Q160" s="192"/>
      <c r="R160" s="192"/>
      <c r="T160" s="98" t="str">
        <f>DATA_PERIOD</f>
        <v>DATA: __X__ BASE PERIOD   ____FORECASTED PERIOD</v>
      </c>
      <c r="AG160" s="98"/>
      <c r="AK160" s="98"/>
      <c r="AO160" s="99" t="s">
        <v>157</v>
      </c>
      <c r="AQ160" s="98"/>
    </row>
    <row r="161" spans="3:49" x14ac:dyDescent="0.3">
      <c r="C161" s="99"/>
      <c r="F161" s="172"/>
      <c r="H161" s="172"/>
      <c r="I161" s="172"/>
      <c r="J161" s="227"/>
      <c r="K161" s="227"/>
      <c r="L161" s="110"/>
      <c r="M161" s="110"/>
      <c r="N161" s="141"/>
      <c r="O161" s="141"/>
      <c r="P161" s="110"/>
      <c r="Q161" s="110"/>
      <c r="R161" s="110"/>
      <c r="S161" s="110"/>
      <c r="T161" s="98" t="str">
        <f>TYPE</f>
        <v>TYPE OF FILING: _X_ ORIGINAL   ___UPDATED  ___ REVISED</v>
      </c>
      <c r="AG161" s="98"/>
      <c r="AK161" s="98"/>
      <c r="AO161" s="116" t="str">
        <f>"PAGE 13 OF "&amp;TEXT(Page_Num_2.2,"00")</f>
        <v>PAGE 13 OF 24</v>
      </c>
      <c r="AQ161" s="98"/>
      <c r="AR161" s="110"/>
      <c r="AS161" s="141"/>
    </row>
    <row r="162" spans="3:49" x14ac:dyDescent="0.3">
      <c r="C162" s="99"/>
      <c r="F162" s="172"/>
      <c r="H162" s="172"/>
      <c r="I162" s="172"/>
      <c r="J162" s="181"/>
      <c r="K162" s="181"/>
      <c r="L162" s="110"/>
      <c r="M162" s="110"/>
      <c r="N162" s="141"/>
      <c r="O162" s="141"/>
      <c r="P162" s="110"/>
      <c r="Q162" s="110"/>
      <c r="R162" s="110"/>
      <c r="T162" s="99" t="s">
        <v>170</v>
      </c>
      <c r="AO162" s="99" t="s">
        <v>4</v>
      </c>
      <c r="AP162" s="99"/>
    </row>
    <row r="163" spans="3:49" x14ac:dyDescent="0.3">
      <c r="F163" s="110"/>
      <c r="H163" s="192"/>
      <c r="I163" s="192"/>
      <c r="J163" s="217"/>
      <c r="K163" s="217"/>
      <c r="L163" s="192"/>
      <c r="M163" s="192"/>
      <c r="N163" s="192"/>
      <c r="O163" s="192"/>
      <c r="P163" s="192"/>
      <c r="Q163" s="192"/>
      <c r="R163" s="192"/>
      <c r="T163" s="134" t="str">
        <f>TIME</f>
        <v>6 Months Actual and 6 Months Projected with Riders</v>
      </c>
      <c r="AF163" s="99"/>
      <c r="AO163" s="110" t="str">
        <f>WIT</f>
        <v>B. L. Sailers</v>
      </c>
      <c r="AR163" s="110"/>
      <c r="AS163" s="141"/>
    </row>
    <row r="164" spans="3:49" x14ac:dyDescent="0.3">
      <c r="F164" s="110"/>
      <c r="H164" s="192"/>
      <c r="I164" s="192"/>
      <c r="J164" s="217"/>
      <c r="K164" s="217"/>
      <c r="L164" s="192"/>
      <c r="M164" s="192"/>
      <c r="N164" s="192"/>
      <c r="O164" s="192"/>
      <c r="P164" s="192"/>
      <c r="Q164" s="192"/>
      <c r="R164" s="192"/>
      <c r="T164" s="97" t="s">
        <v>130</v>
      </c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149"/>
      <c r="AH164" s="97"/>
      <c r="AI164" s="97"/>
      <c r="AJ164" s="97"/>
      <c r="AK164" s="149"/>
      <c r="AL164" s="97"/>
      <c r="AM164" s="97"/>
      <c r="AN164" s="97"/>
      <c r="AO164" s="97"/>
      <c r="AP164" s="97"/>
      <c r="AR164" s="110"/>
      <c r="AS164" s="141"/>
    </row>
    <row r="165" spans="3:49" x14ac:dyDescent="0.3">
      <c r="F165" s="110"/>
      <c r="H165" s="192"/>
      <c r="I165" s="192"/>
      <c r="J165" s="217"/>
      <c r="K165" s="217"/>
      <c r="L165" s="192"/>
      <c r="M165" s="192"/>
      <c r="N165" s="192"/>
      <c r="O165" s="192"/>
      <c r="P165" s="192"/>
      <c r="Q165" s="192"/>
      <c r="R165" s="192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0"/>
      <c r="AF165" s="100"/>
      <c r="AG165" s="150"/>
      <c r="AH165" s="100"/>
      <c r="AI165" s="100"/>
      <c r="AJ165" s="100"/>
      <c r="AK165" s="150"/>
      <c r="AL165" s="100"/>
      <c r="AM165" s="100"/>
      <c r="AN165" s="101"/>
      <c r="AO165" s="101"/>
      <c r="AP165" s="101"/>
    </row>
    <row r="166" spans="3:49" ht="18" customHeight="1" x14ac:dyDescent="0.3">
      <c r="C166" s="99"/>
      <c r="F166" s="110"/>
      <c r="H166" s="110"/>
      <c r="I166" s="110"/>
      <c r="J166" s="217"/>
      <c r="K166" s="217"/>
      <c r="L166" s="110"/>
      <c r="M166" s="110"/>
      <c r="N166" s="110"/>
      <c r="O166" s="110"/>
      <c r="P166" s="110"/>
      <c r="Q166" s="110"/>
      <c r="R166" s="110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02" t="s">
        <v>8</v>
      </c>
      <c r="AF166" s="102"/>
      <c r="AG166" s="151" t="s">
        <v>7</v>
      </c>
      <c r="AH166" s="102"/>
      <c r="AI166" s="102" t="s">
        <v>9</v>
      </c>
      <c r="AJ166" s="102"/>
      <c r="AK166" s="151" t="s">
        <v>10</v>
      </c>
      <c r="AL166" s="102"/>
      <c r="AN166" s="174"/>
      <c r="AO166" s="254" t="s">
        <v>8</v>
      </c>
      <c r="AP166" s="254"/>
      <c r="AQ166" s="255" t="s">
        <v>11</v>
      </c>
      <c r="AR166" s="110"/>
    </row>
    <row r="167" spans="3:49" x14ac:dyDescent="0.3">
      <c r="C167" s="99"/>
      <c r="F167" s="110"/>
      <c r="H167" s="172"/>
      <c r="I167" s="172"/>
      <c r="J167" s="228"/>
      <c r="K167" s="228"/>
      <c r="L167" s="110"/>
      <c r="M167" s="110"/>
      <c r="N167" s="141"/>
      <c r="O167" s="141"/>
      <c r="P167" s="110"/>
      <c r="Q167" s="110"/>
      <c r="R167" s="110"/>
      <c r="AC167" s="102" t="s">
        <v>14</v>
      </c>
      <c r="AD167" s="102"/>
      <c r="AE167" s="102" t="s">
        <v>12</v>
      </c>
      <c r="AF167" s="102"/>
      <c r="AG167" s="151" t="s">
        <v>13</v>
      </c>
      <c r="AH167" s="102"/>
      <c r="AI167" s="102" t="s">
        <v>15</v>
      </c>
      <c r="AJ167" s="102"/>
      <c r="AK167" s="151" t="s">
        <v>16</v>
      </c>
      <c r="AL167" s="102"/>
      <c r="AO167" s="102" t="s">
        <v>11</v>
      </c>
      <c r="AP167" s="102"/>
      <c r="AQ167" s="151" t="s">
        <v>9</v>
      </c>
    </row>
    <row r="168" spans="3:49" x14ac:dyDescent="0.3">
      <c r="C168" s="99"/>
      <c r="H168" s="172"/>
      <c r="I168" s="172"/>
      <c r="J168" s="228"/>
      <c r="K168" s="228"/>
      <c r="L168" s="110"/>
      <c r="M168" s="110"/>
      <c r="N168" s="141"/>
      <c r="O168" s="141"/>
      <c r="P168" s="110"/>
      <c r="Q168" s="110"/>
      <c r="R168" s="110"/>
      <c r="T168" s="102" t="s">
        <v>17</v>
      </c>
      <c r="V168" s="102" t="s">
        <v>18</v>
      </c>
      <c r="W168" s="102" t="s">
        <v>19</v>
      </c>
      <c r="X168" s="102"/>
      <c r="Y168" s="102" t="s">
        <v>20</v>
      </c>
      <c r="AC168" s="102" t="s">
        <v>8</v>
      </c>
      <c r="AD168" s="102"/>
      <c r="AE168" s="102" t="s">
        <v>593</v>
      </c>
      <c r="AF168" s="102"/>
      <c r="AG168" s="151" t="s">
        <v>593</v>
      </c>
      <c r="AH168" s="102"/>
      <c r="AI168" s="103" t="s">
        <v>708</v>
      </c>
      <c r="AJ168" s="102"/>
      <c r="AK168" s="152" t="s">
        <v>708</v>
      </c>
      <c r="AL168" s="102"/>
      <c r="AM168" s="102" t="s">
        <v>593</v>
      </c>
      <c r="AN168" s="102"/>
      <c r="AO168" s="102" t="s">
        <v>9</v>
      </c>
      <c r="AP168" s="102"/>
      <c r="AQ168" s="151" t="s">
        <v>21</v>
      </c>
      <c r="AT168" s="102"/>
    </row>
    <row r="169" spans="3:49" x14ac:dyDescent="0.3">
      <c r="F169" s="110"/>
      <c r="H169" s="110"/>
      <c r="I169" s="110"/>
      <c r="J169" s="217"/>
      <c r="K169" s="217"/>
      <c r="L169" s="192"/>
      <c r="M169" s="192"/>
      <c r="N169" s="192"/>
      <c r="O169" s="192"/>
      <c r="P169" s="192"/>
      <c r="Q169" s="192"/>
      <c r="R169" s="192"/>
      <c r="T169" s="102" t="s">
        <v>22</v>
      </c>
      <c r="V169" s="102" t="s">
        <v>23</v>
      </c>
      <c r="W169" s="102" t="s">
        <v>24</v>
      </c>
      <c r="X169" s="102"/>
      <c r="Y169" s="102" t="s">
        <v>25</v>
      </c>
      <c r="AA169" s="102" t="s">
        <v>26</v>
      </c>
      <c r="AB169" s="102"/>
      <c r="AC169" s="103" t="s">
        <v>325</v>
      </c>
      <c r="AD169" s="102"/>
      <c r="AE169" s="102" t="s">
        <v>9</v>
      </c>
      <c r="AF169" s="102"/>
      <c r="AG169" s="151" t="s">
        <v>9</v>
      </c>
      <c r="AH169" s="102"/>
      <c r="AI169" s="131" t="s">
        <v>29</v>
      </c>
      <c r="AJ169" s="131"/>
      <c r="AK169" s="165" t="s">
        <v>30</v>
      </c>
      <c r="AL169" s="102"/>
      <c r="AM169" s="102" t="s">
        <v>323</v>
      </c>
      <c r="AN169" s="102"/>
      <c r="AO169" s="131" t="s">
        <v>31</v>
      </c>
      <c r="AP169" s="131"/>
      <c r="AQ169" s="165" t="s">
        <v>32</v>
      </c>
      <c r="AT169" s="102"/>
      <c r="AW169" s="98" t="s">
        <v>299</v>
      </c>
    </row>
    <row r="170" spans="3:49" x14ac:dyDescent="0.3">
      <c r="C170" s="99"/>
      <c r="F170" s="110"/>
      <c r="H170" s="110"/>
      <c r="I170" s="110"/>
      <c r="J170" s="198"/>
      <c r="K170" s="198"/>
      <c r="L170" s="110"/>
      <c r="M170" s="110"/>
      <c r="N170" s="141"/>
      <c r="O170" s="141"/>
      <c r="P170" s="110"/>
      <c r="Q170" s="110"/>
      <c r="R170" s="110"/>
      <c r="V170" s="131" t="s">
        <v>33</v>
      </c>
      <c r="W170" s="131" t="s">
        <v>34</v>
      </c>
      <c r="X170" s="131"/>
      <c r="Y170" s="131" t="s">
        <v>35</v>
      </c>
      <c r="Z170" s="134"/>
      <c r="AA170" s="131" t="s">
        <v>36</v>
      </c>
      <c r="AB170" s="131"/>
      <c r="AC170" s="131" t="s">
        <v>42</v>
      </c>
      <c r="AD170" s="131"/>
      <c r="AE170" s="131" t="s">
        <v>43</v>
      </c>
      <c r="AF170" s="131"/>
      <c r="AG170" s="165" t="s">
        <v>44</v>
      </c>
      <c r="AH170" s="131"/>
      <c r="AI170" s="131" t="s">
        <v>45</v>
      </c>
      <c r="AJ170" s="131"/>
      <c r="AK170" s="165" t="s">
        <v>46</v>
      </c>
      <c r="AL170" s="131"/>
      <c r="AM170" s="131" t="s">
        <v>40</v>
      </c>
      <c r="AN170" s="131"/>
      <c r="AO170" s="131" t="s">
        <v>47</v>
      </c>
      <c r="AP170" s="131"/>
      <c r="AQ170" s="165" t="s">
        <v>48</v>
      </c>
      <c r="AT170" s="102"/>
    </row>
    <row r="171" spans="3:49" ht="17.100000000000001" customHeight="1" x14ac:dyDescent="0.3">
      <c r="F171" s="110"/>
      <c r="H171" s="110"/>
      <c r="I171" s="110"/>
      <c r="J171" s="217"/>
      <c r="K171" s="217"/>
      <c r="L171" s="192"/>
      <c r="M171" s="192"/>
      <c r="N171" s="192"/>
      <c r="O171" s="192"/>
      <c r="P171" s="192"/>
      <c r="Q171" s="192"/>
      <c r="R171" s="192"/>
      <c r="T171" s="174"/>
      <c r="U171" s="174"/>
      <c r="V171" s="174"/>
      <c r="W171" s="174"/>
      <c r="X171" s="174"/>
      <c r="Y171" s="174"/>
      <c r="Z171" s="174"/>
      <c r="AA171" s="258" t="s">
        <v>49</v>
      </c>
      <c r="AB171" s="258"/>
      <c r="AC171" s="257" t="s">
        <v>69</v>
      </c>
      <c r="AD171" s="258"/>
      <c r="AE171" s="258" t="s">
        <v>50</v>
      </c>
      <c r="AF171" s="258"/>
      <c r="AG171" s="259" t="s">
        <v>51</v>
      </c>
      <c r="AH171" s="258"/>
      <c r="AI171" s="258" t="s">
        <v>50</v>
      </c>
      <c r="AJ171" s="258"/>
      <c r="AK171" s="259" t="s">
        <v>51</v>
      </c>
      <c r="AL171" s="258"/>
      <c r="AM171" s="258" t="s">
        <v>50</v>
      </c>
      <c r="AN171" s="258"/>
      <c r="AO171" s="258" t="s">
        <v>50</v>
      </c>
      <c r="AP171" s="258"/>
      <c r="AQ171" s="259" t="s">
        <v>51</v>
      </c>
    </row>
    <row r="172" spans="3:49" x14ac:dyDescent="0.3">
      <c r="C172" s="99"/>
      <c r="F172" s="172"/>
      <c r="H172" s="172"/>
      <c r="I172" s="172"/>
      <c r="J172" s="222"/>
      <c r="K172" s="222"/>
      <c r="L172" s="110"/>
      <c r="M172" s="110"/>
      <c r="N172" s="141"/>
      <c r="O172" s="141"/>
      <c r="P172" s="110"/>
      <c r="Q172" s="110"/>
      <c r="R172" s="110"/>
      <c r="T172" s="268">
        <v>1</v>
      </c>
      <c r="V172" s="124" t="s">
        <v>77</v>
      </c>
      <c r="W172" s="169" t="s">
        <v>259</v>
      </c>
      <c r="X172" s="99"/>
      <c r="Y172" s="1"/>
      <c r="Z172" s="1"/>
      <c r="AA172" s="1"/>
      <c r="AB172" s="1"/>
      <c r="AC172" s="1"/>
      <c r="AD172" s="1"/>
      <c r="AE172" s="1"/>
      <c r="AF172" s="1"/>
      <c r="AG172" s="154"/>
      <c r="AH172" s="1"/>
      <c r="AI172" s="1"/>
      <c r="AJ172" s="1"/>
      <c r="AK172" s="154"/>
      <c r="AL172" s="1"/>
      <c r="AM172" s="1"/>
      <c r="AN172" s="1"/>
      <c r="AO172" s="1"/>
      <c r="AP172" s="1"/>
      <c r="AQ172" s="159"/>
    </row>
    <row r="173" spans="3:49" x14ac:dyDescent="0.3">
      <c r="C173" s="99"/>
      <c r="F173" s="110"/>
      <c r="H173" s="110"/>
      <c r="I173" s="110"/>
      <c r="J173" s="217"/>
      <c r="K173" s="217"/>
      <c r="L173" s="110"/>
      <c r="M173" s="110"/>
      <c r="N173" s="141"/>
      <c r="O173" s="141"/>
      <c r="P173" s="110"/>
      <c r="Q173" s="110"/>
      <c r="R173" s="110"/>
      <c r="S173" s="110"/>
      <c r="T173" s="268">
        <v>2</v>
      </c>
      <c r="V173" s="124" t="s">
        <v>79</v>
      </c>
      <c r="W173" s="134"/>
      <c r="Y173" s="147"/>
      <c r="Z173" s="1"/>
      <c r="AA173" s="147"/>
      <c r="AB173" s="1"/>
      <c r="AC173" s="1"/>
      <c r="AD173" s="1"/>
      <c r="AE173" s="1"/>
      <c r="AF173" s="1"/>
      <c r="AG173" s="154"/>
      <c r="AH173" s="1"/>
      <c r="AI173" s="1"/>
      <c r="AJ173" s="1"/>
      <c r="AK173" s="154"/>
      <c r="AL173" s="1"/>
      <c r="AM173" s="1"/>
      <c r="AN173" s="1"/>
      <c r="AO173" s="1"/>
      <c r="AP173" s="1"/>
      <c r="AQ173" s="159"/>
    </row>
    <row r="174" spans="3:49" x14ac:dyDescent="0.3">
      <c r="F174" s="192"/>
      <c r="H174" s="192"/>
      <c r="I174" s="192"/>
      <c r="J174" s="217"/>
      <c r="K174" s="217"/>
      <c r="L174" s="192"/>
      <c r="M174" s="192"/>
      <c r="N174" s="192"/>
      <c r="O174" s="192"/>
      <c r="P174" s="192"/>
      <c r="Q174" s="192"/>
      <c r="R174" s="192"/>
      <c r="S174" s="110"/>
      <c r="T174" s="268">
        <v>3</v>
      </c>
      <c r="V174" s="169" t="s">
        <v>201</v>
      </c>
      <c r="W174" s="134"/>
      <c r="Y174" s="1"/>
      <c r="Z174" s="1"/>
      <c r="AA174" s="1"/>
      <c r="AB174" s="147"/>
      <c r="AC174" s="171"/>
      <c r="AD174" s="171"/>
      <c r="AE174" s="106"/>
      <c r="AF174" s="106"/>
      <c r="AG174" s="154"/>
      <c r="AH174" s="175"/>
      <c r="AI174" s="106"/>
      <c r="AJ174" s="106"/>
      <c r="AK174" s="154"/>
      <c r="AL174" s="138"/>
      <c r="AM174" s="106"/>
      <c r="AN174" s="106"/>
      <c r="AO174" s="106"/>
      <c r="AP174" s="106"/>
      <c r="AQ174" s="159"/>
    </row>
    <row r="175" spans="3:49" x14ac:dyDescent="0.3">
      <c r="F175" s="192"/>
      <c r="H175" s="192"/>
      <c r="I175" s="192"/>
      <c r="J175" s="217"/>
      <c r="K175" s="217"/>
      <c r="L175" s="192"/>
      <c r="M175" s="192"/>
      <c r="N175" s="192"/>
      <c r="O175" s="192"/>
      <c r="P175" s="192"/>
      <c r="Q175" s="192"/>
      <c r="R175" s="192"/>
      <c r="T175" s="268">
        <v>4</v>
      </c>
      <c r="V175" s="116" t="str">
        <f>C21</f>
        <v xml:space="preserve">     7,000 LUMEN</v>
      </c>
      <c r="Y175" s="147">
        <f>F21</f>
        <v>45142</v>
      </c>
      <c r="Z175" s="1"/>
      <c r="AA175" s="147">
        <f>H21</f>
        <v>3020752</v>
      </c>
      <c r="AB175" s="147"/>
      <c r="AC175" s="228">
        <v>11.49</v>
      </c>
      <c r="AD175" s="242"/>
      <c r="AE175" s="106">
        <f>ROUND((Y175*AC175),0)</f>
        <v>518682</v>
      </c>
      <c r="AF175" s="106"/>
      <c r="AG175" s="154">
        <f>ROUND((AE175/AE$293)*100,1)</f>
        <v>36.5</v>
      </c>
      <c r="AH175" s="175"/>
      <c r="AI175" s="106">
        <f>L21-AE175</f>
        <v>74032</v>
      </c>
      <c r="AJ175" s="106"/>
      <c r="AK175" s="159">
        <f>IF(AE175=0,"0.0 ",ROUND((AI175/AE175)*100,1))</f>
        <v>14.3</v>
      </c>
      <c r="AL175" s="138"/>
      <c r="AM175" s="106">
        <f>ROUND(CUR_FAC*AA175,0)</f>
        <v>10534</v>
      </c>
      <c r="AN175" s="106"/>
      <c r="AO175" s="106">
        <f>AE175+AM175</f>
        <v>529216</v>
      </c>
      <c r="AP175" s="106"/>
      <c r="AQ175" s="159">
        <f>IF(AO175=0,"0.0 ",ROUND((AI175/AO175)*100,1))</f>
        <v>14</v>
      </c>
      <c r="AS175" s="110"/>
      <c r="AT175" s="163"/>
      <c r="AW175" s="172">
        <f>803</f>
        <v>803</v>
      </c>
    </row>
    <row r="176" spans="3:49" x14ac:dyDescent="0.3">
      <c r="C176" s="99"/>
      <c r="T176" s="268">
        <v>5</v>
      </c>
      <c r="V176" s="116" t="str">
        <f>C22</f>
        <v xml:space="preserve">     7,000 LUMEN (OPEN)</v>
      </c>
      <c r="Y176" s="147">
        <f>F22</f>
        <v>48</v>
      </c>
      <c r="Z176" s="1"/>
      <c r="AA176" s="147">
        <f>H22</f>
        <v>3412</v>
      </c>
      <c r="AB176" s="147"/>
      <c r="AC176" s="228">
        <v>9.77</v>
      </c>
      <c r="AD176" s="1"/>
      <c r="AE176" s="106">
        <f>ROUND((Y176*AC176),0)</f>
        <v>469</v>
      </c>
      <c r="AF176" s="1"/>
      <c r="AG176" s="154">
        <f>ROUND((AE176/AE$293)*100,1)</f>
        <v>0</v>
      </c>
      <c r="AH176" s="1"/>
      <c r="AI176" s="106">
        <f>L22-AE176</f>
        <v>67</v>
      </c>
      <c r="AJ176" s="1"/>
      <c r="AK176" s="154">
        <f>IF(AE176=0,"0.0 ",ROUND((AI176/AE176)*100,1))</f>
        <v>14.3</v>
      </c>
      <c r="AL176" s="1"/>
      <c r="AM176" s="106">
        <f>ROUND(CUR_FAC*AA176,0)</f>
        <v>12</v>
      </c>
      <c r="AN176" s="1"/>
      <c r="AO176" s="106">
        <f>AE176+AM176</f>
        <v>481</v>
      </c>
      <c r="AP176" s="1"/>
      <c r="AQ176" s="159">
        <f>IF(AO176=0,"0.0 ",ROUND((AI176/AO176)*100,1))</f>
        <v>13.9</v>
      </c>
      <c r="AS176" s="110"/>
      <c r="AT176" s="163"/>
      <c r="AW176" s="172">
        <f>853</f>
        <v>853</v>
      </c>
    </row>
    <row r="177" spans="1:49" x14ac:dyDescent="0.3">
      <c r="C177" s="99"/>
      <c r="F177" s="110"/>
      <c r="H177" s="110"/>
      <c r="I177" s="110"/>
      <c r="L177" s="110"/>
      <c r="M177" s="110"/>
      <c r="N177" s="141"/>
      <c r="O177" s="141"/>
      <c r="P177" s="172"/>
      <c r="Q177" s="172"/>
      <c r="R177" s="110"/>
      <c r="T177" s="268">
        <v>6</v>
      </c>
      <c r="V177" s="116" t="str">
        <f>C23</f>
        <v xml:space="preserve">    10,000 LUMEN</v>
      </c>
      <c r="Y177" s="147">
        <f>F23</f>
        <v>1453</v>
      </c>
      <c r="Z177" s="1"/>
      <c r="AA177" s="147">
        <f>H23</f>
        <v>138519</v>
      </c>
      <c r="AB177" s="147"/>
      <c r="AC177" s="228">
        <v>13.47</v>
      </c>
      <c r="AD177" s="242"/>
      <c r="AE177" s="106">
        <f>ROUND((Y177*AC177),0)</f>
        <v>19572</v>
      </c>
      <c r="AF177" s="106"/>
      <c r="AG177" s="154">
        <f>ROUND((AE177/AE$293)*100,1)</f>
        <v>1.4</v>
      </c>
      <c r="AH177" s="175"/>
      <c r="AI177" s="106">
        <f>L23-AE177</f>
        <v>2790</v>
      </c>
      <c r="AJ177" s="106"/>
      <c r="AK177" s="159">
        <f>IF(AE177=0,"0.0 ",ROUND((AI177/AE177)*100,1))</f>
        <v>14.3</v>
      </c>
      <c r="AL177" s="138"/>
      <c r="AM177" s="106">
        <f>ROUND(CUR_FAC*AA177,0)</f>
        <v>483</v>
      </c>
      <c r="AN177" s="106"/>
      <c r="AO177" s="106">
        <f>AE177+AM177</f>
        <v>20055</v>
      </c>
      <c r="AP177" s="106"/>
      <c r="AQ177" s="159">
        <f>IF(AO177=0,"0.0 ",ROUND((AI177/AO177)*100,1))</f>
        <v>13.9</v>
      </c>
      <c r="AS177" s="110"/>
      <c r="AT177" s="163"/>
      <c r="AW177" s="172">
        <v>1144</v>
      </c>
    </row>
    <row r="178" spans="1:49" x14ac:dyDescent="0.3">
      <c r="F178" s="192"/>
      <c r="H178" s="192"/>
      <c r="I178" s="192"/>
      <c r="J178" s="217"/>
      <c r="K178" s="217"/>
      <c r="L178" s="192"/>
      <c r="M178" s="192"/>
      <c r="N178" s="192"/>
      <c r="O178" s="192"/>
      <c r="P178" s="192"/>
      <c r="Q178" s="192"/>
      <c r="R178" s="192"/>
      <c r="T178" s="268">
        <v>7</v>
      </c>
      <c r="V178" s="116" t="str">
        <f>C24</f>
        <v xml:space="preserve">    21,000 LUMEN</v>
      </c>
      <c r="Y178" s="147">
        <f>F24</f>
        <v>4963</v>
      </c>
      <c r="Z178" s="1"/>
      <c r="AA178" s="147">
        <f>H24</f>
        <v>739901</v>
      </c>
      <c r="AB178" s="147"/>
      <c r="AC178" s="228">
        <v>18.27</v>
      </c>
      <c r="AD178" s="242"/>
      <c r="AE178" s="106">
        <f>ROUND((Y178*AC178),0)</f>
        <v>90674</v>
      </c>
      <c r="AF178" s="106"/>
      <c r="AG178" s="154">
        <f>ROUND((AE178/AE$293)*100,1)</f>
        <v>6.4</v>
      </c>
      <c r="AH178" s="175"/>
      <c r="AI178" s="106">
        <f>L24-AE178</f>
        <v>12953</v>
      </c>
      <c r="AJ178" s="106"/>
      <c r="AK178" s="159">
        <f>IF(AE178=0,"0.0 ",ROUND((AI178/AE178)*100,1))</f>
        <v>14.3</v>
      </c>
      <c r="AL178" s="138"/>
      <c r="AM178" s="106">
        <f>ROUND(CUR_FAC*AA178,0)</f>
        <v>2580</v>
      </c>
      <c r="AN178" s="106"/>
      <c r="AO178" s="106">
        <f>AE178+AM178</f>
        <v>93254</v>
      </c>
      <c r="AP178" s="106"/>
      <c r="AQ178" s="159">
        <f>IF(AO178=0,"0.0 ",ROUND((AI178/AO178)*100,1))</f>
        <v>13.9</v>
      </c>
      <c r="AS178" s="110"/>
      <c r="AT178" s="163"/>
      <c r="AW178" s="172">
        <v>1789</v>
      </c>
    </row>
    <row r="179" spans="1:49" x14ac:dyDescent="0.3">
      <c r="T179" s="268">
        <v>8</v>
      </c>
      <c r="V179" s="124" t="s">
        <v>267</v>
      </c>
      <c r="Y179" s="147"/>
      <c r="Z179" s="1"/>
      <c r="AA179" s="147"/>
      <c r="AB179" s="147"/>
      <c r="AC179" s="242"/>
      <c r="AD179" s="242"/>
      <c r="AE179" s="106"/>
      <c r="AF179" s="106"/>
      <c r="AG179" s="154"/>
      <c r="AH179" s="175"/>
      <c r="AI179" s="106"/>
      <c r="AJ179" s="106"/>
      <c r="AK179" s="159"/>
      <c r="AL179" s="138"/>
      <c r="AM179" s="106"/>
      <c r="AN179" s="106"/>
      <c r="AO179" s="106"/>
      <c r="AP179" s="106"/>
      <c r="AQ179" s="159"/>
      <c r="AS179" s="110"/>
      <c r="AW179" s="172"/>
    </row>
    <row r="180" spans="1:49" x14ac:dyDescent="0.3">
      <c r="C180" s="99"/>
      <c r="L180" s="110"/>
      <c r="M180" s="110"/>
      <c r="N180" s="110"/>
      <c r="O180" s="110"/>
      <c r="P180" s="110"/>
      <c r="Q180" s="110"/>
      <c r="R180" s="110"/>
      <c r="S180" s="110"/>
      <c r="T180" s="268">
        <v>9</v>
      </c>
      <c r="V180" s="116" t="str">
        <f>C26</f>
        <v xml:space="preserve">    14,000 LUMEN</v>
      </c>
      <c r="Y180" s="147">
        <f>F26</f>
        <v>292</v>
      </c>
      <c r="Z180" s="1"/>
      <c r="AA180" s="147">
        <f>H26</f>
        <v>19540</v>
      </c>
      <c r="AB180" s="147"/>
      <c r="AC180" s="228">
        <v>11.49</v>
      </c>
      <c r="AD180" s="242"/>
      <c r="AE180" s="106">
        <f>ROUND((Y180*AC180),0)</f>
        <v>3355</v>
      </c>
      <c r="AF180" s="106"/>
      <c r="AG180" s="154">
        <f>ROUND((AE180/AE$293)*100,1)</f>
        <v>0.2</v>
      </c>
      <c r="AH180" s="175"/>
      <c r="AI180" s="106">
        <f>L26-AE180</f>
        <v>479</v>
      </c>
      <c r="AJ180" s="106"/>
      <c r="AK180" s="159">
        <f>IF(AE180=0,"0.0 ",ROUND((AI180/AE180)*100,1))</f>
        <v>14.3</v>
      </c>
      <c r="AL180" s="138"/>
      <c r="AM180" s="106">
        <f>ROUND(CUR_FAC*AA180,0)</f>
        <v>68</v>
      </c>
      <c r="AN180" s="106"/>
      <c r="AO180" s="106">
        <f>AE180+AM180</f>
        <v>3423</v>
      </c>
      <c r="AP180" s="106"/>
      <c r="AQ180" s="159">
        <f>IF(AO180=0,"0.0 ",ROUND((AI180/AO180)*100,1))</f>
        <v>14</v>
      </c>
      <c r="AS180" s="110"/>
      <c r="AT180" s="163"/>
      <c r="AW180" s="172">
        <v>803</v>
      </c>
    </row>
    <row r="181" spans="1:49" x14ac:dyDescent="0.3">
      <c r="C181" s="99"/>
      <c r="L181" s="110"/>
      <c r="M181" s="110"/>
      <c r="N181" s="110"/>
      <c r="O181" s="110"/>
      <c r="P181" s="110"/>
      <c r="Q181" s="110"/>
      <c r="R181" s="110"/>
      <c r="S181" s="110"/>
      <c r="T181" s="268">
        <v>10</v>
      </c>
      <c r="V181" s="116" t="str">
        <f>C27</f>
        <v xml:space="preserve">    20,500 LUMEN</v>
      </c>
      <c r="Y181" s="147">
        <f>F27</f>
        <v>155</v>
      </c>
      <c r="Z181" s="1"/>
      <c r="AA181" s="147">
        <f>H27</f>
        <v>14777</v>
      </c>
      <c r="AB181" s="147"/>
      <c r="AC181" s="228">
        <v>13.47</v>
      </c>
      <c r="AD181" s="242"/>
      <c r="AE181" s="106">
        <f>ROUND((Y181*AC181),0)</f>
        <v>2088</v>
      </c>
      <c r="AF181" s="106"/>
      <c r="AG181" s="154">
        <f>ROUND((AE181/AE$293)*100,1)</f>
        <v>0.1</v>
      </c>
      <c r="AH181" s="175"/>
      <c r="AI181" s="106">
        <f>L27-AE181</f>
        <v>297</v>
      </c>
      <c r="AJ181" s="106"/>
      <c r="AK181" s="159">
        <f>IF(AE181=0,"0.0 ",ROUND((AI181/AE181)*100,1))</f>
        <v>14.2</v>
      </c>
      <c r="AL181" s="138"/>
      <c r="AM181" s="106">
        <f>ROUND(CUR_FAC*AA181,0)</f>
        <v>52</v>
      </c>
      <c r="AN181" s="106"/>
      <c r="AO181" s="106">
        <f>AE181+AM181</f>
        <v>2140</v>
      </c>
      <c r="AP181" s="106"/>
      <c r="AQ181" s="159">
        <f>IF(AO181=0,"0.0 ",ROUND((AI181/AO181)*100,1))</f>
        <v>13.9</v>
      </c>
      <c r="AS181" s="110"/>
      <c r="AT181" s="163"/>
      <c r="AW181" s="172">
        <v>1144</v>
      </c>
    </row>
    <row r="182" spans="1:49" x14ac:dyDescent="0.3">
      <c r="C182" s="99"/>
      <c r="L182" s="110"/>
      <c r="M182" s="110"/>
      <c r="N182" s="110"/>
      <c r="O182" s="110"/>
      <c r="P182" s="110"/>
      <c r="Q182" s="110"/>
      <c r="R182" s="110"/>
      <c r="S182" s="110"/>
      <c r="T182" s="268">
        <v>11</v>
      </c>
      <c r="V182" s="116" t="str">
        <f>C28</f>
        <v xml:space="preserve">    36,000 LUMEN</v>
      </c>
      <c r="Y182" s="147">
        <f>F28</f>
        <v>0</v>
      </c>
      <c r="Z182" s="1"/>
      <c r="AA182" s="147">
        <f>H28</f>
        <v>0</v>
      </c>
      <c r="AB182" s="147"/>
      <c r="AC182" s="228">
        <v>18.27</v>
      </c>
      <c r="AD182" s="242"/>
      <c r="AE182" s="106">
        <f>ROUND((Y182*AC182),0)</f>
        <v>0</v>
      </c>
      <c r="AF182" s="106"/>
      <c r="AG182" s="154">
        <f>ROUND((AE182/AE$293)*100,1)</f>
        <v>0</v>
      </c>
      <c r="AH182" s="175"/>
      <c r="AI182" s="106">
        <f>L28-AE182</f>
        <v>0</v>
      </c>
      <c r="AJ182" s="106"/>
      <c r="AK182" s="159" t="str">
        <f>IF(AE182=0,"0.0 ",ROUND((AI182/AE182)*100,1))</f>
        <v xml:space="preserve">0.0 </v>
      </c>
      <c r="AL182" s="138"/>
      <c r="AM182" s="106">
        <f>ROUND(CUR_FAC*AA182,0)</f>
        <v>0</v>
      </c>
      <c r="AN182" s="106"/>
      <c r="AO182" s="106">
        <f>AE182+AM182</f>
        <v>0</v>
      </c>
      <c r="AP182" s="106"/>
      <c r="AQ182" s="159" t="str">
        <f>IF(AO182=0,"0.0 ",ROUND((AI182/AO182)*100,1))</f>
        <v xml:space="preserve">0.0 </v>
      </c>
      <c r="AS182" s="110"/>
      <c r="AT182" s="163"/>
      <c r="AW182" s="172">
        <v>1789</v>
      </c>
    </row>
    <row r="183" spans="1:49" x14ac:dyDescent="0.3">
      <c r="C183" s="99"/>
      <c r="L183" s="110"/>
      <c r="M183" s="110"/>
      <c r="N183" s="110"/>
      <c r="O183" s="110"/>
      <c r="P183" s="110"/>
      <c r="Q183" s="110"/>
      <c r="R183" s="110"/>
      <c r="S183" s="110"/>
      <c r="T183" s="268">
        <v>12</v>
      </c>
      <c r="V183" s="169" t="s">
        <v>202</v>
      </c>
      <c r="Y183" s="288"/>
      <c r="Z183" s="1"/>
      <c r="AA183" s="106"/>
      <c r="AB183" s="1"/>
      <c r="AC183" s="3"/>
      <c r="AD183" s="242"/>
      <c r="AE183" s="106"/>
      <c r="AF183" s="106"/>
      <c r="AG183" s="154"/>
      <c r="AH183" s="175"/>
      <c r="AI183" s="106"/>
      <c r="AJ183" s="106"/>
      <c r="AK183" s="159"/>
      <c r="AL183" s="138"/>
      <c r="AM183" s="106"/>
      <c r="AN183" s="106"/>
      <c r="AO183" s="106"/>
      <c r="AP183" s="106"/>
      <c r="AQ183" s="159"/>
      <c r="AS183" s="110"/>
      <c r="AW183" s="172"/>
    </row>
    <row r="184" spans="1:49" x14ac:dyDescent="0.3">
      <c r="A184" s="99"/>
      <c r="T184" s="268">
        <v>13</v>
      </c>
      <c r="V184" s="116" t="str">
        <f t="shared" ref="V184:V189" si="25">C30</f>
        <v xml:space="preserve">     9,500 LUMEN</v>
      </c>
      <c r="Y184" s="147">
        <f t="shared" ref="Y184:Y189" si="26">F30</f>
        <v>17891</v>
      </c>
      <c r="Z184" s="1"/>
      <c r="AA184" s="147">
        <f t="shared" ref="AA184:AA189" si="27">H30</f>
        <v>726076</v>
      </c>
      <c r="AB184" s="147"/>
      <c r="AC184" s="228">
        <v>12.34</v>
      </c>
      <c r="AD184" s="242"/>
      <c r="AE184" s="106">
        <f t="shared" ref="AE184:AE189" si="28">ROUND((Y184*AC184),0)</f>
        <v>220775</v>
      </c>
      <c r="AF184" s="106"/>
      <c r="AG184" s="154">
        <f t="shared" ref="AG184:AG189" si="29">ROUND((AE184/AE$293)*100,1)</f>
        <v>15.6</v>
      </c>
      <c r="AH184" s="175"/>
      <c r="AI184" s="106">
        <f t="shared" ref="AI184:AI189" si="30">L30-AE184</f>
        <v>31488</v>
      </c>
      <c r="AJ184" s="106"/>
      <c r="AK184" s="159">
        <f t="shared" ref="AK184:AK189" si="31">IF(AE184=0,"0.0 ",ROUND((AI184/AE184)*100,1))</f>
        <v>14.3</v>
      </c>
      <c r="AL184" s="138"/>
      <c r="AM184" s="106">
        <f t="shared" ref="AM184:AM189" si="32">ROUND(CUR_FAC*AA184,0)</f>
        <v>2532</v>
      </c>
      <c r="AN184" s="106"/>
      <c r="AO184" s="106">
        <f t="shared" ref="AO184:AO189" si="33">AE184+AM184</f>
        <v>223307</v>
      </c>
      <c r="AP184" s="106"/>
      <c r="AQ184" s="159">
        <f t="shared" ref="AQ184:AQ189" si="34">IF(AO184=0,"0.0 ",ROUND((AI184/AO184)*100,1))</f>
        <v>14.1</v>
      </c>
      <c r="AS184" s="110"/>
      <c r="AT184" s="163"/>
      <c r="AW184" s="172">
        <v>487</v>
      </c>
    </row>
    <row r="185" spans="1:49" x14ac:dyDescent="0.3">
      <c r="A185" s="99"/>
      <c r="T185" s="268">
        <v>14</v>
      </c>
      <c r="V185" s="116" t="str">
        <f t="shared" si="25"/>
        <v xml:space="preserve">     9,500 LUMEN (OPEN)</v>
      </c>
      <c r="Y185" s="147">
        <f t="shared" si="26"/>
        <v>96</v>
      </c>
      <c r="Z185" s="1"/>
      <c r="AA185" s="147">
        <f t="shared" si="27"/>
        <v>3896</v>
      </c>
      <c r="AB185" s="147"/>
      <c r="AC185" s="228">
        <v>9.3800000000000008</v>
      </c>
      <c r="AD185" s="242"/>
      <c r="AE185" s="106">
        <f t="shared" si="28"/>
        <v>900</v>
      </c>
      <c r="AF185" s="106"/>
      <c r="AG185" s="154">
        <f t="shared" si="29"/>
        <v>0.1</v>
      </c>
      <c r="AH185" s="175"/>
      <c r="AI185" s="106">
        <f t="shared" si="30"/>
        <v>129</v>
      </c>
      <c r="AJ185" s="106"/>
      <c r="AK185" s="159">
        <f t="shared" si="31"/>
        <v>14.3</v>
      </c>
      <c r="AL185" s="138"/>
      <c r="AM185" s="106">
        <f t="shared" si="32"/>
        <v>14</v>
      </c>
      <c r="AN185" s="106"/>
      <c r="AO185" s="106">
        <f t="shared" si="33"/>
        <v>914</v>
      </c>
      <c r="AP185" s="106"/>
      <c r="AQ185" s="159">
        <f t="shared" si="34"/>
        <v>14.1</v>
      </c>
      <c r="AS185" s="110"/>
      <c r="AT185" s="163"/>
      <c r="AW185" s="172">
        <v>487</v>
      </c>
    </row>
    <row r="186" spans="1:49" x14ac:dyDescent="0.3">
      <c r="A186" s="99"/>
      <c r="T186" s="268">
        <v>15</v>
      </c>
      <c r="V186" s="116" t="str">
        <f t="shared" si="25"/>
        <v xml:space="preserve">   16,000 LUMEN</v>
      </c>
      <c r="Y186" s="147">
        <f t="shared" si="26"/>
        <v>362</v>
      </c>
      <c r="Z186" s="1"/>
      <c r="AA186" s="147">
        <f t="shared" si="27"/>
        <v>21449</v>
      </c>
      <c r="AB186" s="147"/>
      <c r="AC186" s="228">
        <v>13.64</v>
      </c>
      <c r="AD186" s="242"/>
      <c r="AE186" s="106">
        <f t="shared" si="28"/>
        <v>4938</v>
      </c>
      <c r="AF186" s="106"/>
      <c r="AG186" s="154">
        <f t="shared" si="29"/>
        <v>0.3</v>
      </c>
      <c r="AH186" s="175"/>
      <c r="AI186" s="106">
        <f t="shared" si="30"/>
        <v>706</v>
      </c>
      <c r="AJ186" s="106"/>
      <c r="AK186" s="159">
        <f t="shared" si="31"/>
        <v>14.3</v>
      </c>
      <c r="AL186" s="138"/>
      <c r="AM186" s="106">
        <f t="shared" si="32"/>
        <v>75</v>
      </c>
      <c r="AN186" s="106"/>
      <c r="AO186" s="106">
        <f t="shared" si="33"/>
        <v>5013</v>
      </c>
      <c r="AP186" s="106"/>
      <c r="AQ186" s="159">
        <f t="shared" si="34"/>
        <v>14.1</v>
      </c>
      <c r="AS186" s="110"/>
      <c r="AT186" s="163"/>
      <c r="AW186" s="172">
        <v>711</v>
      </c>
    </row>
    <row r="187" spans="1:49" x14ac:dyDescent="0.3">
      <c r="A187" s="99"/>
      <c r="T187" s="268">
        <v>16</v>
      </c>
      <c r="V187" s="116" t="str">
        <f t="shared" si="25"/>
        <v xml:space="preserve">   22,000 LUMEN</v>
      </c>
      <c r="Y187" s="147">
        <f t="shared" si="26"/>
        <v>3660</v>
      </c>
      <c r="Z187" s="1"/>
      <c r="AA187" s="147">
        <f t="shared" si="27"/>
        <v>289140</v>
      </c>
      <c r="AB187" s="147"/>
      <c r="AC187" s="228">
        <v>17.7</v>
      </c>
      <c r="AD187" s="3"/>
      <c r="AE187" s="106">
        <f t="shared" si="28"/>
        <v>64782</v>
      </c>
      <c r="AF187" s="1"/>
      <c r="AG187" s="154">
        <f t="shared" si="29"/>
        <v>4.5999999999999996</v>
      </c>
      <c r="AH187" s="1"/>
      <c r="AI187" s="106">
        <f t="shared" si="30"/>
        <v>9223</v>
      </c>
      <c r="AJ187" s="1"/>
      <c r="AK187" s="154">
        <f t="shared" si="31"/>
        <v>14.2</v>
      </c>
      <c r="AL187" s="1"/>
      <c r="AM187" s="106">
        <f t="shared" si="32"/>
        <v>1008</v>
      </c>
      <c r="AN187" s="1"/>
      <c r="AO187" s="106">
        <f t="shared" si="33"/>
        <v>65790</v>
      </c>
      <c r="AP187" s="1"/>
      <c r="AQ187" s="159">
        <f t="shared" si="34"/>
        <v>14</v>
      </c>
      <c r="AS187" s="110"/>
      <c r="AT187" s="163"/>
      <c r="AW187" s="172">
        <v>948</v>
      </c>
    </row>
    <row r="188" spans="1:49" x14ac:dyDescent="0.3">
      <c r="A188" s="99"/>
      <c r="T188" s="268">
        <v>17</v>
      </c>
      <c r="U188" s="289"/>
      <c r="V188" s="116" t="str">
        <f t="shared" si="25"/>
        <v xml:space="preserve">   27,500 LUMEN</v>
      </c>
      <c r="Y188" s="147">
        <f t="shared" si="26"/>
        <v>96</v>
      </c>
      <c r="Z188" s="1"/>
      <c r="AA188" s="147">
        <f t="shared" si="27"/>
        <v>7584</v>
      </c>
      <c r="AB188" s="147"/>
      <c r="AC188" s="228">
        <v>17.7</v>
      </c>
      <c r="AD188" s="242"/>
      <c r="AE188" s="106">
        <f t="shared" si="28"/>
        <v>1699</v>
      </c>
      <c r="AF188" s="106"/>
      <c r="AG188" s="154">
        <f t="shared" si="29"/>
        <v>0.1</v>
      </c>
      <c r="AH188" s="175"/>
      <c r="AI188" s="106">
        <f t="shared" si="30"/>
        <v>242</v>
      </c>
      <c r="AJ188" s="106"/>
      <c r="AK188" s="159">
        <f t="shared" si="31"/>
        <v>14.2</v>
      </c>
      <c r="AL188" s="138"/>
      <c r="AM188" s="106">
        <f t="shared" si="32"/>
        <v>26</v>
      </c>
      <c r="AN188" s="106"/>
      <c r="AO188" s="106">
        <f t="shared" si="33"/>
        <v>1725</v>
      </c>
      <c r="AP188" s="106"/>
      <c r="AQ188" s="159">
        <f t="shared" si="34"/>
        <v>14</v>
      </c>
      <c r="AS188" s="110"/>
      <c r="AT188" s="163"/>
      <c r="AW188" s="172">
        <v>948</v>
      </c>
    </row>
    <row r="189" spans="1:49" x14ac:dyDescent="0.3">
      <c r="A189" s="99"/>
      <c r="T189" s="268">
        <v>18</v>
      </c>
      <c r="U189" s="289"/>
      <c r="V189" s="116" t="str">
        <f t="shared" si="25"/>
        <v xml:space="preserve">   50,000 LUMEN</v>
      </c>
      <c r="Y189" s="147">
        <f t="shared" si="26"/>
        <v>7299</v>
      </c>
      <c r="Z189" s="1"/>
      <c r="AA189" s="147">
        <f t="shared" si="27"/>
        <v>1191562</v>
      </c>
      <c r="AB189" s="147"/>
      <c r="AC189" s="228">
        <v>24.43</v>
      </c>
      <c r="AD189" s="242"/>
      <c r="AE189" s="106">
        <f t="shared" si="28"/>
        <v>178315</v>
      </c>
      <c r="AF189" s="106"/>
      <c r="AG189" s="154">
        <f t="shared" si="29"/>
        <v>12.6</v>
      </c>
      <c r="AH189" s="175"/>
      <c r="AI189" s="106">
        <f t="shared" si="30"/>
        <v>25400</v>
      </c>
      <c r="AJ189" s="106"/>
      <c r="AK189" s="159">
        <f t="shared" si="31"/>
        <v>14.2</v>
      </c>
      <c r="AL189" s="138"/>
      <c r="AM189" s="106">
        <f t="shared" si="32"/>
        <v>4155</v>
      </c>
      <c r="AN189" s="106"/>
      <c r="AO189" s="106">
        <f t="shared" si="33"/>
        <v>182470</v>
      </c>
      <c r="AP189" s="106"/>
      <c r="AQ189" s="159">
        <f t="shared" si="34"/>
        <v>13.9</v>
      </c>
      <c r="AS189" s="110"/>
      <c r="AT189" s="163"/>
      <c r="AW189" s="172">
        <v>1959</v>
      </c>
    </row>
    <row r="190" spans="1:49" x14ac:dyDescent="0.3">
      <c r="A190" s="99"/>
      <c r="T190" s="268">
        <v>19</v>
      </c>
      <c r="U190" s="289"/>
      <c r="V190" s="124" t="s">
        <v>203</v>
      </c>
      <c r="Y190" s="147"/>
      <c r="Z190" s="1"/>
      <c r="AA190" s="147"/>
      <c r="AB190" s="147"/>
      <c r="AC190" s="242"/>
      <c r="AD190" s="3"/>
      <c r="AE190" s="1"/>
      <c r="AF190" s="1"/>
      <c r="AG190" s="154"/>
      <c r="AH190" s="1"/>
      <c r="AI190" s="1"/>
      <c r="AJ190" s="1"/>
      <c r="AK190" s="154"/>
      <c r="AL190" s="1"/>
      <c r="AM190" s="1"/>
      <c r="AN190" s="1"/>
      <c r="AO190" s="1"/>
      <c r="AP190" s="1"/>
      <c r="AQ190" s="159"/>
      <c r="AS190" s="110"/>
      <c r="AW190" s="172"/>
    </row>
    <row r="191" spans="1:49" x14ac:dyDescent="0.3">
      <c r="A191" s="99"/>
      <c r="T191" s="268">
        <v>20</v>
      </c>
      <c r="V191" s="116" t="str">
        <f>C37</f>
        <v xml:space="preserve">     9,500 LUMEN RECTILINEAR</v>
      </c>
      <c r="Y191" s="147">
        <f>F37</f>
        <v>0</v>
      </c>
      <c r="Z191" s="1"/>
      <c r="AA191" s="147">
        <f>H37</f>
        <v>0</v>
      </c>
      <c r="AB191" s="147"/>
      <c r="AC191" s="228">
        <v>15.24</v>
      </c>
      <c r="AD191" s="3"/>
      <c r="AE191" s="106">
        <f>ROUND((Y191*AC191),0)</f>
        <v>0</v>
      </c>
      <c r="AF191" s="106"/>
      <c r="AG191" s="154">
        <f>ROUND((AE191/AE$293)*100,1)</f>
        <v>0</v>
      </c>
      <c r="AH191" s="175"/>
      <c r="AI191" s="106">
        <f>L37-AE191</f>
        <v>0</v>
      </c>
      <c r="AJ191" s="106"/>
      <c r="AK191" s="159" t="str">
        <f>IF(AE191=0,"0.0 ",ROUND((AI191/AE191)*100,1))</f>
        <v xml:space="preserve">0.0 </v>
      </c>
      <c r="AL191" s="138"/>
      <c r="AM191" s="106">
        <f>ROUND(CUR_FAC*AA191,0)</f>
        <v>0</v>
      </c>
      <c r="AN191" s="106"/>
      <c r="AO191" s="106">
        <f>AE191+AM191</f>
        <v>0</v>
      </c>
      <c r="AP191" s="106"/>
      <c r="AQ191" s="159" t="str">
        <f>IF(AO191=0,"0.0 ",ROUND((AI191/AO191)*100,1))</f>
        <v xml:space="preserve">0.0 </v>
      </c>
      <c r="AS191" s="110"/>
      <c r="AT191" s="163"/>
      <c r="AW191" s="172">
        <v>487</v>
      </c>
    </row>
    <row r="192" spans="1:49" x14ac:dyDescent="0.3">
      <c r="A192" s="99"/>
      <c r="T192" s="268">
        <v>21</v>
      </c>
      <c r="U192" s="290"/>
      <c r="V192" s="116" t="str">
        <f>C38</f>
        <v xml:space="preserve">   22,000 LUMEN RECTILINEAR</v>
      </c>
      <c r="Y192" s="147">
        <f>F38</f>
        <v>12</v>
      </c>
      <c r="Z192" s="1"/>
      <c r="AA192" s="147">
        <f>H38</f>
        <v>1023</v>
      </c>
      <c r="AB192" s="147"/>
      <c r="AC192" s="228">
        <v>19.22</v>
      </c>
      <c r="AD192" s="242"/>
      <c r="AE192" s="106">
        <f>ROUND((Y192*AC192),0)</f>
        <v>231</v>
      </c>
      <c r="AF192" s="106"/>
      <c r="AG192" s="154">
        <f>ROUND((AE192/AE$293)*100,1)</f>
        <v>0</v>
      </c>
      <c r="AH192" s="175"/>
      <c r="AI192" s="106">
        <f>L38-AE192</f>
        <v>33</v>
      </c>
      <c r="AJ192" s="106"/>
      <c r="AK192" s="159">
        <f>IF(AE192=0,"0.0 ",ROUND((AI192/AE192)*100,1))</f>
        <v>14.3</v>
      </c>
      <c r="AL192" s="138"/>
      <c r="AM192" s="106">
        <f>ROUND(CUR_FAC*AA192,0)</f>
        <v>4</v>
      </c>
      <c r="AN192" s="106"/>
      <c r="AO192" s="106">
        <f>AE192+AM192</f>
        <v>235</v>
      </c>
      <c r="AP192" s="106"/>
      <c r="AQ192" s="159">
        <f>IF(AO192=0,"0.0 ",ROUND((AI192/AO192)*100,1))</f>
        <v>14</v>
      </c>
      <c r="AS192" s="110"/>
      <c r="AT192" s="163"/>
      <c r="AW192" s="110">
        <v>1023</v>
      </c>
    </row>
    <row r="193" spans="1:49" x14ac:dyDescent="0.3">
      <c r="A193" s="99"/>
      <c r="T193" s="268">
        <v>22</v>
      </c>
      <c r="V193" s="116" t="str">
        <f>C39</f>
        <v xml:space="preserve">   50,000 LUMEN RECTILINEAR</v>
      </c>
      <c r="Y193" s="147">
        <f>F39</f>
        <v>204</v>
      </c>
      <c r="Z193" s="1"/>
      <c r="AA193" s="147">
        <f>H39</f>
        <v>33303</v>
      </c>
      <c r="AB193" s="147"/>
      <c r="AC193" s="228">
        <v>26.01</v>
      </c>
      <c r="AD193" s="242"/>
      <c r="AE193" s="106">
        <f>ROUND((Y193*AC193),0)</f>
        <v>5306</v>
      </c>
      <c r="AF193" s="106"/>
      <c r="AG193" s="154">
        <f>ROUND((AE193/AE$293)*100,1)</f>
        <v>0.4</v>
      </c>
      <c r="AH193" s="175"/>
      <c r="AI193" s="106">
        <f>L39-AE193</f>
        <v>757</v>
      </c>
      <c r="AJ193" s="106"/>
      <c r="AK193" s="159">
        <f>IF(AE193=0,"0.0 ",ROUND((AI193/AE193)*100,1))</f>
        <v>14.3</v>
      </c>
      <c r="AL193" s="138"/>
      <c r="AM193" s="106">
        <f>ROUND(CUR_FAC*AA193,0)</f>
        <v>116</v>
      </c>
      <c r="AN193" s="106"/>
      <c r="AO193" s="106">
        <f>AE193+AM193</f>
        <v>5422</v>
      </c>
      <c r="AP193" s="106"/>
      <c r="AQ193" s="159">
        <f>IF(AO193=0,"0.0 ",ROUND((AI193/AO193)*100,1))</f>
        <v>14</v>
      </c>
      <c r="AS193" s="110"/>
      <c r="AT193" s="163"/>
      <c r="AW193" s="172">
        <v>1959</v>
      </c>
    </row>
    <row r="194" spans="1:49" x14ac:dyDescent="0.3">
      <c r="T194" s="268">
        <v>23</v>
      </c>
      <c r="V194" s="116" t="str">
        <f>C40</f>
        <v xml:space="preserve">   50,000 LUMEN SETBACK</v>
      </c>
      <c r="Y194" s="147">
        <f>F40</f>
        <v>241</v>
      </c>
      <c r="Z194" s="1"/>
      <c r="AA194" s="147">
        <f>H40</f>
        <v>39343</v>
      </c>
      <c r="AB194" s="147"/>
      <c r="AC194" s="228">
        <v>37.799999999999997</v>
      </c>
      <c r="AD194" s="242"/>
      <c r="AE194" s="106">
        <f>ROUND((Y194*AC194),0)</f>
        <v>9110</v>
      </c>
      <c r="AF194" s="106"/>
      <c r="AG194" s="154">
        <f>ROUND((AE194/AE$293)*100,1)</f>
        <v>0.6</v>
      </c>
      <c r="AH194" s="175"/>
      <c r="AI194" s="106">
        <f>L40-AE194</f>
        <v>1299</v>
      </c>
      <c r="AJ194" s="106"/>
      <c r="AK194" s="159">
        <f>IF(AE194=0,"0.0 ",ROUND((AI194/AE194)*100,1))</f>
        <v>14.3</v>
      </c>
      <c r="AL194" s="138"/>
      <c r="AM194" s="106">
        <f>ROUND(CUR_FAC*AA194,0)</f>
        <v>137</v>
      </c>
      <c r="AN194" s="106"/>
      <c r="AO194" s="106">
        <f>AE194+AM194</f>
        <v>9247</v>
      </c>
      <c r="AP194" s="106"/>
      <c r="AQ194" s="159">
        <f>IF(AO194=0,"0.0 ",ROUND((AI194/AO194)*100,1))</f>
        <v>14</v>
      </c>
      <c r="AS194" s="110"/>
      <c r="AT194" s="163"/>
      <c r="AW194" s="172">
        <v>1959</v>
      </c>
    </row>
    <row r="195" spans="1:49" x14ac:dyDescent="0.3">
      <c r="T195" s="268">
        <v>24</v>
      </c>
      <c r="V195" s="116"/>
      <c r="Y195" s="147"/>
      <c r="Z195" s="1"/>
      <c r="AA195" s="147"/>
      <c r="AB195" s="147"/>
      <c r="AC195" s="228"/>
      <c r="AD195" s="242"/>
      <c r="AE195" s="106"/>
      <c r="AF195" s="106"/>
      <c r="AG195" s="154"/>
      <c r="AH195" s="175"/>
      <c r="AI195" s="106"/>
      <c r="AJ195" s="106"/>
      <c r="AK195" s="159"/>
      <c r="AL195" s="138"/>
      <c r="AM195" s="106"/>
      <c r="AN195" s="106"/>
      <c r="AO195" s="106"/>
      <c r="AP195" s="106"/>
      <c r="AQ195" s="159"/>
      <c r="AS195" s="110"/>
      <c r="AT195" s="163"/>
      <c r="AW195" s="172"/>
    </row>
    <row r="196" spans="1:49" x14ac:dyDescent="0.3">
      <c r="T196" s="268">
        <v>25</v>
      </c>
      <c r="V196" s="169" t="s">
        <v>264</v>
      </c>
      <c r="Y196" s="112">
        <f>SUM(Y175:Y194)</f>
        <v>81914</v>
      </c>
      <c r="Z196" s="1"/>
      <c r="AA196" s="112">
        <f>SUM(AA175:AA194)</f>
        <v>6250277</v>
      </c>
      <c r="AB196" s="106"/>
      <c r="AC196" s="3"/>
      <c r="AD196" s="242"/>
      <c r="AE196" s="112">
        <f>SUM(AE175:AE194)</f>
        <v>1120896</v>
      </c>
      <c r="AF196" s="106"/>
      <c r="AG196" s="158">
        <f>ROUND((AE196/AE$293)*100,1)</f>
        <v>79</v>
      </c>
      <c r="AH196" s="175"/>
      <c r="AI196" s="112">
        <f>SUM(AI175:AI194)</f>
        <v>159895</v>
      </c>
      <c r="AJ196" s="106"/>
      <c r="AK196" s="201">
        <f>IF(AE196=0,"0.0 ",ROUND((AI196/AE196)*100,1))</f>
        <v>14.3</v>
      </c>
      <c r="AL196" s="138"/>
      <c r="AM196" s="112">
        <f>SUM(AM175:AM194)</f>
        <v>21796</v>
      </c>
      <c r="AN196" s="106"/>
      <c r="AO196" s="112">
        <f>SUM(AO175:AO194)</f>
        <v>1142692</v>
      </c>
      <c r="AP196" s="106"/>
      <c r="AQ196" s="201">
        <f>IF(AO196=0,"0.0 ",ROUND((AI196/AO196)*100,1))</f>
        <v>14</v>
      </c>
      <c r="AS196" s="110"/>
    </row>
    <row r="197" spans="1:49" x14ac:dyDescent="0.3">
      <c r="T197" s="268">
        <v>26</v>
      </c>
      <c r="AS197" s="110"/>
    </row>
    <row r="198" spans="1:49" x14ac:dyDescent="0.3">
      <c r="H198" s="99"/>
      <c r="I198" s="99"/>
      <c r="T198" s="268">
        <v>27</v>
      </c>
      <c r="V198" s="124" t="s">
        <v>80</v>
      </c>
      <c r="W198" s="134"/>
      <c r="Y198" s="1"/>
      <c r="Z198" s="1"/>
      <c r="AA198" s="1"/>
      <c r="AB198" s="1"/>
      <c r="AC198" s="3"/>
      <c r="AD198" s="242"/>
      <c r="AE198" s="106"/>
      <c r="AF198" s="106"/>
      <c r="AG198" s="154"/>
      <c r="AH198" s="175"/>
      <c r="AI198" s="106"/>
      <c r="AJ198" s="106"/>
      <c r="AK198" s="159"/>
      <c r="AL198" s="138"/>
      <c r="AM198" s="106"/>
      <c r="AN198" s="106"/>
      <c r="AO198" s="106"/>
      <c r="AP198" s="106"/>
      <c r="AQ198" s="159"/>
      <c r="AS198" s="110"/>
      <c r="AW198" s="1"/>
    </row>
    <row r="199" spans="1:49" x14ac:dyDescent="0.3">
      <c r="H199" s="99"/>
      <c r="I199" s="99"/>
      <c r="T199" s="268">
        <v>28</v>
      </c>
      <c r="V199" s="169" t="s">
        <v>204</v>
      </c>
      <c r="W199" s="134"/>
      <c r="Y199" s="1"/>
      <c r="Z199" s="1"/>
      <c r="AA199" s="1"/>
      <c r="AB199" s="1"/>
      <c r="AC199" s="3"/>
      <c r="AD199" s="242"/>
      <c r="AE199" s="106"/>
      <c r="AF199" s="106"/>
      <c r="AG199" s="154"/>
      <c r="AH199" s="175"/>
      <c r="AI199" s="106"/>
      <c r="AJ199" s="106"/>
      <c r="AK199" s="154"/>
      <c r="AL199" s="138"/>
      <c r="AM199" s="106"/>
      <c r="AN199" s="106"/>
      <c r="AO199" s="106"/>
      <c r="AP199" s="106"/>
      <c r="AQ199" s="159"/>
      <c r="AS199" s="110"/>
      <c r="AW199" s="1"/>
    </row>
    <row r="200" spans="1:49" x14ac:dyDescent="0.3">
      <c r="T200" s="268">
        <v>29</v>
      </c>
      <c r="V200" s="116" t="str">
        <f>C46</f>
        <v xml:space="preserve">     7,000 LUMEN</v>
      </c>
      <c r="Y200" s="147">
        <f>F46</f>
        <v>272</v>
      </c>
      <c r="Z200" s="1"/>
      <c r="AA200" s="147">
        <f>H46</f>
        <v>19811</v>
      </c>
      <c r="AB200" s="147"/>
      <c r="AC200" s="228">
        <v>11.74</v>
      </c>
      <c r="AD200" s="242"/>
      <c r="AE200" s="106">
        <f>ROUND((Y200*AC200),0)</f>
        <v>3193</v>
      </c>
      <c r="AF200" s="106"/>
      <c r="AG200" s="154">
        <f>ROUND((AE200/AE$293)*100,1)</f>
        <v>0.2</v>
      </c>
      <c r="AH200" s="175"/>
      <c r="AI200" s="106">
        <f>L46-AE200</f>
        <v>455</v>
      </c>
      <c r="AJ200" s="106"/>
      <c r="AK200" s="159">
        <f>IF(AE200=0,"0.0 ",ROUND((AI200/AE200)*100,1))</f>
        <v>14.2</v>
      </c>
      <c r="AL200" s="138"/>
      <c r="AM200" s="106">
        <f>ROUND(CUR_FAC*AA200,0)</f>
        <v>69</v>
      </c>
      <c r="AN200" s="106"/>
      <c r="AO200" s="106">
        <f>AE200+AM200</f>
        <v>3262</v>
      </c>
      <c r="AP200" s="106"/>
      <c r="AQ200" s="159">
        <f>IF(AO200=0,"0.0 ",ROUND((AI200/AO200)*100,1))</f>
        <v>13.9</v>
      </c>
      <c r="AS200" s="110"/>
      <c r="AT200" s="163"/>
      <c r="AW200" s="172">
        <v>874</v>
      </c>
    </row>
    <row r="201" spans="1:49" x14ac:dyDescent="0.3">
      <c r="T201" s="268">
        <v>30</v>
      </c>
      <c r="V201" s="116" t="str">
        <f>C47</f>
        <v xml:space="preserve">     7,000 LUMEN (OPEN)</v>
      </c>
      <c r="Y201" s="147">
        <f>F47</f>
        <v>0</v>
      </c>
      <c r="Z201" s="1"/>
      <c r="AA201" s="147">
        <f>H47</f>
        <v>0</v>
      </c>
      <c r="AB201" s="147"/>
      <c r="AC201" s="228">
        <v>9.77</v>
      </c>
      <c r="AD201" s="242"/>
      <c r="AE201" s="106">
        <f>ROUND((Y201*AC201),0)</f>
        <v>0</v>
      </c>
      <c r="AF201" s="106"/>
      <c r="AG201" s="154">
        <f>ROUND((AE201/AE$293)*100,1)</f>
        <v>0</v>
      </c>
      <c r="AH201" s="175"/>
      <c r="AI201" s="106">
        <f>L47-AE201</f>
        <v>0</v>
      </c>
      <c r="AJ201" s="106"/>
      <c r="AK201" s="159" t="str">
        <f>IF(AE201=0,"0.0 ",ROUND((AI201/AE201)*100,1))</f>
        <v xml:space="preserve">0.0 </v>
      </c>
      <c r="AL201" s="138"/>
      <c r="AM201" s="106">
        <f>ROUND(CUR_FAC*AA201,0)</f>
        <v>0</v>
      </c>
      <c r="AN201" s="106"/>
      <c r="AO201" s="106">
        <f>AE201+AM201</f>
        <v>0</v>
      </c>
      <c r="AP201" s="106"/>
      <c r="AQ201" s="159" t="str">
        <f>IF(AO201=0,"0.0 ",ROUND((AI201/AO201)*100,1))</f>
        <v xml:space="preserve">0.0 </v>
      </c>
      <c r="AS201" s="110"/>
      <c r="AT201" s="163"/>
      <c r="AW201" s="172">
        <v>853</v>
      </c>
    </row>
    <row r="202" spans="1:49" x14ac:dyDescent="0.3">
      <c r="T202" s="268">
        <v>31</v>
      </c>
      <c r="V202" s="116" t="str">
        <f>C48</f>
        <v xml:space="preserve">  10,000 LUMEN</v>
      </c>
      <c r="Y202" s="147">
        <f>F48</f>
        <v>132</v>
      </c>
      <c r="Z202" s="1"/>
      <c r="AA202" s="147">
        <f>H48</f>
        <v>13365</v>
      </c>
      <c r="AB202" s="147"/>
      <c r="AC202" s="228">
        <v>13.76</v>
      </c>
      <c r="AD202" s="242"/>
      <c r="AE202" s="106">
        <f>ROUND((Y202*AC202),0)</f>
        <v>1816</v>
      </c>
      <c r="AF202" s="106"/>
      <c r="AG202" s="154">
        <f>ROUND((AE202/AE$293)*100,1)</f>
        <v>0.1</v>
      </c>
      <c r="AH202" s="175"/>
      <c r="AI202" s="106">
        <f>L48-AE202</f>
        <v>259</v>
      </c>
      <c r="AJ202" s="106"/>
      <c r="AK202" s="159">
        <f>IF(AE202=0,"0.0 ",ROUND((AI202/AE202)*100,1))</f>
        <v>14.3</v>
      </c>
      <c r="AL202" s="138"/>
      <c r="AM202" s="106">
        <f>ROUND(CUR_FAC*AA202,0)</f>
        <v>47</v>
      </c>
      <c r="AN202" s="106"/>
      <c r="AO202" s="106">
        <f>AE202+AM202</f>
        <v>1863</v>
      </c>
      <c r="AP202" s="106"/>
      <c r="AQ202" s="159">
        <f>IF(AO202=0,"0.0 ",ROUND((AI202/AO202)*100,1))</f>
        <v>13.9</v>
      </c>
      <c r="AS202" s="110"/>
      <c r="AT202" s="163"/>
      <c r="AW202" s="172">
        <v>1215</v>
      </c>
    </row>
    <row r="203" spans="1:49" x14ac:dyDescent="0.3">
      <c r="T203" s="268">
        <v>32</v>
      </c>
      <c r="U203" s="291"/>
      <c r="V203" s="116" t="str">
        <f>C49</f>
        <v xml:space="preserve">  21,000 LUMEN</v>
      </c>
      <c r="Y203" s="147">
        <f>F49</f>
        <v>228</v>
      </c>
      <c r="Z203" s="1"/>
      <c r="AA203" s="147">
        <f>H49</f>
        <v>36366</v>
      </c>
      <c r="AB203" s="147"/>
      <c r="AC203" s="228">
        <v>18.8</v>
      </c>
      <c r="AD203" s="242"/>
      <c r="AE203" s="106">
        <f>ROUND((Y203*AC203),0)</f>
        <v>4286</v>
      </c>
      <c r="AF203" s="106"/>
      <c r="AG203" s="154">
        <f>ROUND((AE203/AE$293)*100,1)</f>
        <v>0.3</v>
      </c>
      <c r="AH203" s="175"/>
      <c r="AI203" s="106">
        <f>L49-AE203</f>
        <v>611</v>
      </c>
      <c r="AJ203" s="106"/>
      <c r="AK203" s="159">
        <f>IF(AE203=0,"0.0 ",ROUND((AI203/AE203)*100,1))</f>
        <v>14.3</v>
      </c>
      <c r="AL203" s="138"/>
      <c r="AM203" s="106">
        <f>ROUND(CUR_FAC*AA203,0)</f>
        <v>127</v>
      </c>
      <c r="AN203" s="106"/>
      <c r="AO203" s="106">
        <f>AE203+AM203</f>
        <v>4413</v>
      </c>
      <c r="AP203" s="106"/>
      <c r="AQ203" s="159">
        <f>IF(AO203=0,"0.0 ",ROUND((AI203/AO203)*100,1))</f>
        <v>13.8</v>
      </c>
      <c r="AS203" s="110"/>
      <c r="AT203" s="163"/>
      <c r="AW203" s="172">
        <v>1914</v>
      </c>
    </row>
    <row r="204" spans="1:49" x14ac:dyDescent="0.3">
      <c r="L204" s="99"/>
      <c r="M204" s="99"/>
      <c r="T204" s="268">
        <v>33</v>
      </c>
      <c r="V204" s="124" t="s">
        <v>267</v>
      </c>
      <c r="Y204" s="147"/>
      <c r="Z204" s="1"/>
      <c r="AA204" s="147"/>
      <c r="AB204" s="147"/>
      <c r="AC204" s="242"/>
      <c r="AD204" s="242"/>
      <c r="AE204" s="106"/>
      <c r="AF204" s="106"/>
      <c r="AG204" s="154"/>
      <c r="AH204" s="175"/>
      <c r="AI204" s="106"/>
      <c r="AJ204" s="106"/>
      <c r="AK204" s="159"/>
      <c r="AL204" s="138"/>
      <c r="AM204" s="106"/>
      <c r="AN204" s="106"/>
      <c r="AO204" s="106"/>
      <c r="AP204" s="106"/>
      <c r="AQ204" s="159"/>
      <c r="AS204" s="110"/>
      <c r="AW204" s="172"/>
    </row>
    <row r="205" spans="1:49" x14ac:dyDescent="0.3">
      <c r="L205" s="99"/>
      <c r="M205" s="99"/>
      <c r="T205" s="268">
        <v>34</v>
      </c>
      <c r="V205" s="116" t="str">
        <f>C51</f>
        <v xml:space="preserve">    14,000 LUMEN</v>
      </c>
      <c r="Y205" s="147">
        <f>F51</f>
        <v>0</v>
      </c>
      <c r="Z205" s="1"/>
      <c r="AA205" s="147">
        <f>H51</f>
        <v>0</v>
      </c>
      <c r="AB205" s="147"/>
      <c r="AC205" s="228">
        <v>11.74</v>
      </c>
      <c r="AD205" s="242"/>
      <c r="AE205" s="106">
        <f>ROUND((Y205*AC205),0)</f>
        <v>0</v>
      </c>
      <c r="AF205" s="106"/>
      <c r="AG205" s="154">
        <f>ROUND((AE205/AE$293)*100,1)</f>
        <v>0</v>
      </c>
      <c r="AH205" s="175"/>
      <c r="AI205" s="106">
        <f>L51-AE205</f>
        <v>0</v>
      </c>
      <c r="AJ205" s="106"/>
      <c r="AK205" s="159" t="str">
        <f>IF(AE205=0,"0.0 ",ROUND((AI205/AE205)*100,1))</f>
        <v xml:space="preserve">0.0 </v>
      </c>
      <c r="AL205" s="138"/>
      <c r="AM205" s="106">
        <f>ROUND(CUR_FAC*AA205,0)</f>
        <v>0</v>
      </c>
      <c r="AN205" s="106"/>
      <c r="AO205" s="106">
        <f>AE205+AM205</f>
        <v>0</v>
      </c>
      <c r="AP205" s="106"/>
      <c r="AQ205" s="159" t="str">
        <f>IF(AO205=0,"0.0 ",ROUND((AI205/AO205)*100,1))</f>
        <v xml:space="preserve">0.0 </v>
      </c>
      <c r="AS205" s="110"/>
      <c r="AT205" s="163"/>
      <c r="AW205" s="172">
        <v>874</v>
      </c>
    </row>
    <row r="206" spans="1:49" x14ac:dyDescent="0.3">
      <c r="R206" s="99"/>
      <c r="T206" s="268">
        <v>35</v>
      </c>
      <c r="V206" s="116" t="str">
        <f>C52</f>
        <v xml:space="preserve">    20,500 LUMEN</v>
      </c>
      <c r="Y206" s="147">
        <f>F52</f>
        <v>0</v>
      </c>
      <c r="Z206" s="1"/>
      <c r="AA206" s="147">
        <f>H52</f>
        <v>0</v>
      </c>
      <c r="AB206" s="147"/>
      <c r="AC206" s="228">
        <v>13.76</v>
      </c>
      <c r="AD206" s="242"/>
      <c r="AE206" s="106">
        <f>ROUND((Y206*AC206),0)</f>
        <v>0</v>
      </c>
      <c r="AF206" s="106"/>
      <c r="AG206" s="154">
        <f>ROUND((AE206/AE$293)*100,1)</f>
        <v>0</v>
      </c>
      <c r="AH206" s="175"/>
      <c r="AI206" s="106">
        <f>L52-AE206</f>
        <v>0</v>
      </c>
      <c r="AJ206" s="106"/>
      <c r="AK206" s="159" t="str">
        <f>IF(AE206=0,"0.0 ",ROUND((AI206/AE206)*100,1))</f>
        <v xml:space="preserve">0.0 </v>
      </c>
      <c r="AL206" s="138"/>
      <c r="AM206" s="106">
        <f>ROUND(CUR_FAC*AA206,0)</f>
        <v>0</v>
      </c>
      <c r="AN206" s="106"/>
      <c r="AO206" s="106">
        <f>AE206+AM206</f>
        <v>0</v>
      </c>
      <c r="AP206" s="106"/>
      <c r="AQ206" s="159" t="str">
        <f>IF(AO206=0,"0.0 ",ROUND((AI206/AO206)*100,1))</f>
        <v xml:space="preserve">0.0 </v>
      </c>
      <c r="AS206" s="110"/>
      <c r="AT206" s="163"/>
      <c r="AW206" s="172">
        <v>1215</v>
      </c>
    </row>
    <row r="207" spans="1:49" x14ac:dyDescent="0.3">
      <c r="R207" s="99"/>
      <c r="T207" s="268">
        <v>36</v>
      </c>
      <c r="V207" s="116" t="str">
        <f>C53</f>
        <v xml:space="preserve">    36,000 LUMEN</v>
      </c>
      <c r="Y207" s="147">
        <f>F53</f>
        <v>0</v>
      </c>
      <c r="Z207" s="1"/>
      <c r="AA207" s="147">
        <f>H53</f>
        <v>0</v>
      </c>
      <c r="AB207" s="147"/>
      <c r="AC207" s="228">
        <v>18.8</v>
      </c>
      <c r="AD207" s="242"/>
      <c r="AE207" s="106">
        <f>ROUND((Y207*AC207),0)</f>
        <v>0</v>
      </c>
      <c r="AF207" s="106"/>
      <c r="AG207" s="154">
        <f>ROUND((AE207/AE$293)*100,1)</f>
        <v>0</v>
      </c>
      <c r="AH207" s="175"/>
      <c r="AI207" s="106">
        <f>L53-AE207</f>
        <v>0</v>
      </c>
      <c r="AJ207" s="106"/>
      <c r="AK207" s="159" t="str">
        <f>IF(AE207=0,"0.0 ",ROUND((AI207/AE207)*100,1))</f>
        <v xml:space="preserve">0.0 </v>
      </c>
      <c r="AL207" s="138"/>
      <c r="AM207" s="106">
        <f>ROUND(CUR_FAC*AA207,0)</f>
        <v>0</v>
      </c>
      <c r="AN207" s="106"/>
      <c r="AO207" s="106">
        <f>AE207+AM207</f>
        <v>0</v>
      </c>
      <c r="AP207" s="106"/>
      <c r="AQ207" s="159" t="str">
        <f>IF(AO207=0,"0.0 ",ROUND((AI207/AO207)*100,1))</f>
        <v xml:space="preserve">0.0 </v>
      </c>
      <c r="AS207" s="110"/>
      <c r="AT207" s="163"/>
      <c r="AW207" s="172">
        <v>1914</v>
      </c>
    </row>
    <row r="208" spans="1:49" x14ac:dyDescent="0.3">
      <c r="R208" s="99"/>
      <c r="T208" s="268">
        <v>37</v>
      </c>
      <c r="V208" s="116"/>
      <c r="Y208" s="147"/>
      <c r="Z208" s="1"/>
      <c r="AA208" s="147"/>
      <c r="AB208" s="147"/>
      <c r="AC208" s="228"/>
      <c r="AD208" s="242"/>
      <c r="AE208" s="106"/>
      <c r="AF208" s="106"/>
      <c r="AG208" s="154"/>
      <c r="AH208" s="175"/>
      <c r="AI208" s="106"/>
      <c r="AJ208" s="106"/>
      <c r="AK208" s="159"/>
      <c r="AL208" s="138"/>
      <c r="AM208" s="106"/>
      <c r="AN208" s="106"/>
      <c r="AO208" s="106"/>
      <c r="AP208" s="106"/>
      <c r="AQ208" s="159"/>
      <c r="AS208" s="110"/>
      <c r="AW208" s="172"/>
    </row>
    <row r="209" spans="1:49" x14ac:dyDescent="0.3">
      <c r="R209" s="99"/>
      <c r="T209" s="268">
        <v>38</v>
      </c>
      <c r="V209" s="169" t="s">
        <v>202</v>
      </c>
      <c r="AG209" s="98"/>
      <c r="AK209" s="98"/>
      <c r="AQ209" s="98"/>
    </row>
    <row r="210" spans="1:49" x14ac:dyDescent="0.3">
      <c r="R210" s="99"/>
      <c r="T210" s="268">
        <v>39</v>
      </c>
      <c r="V210" s="116" t="str">
        <f t="shared" ref="V210:V215" si="35">C56</f>
        <v xml:space="preserve">     9,500 LUMEN </v>
      </c>
      <c r="Y210" s="147">
        <f t="shared" ref="Y210:Y215" si="36">F56</f>
        <v>282</v>
      </c>
      <c r="Z210" s="1"/>
      <c r="AA210" s="147">
        <f t="shared" ref="AA210:AA215" si="37">H56</f>
        <v>11445</v>
      </c>
      <c r="AB210" s="147"/>
      <c r="AC210" s="228">
        <v>12.34</v>
      </c>
      <c r="AD210" s="242"/>
      <c r="AE210" s="106">
        <f t="shared" ref="AE210:AE215" si="38">ROUND((Y210*AC210),0)</f>
        <v>3480</v>
      </c>
      <c r="AF210" s="106"/>
      <c r="AG210" s="154">
        <f t="shared" ref="AG210:AG215" si="39">ROUND((AE210/AE$293)*100,1)</f>
        <v>0.2</v>
      </c>
      <c r="AH210" s="175"/>
      <c r="AI210" s="106">
        <f t="shared" ref="AI210:AI215" si="40">L56-AE210</f>
        <v>496</v>
      </c>
      <c r="AJ210" s="106"/>
      <c r="AK210" s="159">
        <f t="shared" ref="AK210:AK215" si="41">IF(AE210=0,"0.0 ",ROUND((AI210/AE210)*100,1))</f>
        <v>14.3</v>
      </c>
      <c r="AL210" s="138"/>
      <c r="AM210" s="106">
        <f t="shared" ref="AM210:AM215" si="42">ROUND(CUR_FAC*AA210,0)</f>
        <v>40</v>
      </c>
      <c r="AN210" s="106"/>
      <c r="AO210" s="106">
        <f t="shared" ref="AO210:AO215" si="43">AE210+AM210</f>
        <v>3520</v>
      </c>
      <c r="AP210" s="106"/>
      <c r="AQ210" s="159">
        <f t="shared" ref="AQ210:AQ215" si="44">IF(AO210=0,"0.0 ",ROUND((AI210/AO210)*100,1))</f>
        <v>14.1</v>
      </c>
      <c r="AS210" s="110"/>
      <c r="AT210" s="163"/>
      <c r="AW210" s="172">
        <v>487</v>
      </c>
    </row>
    <row r="211" spans="1:49" x14ac:dyDescent="0.3">
      <c r="R211" s="99"/>
      <c r="T211" s="268">
        <v>40</v>
      </c>
      <c r="V211" s="116" t="str">
        <f t="shared" si="35"/>
        <v xml:space="preserve">     9,500 LUMEN (OPEN)</v>
      </c>
      <c r="Y211" s="147">
        <f t="shared" si="36"/>
        <v>0</v>
      </c>
      <c r="Z211" s="1"/>
      <c r="AA211" s="147">
        <f t="shared" si="37"/>
        <v>0</v>
      </c>
      <c r="AB211" s="147"/>
      <c r="AC211" s="228">
        <v>9.51</v>
      </c>
      <c r="AD211" s="242"/>
      <c r="AE211" s="106">
        <f t="shared" si="38"/>
        <v>0</v>
      </c>
      <c r="AF211" s="106"/>
      <c r="AG211" s="154">
        <f t="shared" si="39"/>
        <v>0</v>
      </c>
      <c r="AH211" s="175"/>
      <c r="AI211" s="106">
        <f t="shared" si="40"/>
        <v>0</v>
      </c>
      <c r="AJ211" s="106"/>
      <c r="AK211" s="159" t="str">
        <f t="shared" si="41"/>
        <v xml:space="preserve">0.0 </v>
      </c>
      <c r="AL211" s="138"/>
      <c r="AM211" s="106">
        <f t="shared" si="42"/>
        <v>0</v>
      </c>
      <c r="AN211" s="106"/>
      <c r="AO211" s="106">
        <f t="shared" si="43"/>
        <v>0</v>
      </c>
      <c r="AP211" s="106"/>
      <c r="AQ211" s="159" t="str">
        <f t="shared" si="44"/>
        <v xml:space="preserve">0.0 </v>
      </c>
      <c r="AS211" s="110"/>
      <c r="AT211" s="163"/>
      <c r="AW211" s="172">
        <v>487</v>
      </c>
    </row>
    <row r="212" spans="1:49" x14ac:dyDescent="0.3">
      <c r="R212" s="99"/>
      <c r="T212" s="268">
        <v>41</v>
      </c>
      <c r="V212" s="116" t="str">
        <f t="shared" si="35"/>
        <v xml:space="preserve">   16,000 LUMEN</v>
      </c>
      <c r="Y212" s="147">
        <f t="shared" si="36"/>
        <v>24</v>
      </c>
      <c r="Z212" s="1"/>
      <c r="AA212" s="147">
        <f t="shared" si="37"/>
        <v>1422</v>
      </c>
      <c r="AB212" s="147"/>
      <c r="AC212" s="228">
        <v>13.6</v>
      </c>
      <c r="AD212" s="242"/>
      <c r="AE212" s="106">
        <f t="shared" si="38"/>
        <v>326</v>
      </c>
      <c r="AF212" s="106"/>
      <c r="AG212" s="154">
        <f t="shared" si="39"/>
        <v>0</v>
      </c>
      <c r="AH212" s="175"/>
      <c r="AI212" s="106">
        <f t="shared" si="40"/>
        <v>47</v>
      </c>
      <c r="AJ212" s="106"/>
      <c r="AK212" s="159">
        <f t="shared" si="41"/>
        <v>14.4</v>
      </c>
      <c r="AL212" s="138"/>
      <c r="AM212" s="106">
        <f t="shared" si="42"/>
        <v>5</v>
      </c>
      <c r="AN212" s="106"/>
      <c r="AO212" s="106">
        <f t="shared" si="43"/>
        <v>331</v>
      </c>
      <c r="AP212" s="106"/>
      <c r="AQ212" s="159">
        <f t="shared" si="44"/>
        <v>14.2</v>
      </c>
      <c r="AS212" s="110"/>
      <c r="AT212" s="163"/>
      <c r="AW212" s="172">
        <v>711</v>
      </c>
    </row>
    <row r="213" spans="1:49" x14ac:dyDescent="0.3">
      <c r="R213" s="99"/>
      <c r="T213" s="268">
        <v>42</v>
      </c>
      <c r="V213" s="116" t="str">
        <f t="shared" si="35"/>
        <v xml:space="preserve">   22,000 LUMEN</v>
      </c>
      <c r="Y213" s="147">
        <f t="shared" si="36"/>
        <v>204</v>
      </c>
      <c r="Z213" s="1"/>
      <c r="AA213" s="147">
        <f t="shared" si="37"/>
        <v>16116</v>
      </c>
      <c r="AB213" s="147"/>
      <c r="AC213" s="228">
        <v>17.7</v>
      </c>
      <c r="AD213" s="242"/>
      <c r="AE213" s="106">
        <f t="shared" si="38"/>
        <v>3611</v>
      </c>
      <c r="AF213" s="106"/>
      <c r="AG213" s="154">
        <f t="shared" si="39"/>
        <v>0.3</v>
      </c>
      <c r="AH213" s="175"/>
      <c r="AI213" s="106">
        <f t="shared" si="40"/>
        <v>514</v>
      </c>
      <c r="AJ213" s="106"/>
      <c r="AK213" s="159">
        <f t="shared" si="41"/>
        <v>14.2</v>
      </c>
      <c r="AL213" s="138"/>
      <c r="AM213" s="106">
        <f t="shared" si="42"/>
        <v>56</v>
      </c>
      <c r="AN213" s="106"/>
      <c r="AO213" s="106">
        <f t="shared" si="43"/>
        <v>3667</v>
      </c>
      <c r="AP213" s="106"/>
      <c r="AQ213" s="159">
        <f t="shared" si="44"/>
        <v>14</v>
      </c>
      <c r="AS213" s="110"/>
      <c r="AT213" s="163"/>
      <c r="AW213" s="172">
        <v>948</v>
      </c>
    </row>
    <row r="214" spans="1:49" x14ac:dyDescent="0.3">
      <c r="R214" s="99"/>
      <c r="T214" s="268">
        <v>43</v>
      </c>
      <c r="V214" s="116" t="str">
        <f t="shared" si="35"/>
        <v xml:space="preserve">   27,500 LUMEN</v>
      </c>
      <c r="W214" s="292"/>
      <c r="Y214" s="147">
        <f t="shared" si="36"/>
        <v>12</v>
      </c>
      <c r="Z214" s="1"/>
      <c r="AA214" s="147">
        <f t="shared" si="37"/>
        <v>1323</v>
      </c>
      <c r="AB214" s="147"/>
      <c r="AC214" s="228">
        <v>18.04</v>
      </c>
      <c r="AD214" s="3"/>
      <c r="AE214" s="106">
        <f t="shared" si="38"/>
        <v>216</v>
      </c>
      <c r="AF214" s="106"/>
      <c r="AG214" s="154">
        <f t="shared" si="39"/>
        <v>0</v>
      </c>
      <c r="AH214" s="175"/>
      <c r="AI214" s="106">
        <f t="shared" si="40"/>
        <v>31</v>
      </c>
      <c r="AJ214" s="106"/>
      <c r="AK214" s="159">
        <f t="shared" si="41"/>
        <v>14.4</v>
      </c>
      <c r="AL214" s="138"/>
      <c r="AM214" s="106">
        <f t="shared" si="42"/>
        <v>5</v>
      </c>
      <c r="AN214" s="106"/>
      <c r="AO214" s="106">
        <f t="shared" si="43"/>
        <v>221</v>
      </c>
      <c r="AP214" s="106"/>
      <c r="AQ214" s="159">
        <f t="shared" si="44"/>
        <v>14</v>
      </c>
      <c r="AS214" s="110"/>
      <c r="AT214" s="163"/>
      <c r="AW214" s="172">
        <v>487</v>
      </c>
    </row>
    <row r="215" spans="1:49" x14ac:dyDescent="0.3">
      <c r="A215" s="102"/>
      <c r="C215" s="102"/>
      <c r="D215" s="102"/>
      <c r="E215" s="102"/>
      <c r="F215" s="102"/>
      <c r="J215" s="102"/>
      <c r="K215" s="102"/>
      <c r="L215" s="102"/>
      <c r="M215" s="102"/>
      <c r="N215" s="102"/>
      <c r="O215" s="102"/>
      <c r="P215" s="102"/>
      <c r="Q215" s="102"/>
      <c r="R215" s="102"/>
      <c r="T215" s="268">
        <v>44</v>
      </c>
      <c r="V215" s="116" t="str">
        <f t="shared" si="35"/>
        <v xml:space="preserve">   50,000 LUMEN</v>
      </c>
      <c r="Y215" s="147">
        <f t="shared" si="36"/>
        <v>96</v>
      </c>
      <c r="Z215" s="1"/>
      <c r="AA215" s="147">
        <f t="shared" si="37"/>
        <v>15672</v>
      </c>
      <c r="AB215" s="147"/>
      <c r="AC215" s="228">
        <v>24.43</v>
      </c>
      <c r="AD215" s="242"/>
      <c r="AE215" s="106">
        <f t="shared" si="38"/>
        <v>2345</v>
      </c>
      <c r="AF215" s="1"/>
      <c r="AG215" s="154">
        <f t="shared" si="39"/>
        <v>0.2</v>
      </c>
      <c r="AH215" s="1"/>
      <c r="AI215" s="106">
        <f t="shared" si="40"/>
        <v>334</v>
      </c>
      <c r="AJ215" s="1"/>
      <c r="AK215" s="159">
        <f t="shared" si="41"/>
        <v>14.2</v>
      </c>
      <c r="AL215" s="1"/>
      <c r="AM215" s="106">
        <f t="shared" si="42"/>
        <v>55</v>
      </c>
      <c r="AN215" s="1"/>
      <c r="AO215" s="106">
        <f t="shared" si="43"/>
        <v>2400</v>
      </c>
      <c r="AP215" s="1"/>
      <c r="AQ215" s="159">
        <f t="shared" si="44"/>
        <v>13.9</v>
      </c>
      <c r="AS215" s="110"/>
      <c r="AT215" s="163"/>
      <c r="AW215" s="172">
        <v>1959</v>
      </c>
    </row>
    <row r="216" spans="1:49" x14ac:dyDescent="0.3">
      <c r="AS216" s="110"/>
    </row>
    <row r="217" spans="1:49" x14ac:dyDescent="0.3">
      <c r="C217" s="99"/>
      <c r="D217" s="99"/>
      <c r="E217" s="99"/>
      <c r="T217" s="178" t="s">
        <v>76</v>
      </c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48"/>
      <c r="AF217" s="279"/>
      <c r="AG217" s="280"/>
      <c r="AH217" s="279"/>
      <c r="AI217" s="279"/>
      <c r="AJ217" s="279"/>
      <c r="AK217" s="248"/>
      <c r="AL217" s="279"/>
      <c r="AM217" s="279"/>
      <c r="AN217" s="293"/>
      <c r="AO217" s="293"/>
      <c r="AP217" s="293"/>
      <c r="AQ217" s="294"/>
      <c r="AS217" s="110"/>
    </row>
    <row r="218" spans="1:49" x14ac:dyDescent="0.3">
      <c r="C218" s="99"/>
      <c r="D218" s="99"/>
      <c r="E218" s="99"/>
      <c r="T218" s="178" t="str">
        <f>"(1A) REFLECTS FUEL COST RECOVERY INCLUDED IN BASE RATES OF "&amp;TEXT(CUR_BASE_FUEL,"$0.000000;($0.000000)")&amp;"  PER KWH."</f>
        <v>(1A) REFLECTS FUEL COST RECOVERY INCLUDED IN BASE RATES OF $0.033780  PER KWH.</v>
      </c>
      <c r="U218" s="279"/>
      <c r="V218" s="279"/>
      <c r="W218" s="279"/>
      <c r="X218" s="279"/>
      <c r="Y218" s="281"/>
      <c r="Z218" s="279"/>
      <c r="AA218" s="279"/>
      <c r="AB218" s="279"/>
      <c r="AC218" s="279"/>
      <c r="AD218" s="279"/>
      <c r="AE218" s="248"/>
      <c r="AF218" s="279"/>
      <c r="AG218" s="280"/>
      <c r="AH218" s="279"/>
      <c r="AI218" s="279"/>
      <c r="AJ218" s="279"/>
      <c r="AK218" s="248"/>
      <c r="AL218" s="279"/>
      <c r="AM218" s="279"/>
      <c r="AN218" s="293"/>
      <c r="AO218" s="293"/>
      <c r="AP218" s="293"/>
      <c r="AQ218" s="294"/>
      <c r="AS218" s="110"/>
    </row>
    <row r="219" spans="1:49" x14ac:dyDescent="0.3">
      <c r="C219" s="99"/>
      <c r="D219" s="99"/>
      <c r="E219" s="99"/>
      <c r="T219" s="178" t="str">
        <f>"(2) REFLECTS FUEL COMPONENT OF "&amp;TEXT(CUR_FAC,"$0.000000;($0.000000)")&amp;"  PER KWH."</f>
        <v>(2) REFLECTS FUEL COMPONENT OF $0.003487  PER KWH.</v>
      </c>
      <c r="U219" s="279"/>
      <c r="V219" s="279"/>
      <c r="W219" s="279"/>
      <c r="X219" s="279"/>
      <c r="Y219" s="281"/>
      <c r="Z219" s="279"/>
      <c r="AA219" s="279"/>
      <c r="AB219" s="279"/>
      <c r="AC219" s="279"/>
      <c r="AD219" s="279"/>
      <c r="AE219" s="248"/>
      <c r="AF219" s="279"/>
      <c r="AG219" s="280"/>
      <c r="AH219" s="279"/>
      <c r="AI219" s="279"/>
      <c r="AJ219" s="279"/>
      <c r="AK219" s="248"/>
      <c r="AL219" s="279"/>
      <c r="AM219" s="279"/>
      <c r="AN219" s="293"/>
      <c r="AO219" s="293"/>
      <c r="AP219" s="293"/>
      <c r="AQ219" s="294"/>
      <c r="AS219" s="110"/>
    </row>
    <row r="220" spans="1:49" x14ac:dyDescent="0.3">
      <c r="C220" s="99"/>
      <c r="D220" s="99"/>
      <c r="E220" s="99"/>
      <c r="T220" s="248"/>
      <c r="U220" s="279"/>
      <c r="V220" s="279"/>
      <c r="W220" s="279"/>
      <c r="X220" s="279"/>
      <c r="Y220" s="281"/>
      <c r="Z220" s="279"/>
      <c r="AA220" s="279"/>
      <c r="AB220" s="279"/>
      <c r="AC220" s="279"/>
      <c r="AD220" s="279"/>
      <c r="AE220" s="248"/>
      <c r="AF220" s="279"/>
      <c r="AG220" s="280"/>
      <c r="AH220" s="279"/>
      <c r="AI220" s="279"/>
      <c r="AJ220" s="279"/>
      <c r="AK220" s="248"/>
      <c r="AL220" s="279"/>
      <c r="AM220" s="279"/>
      <c r="AN220" s="293"/>
      <c r="AO220" s="293"/>
      <c r="AP220" s="293"/>
      <c r="AQ220" s="294"/>
      <c r="AS220" s="110"/>
    </row>
    <row r="221" spans="1:49" x14ac:dyDescent="0.3">
      <c r="C221" s="99"/>
      <c r="D221" s="99"/>
      <c r="E221" s="99"/>
      <c r="T221" s="248"/>
      <c r="U221" s="279"/>
      <c r="V221" s="279"/>
      <c r="W221" s="279"/>
      <c r="X221" s="279"/>
      <c r="Y221" s="281"/>
      <c r="Z221" s="279"/>
      <c r="AA221" s="279"/>
      <c r="AB221" s="279"/>
      <c r="AC221" s="279"/>
      <c r="AD221" s="279"/>
      <c r="AE221" s="248"/>
      <c r="AF221" s="279"/>
      <c r="AG221" s="280"/>
      <c r="AH221" s="279"/>
      <c r="AI221" s="279"/>
      <c r="AJ221" s="279"/>
      <c r="AK221" s="248"/>
      <c r="AL221" s="279"/>
      <c r="AM221" s="279"/>
      <c r="AN221" s="293"/>
      <c r="AO221" s="293"/>
      <c r="AP221" s="293"/>
      <c r="AQ221" s="294"/>
      <c r="AS221" s="110"/>
    </row>
    <row r="222" spans="1:49" x14ac:dyDescent="0.3">
      <c r="C222" s="99"/>
      <c r="D222" s="99"/>
      <c r="E222" s="99"/>
      <c r="T222" s="116"/>
      <c r="Y222" s="163"/>
      <c r="AC222" s="116"/>
      <c r="AS222" s="110"/>
    </row>
    <row r="223" spans="1:49" x14ac:dyDescent="0.3">
      <c r="C223" s="99"/>
      <c r="D223" s="99"/>
      <c r="E223" s="99"/>
      <c r="T223" s="102"/>
      <c r="U223" s="102"/>
      <c r="V223" s="102"/>
      <c r="AA223" s="102"/>
      <c r="AB223" s="102"/>
      <c r="AC223" s="102"/>
      <c r="AD223" s="102"/>
      <c r="AE223" s="102"/>
      <c r="AF223" s="102"/>
      <c r="AG223" s="151"/>
      <c r="AH223" s="102"/>
      <c r="AI223" s="102"/>
      <c r="AJ223" s="102"/>
      <c r="AK223" s="151"/>
      <c r="AL223" s="102"/>
      <c r="AM223" s="102"/>
      <c r="AN223" s="102"/>
      <c r="AO223" s="102"/>
      <c r="AP223" s="102"/>
      <c r="AS223" s="110"/>
    </row>
    <row r="224" spans="1:49" x14ac:dyDescent="0.3">
      <c r="C224" s="99"/>
      <c r="D224" s="99"/>
      <c r="E224" s="99"/>
      <c r="T224" s="353" t="str">
        <f>NAME</f>
        <v>DUKE ENERGY KENTUCKY, INC.</v>
      </c>
      <c r="U224" s="353"/>
      <c r="V224" s="353"/>
      <c r="W224" s="353"/>
      <c r="X224" s="353"/>
      <c r="Y224" s="353"/>
      <c r="Z224" s="353"/>
      <c r="AA224" s="353"/>
      <c r="AB224" s="353"/>
      <c r="AC224" s="353"/>
      <c r="AD224" s="353"/>
      <c r="AE224" s="353"/>
      <c r="AF224" s="353"/>
      <c r="AG224" s="353"/>
      <c r="AH224" s="353"/>
      <c r="AI224" s="353"/>
      <c r="AJ224" s="353"/>
      <c r="AK224" s="353"/>
      <c r="AL224" s="353"/>
      <c r="AM224" s="353"/>
      <c r="AN224" s="353"/>
      <c r="AO224" s="353"/>
      <c r="AP224" s="353"/>
      <c r="AQ224" s="353"/>
      <c r="AS224" s="110"/>
      <c r="AW224" s="97"/>
    </row>
    <row r="225" spans="3:49" x14ac:dyDescent="0.3">
      <c r="C225" s="99"/>
      <c r="D225" s="99"/>
      <c r="E225" s="99"/>
      <c r="T225" s="97" t="str">
        <f>CASE_NO</f>
        <v>CASE NO.   2024-00354</v>
      </c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S225" s="110"/>
      <c r="AW225" s="97"/>
    </row>
    <row r="226" spans="3:49" x14ac:dyDescent="0.3">
      <c r="C226" s="99"/>
      <c r="D226" s="99"/>
      <c r="E226" s="99"/>
      <c r="T226" s="97" t="str">
        <f>TITLE</f>
        <v>ANNUALIZED BASE YEAR REVENUES AT PROPOSED VS. MOST CURRENT RATES</v>
      </c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S226" s="110"/>
      <c r="AW226" s="97"/>
    </row>
    <row r="227" spans="3:49" x14ac:dyDescent="0.3">
      <c r="C227" s="99"/>
      <c r="D227" s="99"/>
      <c r="E227" s="99"/>
      <c r="T227" s="97" t="str">
        <f>DATE</f>
        <v>FOR THE TWELVE MONTHS ENDED February 28, 2025</v>
      </c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S227" s="110"/>
      <c r="AW227" s="97"/>
    </row>
    <row r="228" spans="3:49" x14ac:dyDescent="0.3">
      <c r="C228" s="99"/>
      <c r="D228" s="99"/>
      <c r="E228" s="99"/>
      <c r="T228" s="97" t="str">
        <f>SERVICE</f>
        <v>(ELECTRIC SERVICE)</v>
      </c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S228" s="110"/>
      <c r="AW228" s="97"/>
    </row>
    <row r="229" spans="3:49" x14ac:dyDescent="0.3">
      <c r="C229" s="99"/>
      <c r="D229" s="99"/>
      <c r="E229" s="99"/>
      <c r="T229" s="98" t="str">
        <f>DATA_PERIOD</f>
        <v>DATA: __X__ BASE PERIOD   ____FORECASTED PERIOD</v>
      </c>
      <c r="AO229" s="99" t="s">
        <v>157</v>
      </c>
      <c r="AP229" s="99"/>
      <c r="AS229" s="110"/>
    </row>
    <row r="230" spans="3:49" x14ac:dyDescent="0.3">
      <c r="C230" s="99"/>
      <c r="D230" s="99"/>
      <c r="E230" s="99"/>
      <c r="T230" s="98" t="str">
        <f>TYPE</f>
        <v>TYPE OF FILING: _X_ ORIGINAL   ___UPDATED  ___ REVISED</v>
      </c>
      <c r="AO230" s="116" t="str">
        <f>"PAGE 14 OF "&amp;TEXT(Page_Num_2.2,"00")</f>
        <v>PAGE 14 OF 24</v>
      </c>
      <c r="AP230" s="99"/>
      <c r="AS230" s="110"/>
    </row>
    <row r="231" spans="3:49" x14ac:dyDescent="0.3">
      <c r="C231" s="99"/>
      <c r="D231" s="99"/>
      <c r="E231" s="99"/>
      <c r="T231" s="99" t="s">
        <v>170</v>
      </c>
      <c r="AO231" s="99" t="s">
        <v>4</v>
      </c>
      <c r="AP231" s="99"/>
      <c r="AS231" s="110"/>
    </row>
    <row r="232" spans="3:49" x14ac:dyDescent="0.3">
      <c r="C232" s="99"/>
      <c r="D232" s="99"/>
      <c r="E232" s="99"/>
      <c r="T232" s="134" t="str">
        <f>TIME</f>
        <v>6 Months Actual and 6 Months Projected with Riders</v>
      </c>
      <c r="AF232" s="99"/>
      <c r="AO232" s="110" t="str">
        <f>WIT</f>
        <v>B. L. Sailers</v>
      </c>
      <c r="AS232" s="110"/>
    </row>
    <row r="233" spans="3:49" x14ac:dyDescent="0.3">
      <c r="C233" s="99"/>
      <c r="D233" s="99"/>
      <c r="E233" s="99"/>
      <c r="T233" s="97" t="s">
        <v>130</v>
      </c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149"/>
      <c r="AH233" s="97"/>
      <c r="AI233" s="97"/>
      <c r="AJ233" s="97"/>
      <c r="AK233" s="149"/>
      <c r="AL233" s="97"/>
      <c r="AM233" s="97"/>
      <c r="AN233" s="97"/>
      <c r="AO233" s="97"/>
      <c r="AP233" s="97"/>
      <c r="AS233" s="110"/>
      <c r="AW233" s="97"/>
    </row>
    <row r="234" spans="3:49" x14ac:dyDescent="0.3">
      <c r="C234" s="99"/>
      <c r="D234" s="99"/>
      <c r="E234" s="99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0"/>
      <c r="AF234" s="100"/>
      <c r="AG234" s="150"/>
      <c r="AH234" s="100"/>
      <c r="AI234" s="100"/>
      <c r="AJ234" s="100"/>
      <c r="AK234" s="150"/>
      <c r="AL234" s="100"/>
      <c r="AM234" s="100"/>
      <c r="AN234" s="101"/>
      <c r="AO234" s="101"/>
      <c r="AP234" s="101"/>
      <c r="AS234" s="110"/>
      <c r="AW234" s="101"/>
    </row>
    <row r="235" spans="3:49" ht="18" customHeight="1" x14ac:dyDescent="0.3">
      <c r="C235" s="99"/>
      <c r="D235" s="99"/>
      <c r="E235" s="99"/>
      <c r="T235" s="174"/>
      <c r="U235" s="174"/>
      <c r="V235" s="174"/>
      <c r="W235" s="174"/>
      <c r="X235" s="174"/>
      <c r="Y235" s="174"/>
      <c r="Z235" s="174"/>
      <c r="AA235" s="174"/>
      <c r="AB235" s="174"/>
      <c r="AC235" s="174"/>
      <c r="AD235" s="174"/>
      <c r="AE235" s="102" t="s">
        <v>8</v>
      </c>
      <c r="AF235" s="102"/>
      <c r="AG235" s="151" t="s">
        <v>7</v>
      </c>
      <c r="AH235" s="102"/>
      <c r="AI235" s="102" t="s">
        <v>9</v>
      </c>
      <c r="AJ235" s="102"/>
      <c r="AK235" s="151" t="s">
        <v>10</v>
      </c>
      <c r="AL235" s="102"/>
      <c r="AN235" s="174"/>
      <c r="AO235" s="254" t="s">
        <v>8</v>
      </c>
      <c r="AP235" s="254"/>
      <c r="AQ235" s="255" t="s">
        <v>11</v>
      </c>
      <c r="AS235" s="110"/>
    </row>
    <row r="236" spans="3:49" x14ac:dyDescent="0.3">
      <c r="C236" s="99"/>
      <c r="D236" s="99"/>
      <c r="E236" s="99"/>
      <c r="AC236" s="102" t="s">
        <v>14</v>
      </c>
      <c r="AD236" s="102"/>
      <c r="AE236" s="102" t="s">
        <v>12</v>
      </c>
      <c r="AF236" s="102"/>
      <c r="AG236" s="151" t="s">
        <v>13</v>
      </c>
      <c r="AH236" s="102"/>
      <c r="AI236" s="102" t="s">
        <v>15</v>
      </c>
      <c r="AJ236" s="102"/>
      <c r="AK236" s="151" t="s">
        <v>16</v>
      </c>
      <c r="AL236" s="102"/>
      <c r="AO236" s="102" t="s">
        <v>11</v>
      </c>
      <c r="AP236" s="102"/>
      <c r="AQ236" s="151" t="s">
        <v>9</v>
      </c>
      <c r="AS236" s="110"/>
      <c r="AT236" s="102"/>
    </row>
    <row r="237" spans="3:49" x14ac:dyDescent="0.3">
      <c r="C237" s="99"/>
      <c r="D237" s="99"/>
      <c r="E237" s="99"/>
      <c r="T237" s="102" t="s">
        <v>17</v>
      </c>
      <c r="V237" s="102" t="s">
        <v>18</v>
      </c>
      <c r="W237" s="102" t="s">
        <v>19</v>
      </c>
      <c r="X237" s="102"/>
      <c r="Y237" s="102" t="s">
        <v>20</v>
      </c>
      <c r="AC237" s="102" t="s">
        <v>8</v>
      </c>
      <c r="AD237" s="102"/>
      <c r="AE237" s="102" t="s">
        <v>593</v>
      </c>
      <c r="AF237" s="102"/>
      <c r="AG237" s="151" t="s">
        <v>593</v>
      </c>
      <c r="AH237" s="102"/>
      <c r="AI237" s="103" t="s">
        <v>708</v>
      </c>
      <c r="AJ237" s="102"/>
      <c r="AK237" s="152" t="s">
        <v>708</v>
      </c>
      <c r="AL237" s="102"/>
      <c r="AM237" s="102" t="s">
        <v>593</v>
      </c>
      <c r="AN237" s="102"/>
      <c r="AO237" s="102" t="s">
        <v>9</v>
      </c>
      <c r="AP237" s="102"/>
      <c r="AQ237" s="151" t="s">
        <v>21</v>
      </c>
      <c r="AS237" s="110"/>
      <c r="AT237" s="102"/>
    </row>
    <row r="238" spans="3:49" x14ac:dyDescent="0.3">
      <c r="C238" s="99"/>
      <c r="D238" s="99"/>
      <c r="E238" s="99"/>
      <c r="T238" s="102" t="s">
        <v>22</v>
      </c>
      <c r="V238" s="102" t="s">
        <v>23</v>
      </c>
      <c r="W238" s="102" t="s">
        <v>24</v>
      </c>
      <c r="X238" s="102"/>
      <c r="Y238" s="102" t="s">
        <v>25</v>
      </c>
      <c r="AA238" s="102" t="s">
        <v>26</v>
      </c>
      <c r="AB238" s="102"/>
      <c r="AC238" s="103" t="s">
        <v>325</v>
      </c>
      <c r="AD238" s="102"/>
      <c r="AE238" s="102" t="s">
        <v>9</v>
      </c>
      <c r="AF238" s="102"/>
      <c r="AG238" s="151" t="s">
        <v>9</v>
      </c>
      <c r="AH238" s="102"/>
      <c r="AI238" s="131" t="s">
        <v>29</v>
      </c>
      <c r="AJ238" s="131"/>
      <c r="AK238" s="165" t="s">
        <v>30</v>
      </c>
      <c r="AL238" s="102"/>
      <c r="AM238" s="102" t="s">
        <v>323</v>
      </c>
      <c r="AN238" s="102"/>
      <c r="AO238" s="131" t="s">
        <v>31</v>
      </c>
      <c r="AP238" s="131"/>
      <c r="AQ238" s="165" t="s">
        <v>32</v>
      </c>
      <c r="AS238" s="110"/>
      <c r="AT238" s="102"/>
      <c r="AW238" s="102"/>
    </row>
    <row r="239" spans="3:49" x14ac:dyDescent="0.3">
      <c r="C239" s="99"/>
      <c r="D239" s="99"/>
      <c r="E239" s="99"/>
      <c r="V239" s="131" t="s">
        <v>33</v>
      </c>
      <c r="W239" s="131" t="s">
        <v>34</v>
      </c>
      <c r="X239" s="131"/>
      <c r="Y239" s="131" t="s">
        <v>35</v>
      </c>
      <c r="Z239" s="134"/>
      <c r="AA239" s="131" t="s">
        <v>36</v>
      </c>
      <c r="AB239" s="131"/>
      <c r="AC239" s="131" t="s">
        <v>42</v>
      </c>
      <c r="AD239" s="131"/>
      <c r="AE239" s="131" t="s">
        <v>43</v>
      </c>
      <c r="AF239" s="131"/>
      <c r="AG239" s="165" t="s">
        <v>44</v>
      </c>
      <c r="AH239" s="131"/>
      <c r="AI239" s="131" t="s">
        <v>45</v>
      </c>
      <c r="AJ239" s="131"/>
      <c r="AK239" s="165" t="s">
        <v>46</v>
      </c>
      <c r="AL239" s="131"/>
      <c r="AM239" s="131" t="s">
        <v>40</v>
      </c>
      <c r="AN239" s="131"/>
      <c r="AO239" s="131" t="s">
        <v>47</v>
      </c>
      <c r="AP239" s="131"/>
      <c r="AQ239" s="165" t="s">
        <v>48</v>
      </c>
      <c r="AS239" s="110"/>
      <c r="AW239" s="98" t="s">
        <v>299</v>
      </c>
    </row>
    <row r="240" spans="3:49" ht="17.100000000000001" customHeight="1" x14ac:dyDescent="0.3">
      <c r="C240" s="99"/>
      <c r="D240" s="99"/>
      <c r="E240" s="99"/>
      <c r="T240" s="174"/>
      <c r="U240" s="174"/>
      <c r="V240" s="174"/>
      <c r="W240" s="174"/>
      <c r="X240" s="174"/>
      <c r="Y240" s="174"/>
      <c r="Z240" s="174"/>
      <c r="AA240" s="258" t="s">
        <v>49</v>
      </c>
      <c r="AB240" s="258"/>
      <c r="AC240" s="257" t="s">
        <v>69</v>
      </c>
      <c r="AD240" s="258"/>
      <c r="AE240" s="258" t="s">
        <v>50</v>
      </c>
      <c r="AF240" s="258"/>
      <c r="AG240" s="259" t="s">
        <v>51</v>
      </c>
      <c r="AH240" s="258"/>
      <c r="AI240" s="258" t="s">
        <v>50</v>
      </c>
      <c r="AJ240" s="258"/>
      <c r="AK240" s="259" t="s">
        <v>51</v>
      </c>
      <c r="AL240" s="258"/>
      <c r="AM240" s="258" t="s">
        <v>50</v>
      </c>
      <c r="AN240" s="258"/>
      <c r="AO240" s="258" t="s">
        <v>50</v>
      </c>
      <c r="AP240" s="258"/>
      <c r="AQ240" s="259" t="s">
        <v>51</v>
      </c>
      <c r="AS240" s="110"/>
      <c r="AW240" s="102"/>
    </row>
    <row r="241" spans="3:49" x14ac:dyDescent="0.3">
      <c r="C241" s="99"/>
      <c r="D241" s="99"/>
      <c r="E241" s="99"/>
      <c r="T241" s="282">
        <v>45</v>
      </c>
      <c r="V241" s="124" t="s">
        <v>77</v>
      </c>
      <c r="W241" s="169" t="s">
        <v>265</v>
      </c>
      <c r="X241" s="99"/>
      <c r="Y241" s="1"/>
      <c r="Z241" s="1"/>
      <c r="AA241" s="1"/>
      <c r="AB241" s="1"/>
      <c r="AC241" s="1"/>
      <c r="AD241" s="1"/>
      <c r="AE241" s="1"/>
      <c r="AF241" s="1"/>
      <c r="AG241" s="154"/>
      <c r="AH241" s="1"/>
      <c r="AI241" s="1"/>
      <c r="AJ241" s="1"/>
      <c r="AK241" s="154"/>
      <c r="AL241" s="1"/>
      <c r="AM241" s="1"/>
      <c r="AN241" s="1"/>
      <c r="AO241" s="1"/>
      <c r="AP241" s="1"/>
      <c r="AQ241" s="159"/>
      <c r="AS241" s="110"/>
      <c r="AW241" s="1"/>
    </row>
    <row r="242" spans="3:49" x14ac:dyDescent="0.3">
      <c r="C242" s="99"/>
      <c r="D242" s="99"/>
      <c r="E242" s="99"/>
      <c r="T242" s="282">
        <v>46</v>
      </c>
      <c r="V242" s="124" t="s">
        <v>403</v>
      </c>
      <c r="W242" s="169"/>
      <c r="X242" s="99"/>
      <c r="Y242" s="1"/>
      <c r="Z242" s="1"/>
      <c r="AA242" s="1"/>
      <c r="AB242" s="1"/>
      <c r="AC242" s="1"/>
      <c r="AD242" s="1"/>
      <c r="AE242" s="1"/>
      <c r="AF242" s="1"/>
      <c r="AG242" s="154"/>
      <c r="AH242" s="1"/>
      <c r="AI242" s="1"/>
      <c r="AJ242" s="1"/>
      <c r="AK242" s="154"/>
      <c r="AL242" s="1"/>
      <c r="AM242" s="1"/>
      <c r="AN242" s="1"/>
      <c r="AO242" s="1"/>
      <c r="AP242" s="1"/>
      <c r="AQ242" s="159"/>
      <c r="AS242" s="110"/>
      <c r="AW242" s="1"/>
    </row>
    <row r="243" spans="3:49" x14ac:dyDescent="0.3">
      <c r="C243" s="99"/>
      <c r="D243" s="99"/>
      <c r="E243" s="99"/>
      <c r="T243" s="282">
        <v>47</v>
      </c>
      <c r="V243" s="169" t="s">
        <v>275</v>
      </c>
      <c r="Y243" s="147"/>
      <c r="Z243" s="1"/>
      <c r="AA243" s="147"/>
      <c r="AB243" s="1"/>
      <c r="AC243" s="3"/>
      <c r="AD243" s="242"/>
      <c r="AE243" s="106"/>
      <c r="AF243" s="106"/>
      <c r="AG243" s="154"/>
      <c r="AH243" s="175"/>
      <c r="AI243" s="106"/>
      <c r="AJ243" s="106"/>
      <c r="AK243" s="159"/>
      <c r="AL243" s="138"/>
      <c r="AM243" s="106"/>
      <c r="AN243" s="106"/>
      <c r="AO243" s="106"/>
      <c r="AP243" s="106"/>
      <c r="AQ243" s="159"/>
      <c r="AS243" s="110"/>
    </row>
    <row r="244" spans="3:49" ht="20.100000000000001" customHeight="1" x14ac:dyDescent="0.3">
      <c r="C244" s="99"/>
      <c r="D244" s="99"/>
      <c r="E244" s="99"/>
      <c r="T244" s="282">
        <v>48</v>
      </c>
      <c r="V244" s="116" t="str">
        <f>C90</f>
        <v xml:space="preserve">  7,000 LUMEN  TOWN &amp; COUNTRY</v>
      </c>
      <c r="Y244" s="147">
        <f>F90</f>
        <v>2743</v>
      </c>
      <c r="Z244" s="1"/>
      <c r="AA244" s="147">
        <f>H90</f>
        <v>194982</v>
      </c>
      <c r="AB244" s="147"/>
      <c r="AC244" s="228">
        <v>12.11</v>
      </c>
      <c r="AD244" s="242"/>
      <c r="AE244" s="106">
        <f>ROUND((Y244*AC244),0)</f>
        <v>33218</v>
      </c>
      <c r="AF244" s="106"/>
      <c r="AG244" s="154">
        <f>ROUND((AE244/AE$293)*100,1)</f>
        <v>2.2999999999999998</v>
      </c>
      <c r="AH244" s="175"/>
      <c r="AI244" s="106">
        <f>L90-AE244</f>
        <v>4745</v>
      </c>
      <c r="AJ244" s="106"/>
      <c r="AK244" s="159">
        <f>IF(AE244=0,"0.0 ",ROUND((AI244/AE244)*100,1))</f>
        <v>14.3</v>
      </c>
      <c r="AL244" s="138"/>
      <c r="AM244" s="106">
        <f>ROUND(CUR_FAC*AA244,0)</f>
        <v>680</v>
      </c>
      <c r="AN244" s="106"/>
      <c r="AO244" s="106">
        <f>AE244+AM244</f>
        <v>33898</v>
      </c>
      <c r="AP244" s="106"/>
      <c r="AQ244" s="159">
        <f>IF(AO244=0,"0.0 ",ROUND((AI244/AO244)*100,1))</f>
        <v>14</v>
      </c>
      <c r="AS244" s="110"/>
      <c r="AT244" s="163"/>
      <c r="AW244" s="172">
        <v>853</v>
      </c>
    </row>
    <row r="245" spans="3:49" x14ac:dyDescent="0.3">
      <c r="C245" s="99"/>
      <c r="D245" s="99"/>
      <c r="E245" s="99"/>
      <c r="T245" s="282">
        <v>49</v>
      </c>
      <c r="V245" s="116" t="str">
        <f>C91</f>
        <v xml:space="preserve">  7,000 LUMEN HOLOPHANE</v>
      </c>
      <c r="Y245" s="147">
        <f>F91</f>
        <v>904</v>
      </c>
      <c r="Z245" s="1"/>
      <c r="AA245" s="147">
        <f>H91</f>
        <v>65841</v>
      </c>
      <c r="AB245" s="147"/>
      <c r="AC245" s="228">
        <v>15.01</v>
      </c>
      <c r="AD245" s="242"/>
      <c r="AE245" s="106">
        <f>ROUND((Y245*AC245),0)</f>
        <v>13569</v>
      </c>
      <c r="AF245" s="106"/>
      <c r="AG245" s="154">
        <f>ROUND((AE245/AE$293)*100,1)</f>
        <v>1</v>
      </c>
      <c r="AH245" s="175"/>
      <c r="AI245" s="106">
        <f>L91-AE245</f>
        <v>1935</v>
      </c>
      <c r="AJ245" s="106"/>
      <c r="AK245" s="159">
        <f>IF(AE245=0,"0.0 ",ROUND((AI245/AE245)*100,1))</f>
        <v>14.3</v>
      </c>
      <c r="AL245" s="138"/>
      <c r="AM245" s="106">
        <f>ROUND(CUR_FAC*AA245,0)</f>
        <v>230</v>
      </c>
      <c r="AN245" s="106"/>
      <c r="AO245" s="106">
        <f>AE245+AM245</f>
        <v>13799</v>
      </c>
      <c r="AP245" s="106"/>
      <c r="AQ245" s="159">
        <f>IF(AO245=0,"0.0 ",ROUND((AI245/AO245)*100,1))</f>
        <v>14</v>
      </c>
      <c r="AS245" s="110"/>
      <c r="AT245" s="163"/>
      <c r="AW245" s="172">
        <v>874</v>
      </c>
    </row>
    <row r="246" spans="3:49" x14ac:dyDescent="0.3">
      <c r="D246" s="99"/>
      <c r="E246" s="99"/>
      <c r="T246" s="282">
        <v>50</v>
      </c>
      <c r="V246" s="116" t="str">
        <f>C92</f>
        <v xml:space="preserve">  7,000 LUMEN GAS REPLICA</v>
      </c>
      <c r="Y246" s="147">
        <f>F92</f>
        <v>27</v>
      </c>
      <c r="Z246" s="1"/>
      <c r="AA246" s="147">
        <f>H92</f>
        <v>1967</v>
      </c>
      <c r="AB246" s="147"/>
      <c r="AC246" s="228">
        <v>33.299999999999997</v>
      </c>
      <c r="AD246" s="242"/>
      <c r="AE246" s="106">
        <f>ROUND((Y246*AC246),0)</f>
        <v>899</v>
      </c>
      <c r="AF246" s="106"/>
      <c r="AG246" s="154">
        <f>ROUND((AE246/AE$293)*100,1)</f>
        <v>0.1</v>
      </c>
      <c r="AH246" s="175"/>
      <c r="AI246" s="106">
        <f>L92-AE246</f>
        <v>128</v>
      </c>
      <c r="AJ246" s="106"/>
      <c r="AK246" s="159">
        <f>IF(AE246=0,"0.0 ",ROUND((AI246/AE246)*100,1))</f>
        <v>14.2</v>
      </c>
      <c r="AL246" s="138"/>
      <c r="AM246" s="106">
        <f>ROUND(CUR_FAC*AA246,0)</f>
        <v>7</v>
      </c>
      <c r="AN246" s="106"/>
      <c r="AO246" s="106">
        <f>AE246+AM246</f>
        <v>906</v>
      </c>
      <c r="AP246" s="106"/>
      <c r="AQ246" s="159">
        <f>IF(AO246=0,"0.0 ",ROUND((AI246/AO246)*100,1))</f>
        <v>14.1</v>
      </c>
      <c r="AS246" s="110"/>
      <c r="AT246" s="163"/>
      <c r="AW246" s="172">
        <v>874</v>
      </c>
    </row>
    <row r="247" spans="3:49" x14ac:dyDescent="0.3">
      <c r="D247" s="99"/>
      <c r="E247" s="99"/>
      <c r="T247" s="282">
        <v>51</v>
      </c>
      <c r="V247" s="116" t="str">
        <f>C93</f>
        <v xml:space="preserve">  7,000 LUMEN GRANVILLE </v>
      </c>
      <c r="Y247" s="147">
        <f>F93</f>
        <v>0</v>
      </c>
      <c r="Z247" s="1"/>
      <c r="AA247" s="147">
        <f>H93</f>
        <v>0</v>
      </c>
      <c r="AB247" s="147"/>
      <c r="AC247" s="228">
        <v>12.23</v>
      </c>
      <c r="AD247" s="242"/>
      <c r="AE247" s="106">
        <f>ROUND((Y247*AC247),0)</f>
        <v>0</v>
      </c>
      <c r="AF247" s="106"/>
      <c r="AG247" s="154">
        <f>ROUND((AE247/AE$293)*100,1)</f>
        <v>0</v>
      </c>
      <c r="AH247" s="175"/>
      <c r="AI247" s="106">
        <f>L93-AE247</f>
        <v>0</v>
      </c>
      <c r="AJ247" s="106"/>
      <c r="AK247" s="159" t="str">
        <f>IF(AE247=0,"0.0 ",ROUND((AI247/AE247)*100,1))</f>
        <v xml:space="preserve">0.0 </v>
      </c>
      <c r="AL247" s="138"/>
      <c r="AM247" s="106">
        <f>ROUND(CUR_FAC*AA247,0)</f>
        <v>0</v>
      </c>
      <c r="AN247" s="106"/>
      <c r="AO247" s="106">
        <f>AE247+AM247</f>
        <v>0</v>
      </c>
      <c r="AP247" s="106"/>
      <c r="AQ247" s="159" t="str">
        <f>IF(AO247=0,"0.0 ",ROUND((AI247/AO247)*100,1))</f>
        <v xml:space="preserve">0.0 </v>
      </c>
      <c r="AS247" s="110"/>
      <c r="AT247" s="163"/>
      <c r="AW247" s="172">
        <v>853</v>
      </c>
    </row>
    <row r="248" spans="3:49" x14ac:dyDescent="0.3">
      <c r="T248" s="282">
        <v>52</v>
      </c>
      <c r="V248" s="116" t="str">
        <f>C94</f>
        <v xml:space="preserve">  7,000 LUMEN ASPEN</v>
      </c>
      <c r="Y248" s="147">
        <f>F94</f>
        <v>24</v>
      </c>
      <c r="Z248" s="1"/>
      <c r="AA248" s="147">
        <f>H94</f>
        <v>1748</v>
      </c>
      <c r="AB248" s="147"/>
      <c r="AC248" s="228">
        <v>21.39</v>
      </c>
      <c r="AD248" s="242"/>
      <c r="AE248" s="106">
        <f>ROUND((Y248*AC248),0)</f>
        <v>513</v>
      </c>
      <c r="AF248" s="106"/>
      <c r="AG248" s="154">
        <f>ROUND((AE248/AE$293)*100,1)</f>
        <v>0</v>
      </c>
      <c r="AH248" s="175"/>
      <c r="AI248" s="106">
        <f>L94-AE248</f>
        <v>74</v>
      </c>
      <c r="AJ248" s="106"/>
      <c r="AK248" s="159">
        <f>IF(AE248=0,"0.0 ",ROUND((AI248/AE248)*100,1))</f>
        <v>14.4</v>
      </c>
      <c r="AL248" s="138"/>
      <c r="AM248" s="106">
        <f>ROUND(CUR_FAC*AA248,0)</f>
        <v>6</v>
      </c>
      <c r="AN248" s="106"/>
      <c r="AO248" s="106">
        <f>AE248+AM248</f>
        <v>519</v>
      </c>
      <c r="AP248" s="106"/>
      <c r="AQ248" s="159">
        <f>IF(AO248=0,"0.0 ",ROUND((AI248/AO248)*100,1))</f>
        <v>14.3</v>
      </c>
      <c r="AS248" s="110"/>
      <c r="AT248" s="163"/>
      <c r="AW248" s="172">
        <v>874</v>
      </c>
    </row>
    <row r="249" spans="3:49" x14ac:dyDescent="0.3">
      <c r="T249" s="282">
        <v>53</v>
      </c>
      <c r="V249" s="124" t="s">
        <v>279</v>
      </c>
      <c r="Y249" s="147"/>
      <c r="Z249" s="1"/>
      <c r="AA249" s="147"/>
      <c r="AB249" s="147"/>
      <c r="AC249" s="242"/>
      <c r="AD249" s="242"/>
      <c r="AE249" s="106"/>
      <c r="AF249" s="106"/>
      <c r="AG249" s="154"/>
      <c r="AH249" s="175"/>
      <c r="AI249" s="106"/>
      <c r="AJ249" s="106"/>
      <c r="AK249" s="159"/>
      <c r="AL249" s="138"/>
      <c r="AM249" s="106"/>
      <c r="AN249" s="106"/>
      <c r="AO249" s="106"/>
      <c r="AP249" s="106"/>
      <c r="AQ249" s="159"/>
      <c r="AS249" s="110"/>
      <c r="AW249" s="110"/>
    </row>
    <row r="250" spans="3:49" x14ac:dyDescent="0.3">
      <c r="T250" s="282">
        <v>54</v>
      </c>
      <c r="V250" s="295" t="str">
        <f>C96</f>
        <v xml:space="preserve"> 14,000 LUMEN TRADITIONAIRE</v>
      </c>
      <c r="W250" s="296"/>
      <c r="Y250" s="147">
        <f>F96</f>
        <v>132</v>
      </c>
      <c r="Z250" s="1"/>
      <c r="AA250" s="147">
        <f>H96</f>
        <v>9383</v>
      </c>
      <c r="AB250" s="147"/>
      <c r="AC250" s="228">
        <v>12.09</v>
      </c>
      <c r="AD250" s="242"/>
      <c r="AE250" s="106">
        <f>ROUND((Y250*AC250),0)</f>
        <v>1596</v>
      </c>
      <c r="AF250" s="106"/>
      <c r="AG250" s="154">
        <f>ROUND((AE250/AE$293)*100,1)</f>
        <v>0.1</v>
      </c>
      <c r="AH250" s="175"/>
      <c r="AI250" s="106">
        <f>L96-AE250</f>
        <v>227</v>
      </c>
      <c r="AJ250" s="106"/>
      <c r="AK250" s="159">
        <f>IF(AE250=0,"0.0 ",ROUND((AI250/AE250)*100,1))</f>
        <v>14.2</v>
      </c>
      <c r="AL250" s="138"/>
      <c r="AM250" s="106">
        <f>ROUND(CUR_FAC*AA250,0)</f>
        <v>33</v>
      </c>
      <c r="AN250" s="106"/>
      <c r="AO250" s="106">
        <f>AE250+AM250</f>
        <v>1629</v>
      </c>
      <c r="AP250" s="106"/>
      <c r="AQ250" s="159">
        <f>IF(AO250=0,"0.0 ",ROUND((AI250/AO250)*100,1))</f>
        <v>13.9</v>
      </c>
      <c r="AS250" s="110"/>
      <c r="AT250" s="163"/>
      <c r="AW250" s="172">
        <v>853</v>
      </c>
    </row>
    <row r="251" spans="3:49" x14ac:dyDescent="0.3">
      <c r="C251" s="99"/>
      <c r="F251" s="172"/>
      <c r="H251" s="172"/>
      <c r="I251" s="172"/>
      <c r="J251" s="181"/>
      <c r="K251" s="181"/>
      <c r="L251" s="110"/>
      <c r="M251" s="110"/>
      <c r="N251" s="141"/>
      <c r="O251" s="141"/>
      <c r="R251" s="110"/>
      <c r="T251" s="282">
        <v>55</v>
      </c>
      <c r="V251" s="295" t="str">
        <f>C97</f>
        <v xml:space="preserve"> 14,000 LUMEN GRANVILLE</v>
      </c>
      <c r="W251" s="296"/>
      <c r="Y251" s="147">
        <f>F97</f>
        <v>0</v>
      </c>
      <c r="Z251" s="1"/>
      <c r="AA251" s="147">
        <f>H97</f>
        <v>0</v>
      </c>
      <c r="AB251" s="147"/>
      <c r="AC251" s="228">
        <v>21.39</v>
      </c>
      <c r="AD251" s="242"/>
      <c r="AE251" s="106">
        <f>ROUND((Y251*AC251),0)</f>
        <v>0</v>
      </c>
      <c r="AF251" s="106"/>
      <c r="AG251" s="154">
        <f>ROUND((AE251/AE$293)*100,1)</f>
        <v>0</v>
      </c>
      <c r="AH251" s="175"/>
      <c r="AI251" s="106">
        <f>L97-AE251</f>
        <v>0</v>
      </c>
      <c r="AJ251" s="106"/>
      <c r="AK251" s="159" t="str">
        <f>IF(AE251=0,"0.0 ",ROUND((AI251/AE251)*100,1))</f>
        <v xml:space="preserve">0.0 </v>
      </c>
      <c r="AL251" s="138"/>
      <c r="AM251" s="106">
        <f>ROUND(CUR_FAC*AA251,0)</f>
        <v>0</v>
      </c>
      <c r="AN251" s="106"/>
      <c r="AO251" s="106">
        <f>AE251+AM251</f>
        <v>0</v>
      </c>
      <c r="AP251" s="106"/>
      <c r="AQ251" s="159" t="str">
        <f>IF(AO251=0,"0.0 ",ROUND((AI251/AO251)*100,1))</f>
        <v xml:space="preserve">0.0 </v>
      </c>
      <c r="AS251" s="110"/>
      <c r="AT251" s="163"/>
      <c r="AW251" s="172">
        <v>874</v>
      </c>
    </row>
    <row r="252" spans="3:49" x14ac:dyDescent="0.3">
      <c r="C252" s="99"/>
      <c r="F252" s="172"/>
      <c r="H252" s="172"/>
      <c r="I252" s="172"/>
      <c r="J252" s="181"/>
      <c r="K252" s="181"/>
      <c r="L252" s="110"/>
      <c r="M252" s="110"/>
      <c r="N252" s="141"/>
      <c r="O252" s="141"/>
      <c r="R252" s="110"/>
      <c r="T252" s="282">
        <v>56</v>
      </c>
      <c r="V252" s="295" t="str">
        <f>C98</f>
        <v xml:space="preserve"> 14,000 LUMEN GAS REPLICA</v>
      </c>
      <c r="W252" s="296"/>
      <c r="Y252" s="147">
        <f>F98</f>
        <v>0</v>
      </c>
      <c r="Z252" s="1"/>
      <c r="AA252" s="147">
        <f>H98</f>
        <v>0</v>
      </c>
      <c r="AB252" s="147"/>
      <c r="AC252" s="228">
        <v>33.42</v>
      </c>
      <c r="AD252" s="242"/>
      <c r="AE252" s="106">
        <f>ROUND((Y252*AC252),0)</f>
        <v>0</v>
      </c>
      <c r="AF252" s="106"/>
      <c r="AG252" s="154">
        <f>ROUND((AE252/AE$293)*100,1)</f>
        <v>0</v>
      </c>
      <c r="AH252" s="175"/>
      <c r="AI252" s="106">
        <f>L98-AE252</f>
        <v>0</v>
      </c>
      <c r="AJ252" s="106"/>
      <c r="AK252" s="159" t="str">
        <f>IF(AE252=0,"0.0 ",ROUND((AI252/AE252)*100,1))</f>
        <v xml:space="preserve">0.0 </v>
      </c>
      <c r="AL252" s="138"/>
      <c r="AM252" s="106">
        <f>ROUND(CUR_FAC*AA252,0)</f>
        <v>0</v>
      </c>
      <c r="AN252" s="106"/>
      <c r="AO252" s="106">
        <f>AE252+AM252</f>
        <v>0</v>
      </c>
      <c r="AP252" s="106"/>
      <c r="AQ252" s="159" t="str">
        <f>IF(AO252=0,"0.0 ",ROUND((AI252/AO252)*100,1))</f>
        <v xml:space="preserve">0.0 </v>
      </c>
      <c r="AS252" s="110"/>
      <c r="AT252" s="163"/>
      <c r="AW252" s="172">
        <v>874</v>
      </c>
    </row>
    <row r="253" spans="3:49" x14ac:dyDescent="0.3">
      <c r="F253" s="192"/>
      <c r="H253" s="110"/>
      <c r="I253" s="110"/>
      <c r="J253" s="217"/>
      <c r="K253" s="217"/>
      <c r="L253" s="192"/>
      <c r="M253" s="192"/>
      <c r="N253" s="192"/>
      <c r="O253" s="192"/>
      <c r="P253" s="192"/>
      <c r="Q253" s="192"/>
      <c r="R253" s="192"/>
      <c r="T253" s="282">
        <v>57</v>
      </c>
      <c r="V253" s="295" t="str">
        <f>C99</f>
        <v xml:space="preserve"> 14,500 LUMEN GAS REPLICA </v>
      </c>
      <c r="W253" s="296"/>
      <c r="Y253" s="147">
        <f>F99</f>
        <v>298</v>
      </c>
      <c r="Z253" s="1"/>
      <c r="AA253" s="147">
        <f>H99</f>
        <v>21382</v>
      </c>
      <c r="AB253" s="147"/>
      <c r="AC253" s="228">
        <v>33.409999999999997</v>
      </c>
      <c r="AD253" s="242"/>
      <c r="AE253" s="106">
        <f>ROUND((Y253*AC253),0)</f>
        <v>9956</v>
      </c>
      <c r="AF253" s="106"/>
      <c r="AG253" s="154">
        <f>ROUND((AE253/AE$293)*100,1)</f>
        <v>0.7</v>
      </c>
      <c r="AH253" s="175"/>
      <c r="AI253" s="106">
        <f>L99-AE253</f>
        <v>1419</v>
      </c>
      <c r="AJ253" s="106"/>
      <c r="AK253" s="159">
        <f>IF(AE253=0,"0.0 ",ROUND((AI253/AE253)*100,1))</f>
        <v>14.3</v>
      </c>
      <c r="AL253" s="138"/>
      <c r="AM253" s="106">
        <f>ROUND(CUR_FAC*AA253,0)</f>
        <v>75</v>
      </c>
      <c r="AN253" s="106"/>
      <c r="AO253" s="106">
        <f>AE253+AM253</f>
        <v>10031</v>
      </c>
      <c r="AP253" s="106"/>
      <c r="AQ253" s="159">
        <f>IF(AO253=0,"0.0 ",ROUND((AI253/AO253)*100,1))</f>
        <v>14.1</v>
      </c>
      <c r="AS253" s="110"/>
      <c r="AT253" s="163"/>
      <c r="AW253" s="172">
        <v>861</v>
      </c>
    </row>
    <row r="254" spans="3:49" x14ac:dyDescent="0.3">
      <c r="C254" s="99"/>
      <c r="F254" s="110"/>
      <c r="H254" s="110"/>
      <c r="I254" s="110"/>
      <c r="J254" s="217"/>
      <c r="K254" s="217"/>
      <c r="L254" s="110"/>
      <c r="M254" s="110"/>
      <c r="N254" s="141"/>
      <c r="O254" s="141"/>
      <c r="P254" s="110"/>
      <c r="Q254" s="110"/>
      <c r="R254" s="110"/>
      <c r="T254" s="282">
        <v>58</v>
      </c>
      <c r="V254" s="169" t="s">
        <v>203</v>
      </c>
      <c r="Y254" s="147"/>
      <c r="Z254" s="1"/>
      <c r="AA254" s="147"/>
      <c r="AB254" s="1"/>
      <c r="AC254" s="3"/>
      <c r="AD254" s="242"/>
      <c r="AE254" s="106"/>
      <c r="AF254" s="106"/>
      <c r="AG254" s="154"/>
      <c r="AH254" s="175"/>
      <c r="AI254" s="106"/>
      <c r="AJ254" s="106"/>
      <c r="AK254" s="159"/>
      <c r="AL254" s="138"/>
      <c r="AM254" s="106"/>
      <c r="AN254" s="106"/>
      <c r="AO254" s="106"/>
      <c r="AP254" s="106"/>
      <c r="AQ254" s="159"/>
      <c r="AS254" s="110"/>
      <c r="AW254" s="1"/>
    </row>
    <row r="255" spans="3:49" x14ac:dyDescent="0.3">
      <c r="F255" s="192"/>
      <c r="H255" s="110"/>
      <c r="I255" s="110"/>
      <c r="J255" s="217"/>
      <c r="K255" s="217"/>
      <c r="L255" s="192"/>
      <c r="M255" s="192"/>
      <c r="N255" s="192"/>
      <c r="O255" s="192"/>
      <c r="P255" s="192"/>
      <c r="Q255" s="192"/>
      <c r="R255" s="192"/>
      <c r="T255" s="282">
        <v>59</v>
      </c>
      <c r="V255" s="295" t="str">
        <f t="shared" ref="V255:V264" si="45">C101</f>
        <v xml:space="preserve">  9,500 LUMEN TOWN &amp; COUNTRY</v>
      </c>
      <c r="Y255" s="147">
        <f t="shared" ref="Y255:Y264" si="46">F101</f>
        <v>1598</v>
      </c>
      <c r="Z255" s="1"/>
      <c r="AA255" s="147">
        <f t="shared" ref="AA255:AA264" si="47">H101</f>
        <v>64852</v>
      </c>
      <c r="AB255" s="1"/>
      <c r="AC255" s="163">
        <v>16.97</v>
      </c>
      <c r="AD255" s="1"/>
      <c r="AE255" s="106">
        <f>ROUND((Y255*AC255),0)</f>
        <v>27118</v>
      </c>
      <c r="AF255" s="106"/>
      <c r="AG255" s="154">
        <f t="shared" ref="AG255:AG265" si="48">ROUND((AE255/AE$293)*100,1)</f>
        <v>1.9</v>
      </c>
      <c r="AH255" s="175"/>
      <c r="AI255" s="106">
        <f t="shared" ref="AI255:AI264" si="49">L101-AE255</f>
        <v>3867</v>
      </c>
      <c r="AJ255" s="106"/>
      <c r="AK255" s="159">
        <f t="shared" ref="AK255:AK265" si="50">IF(AE255=0,"0.0 ",ROUND((AI255/AE255)*100,1))</f>
        <v>14.3</v>
      </c>
      <c r="AL255" s="138"/>
      <c r="AM255" s="106">
        <f t="shared" ref="AM255:AM264" si="51">ROUND(CUR_FAC*AA255,0)</f>
        <v>226</v>
      </c>
      <c r="AN255" s="106"/>
      <c r="AO255" s="106">
        <f>AE255+AM255</f>
        <v>27344</v>
      </c>
      <c r="AP255" s="106"/>
      <c r="AQ255" s="159">
        <f t="shared" ref="AQ255:AQ265" si="52">IF(AO255=0,"0.0 ",ROUND((AI255/AO255)*100,1))</f>
        <v>14.1</v>
      </c>
      <c r="AS255" s="110"/>
      <c r="AT255" s="163"/>
      <c r="AW255" s="172">
        <v>487</v>
      </c>
    </row>
    <row r="256" spans="3:49" x14ac:dyDescent="0.3">
      <c r="F256" s="110"/>
      <c r="H256" s="110"/>
      <c r="I256" s="110"/>
      <c r="J256" s="217"/>
      <c r="K256" s="217"/>
      <c r="L256" s="110"/>
      <c r="M256" s="110"/>
      <c r="N256" s="141"/>
      <c r="O256" s="141"/>
      <c r="P256" s="110"/>
      <c r="Q256" s="110"/>
      <c r="R256" s="110"/>
      <c r="T256" s="282">
        <v>60</v>
      </c>
      <c r="V256" s="295" t="str">
        <f t="shared" si="45"/>
        <v xml:space="preserve">  9,500 LUMEN HOLOPHANE</v>
      </c>
      <c r="Y256" s="147">
        <f t="shared" si="46"/>
        <v>868</v>
      </c>
      <c r="Z256" s="1"/>
      <c r="AA256" s="147">
        <f t="shared" si="47"/>
        <v>38481</v>
      </c>
      <c r="AB256" s="1"/>
      <c r="AC256" s="163">
        <v>18.39</v>
      </c>
      <c r="AD256" s="180"/>
      <c r="AE256" s="106">
        <f>ROUND((Y256*AC256),0)</f>
        <v>15963</v>
      </c>
      <c r="AF256" s="106"/>
      <c r="AG256" s="154">
        <f t="shared" si="48"/>
        <v>1.1000000000000001</v>
      </c>
      <c r="AH256" s="175"/>
      <c r="AI256" s="106">
        <f t="shared" si="49"/>
        <v>2274</v>
      </c>
      <c r="AJ256" s="106"/>
      <c r="AK256" s="159">
        <f t="shared" si="50"/>
        <v>14.2</v>
      </c>
      <c r="AL256" s="138"/>
      <c r="AM256" s="106">
        <f t="shared" si="51"/>
        <v>134</v>
      </c>
      <c r="AN256" s="106"/>
      <c r="AO256" s="106">
        <f>AE256+AM256</f>
        <v>16097</v>
      </c>
      <c r="AP256" s="106"/>
      <c r="AQ256" s="159">
        <f t="shared" si="52"/>
        <v>14.1</v>
      </c>
      <c r="AS256" s="110"/>
      <c r="AT256" s="163"/>
      <c r="AW256" s="172">
        <v>532</v>
      </c>
    </row>
    <row r="257" spans="3:49" x14ac:dyDescent="0.3">
      <c r="C257" s="99"/>
      <c r="F257" s="172"/>
      <c r="H257" s="172"/>
      <c r="I257" s="172"/>
      <c r="J257" s="181"/>
      <c r="K257" s="181"/>
      <c r="L257" s="110"/>
      <c r="M257" s="110"/>
      <c r="N257" s="141"/>
      <c r="O257" s="141"/>
      <c r="P257" s="110"/>
      <c r="Q257" s="110"/>
      <c r="R257" s="110"/>
      <c r="T257" s="282">
        <v>61</v>
      </c>
      <c r="V257" s="295" t="str">
        <f t="shared" si="45"/>
        <v xml:space="preserve">  9,500 LUMEN RECTILINEAR</v>
      </c>
      <c r="Y257" s="147">
        <f t="shared" si="46"/>
        <v>0</v>
      </c>
      <c r="Z257" s="1"/>
      <c r="AA257" s="147">
        <f t="shared" si="47"/>
        <v>0</v>
      </c>
      <c r="AB257" s="1"/>
      <c r="AC257" s="163">
        <v>13.96</v>
      </c>
      <c r="AD257" s="180"/>
      <c r="AE257" s="106">
        <f>ROUND((Y257*AC257),0)</f>
        <v>0</v>
      </c>
      <c r="AF257" s="106"/>
      <c r="AG257" s="154">
        <f t="shared" si="48"/>
        <v>0</v>
      </c>
      <c r="AH257" s="175"/>
      <c r="AI257" s="106">
        <f t="shared" si="49"/>
        <v>0</v>
      </c>
      <c r="AJ257" s="106"/>
      <c r="AK257" s="159" t="str">
        <f t="shared" si="50"/>
        <v xml:space="preserve">0.0 </v>
      </c>
      <c r="AL257" s="138"/>
      <c r="AM257" s="106">
        <f t="shared" si="51"/>
        <v>0</v>
      </c>
      <c r="AN257" s="106"/>
      <c r="AO257" s="106">
        <f>AE257+AM257</f>
        <v>0</v>
      </c>
      <c r="AP257" s="106"/>
      <c r="AQ257" s="159" t="str">
        <f t="shared" si="52"/>
        <v xml:space="preserve">0.0 </v>
      </c>
      <c r="AS257" s="110"/>
      <c r="AT257" s="163"/>
      <c r="AW257" s="172">
        <v>487</v>
      </c>
    </row>
    <row r="258" spans="3:49" x14ac:dyDescent="0.3">
      <c r="C258" s="99"/>
      <c r="F258" s="172"/>
      <c r="H258" s="172"/>
      <c r="I258" s="172"/>
      <c r="J258" s="181"/>
      <c r="K258" s="181"/>
      <c r="L258" s="110"/>
      <c r="M258" s="110"/>
      <c r="N258" s="141"/>
      <c r="O258" s="141"/>
      <c r="P258" s="110"/>
      <c r="Q258" s="110"/>
      <c r="R258" s="110"/>
      <c r="T258" s="282">
        <v>62</v>
      </c>
      <c r="V258" s="295" t="str">
        <f t="shared" si="45"/>
        <v xml:space="preserve">  9,500 LUMEN GAS REPLICA</v>
      </c>
      <c r="Y258" s="147">
        <f t="shared" si="46"/>
        <v>252</v>
      </c>
      <c r="Z258" s="1"/>
      <c r="AA258" s="147">
        <f t="shared" si="47"/>
        <v>11172</v>
      </c>
      <c r="AB258" s="1"/>
      <c r="AC258" s="163">
        <v>35.229999999999997</v>
      </c>
      <c r="AD258" s="180"/>
      <c r="AE258" s="106">
        <f>ROUND((Y258*AC258),0)</f>
        <v>8878</v>
      </c>
      <c r="AF258" s="106"/>
      <c r="AG258" s="154">
        <f t="shared" si="48"/>
        <v>0.6</v>
      </c>
      <c r="AH258" s="175"/>
      <c r="AI258" s="106">
        <f t="shared" si="49"/>
        <v>1265</v>
      </c>
      <c r="AJ258" s="106"/>
      <c r="AK258" s="159">
        <f t="shared" si="50"/>
        <v>14.2</v>
      </c>
      <c r="AL258" s="138"/>
      <c r="AM258" s="106">
        <f t="shared" si="51"/>
        <v>39</v>
      </c>
      <c r="AN258" s="106"/>
      <c r="AO258" s="106">
        <f>AE258+AM258</f>
        <v>8917</v>
      </c>
      <c r="AP258" s="106"/>
      <c r="AQ258" s="159">
        <f t="shared" si="52"/>
        <v>14.2</v>
      </c>
      <c r="AS258" s="110"/>
      <c r="AT258" s="163"/>
      <c r="AW258" s="172">
        <v>532</v>
      </c>
    </row>
    <row r="259" spans="3:49" x14ac:dyDescent="0.3">
      <c r="C259" s="99"/>
      <c r="F259" s="172"/>
      <c r="H259" s="172"/>
      <c r="I259" s="172"/>
      <c r="J259" s="181"/>
      <c r="K259" s="181"/>
      <c r="L259" s="110"/>
      <c r="M259" s="110"/>
      <c r="N259" s="141"/>
      <c r="O259" s="141"/>
      <c r="P259" s="110"/>
      <c r="Q259" s="110"/>
      <c r="R259" s="110"/>
      <c r="T259" s="282">
        <v>63</v>
      </c>
      <c r="V259" s="295" t="str">
        <f t="shared" si="45"/>
        <v xml:space="preserve">  9,500 LUMEN ASPEN</v>
      </c>
      <c r="Y259" s="147">
        <f t="shared" si="46"/>
        <v>696</v>
      </c>
      <c r="Z259" s="1"/>
      <c r="AA259" s="147">
        <f t="shared" si="47"/>
        <v>30856</v>
      </c>
      <c r="AB259" s="147"/>
      <c r="AC259" s="163">
        <v>21.34</v>
      </c>
      <c r="AD259" s="1"/>
      <c r="AE259" s="106">
        <f t="shared" ref="AE259:AE264" si="53">ROUND((Y259*AC259),0)</f>
        <v>14853</v>
      </c>
      <c r="AF259" s="106"/>
      <c r="AG259" s="154">
        <f t="shared" si="48"/>
        <v>1</v>
      </c>
      <c r="AH259" s="175"/>
      <c r="AI259" s="106">
        <f t="shared" si="49"/>
        <v>2115</v>
      </c>
      <c r="AJ259" s="106"/>
      <c r="AK259" s="159">
        <f t="shared" si="50"/>
        <v>14.2</v>
      </c>
      <c r="AL259" s="138"/>
      <c r="AM259" s="106">
        <f t="shared" si="51"/>
        <v>108</v>
      </c>
      <c r="AN259" s="147"/>
      <c r="AO259" s="106">
        <f t="shared" ref="AO259:AO264" si="54">AE259+AM259</f>
        <v>14961</v>
      </c>
      <c r="AP259" s="106"/>
      <c r="AQ259" s="159">
        <f t="shared" si="52"/>
        <v>14.1</v>
      </c>
      <c r="AS259" s="110"/>
      <c r="AT259" s="163"/>
      <c r="AW259" s="172">
        <v>532</v>
      </c>
    </row>
    <row r="260" spans="3:49" x14ac:dyDescent="0.3">
      <c r="C260" s="99"/>
      <c r="F260" s="172"/>
      <c r="H260" s="172"/>
      <c r="I260" s="172"/>
      <c r="J260" s="181"/>
      <c r="K260" s="181"/>
      <c r="L260" s="110"/>
      <c r="M260" s="110"/>
      <c r="N260" s="141"/>
      <c r="O260" s="141"/>
      <c r="P260" s="110"/>
      <c r="Q260" s="110"/>
      <c r="R260" s="110"/>
      <c r="T260" s="282">
        <v>64</v>
      </c>
      <c r="V260" s="295" t="str">
        <f t="shared" si="45"/>
        <v xml:space="preserve">  9,500 LUMEN TRADITIONAIRE</v>
      </c>
      <c r="Y260" s="147">
        <f t="shared" si="46"/>
        <v>622</v>
      </c>
      <c r="Z260" s="1"/>
      <c r="AA260" s="147">
        <f t="shared" si="47"/>
        <v>25243</v>
      </c>
      <c r="AB260" s="147"/>
      <c r="AC260" s="163">
        <v>16.97</v>
      </c>
      <c r="AD260" s="1"/>
      <c r="AE260" s="106">
        <f t="shared" si="53"/>
        <v>10555</v>
      </c>
      <c r="AF260" s="1"/>
      <c r="AG260" s="154">
        <f t="shared" si="48"/>
        <v>0.7</v>
      </c>
      <c r="AH260" s="1"/>
      <c r="AI260" s="106">
        <f t="shared" si="49"/>
        <v>1506</v>
      </c>
      <c r="AJ260" s="1"/>
      <c r="AK260" s="159">
        <f t="shared" si="50"/>
        <v>14.3</v>
      </c>
      <c r="AL260" s="1"/>
      <c r="AM260" s="106">
        <f t="shared" si="51"/>
        <v>88</v>
      </c>
      <c r="AN260" s="1"/>
      <c r="AO260" s="106">
        <f t="shared" si="54"/>
        <v>10643</v>
      </c>
      <c r="AP260" s="1"/>
      <c r="AQ260" s="159">
        <f t="shared" si="52"/>
        <v>14.2</v>
      </c>
      <c r="AS260" s="110"/>
      <c r="AT260" s="163"/>
      <c r="AW260" s="172">
        <v>487</v>
      </c>
    </row>
    <row r="261" spans="3:49" x14ac:dyDescent="0.3">
      <c r="C261" s="99"/>
      <c r="F261" s="172"/>
      <c r="H261" s="172"/>
      <c r="I261" s="172"/>
      <c r="J261" s="181"/>
      <c r="K261" s="181"/>
      <c r="L261" s="110"/>
      <c r="M261" s="110"/>
      <c r="N261" s="141"/>
      <c r="O261" s="141"/>
      <c r="P261" s="110"/>
      <c r="Q261" s="110"/>
      <c r="R261" s="110"/>
      <c r="T261" s="282">
        <v>65</v>
      </c>
      <c r="V261" s="295" t="str">
        <f t="shared" si="45"/>
        <v xml:space="preserve">  9,500 LUMEN GRANVILLE </v>
      </c>
      <c r="Y261" s="147">
        <f t="shared" si="46"/>
        <v>0</v>
      </c>
      <c r="Z261" s="1"/>
      <c r="AA261" s="147">
        <f t="shared" si="47"/>
        <v>0</v>
      </c>
      <c r="AB261" s="1"/>
      <c r="AC261" s="163">
        <v>21.34</v>
      </c>
      <c r="AD261" s="180"/>
      <c r="AE261" s="106">
        <f t="shared" si="53"/>
        <v>0</v>
      </c>
      <c r="AF261" s="106"/>
      <c r="AG261" s="154">
        <f t="shared" si="48"/>
        <v>0</v>
      </c>
      <c r="AH261" s="175"/>
      <c r="AI261" s="106">
        <f t="shared" si="49"/>
        <v>0</v>
      </c>
      <c r="AJ261" s="106"/>
      <c r="AK261" s="159" t="str">
        <f t="shared" si="50"/>
        <v xml:space="preserve">0.0 </v>
      </c>
      <c r="AL261" s="138"/>
      <c r="AM261" s="106">
        <f t="shared" si="51"/>
        <v>0</v>
      </c>
      <c r="AN261" s="106"/>
      <c r="AO261" s="106">
        <f t="shared" si="54"/>
        <v>0</v>
      </c>
      <c r="AP261" s="106"/>
      <c r="AQ261" s="159" t="str">
        <f t="shared" si="52"/>
        <v xml:space="preserve">0.0 </v>
      </c>
      <c r="AS261" s="110"/>
      <c r="AT261" s="163"/>
      <c r="AW261" s="172">
        <v>532</v>
      </c>
    </row>
    <row r="262" spans="3:49" x14ac:dyDescent="0.3">
      <c r="C262" s="99"/>
      <c r="F262" s="172"/>
      <c r="H262" s="172"/>
      <c r="I262" s="172"/>
      <c r="J262" s="181"/>
      <c r="K262" s="181"/>
      <c r="L262" s="110"/>
      <c r="M262" s="110"/>
      <c r="N262" s="141"/>
      <c r="O262" s="141"/>
      <c r="P262" s="110"/>
      <c r="Q262" s="110"/>
      <c r="R262" s="110"/>
      <c r="T262" s="282">
        <v>66</v>
      </c>
      <c r="V262" s="295" t="str">
        <f t="shared" si="45"/>
        <v xml:space="preserve">  22,000 LUMEN RECTILINEAR</v>
      </c>
      <c r="Y262" s="147">
        <f t="shared" si="46"/>
        <v>168</v>
      </c>
      <c r="Z262" s="1"/>
      <c r="AA262" s="147">
        <f t="shared" si="47"/>
        <v>14322</v>
      </c>
      <c r="AB262" s="147"/>
      <c r="AC262" s="228">
        <v>19.32</v>
      </c>
      <c r="AD262" s="1"/>
      <c r="AE262" s="106">
        <f t="shared" si="53"/>
        <v>3246</v>
      </c>
      <c r="AF262" s="1"/>
      <c r="AG262" s="154">
        <f t="shared" si="48"/>
        <v>0.2</v>
      </c>
      <c r="AH262" s="1"/>
      <c r="AI262" s="106">
        <f t="shared" si="49"/>
        <v>463</v>
      </c>
      <c r="AJ262" s="1"/>
      <c r="AK262" s="159">
        <f t="shared" si="50"/>
        <v>14.3</v>
      </c>
      <c r="AL262" s="1"/>
      <c r="AM262" s="106">
        <f t="shared" si="51"/>
        <v>50</v>
      </c>
      <c r="AN262" s="1"/>
      <c r="AO262" s="106">
        <f t="shared" si="54"/>
        <v>3296</v>
      </c>
      <c r="AP262" s="1"/>
      <c r="AQ262" s="159">
        <f t="shared" si="52"/>
        <v>14</v>
      </c>
      <c r="AS262" s="110"/>
      <c r="AT262" s="163"/>
      <c r="AW262" s="172">
        <v>1023</v>
      </c>
    </row>
    <row r="263" spans="3:49" x14ac:dyDescent="0.3">
      <c r="C263" s="99"/>
      <c r="F263" s="172"/>
      <c r="H263" s="172"/>
      <c r="I263" s="172"/>
      <c r="J263" s="181"/>
      <c r="K263" s="181"/>
      <c r="L263" s="110"/>
      <c r="M263" s="110"/>
      <c r="N263" s="141"/>
      <c r="O263" s="141"/>
      <c r="P263" s="110"/>
      <c r="Q263" s="110"/>
      <c r="R263" s="110"/>
      <c r="T263" s="282">
        <v>67</v>
      </c>
      <c r="V263" s="295" t="str">
        <f t="shared" si="45"/>
        <v xml:space="preserve">  50,000 LUMEN RECTILINEAR</v>
      </c>
      <c r="Y263" s="147">
        <f t="shared" si="46"/>
        <v>60</v>
      </c>
      <c r="Z263" s="1"/>
      <c r="AA263" s="147">
        <f t="shared" si="47"/>
        <v>9795</v>
      </c>
      <c r="AB263" s="147"/>
      <c r="AC263" s="228">
        <v>26.1</v>
      </c>
      <c r="AE263" s="106">
        <f t="shared" si="53"/>
        <v>1566</v>
      </c>
      <c r="AG263" s="154">
        <f t="shared" si="48"/>
        <v>0.1</v>
      </c>
      <c r="AI263" s="106">
        <f t="shared" si="49"/>
        <v>223</v>
      </c>
      <c r="AK263" s="159">
        <f t="shared" si="50"/>
        <v>14.2</v>
      </c>
      <c r="AL263" s="110"/>
      <c r="AM263" s="106">
        <f t="shared" si="51"/>
        <v>34</v>
      </c>
      <c r="AN263" s="207"/>
      <c r="AO263" s="106">
        <f t="shared" si="54"/>
        <v>1600</v>
      </c>
      <c r="AP263" s="110"/>
      <c r="AQ263" s="159">
        <f t="shared" si="52"/>
        <v>13.9</v>
      </c>
      <c r="AS263" s="110"/>
      <c r="AT263" s="163"/>
      <c r="AW263" s="172">
        <v>1959</v>
      </c>
    </row>
    <row r="264" spans="3:49" x14ac:dyDescent="0.3">
      <c r="C264" s="99"/>
      <c r="F264" s="172"/>
      <c r="H264" s="172"/>
      <c r="I264" s="172"/>
      <c r="J264" s="181"/>
      <c r="K264" s="181"/>
      <c r="L264" s="110"/>
      <c r="M264" s="110"/>
      <c r="N264" s="141"/>
      <c r="O264" s="141"/>
      <c r="P264" s="110"/>
      <c r="Q264" s="110"/>
      <c r="R264" s="110"/>
      <c r="T264" s="282">
        <v>68</v>
      </c>
      <c r="U264" s="297"/>
      <c r="V264" s="295" t="str">
        <f t="shared" si="45"/>
        <v xml:space="preserve">  50,000 LUMEN SETBACK</v>
      </c>
      <c r="Y264" s="147">
        <f t="shared" si="46"/>
        <v>12</v>
      </c>
      <c r="Z264" s="1"/>
      <c r="AA264" s="147">
        <f t="shared" si="47"/>
        <v>1959</v>
      </c>
      <c r="AC264" s="228">
        <v>37.799999999999997</v>
      </c>
      <c r="AE264" s="117">
        <f t="shared" si="53"/>
        <v>454</v>
      </c>
      <c r="AG264" s="156">
        <f t="shared" si="48"/>
        <v>0</v>
      </c>
      <c r="AI264" s="117">
        <f t="shared" si="49"/>
        <v>64</v>
      </c>
      <c r="AK264" s="200">
        <f t="shared" si="50"/>
        <v>14.1</v>
      </c>
      <c r="AL264" s="110"/>
      <c r="AM264" s="117">
        <f t="shared" si="51"/>
        <v>7</v>
      </c>
      <c r="AN264" s="207"/>
      <c r="AO264" s="117">
        <f t="shared" si="54"/>
        <v>461</v>
      </c>
      <c r="AP264" s="110"/>
      <c r="AQ264" s="200">
        <f t="shared" si="52"/>
        <v>13.9</v>
      </c>
      <c r="AR264" s="110"/>
      <c r="AS264" s="110"/>
      <c r="AT264" s="163"/>
      <c r="AW264" s="172">
        <v>1959</v>
      </c>
    </row>
    <row r="265" spans="3:49" x14ac:dyDescent="0.3">
      <c r="C265" s="99"/>
      <c r="F265" s="172"/>
      <c r="H265" s="172"/>
      <c r="I265" s="172"/>
      <c r="J265" s="181"/>
      <c r="K265" s="181"/>
      <c r="L265" s="110"/>
      <c r="M265" s="110"/>
      <c r="N265" s="141"/>
      <c r="O265" s="141"/>
      <c r="P265" s="110"/>
      <c r="Q265" s="110"/>
      <c r="R265" s="110"/>
      <c r="T265" s="282">
        <v>69</v>
      </c>
      <c r="V265" s="169" t="s">
        <v>266</v>
      </c>
      <c r="Y265" s="112">
        <f>SUM(Y200:Y264)</f>
        <v>9654</v>
      </c>
      <c r="Z265" s="1"/>
      <c r="AA265" s="112">
        <f>SUM(AA200:AA264)</f>
        <v>607503</v>
      </c>
      <c r="AB265" s="106"/>
      <c r="AE265" s="117">
        <f>SUM(AE200:AE264)</f>
        <v>161657</v>
      </c>
      <c r="AG265" s="156">
        <f t="shared" si="48"/>
        <v>11.4</v>
      </c>
      <c r="AI265" s="117">
        <f>SUM(AI200:AI264)</f>
        <v>23052</v>
      </c>
      <c r="AK265" s="200">
        <f t="shared" si="50"/>
        <v>14.3</v>
      </c>
      <c r="AL265" s="110"/>
      <c r="AM265" s="117">
        <f>SUM(AM200:AM264)</f>
        <v>2121</v>
      </c>
      <c r="AN265" s="207"/>
      <c r="AO265" s="117">
        <f>SUM(AO200:AO264)</f>
        <v>163778</v>
      </c>
      <c r="AP265" s="110"/>
      <c r="AQ265" s="201">
        <f t="shared" si="52"/>
        <v>14.1</v>
      </c>
    </row>
    <row r="266" spans="3:49" x14ac:dyDescent="0.3">
      <c r="C266" s="99"/>
      <c r="F266" s="172"/>
      <c r="H266" s="172"/>
      <c r="I266" s="172"/>
      <c r="J266" s="181"/>
      <c r="K266" s="181"/>
      <c r="L266" s="110"/>
      <c r="M266" s="110"/>
      <c r="N266" s="141"/>
      <c r="O266" s="141"/>
      <c r="P266" s="110"/>
      <c r="Q266" s="110"/>
      <c r="R266" s="110"/>
      <c r="T266" s="282">
        <v>70</v>
      </c>
      <c r="U266" s="298"/>
      <c r="V266" s="295"/>
      <c r="Y266" s="147"/>
      <c r="Z266" s="1"/>
      <c r="AA266" s="147"/>
      <c r="AB266" s="1"/>
      <c r="AC266" s="163"/>
      <c r="AD266" s="180"/>
      <c r="AE266" s="106"/>
      <c r="AF266" s="106"/>
      <c r="AG266" s="154"/>
      <c r="AH266" s="175"/>
      <c r="AI266" s="106"/>
      <c r="AJ266" s="106"/>
      <c r="AK266" s="159"/>
      <c r="AL266" s="138"/>
      <c r="AM266" s="106"/>
      <c r="AN266" s="106"/>
      <c r="AO266" s="106"/>
      <c r="AP266" s="106"/>
      <c r="AQ266" s="159"/>
      <c r="AS266" s="110"/>
      <c r="AT266" s="163"/>
      <c r="AW266" s="172"/>
    </row>
    <row r="267" spans="3:49" x14ac:dyDescent="0.3">
      <c r="C267" s="99"/>
      <c r="F267" s="172"/>
      <c r="H267" s="172"/>
      <c r="I267" s="172"/>
      <c r="J267" s="181"/>
      <c r="K267" s="181"/>
      <c r="L267" s="110"/>
      <c r="M267" s="110"/>
      <c r="N267" s="141"/>
      <c r="O267" s="141"/>
      <c r="P267" s="110"/>
      <c r="Q267" s="110"/>
      <c r="R267" s="110"/>
      <c r="T267" s="282">
        <v>71</v>
      </c>
      <c r="U267" s="298"/>
      <c r="V267" s="169" t="s">
        <v>797</v>
      </c>
      <c r="Y267" s="106"/>
      <c r="Z267" s="1"/>
      <c r="AA267" s="106"/>
      <c r="AB267" s="106"/>
      <c r="AE267" s="106"/>
      <c r="AG267" s="154"/>
      <c r="AI267" s="106"/>
      <c r="AK267" s="159"/>
      <c r="AL267" s="110"/>
      <c r="AM267" s="106"/>
      <c r="AN267" s="207"/>
      <c r="AO267" s="106"/>
      <c r="AP267" s="110"/>
      <c r="AQ267" s="159"/>
      <c r="AS267" s="110"/>
      <c r="AT267" s="163"/>
      <c r="AW267" s="172"/>
    </row>
    <row r="268" spans="3:49" x14ac:dyDescent="0.3">
      <c r="C268" s="99"/>
      <c r="F268" s="172"/>
      <c r="H268" s="172"/>
      <c r="I268" s="172"/>
      <c r="J268" s="181"/>
      <c r="K268" s="181"/>
      <c r="L268" s="110"/>
      <c r="M268" s="110"/>
      <c r="N268" s="141"/>
      <c r="O268" s="141"/>
      <c r="P268" s="110"/>
      <c r="Q268" s="110"/>
      <c r="R268" s="110"/>
      <c r="T268" s="282">
        <v>72</v>
      </c>
      <c r="V268" s="116" t="s">
        <v>798</v>
      </c>
      <c r="Y268" s="147">
        <f t="shared" ref="Y268:Y279" si="55">F114</f>
        <v>204</v>
      </c>
      <c r="Z268" s="1"/>
      <c r="AA268" s="106"/>
      <c r="AB268" s="106"/>
      <c r="AC268" s="228">
        <v>6.25</v>
      </c>
      <c r="AE268" s="106">
        <f t="shared" ref="AE268:AE281" si="56">ROUND((Y268*AC268),0)</f>
        <v>1275</v>
      </c>
      <c r="AG268" s="154">
        <f t="shared" ref="AG268:AG282" si="57">ROUND((AE268/AE$293)*100,1)</f>
        <v>0.1</v>
      </c>
      <c r="AI268" s="106">
        <f t="shared" ref="AI268:AI281" si="58">L114-AE268</f>
        <v>182</v>
      </c>
      <c r="AK268" s="159">
        <f t="shared" ref="AK268:AK282" si="59">IF(AE268=0,"0.0 ",ROUND((AI268/AE268)*100,1))</f>
        <v>14.3</v>
      </c>
      <c r="AL268" s="110"/>
      <c r="AM268" s="106"/>
      <c r="AN268" s="207"/>
      <c r="AO268" s="106">
        <f t="shared" ref="AO268:AO279" si="60">AE268+AM268</f>
        <v>1275</v>
      </c>
      <c r="AP268" s="110"/>
      <c r="AQ268" s="159">
        <f t="shared" ref="AQ268:AQ282" si="61">IF(AO268=0,"0.0 ",ROUND((AI268/AO268)*100,1))</f>
        <v>14.3</v>
      </c>
      <c r="AS268" s="110"/>
      <c r="AT268" s="163"/>
      <c r="AW268" s="172"/>
    </row>
    <row r="269" spans="3:49" x14ac:dyDescent="0.3">
      <c r="C269" s="99"/>
      <c r="F269" s="172"/>
      <c r="H269" s="172"/>
      <c r="I269" s="172"/>
      <c r="J269" s="181"/>
      <c r="K269" s="181"/>
      <c r="L269" s="110"/>
      <c r="M269" s="110"/>
      <c r="N269" s="141"/>
      <c r="O269" s="141"/>
      <c r="P269" s="110"/>
      <c r="Q269" s="110"/>
      <c r="R269" s="110"/>
      <c r="T269" s="282">
        <v>73</v>
      </c>
      <c r="V269" s="116" t="s">
        <v>799</v>
      </c>
      <c r="Y269" s="106">
        <f t="shared" si="55"/>
        <v>212</v>
      </c>
      <c r="Z269" s="1"/>
      <c r="AA269" s="106"/>
      <c r="AB269" s="106"/>
      <c r="AC269" s="228">
        <v>6.17</v>
      </c>
      <c r="AE269" s="106">
        <f t="shared" si="56"/>
        <v>1308</v>
      </c>
      <c r="AG269" s="154">
        <f t="shared" si="57"/>
        <v>0.1</v>
      </c>
      <c r="AI269" s="106">
        <f t="shared" si="58"/>
        <v>187</v>
      </c>
      <c r="AK269" s="159">
        <f t="shared" si="59"/>
        <v>14.3</v>
      </c>
      <c r="AL269" s="110"/>
      <c r="AM269" s="106"/>
      <c r="AN269" s="207"/>
      <c r="AO269" s="106">
        <f t="shared" si="60"/>
        <v>1308</v>
      </c>
      <c r="AP269" s="110"/>
      <c r="AQ269" s="159">
        <f t="shared" si="61"/>
        <v>14.3</v>
      </c>
    </row>
    <row r="270" spans="3:49" x14ac:dyDescent="0.3">
      <c r="C270" s="99"/>
      <c r="F270" s="172"/>
      <c r="H270" s="172"/>
      <c r="I270" s="172"/>
      <c r="J270" s="181"/>
      <c r="K270" s="181"/>
      <c r="L270" s="110"/>
      <c r="M270" s="110"/>
      <c r="N270" s="141"/>
      <c r="O270" s="141"/>
      <c r="P270" s="110"/>
      <c r="Q270" s="110"/>
      <c r="R270" s="110"/>
      <c r="T270" s="282">
        <v>74</v>
      </c>
      <c r="U270" s="299"/>
      <c r="V270" s="116" t="s">
        <v>800</v>
      </c>
      <c r="Y270" s="106">
        <f t="shared" si="55"/>
        <v>1525</v>
      </c>
      <c r="Z270" s="1"/>
      <c r="AA270" s="106"/>
      <c r="AB270" s="106"/>
      <c r="AC270" s="228">
        <v>6.25</v>
      </c>
      <c r="AE270" s="106">
        <f t="shared" si="56"/>
        <v>9531</v>
      </c>
      <c r="AG270" s="154">
        <f t="shared" si="57"/>
        <v>0.7</v>
      </c>
      <c r="AI270" s="106">
        <f t="shared" si="58"/>
        <v>1358</v>
      </c>
      <c r="AK270" s="159">
        <f t="shared" si="59"/>
        <v>14.2</v>
      </c>
      <c r="AL270" s="110"/>
      <c r="AM270" s="106"/>
      <c r="AN270" s="207"/>
      <c r="AO270" s="106">
        <f t="shared" si="60"/>
        <v>9531</v>
      </c>
      <c r="AP270" s="110"/>
      <c r="AQ270" s="159">
        <f t="shared" si="61"/>
        <v>14.2</v>
      </c>
      <c r="AS270" s="110"/>
      <c r="AT270" s="163"/>
      <c r="AW270" s="172"/>
    </row>
    <row r="271" spans="3:49" x14ac:dyDescent="0.3">
      <c r="C271" s="99"/>
      <c r="F271" s="172"/>
      <c r="H271" s="172"/>
      <c r="I271" s="172"/>
      <c r="J271" s="181"/>
      <c r="K271" s="181"/>
      <c r="L271" s="110"/>
      <c r="M271" s="110"/>
      <c r="N271" s="141"/>
      <c r="O271" s="141"/>
      <c r="P271" s="110"/>
      <c r="Q271" s="110"/>
      <c r="R271" s="110"/>
      <c r="T271" s="282">
        <v>75</v>
      </c>
      <c r="V271" s="116" t="s">
        <v>801</v>
      </c>
      <c r="Y271" s="106">
        <f t="shared" si="55"/>
        <v>1611</v>
      </c>
      <c r="Z271" s="1"/>
      <c r="AA271" s="106"/>
      <c r="AB271" s="106"/>
      <c r="AC271" s="228">
        <v>7.48</v>
      </c>
      <c r="AE271" s="106">
        <f t="shared" si="56"/>
        <v>12050</v>
      </c>
      <c r="AG271" s="154">
        <f t="shared" si="57"/>
        <v>0.8</v>
      </c>
      <c r="AI271" s="106">
        <f t="shared" si="58"/>
        <v>1724</v>
      </c>
      <c r="AK271" s="159">
        <f t="shared" si="59"/>
        <v>14.3</v>
      </c>
      <c r="AL271" s="110"/>
      <c r="AM271" s="106"/>
      <c r="AN271" s="207"/>
      <c r="AO271" s="106">
        <f t="shared" si="60"/>
        <v>12050</v>
      </c>
      <c r="AP271" s="110"/>
      <c r="AQ271" s="159">
        <f t="shared" si="61"/>
        <v>14.3</v>
      </c>
    </row>
    <row r="272" spans="3:49" x14ac:dyDescent="0.3">
      <c r="F272" s="110"/>
      <c r="H272" s="192"/>
      <c r="I272" s="192"/>
      <c r="J272" s="217"/>
      <c r="K272" s="217"/>
      <c r="L272" s="192"/>
      <c r="M272" s="192"/>
      <c r="N272" s="192"/>
      <c r="O272" s="192"/>
      <c r="P272" s="192"/>
      <c r="Q272" s="192"/>
      <c r="R272" s="192"/>
      <c r="T272" s="282">
        <v>76</v>
      </c>
      <c r="V272" s="116" t="s">
        <v>802</v>
      </c>
      <c r="Y272" s="106">
        <f t="shared" si="55"/>
        <v>780</v>
      </c>
      <c r="Z272" s="1"/>
      <c r="AA272" s="106"/>
      <c r="AB272" s="106"/>
      <c r="AC272" s="228">
        <v>16.98</v>
      </c>
      <c r="AE272" s="106">
        <f t="shared" si="56"/>
        <v>13244</v>
      </c>
      <c r="AG272" s="154">
        <f t="shared" si="57"/>
        <v>0.9</v>
      </c>
      <c r="AI272" s="106">
        <f t="shared" si="58"/>
        <v>1888</v>
      </c>
      <c r="AK272" s="159">
        <f t="shared" si="59"/>
        <v>14.3</v>
      </c>
      <c r="AL272" s="110"/>
      <c r="AM272" s="106"/>
      <c r="AN272" s="207"/>
      <c r="AO272" s="106">
        <f t="shared" si="60"/>
        <v>13244</v>
      </c>
      <c r="AP272" s="110"/>
      <c r="AQ272" s="159">
        <f t="shared" si="61"/>
        <v>14.3</v>
      </c>
      <c r="AS272" s="110"/>
      <c r="AT272" s="163"/>
      <c r="AW272" s="172"/>
    </row>
    <row r="273" spans="3:49" x14ac:dyDescent="0.3">
      <c r="F273" s="110"/>
      <c r="H273" s="192"/>
      <c r="I273" s="192"/>
      <c r="J273" s="217"/>
      <c r="K273" s="217"/>
      <c r="L273" s="192"/>
      <c r="M273" s="192"/>
      <c r="N273" s="192"/>
      <c r="O273" s="192"/>
      <c r="P273" s="192"/>
      <c r="Q273" s="192"/>
      <c r="R273" s="192"/>
      <c r="T273" s="282">
        <v>77</v>
      </c>
      <c r="V273" s="116" t="s">
        <v>803</v>
      </c>
      <c r="Y273" s="106">
        <f t="shared" si="55"/>
        <v>708</v>
      </c>
      <c r="Z273" s="1"/>
      <c r="AA273" s="106"/>
      <c r="AB273" s="106"/>
      <c r="AC273" s="228">
        <v>9.84</v>
      </c>
      <c r="AE273" s="106">
        <f t="shared" si="56"/>
        <v>6967</v>
      </c>
      <c r="AG273" s="154">
        <f t="shared" si="57"/>
        <v>0.5</v>
      </c>
      <c r="AI273" s="106">
        <f t="shared" si="58"/>
        <v>991</v>
      </c>
      <c r="AK273" s="159">
        <f t="shared" si="59"/>
        <v>14.2</v>
      </c>
      <c r="AL273" s="110"/>
      <c r="AM273" s="106"/>
      <c r="AN273" s="207"/>
      <c r="AO273" s="106">
        <f t="shared" si="60"/>
        <v>6967</v>
      </c>
      <c r="AP273" s="110"/>
      <c r="AQ273" s="159">
        <f t="shared" si="61"/>
        <v>14.2</v>
      </c>
      <c r="AS273" s="110"/>
      <c r="AT273" s="163"/>
      <c r="AW273" s="172"/>
    </row>
    <row r="274" spans="3:49" x14ac:dyDescent="0.3">
      <c r="F274" s="110"/>
      <c r="H274" s="192"/>
      <c r="I274" s="192"/>
      <c r="J274" s="217"/>
      <c r="K274" s="217"/>
      <c r="L274" s="192"/>
      <c r="M274" s="192"/>
      <c r="N274" s="192"/>
      <c r="O274" s="192"/>
      <c r="P274" s="192"/>
      <c r="Q274" s="192"/>
      <c r="R274" s="192"/>
      <c r="T274" s="282">
        <v>78</v>
      </c>
      <c r="V274" s="116" t="s">
        <v>804</v>
      </c>
      <c r="Y274" s="106">
        <f t="shared" si="55"/>
        <v>168</v>
      </c>
      <c r="Z274" s="1"/>
      <c r="AA274" s="106"/>
      <c r="AB274" s="106"/>
      <c r="AC274" s="228">
        <v>9.9499999999999993</v>
      </c>
      <c r="AE274" s="106">
        <f t="shared" si="56"/>
        <v>1672</v>
      </c>
      <c r="AG274" s="154">
        <f t="shared" si="57"/>
        <v>0.1</v>
      </c>
      <c r="AI274" s="106">
        <f t="shared" si="58"/>
        <v>238</v>
      </c>
      <c r="AK274" s="159">
        <f t="shared" si="59"/>
        <v>14.2</v>
      </c>
      <c r="AL274" s="110"/>
      <c r="AM274" s="106"/>
      <c r="AN274" s="207"/>
      <c r="AO274" s="106">
        <f t="shared" si="60"/>
        <v>1672</v>
      </c>
      <c r="AP274" s="110"/>
      <c r="AQ274" s="159">
        <f t="shared" si="61"/>
        <v>14.2</v>
      </c>
    </row>
    <row r="275" spans="3:49" x14ac:dyDescent="0.3">
      <c r="F275" s="110"/>
      <c r="H275" s="192"/>
      <c r="I275" s="192"/>
      <c r="J275" s="217"/>
      <c r="K275" s="217"/>
      <c r="L275" s="192"/>
      <c r="M275" s="192"/>
      <c r="N275" s="192"/>
      <c r="O275" s="192"/>
      <c r="P275" s="192"/>
      <c r="Q275" s="192"/>
      <c r="R275" s="192"/>
      <c r="T275" s="282">
        <v>79</v>
      </c>
      <c r="U275" s="292"/>
      <c r="V275" s="116" t="s">
        <v>805</v>
      </c>
      <c r="Y275" s="106">
        <f t="shared" si="55"/>
        <v>84</v>
      </c>
      <c r="Z275" s="1"/>
      <c r="AA275" s="106"/>
      <c r="AB275" s="106"/>
      <c r="AC275" s="228">
        <v>19.66</v>
      </c>
      <c r="AE275" s="106">
        <f t="shared" si="56"/>
        <v>1651</v>
      </c>
      <c r="AG275" s="154">
        <f t="shared" si="57"/>
        <v>0.1</v>
      </c>
      <c r="AI275" s="106">
        <f t="shared" si="58"/>
        <v>236</v>
      </c>
      <c r="AK275" s="159">
        <f t="shared" si="59"/>
        <v>14.3</v>
      </c>
      <c r="AL275" s="110"/>
      <c r="AM275" s="106"/>
      <c r="AN275" s="207"/>
      <c r="AO275" s="106">
        <f t="shared" si="60"/>
        <v>1651</v>
      </c>
      <c r="AP275" s="110"/>
      <c r="AQ275" s="159">
        <f t="shared" si="61"/>
        <v>14.3</v>
      </c>
    </row>
    <row r="276" spans="3:49" x14ac:dyDescent="0.3">
      <c r="F276" s="110"/>
      <c r="H276" s="192"/>
      <c r="I276" s="192"/>
      <c r="J276" s="217"/>
      <c r="K276" s="217"/>
      <c r="L276" s="192"/>
      <c r="M276" s="192"/>
      <c r="N276" s="192"/>
      <c r="O276" s="192"/>
      <c r="P276" s="192"/>
      <c r="Q276" s="192"/>
      <c r="R276" s="192"/>
      <c r="T276" s="282">
        <v>80</v>
      </c>
      <c r="U276" s="292"/>
      <c r="V276" s="116" t="s">
        <v>806</v>
      </c>
      <c r="Y276" s="106">
        <f t="shared" si="55"/>
        <v>6003</v>
      </c>
      <c r="Z276" s="1"/>
      <c r="AA276" s="106"/>
      <c r="AB276" s="106"/>
      <c r="AC276" s="228">
        <v>6.25</v>
      </c>
      <c r="AE276" s="106">
        <f t="shared" si="56"/>
        <v>37519</v>
      </c>
      <c r="AG276" s="154">
        <f t="shared" si="57"/>
        <v>2.6</v>
      </c>
      <c r="AI276" s="106">
        <f t="shared" si="58"/>
        <v>5342</v>
      </c>
      <c r="AK276" s="159">
        <f t="shared" si="59"/>
        <v>14.2</v>
      </c>
      <c r="AL276" s="110"/>
      <c r="AM276" s="106"/>
      <c r="AN276" s="207"/>
      <c r="AO276" s="106">
        <f t="shared" si="60"/>
        <v>37519</v>
      </c>
      <c r="AP276" s="110"/>
      <c r="AQ276" s="159">
        <f t="shared" si="61"/>
        <v>14.2</v>
      </c>
    </row>
    <row r="277" spans="3:49" x14ac:dyDescent="0.3">
      <c r="C277" s="99"/>
      <c r="F277" s="110"/>
      <c r="H277" s="110"/>
      <c r="I277" s="110"/>
      <c r="J277" s="217"/>
      <c r="K277" s="217"/>
      <c r="L277" s="110"/>
      <c r="M277" s="110"/>
      <c r="N277" s="141"/>
      <c r="O277" s="141"/>
      <c r="P277" s="110"/>
      <c r="Q277" s="110"/>
      <c r="R277" s="110"/>
      <c r="T277" s="282">
        <v>81</v>
      </c>
      <c r="V277" s="116" t="s">
        <v>807</v>
      </c>
      <c r="Y277" s="106">
        <f t="shared" si="55"/>
        <v>216</v>
      </c>
      <c r="Z277" s="1"/>
      <c r="AA277" s="106"/>
      <c r="AB277" s="106"/>
      <c r="AC277" s="228">
        <v>18.260000000000002</v>
      </c>
      <c r="AE277" s="106">
        <f t="shared" si="56"/>
        <v>3944</v>
      </c>
      <c r="AG277" s="154">
        <f t="shared" si="57"/>
        <v>0.3</v>
      </c>
      <c r="AI277" s="106">
        <f t="shared" si="58"/>
        <v>562</v>
      </c>
      <c r="AK277" s="159">
        <f t="shared" si="59"/>
        <v>14.2</v>
      </c>
      <c r="AL277" s="110"/>
      <c r="AM277" s="106"/>
      <c r="AN277" s="207"/>
      <c r="AO277" s="106">
        <f t="shared" si="60"/>
        <v>3944</v>
      </c>
      <c r="AP277" s="110"/>
      <c r="AQ277" s="159">
        <f t="shared" si="61"/>
        <v>14.2</v>
      </c>
    </row>
    <row r="278" spans="3:49" x14ac:dyDescent="0.3">
      <c r="C278" s="99"/>
      <c r="F278" s="110"/>
      <c r="H278" s="110"/>
      <c r="I278" s="110"/>
      <c r="J278" s="217"/>
      <c r="K278" s="217"/>
      <c r="L278" s="110"/>
      <c r="M278" s="110"/>
      <c r="N278" s="141"/>
      <c r="O278" s="141"/>
      <c r="P278" s="110"/>
      <c r="Q278" s="110"/>
      <c r="R278" s="110"/>
      <c r="T278" s="282">
        <v>82</v>
      </c>
      <c r="V278" s="116" t="s">
        <v>808</v>
      </c>
      <c r="Y278" s="106">
        <f t="shared" si="55"/>
        <v>204</v>
      </c>
      <c r="Z278" s="1"/>
      <c r="AA278" s="106"/>
      <c r="AB278" s="106"/>
      <c r="AC278" s="228">
        <v>11.88</v>
      </c>
      <c r="AE278" s="106">
        <f t="shared" si="56"/>
        <v>2424</v>
      </c>
      <c r="AG278" s="154">
        <f t="shared" si="57"/>
        <v>0.2</v>
      </c>
      <c r="AI278" s="106">
        <f t="shared" si="58"/>
        <v>344</v>
      </c>
      <c r="AK278" s="159">
        <f t="shared" si="59"/>
        <v>14.2</v>
      </c>
      <c r="AL278" s="110"/>
      <c r="AM278" s="106"/>
      <c r="AN278" s="207"/>
      <c r="AO278" s="106">
        <f t="shared" si="60"/>
        <v>2424</v>
      </c>
      <c r="AP278" s="110"/>
      <c r="AQ278" s="159">
        <f t="shared" si="61"/>
        <v>14.2</v>
      </c>
      <c r="AS278" s="110"/>
      <c r="AW278" s="172"/>
    </row>
    <row r="279" spans="3:49" x14ac:dyDescent="0.3">
      <c r="C279" s="99"/>
      <c r="F279" s="110"/>
      <c r="H279" s="110"/>
      <c r="I279" s="110"/>
      <c r="J279" s="217"/>
      <c r="K279" s="217"/>
      <c r="L279" s="110"/>
      <c r="M279" s="110"/>
      <c r="N279" s="141"/>
      <c r="O279" s="141"/>
      <c r="P279" s="110"/>
      <c r="Q279" s="110"/>
      <c r="R279" s="110"/>
      <c r="T279" s="282">
        <v>83</v>
      </c>
      <c r="V279" s="116" t="s">
        <v>809</v>
      </c>
      <c r="Y279" s="106">
        <f t="shared" si="55"/>
        <v>27</v>
      </c>
      <c r="Z279" s="1"/>
      <c r="AA279" s="106"/>
      <c r="AB279" s="106"/>
      <c r="AC279" s="228">
        <v>12.21</v>
      </c>
      <c r="AE279" s="106">
        <f t="shared" si="56"/>
        <v>330</v>
      </c>
      <c r="AG279" s="154">
        <f t="shared" si="57"/>
        <v>0</v>
      </c>
      <c r="AI279" s="106">
        <f t="shared" si="58"/>
        <v>47</v>
      </c>
      <c r="AK279" s="159">
        <f t="shared" si="59"/>
        <v>14.2</v>
      </c>
      <c r="AL279" s="110"/>
      <c r="AM279" s="106"/>
      <c r="AN279" s="207"/>
      <c r="AO279" s="106">
        <f t="shared" si="60"/>
        <v>330</v>
      </c>
      <c r="AP279" s="110"/>
      <c r="AQ279" s="159">
        <f t="shared" si="61"/>
        <v>14.2</v>
      </c>
      <c r="AS279" s="110"/>
      <c r="AW279" s="172"/>
    </row>
    <row r="280" spans="3:49" x14ac:dyDescent="0.3">
      <c r="F280" s="110"/>
      <c r="H280" s="192"/>
      <c r="I280" s="192"/>
      <c r="J280" s="217"/>
      <c r="K280" s="217"/>
      <c r="L280" s="192"/>
      <c r="M280" s="192"/>
      <c r="N280" s="192"/>
      <c r="O280" s="192"/>
      <c r="P280" s="192"/>
      <c r="Q280" s="192"/>
      <c r="R280" s="192"/>
      <c r="T280" s="282">
        <v>84</v>
      </c>
      <c r="V280" s="116" t="s">
        <v>810</v>
      </c>
      <c r="Y280" s="106">
        <f t="shared" ref="Y280:Y281" si="62">F126</f>
        <v>0</v>
      </c>
      <c r="Z280" s="1"/>
      <c r="AA280" s="106"/>
      <c r="AB280" s="106"/>
      <c r="AC280" s="228">
        <v>16.05</v>
      </c>
      <c r="AE280" s="106">
        <f t="shared" si="56"/>
        <v>0</v>
      </c>
      <c r="AG280" s="154">
        <f t="shared" si="57"/>
        <v>0</v>
      </c>
      <c r="AI280" s="106">
        <f t="shared" si="58"/>
        <v>0</v>
      </c>
      <c r="AK280" s="159" t="str">
        <f t="shared" si="59"/>
        <v xml:space="preserve">0.0 </v>
      </c>
      <c r="AL280" s="110"/>
      <c r="AM280" s="106"/>
      <c r="AN280" s="207"/>
      <c r="AO280" s="106">
        <f>AE280+AM280</f>
        <v>0</v>
      </c>
      <c r="AP280" s="110"/>
      <c r="AQ280" s="159" t="str">
        <f t="shared" si="61"/>
        <v xml:space="preserve">0.0 </v>
      </c>
    </row>
    <row r="281" spans="3:49" x14ac:dyDescent="0.3">
      <c r="F281" s="110"/>
      <c r="H281" s="110"/>
      <c r="I281" s="110"/>
      <c r="J281" s="217"/>
      <c r="K281" s="217"/>
      <c r="L281" s="110"/>
      <c r="M281" s="110"/>
      <c r="N281" s="110"/>
      <c r="O281" s="110"/>
      <c r="P281" s="110"/>
      <c r="Q281" s="110"/>
      <c r="R281" s="110"/>
      <c r="T281" s="282">
        <v>85</v>
      </c>
      <c r="V281" s="116" t="s">
        <v>811</v>
      </c>
      <c r="Y281" s="106">
        <f t="shared" si="62"/>
        <v>0</v>
      </c>
      <c r="Z281" s="1"/>
      <c r="AA281" s="106"/>
      <c r="AB281" s="106"/>
      <c r="AC281" s="228">
        <v>23.69</v>
      </c>
      <c r="AE281" s="106">
        <f t="shared" si="56"/>
        <v>0</v>
      </c>
      <c r="AG281" s="156">
        <f t="shared" si="57"/>
        <v>0</v>
      </c>
      <c r="AI281" s="117">
        <f t="shared" si="58"/>
        <v>0</v>
      </c>
      <c r="AK281" s="200" t="str">
        <f t="shared" si="59"/>
        <v xml:space="preserve">0.0 </v>
      </c>
      <c r="AL281" s="110"/>
      <c r="AM281" s="106"/>
      <c r="AN281" s="207"/>
      <c r="AO281" s="117">
        <f>AE281+AM281</f>
        <v>0</v>
      </c>
      <c r="AP281" s="110"/>
      <c r="AQ281" s="200" t="str">
        <f t="shared" si="61"/>
        <v xml:space="preserve">0.0 </v>
      </c>
    </row>
    <row r="282" spans="3:49" x14ac:dyDescent="0.3">
      <c r="F282" s="110"/>
      <c r="H282" s="110"/>
      <c r="I282" s="110"/>
      <c r="J282" s="217"/>
      <c r="K282" s="217"/>
      <c r="L282" s="110"/>
      <c r="M282" s="110"/>
      <c r="N282" s="110"/>
      <c r="O282" s="110"/>
      <c r="P282" s="110"/>
      <c r="Q282" s="110"/>
      <c r="R282" s="110"/>
      <c r="T282" s="282">
        <v>86</v>
      </c>
      <c r="V282" s="169" t="s">
        <v>796</v>
      </c>
      <c r="Y282" s="112">
        <f>SUM(Y267:Y281)</f>
        <v>11742</v>
      </c>
      <c r="Z282" s="1"/>
      <c r="AA282" s="112"/>
      <c r="AB282" s="106"/>
      <c r="AE282" s="112">
        <f>SUM(AE267:AE281)</f>
        <v>91915</v>
      </c>
      <c r="AG282" s="156">
        <f t="shared" si="57"/>
        <v>6.5</v>
      </c>
      <c r="AI282" s="112">
        <f>SUM(AI267:AI281)</f>
        <v>13099</v>
      </c>
      <c r="AK282" s="200">
        <f t="shared" si="59"/>
        <v>14.3</v>
      </c>
      <c r="AL282" s="110"/>
      <c r="AM282" s="112"/>
      <c r="AN282" s="207"/>
      <c r="AO282" s="112">
        <f>SUM(AO267:AO281)</f>
        <v>91915</v>
      </c>
      <c r="AP282" s="110"/>
      <c r="AQ282" s="201">
        <f t="shared" si="61"/>
        <v>14.3</v>
      </c>
    </row>
    <row r="283" spans="3:49" x14ac:dyDescent="0.3">
      <c r="F283" s="110"/>
      <c r="H283" s="110"/>
      <c r="I283" s="110"/>
      <c r="J283" s="217"/>
      <c r="K283" s="217"/>
      <c r="L283" s="110"/>
      <c r="M283" s="110"/>
      <c r="N283" s="110"/>
      <c r="O283" s="110"/>
      <c r="P283" s="110"/>
      <c r="Q283" s="110"/>
      <c r="R283" s="110"/>
      <c r="T283" s="282">
        <v>87</v>
      </c>
      <c r="V283" s="169"/>
      <c r="Y283" s="106"/>
      <c r="Z283" s="1"/>
      <c r="AA283" s="106"/>
      <c r="AB283" s="106"/>
      <c r="AE283" s="106"/>
      <c r="AG283" s="154"/>
      <c r="AI283" s="106"/>
      <c r="AK283" s="159"/>
      <c r="AL283" s="110"/>
      <c r="AM283" s="106"/>
      <c r="AN283" s="207"/>
      <c r="AO283" s="106"/>
      <c r="AP283" s="110"/>
      <c r="AQ283" s="159"/>
    </row>
    <row r="284" spans="3:49" x14ac:dyDescent="0.3">
      <c r="F284" s="110"/>
      <c r="H284" s="110"/>
      <c r="I284" s="110"/>
      <c r="J284" s="217"/>
      <c r="K284" s="217"/>
      <c r="L284" s="110"/>
      <c r="M284" s="110"/>
      <c r="N284" s="110"/>
      <c r="O284" s="110"/>
      <c r="P284" s="110"/>
      <c r="Q284" s="110"/>
      <c r="R284" s="110"/>
      <c r="T284" s="282">
        <v>88</v>
      </c>
      <c r="V284" s="306" t="s">
        <v>872</v>
      </c>
      <c r="Y284" s="106"/>
      <c r="Z284" s="1"/>
      <c r="AA284" s="106"/>
      <c r="AB284" s="106"/>
      <c r="AE284" s="106"/>
      <c r="AG284" s="154"/>
      <c r="AI284" s="106"/>
      <c r="AK284" s="159"/>
      <c r="AL284" s="110"/>
      <c r="AM284" s="110"/>
      <c r="AN284" s="207"/>
      <c r="AO284" s="106"/>
      <c r="AP284" s="110"/>
      <c r="AQ284" s="159"/>
    </row>
    <row r="285" spans="3:49" x14ac:dyDescent="0.3">
      <c r="F285" s="110"/>
      <c r="H285" s="110"/>
      <c r="I285" s="110"/>
      <c r="J285" s="217"/>
      <c r="K285" s="217"/>
      <c r="L285" s="110"/>
      <c r="M285" s="110"/>
      <c r="N285" s="110"/>
      <c r="O285" s="110"/>
      <c r="P285" s="110"/>
      <c r="Q285" s="110"/>
      <c r="R285" s="110"/>
      <c r="T285" s="282">
        <v>89</v>
      </c>
      <c r="V285" s="176" t="str">
        <f>C131</f>
        <v>ENVIRONMENTAL SURCHARGE MECHANISM RIDER (ESM)</v>
      </c>
      <c r="Y285" s="106"/>
      <c r="Z285" s="1"/>
      <c r="AA285" s="106"/>
      <c r="AB285" s="106"/>
      <c r="AC285" s="304">
        <f>CUR_ESM_NonRes</f>
        <v>6.3863133253205971E-3</v>
      </c>
      <c r="AE285" s="106">
        <f>ROUND(($AO$265+$AO$196-AM265-AM196+AE290+AE291-(CUR_BASE_FUEL*AA293)+AO286+AO282)*AC285,0)</f>
        <v>7535</v>
      </c>
      <c r="AG285" s="154">
        <f>ROUND((AE285/AE$293)*100,1)</f>
        <v>0.5</v>
      </c>
      <c r="AI285" s="106">
        <f>L131-AE285</f>
        <v>-257</v>
      </c>
      <c r="AK285" s="159">
        <f>IF(AE285=0,"0.0 ",ROUND((AI285/AE285)*100,1))</f>
        <v>-3.4</v>
      </c>
      <c r="AL285" s="110"/>
      <c r="AM285" s="110"/>
      <c r="AN285" s="207"/>
      <c r="AO285" s="106">
        <f>AE285+AM285</f>
        <v>7535</v>
      </c>
      <c r="AP285" s="110"/>
      <c r="AQ285" s="159">
        <f>IF(AO285=0,"0.0 ",ROUND((AI285/AO285)*100,1))</f>
        <v>-3.4</v>
      </c>
    </row>
    <row r="286" spans="3:49" x14ac:dyDescent="0.3">
      <c r="F286" s="110"/>
      <c r="H286" s="110"/>
      <c r="I286" s="110"/>
      <c r="J286" s="217"/>
      <c r="K286" s="217"/>
      <c r="L286" s="110"/>
      <c r="M286" s="110"/>
      <c r="N286" s="110"/>
      <c r="O286" s="110"/>
      <c r="P286" s="110"/>
      <c r="Q286" s="110"/>
      <c r="R286" s="110"/>
      <c r="T286" s="282">
        <v>90</v>
      </c>
      <c r="V286" s="176" t="str">
        <f>C132</f>
        <v>PROFIT SHARING MECHANISM (PSM)</v>
      </c>
      <c r="Y286" s="106"/>
      <c r="Z286" s="1"/>
      <c r="AA286" s="106"/>
      <c r="AB286" s="106"/>
      <c r="AC286" s="307">
        <f>RS_PSM</f>
        <v>2.4750000000000002E-3</v>
      </c>
      <c r="AE286" s="117">
        <f>ROUND(($AA$265+$AA$196)*AC286,0)</f>
        <v>16973</v>
      </c>
      <c r="AG286" s="156">
        <f>ROUND((AE286/AE$293)*100,1)</f>
        <v>1.2</v>
      </c>
      <c r="AI286" s="117">
        <f>L132-AE286</f>
        <v>0</v>
      </c>
      <c r="AK286" s="200">
        <f>IF(AE286=0,"0.0 ",ROUND((AI286/AE286)*100,1))</f>
        <v>0</v>
      </c>
      <c r="AL286" s="110"/>
      <c r="AM286" s="243"/>
      <c r="AN286" s="207"/>
      <c r="AO286" s="117">
        <f>AE286+AM286</f>
        <v>16973</v>
      </c>
      <c r="AP286" s="1"/>
      <c r="AQ286" s="200">
        <f>IF(AO286=0,"0.0 ",ROUND((AI286/AO286)*100,1))</f>
        <v>0</v>
      </c>
    </row>
    <row r="287" spans="3:49" x14ac:dyDescent="0.3">
      <c r="F287" s="110"/>
      <c r="H287" s="110"/>
      <c r="I287" s="110"/>
      <c r="J287" s="217"/>
      <c r="K287" s="217"/>
      <c r="L287" s="110"/>
      <c r="M287" s="110"/>
      <c r="N287" s="110"/>
      <c r="O287" s="110"/>
      <c r="P287" s="110"/>
      <c r="Q287" s="110"/>
      <c r="R287" s="110"/>
      <c r="T287" s="282">
        <v>91</v>
      </c>
      <c r="V287" s="124" t="s">
        <v>461</v>
      </c>
      <c r="Y287" s="106"/>
      <c r="Z287" s="1"/>
      <c r="AA287" s="106"/>
      <c r="AB287" s="106"/>
      <c r="AE287" s="112">
        <f>SUM(AE285:AE286)</f>
        <v>24508</v>
      </c>
      <c r="AG287" s="158">
        <f>ROUND((AE287/AE$293)*100,1)</f>
        <v>1.7</v>
      </c>
      <c r="AI287" s="112">
        <f>SUM(AI285:AI286)</f>
        <v>-257</v>
      </c>
      <c r="AK287" s="201">
        <f>IF(AE287=0,"0.0 ",ROUND((AI287/AE287)*100,1))</f>
        <v>-1</v>
      </c>
      <c r="AL287" s="110"/>
      <c r="AM287" s="261"/>
      <c r="AN287" s="207"/>
      <c r="AO287" s="112">
        <f>SUM(AO285:AO286)</f>
        <v>24508</v>
      </c>
      <c r="AP287" s="110"/>
      <c r="AQ287" s="201">
        <f>IF(AO287=0,"0.0 ",ROUND((AI287/AO287)*100,1))</f>
        <v>-1</v>
      </c>
    </row>
    <row r="288" spans="3:49" x14ac:dyDescent="0.3">
      <c r="F288" s="110"/>
      <c r="H288" s="110"/>
      <c r="I288" s="110"/>
      <c r="J288" s="217"/>
      <c r="K288" s="217"/>
      <c r="L288" s="110"/>
      <c r="M288" s="110"/>
      <c r="N288" s="110"/>
      <c r="O288" s="110"/>
      <c r="P288" s="110"/>
      <c r="Q288" s="110"/>
      <c r="R288" s="110"/>
      <c r="T288" s="282">
        <v>92</v>
      </c>
    </row>
    <row r="289" spans="1:51" x14ac:dyDescent="0.3">
      <c r="C289" s="99"/>
      <c r="F289" s="172"/>
      <c r="H289" s="172"/>
      <c r="I289" s="172"/>
      <c r="J289" s="222"/>
      <c r="K289" s="222"/>
      <c r="L289" s="110"/>
      <c r="M289" s="110"/>
      <c r="N289" s="141"/>
      <c r="O289" s="141"/>
      <c r="P289" s="172"/>
      <c r="Q289" s="172"/>
      <c r="R289" s="110"/>
      <c r="T289" s="282">
        <v>93</v>
      </c>
      <c r="V289" s="124" t="s">
        <v>303</v>
      </c>
      <c r="Y289" s="106"/>
      <c r="Z289" s="1"/>
      <c r="AA289" s="106"/>
      <c r="AB289" s="106"/>
      <c r="AE289" s="106"/>
      <c r="AG289" s="154"/>
      <c r="AI289" s="106"/>
      <c r="AK289" s="159"/>
      <c r="AL289" s="110"/>
      <c r="AM289" s="106"/>
      <c r="AN289" s="207"/>
      <c r="AO289" s="106"/>
      <c r="AP289" s="110"/>
      <c r="AQ289" s="159"/>
    </row>
    <row r="290" spans="1:51" x14ac:dyDescent="0.3">
      <c r="C290" s="99"/>
      <c r="F290" s="172"/>
      <c r="H290" s="172"/>
      <c r="I290" s="172"/>
      <c r="J290" s="222"/>
      <c r="K290" s="222"/>
      <c r="L290" s="110"/>
      <c r="M290" s="110"/>
      <c r="N290" s="141"/>
      <c r="O290" s="141"/>
      <c r="P290" s="172"/>
      <c r="Q290" s="172"/>
      <c r="R290" s="110"/>
      <c r="T290" s="282">
        <v>94</v>
      </c>
      <c r="V290" s="99" t="s">
        <v>860</v>
      </c>
      <c r="Y290" s="147">
        <f>F136</f>
        <v>4589</v>
      </c>
      <c r="Z290" s="1"/>
      <c r="AA290" s="106"/>
      <c r="AB290" s="106"/>
      <c r="AC290" s="308">
        <v>0.76</v>
      </c>
      <c r="AE290" s="106">
        <f>ROUND((Y290*AC290),0)</f>
        <v>3488</v>
      </c>
      <c r="AG290" s="154">
        <f>ROUND((AE290/AE$293)*100,1)</f>
        <v>0.2</v>
      </c>
      <c r="AI290" s="106">
        <f>L136-AE290</f>
        <v>504</v>
      </c>
      <c r="AK290" s="159">
        <f>IF(AE290=0,"0.0 ",ROUND((AI290/AE290)*100,1))</f>
        <v>14.4</v>
      </c>
      <c r="AL290" s="110"/>
      <c r="AM290" s="106"/>
      <c r="AN290" s="207"/>
      <c r="AO290" s="106">
        <f>AE290+AM290</f>
        <v>3488</v>
      </c>
      <c r="AP290" s="110"/>
      <c r="AQ290" s="159">
        <f>IF(AO290=0,"0.0 ",ROUND((AI290/AO290)*100,1))</f>
        <v>14.4</v>
      </c>
    </row>
    <row r="291" spans="1:51" x14ac:dyDescent="0.3">
      <c r="C291" s="99"/>
      <c r="F291" s="172"/>
      <c r="H291" s="172"/>
      <c r="I291" s="172"/>
      <c r="J291" s="222"/>
      <c r="K291" s="222"/>
      <c r="L291" s="110"/>
      <c r="M291" s="110"/>
      <c r="N291" s="141"/>
      <c r="O291" s="141"/>
      <c r="P291" s="172"/>
      <c r="Q291" s="172"/>
      <c r="R291" s="110"/>
      <c r="T291" s="282">
        <v>95</v>
      </c>
      <c r="V291" s="99" t="s">
        <v>861</v>
      </c>
      <c r="Y291" s="147">
        <f>F137</f>
        <v>15128</v>
      </c>
      <c r="Z291" s="1"/>
      <c r="AA291" s="106"/>
      <c r="AB291" s="106"/>
      <c r="AC291" s="308">
        <v>1.1000000000000001</v>
      </c>
      <c r="AE291" s="117">
        <f>ROUND((Y291*AC291),0)</f>
        <v>16641</v>
      </c>
      <c r="AG291" s="156">
        <f>ROUND((AE291/AE$293)*100,1)</f>
        <v>1.2</v>
      </c>
      <c r="AI291" s="117">
        <f>L137-AE291</f>
        <v>2420</v>
      </c>
      <c r="AK291" s="200">
        <f>IF(AE291=0,"0.0 ",ROUND((AI291/AE291)*100,1))</f>
        <v>14.5</v>
      </c>
      <c r="AL291" s="110"/>
      <c r="AM291" s="117"/>
      <c r="AN291" s="207"/>
      <c r="AO291" s="117">
        <f>AE291+AM291</f>
        <v>16641</v>
      </c>
      <c r="AP291" s="110"/>
      <c r="AQ291" s="200">
        <f>IF(AO291=0,"0.0 ",ROUND((AI291/AO291)*100,1))</f>
        <v>14.5</v>
      </c>
    </row>
    <row r="292" spans="1:51" x14ac:dyDescent="0.3">
      <c r="C292" s="99"/>
      <c r="F292" s="172"/>
      <c r="H292" s="172"/>
      <c r="I292" s="172"/>
      <c r="J292" s="222"/>
      <c r="K292" s="222"/>
      <c r="L292" s="110"/>
      <c r="M292" s="110"/>
      <c r="N292" s="141"/>
      <c r="O292" s="141"/>
      <c r="P292" s="172"/>
      <c r="Q292" s="172"/>
      <c r="R292" s="110"/>
      <c r="T292" s="282">
        <v>96</v>
      </c>
      <c r="V292" s="124" t="s">
        <v>304</v>
      </c>
      <c r="Y292" s="300">
        <f>SUM(Y290:Y291)</f>
        <v>19717</v>
      </c>
      <c r="Z292" s="1"/>
      <c r="AA292" s="106"/>
      <c r="AB292" s="106"/>
      <c r="AE292" s="106">
        <f>SUM(AE290:AE291)</f>
        <v>20129</v>
      </c>
      <c r="AG292" s="156">
        <f>ROUND((AE292/AE$293)*100,1)</f>
        <v>1.4</v>
      </c>
      <c r="AI292" s="106">
        <f>SUM(AI290:AI291)</f>
        <v>2924</v>
      </c>
      <c r="AK292" s="200">
        <f>IF(AE292=0,"0.0 ",ROUND((AI292/AE292)*100,1))</f>
        <v>14.5</v>
      </c>
      <c r="AL292" s="110"/>
      <c r="AM292" s="117">
        <v>0</v>
      </c>
      <c r="AN292" s="207"/>
      <c r="AO292" s="106">
        <f>SUM(AO290:AO291)</f>
        <v>20129</v>
      </c>
      <c r="AP292" s="110"/>
      <c r="AQ292" s="201">
        <f>IF(AO292=0,"0.0 ",ROUND((AI292/AO292)*100,1))</f>
        <v>14.5</v>
      </c>
    </row>
    <row r="293" spans="1:51" ht="16.2" thickBot="1" x14ac:dyDescent="0.35">
      <c r="C293" s="99"/>
      <c r="F293" s="172"/>
      <c r="H293" s="172"/>
      <c r="I293" s="172"/>
      <c r="J293" s="222"/>
      <c r="K293" s="222"/>
      <c r="L293" s="110"/>
      <c r="M293" s="110"/>
      <c r="N293" s="141"/>
      <c r="O293" s="141"/>
      <c r="P293" s="172"/>
      <c r="Q293" s="172"/>
      <c r="R293" s="110"/>
      <c r="T293" s="282">
        <v>97</v>
      </c>
      <c r="V293" s="124" t="s">
        <v>472</v>
      </c>
      <c r="Y293" s="143">
        <f>Y196+Y265+Y282</f>
        <v>103310</v>
      </c>
      <c r="Z293" s="1"/>
      <c r="AA293" s="143">
        <f>AA196+AA265</f>
        <v>6857780</v>
      </c>
      <c r="AB293" s="106"/>
      <c r="AE293" s="143">
        <f>AE196+AE265+AE287+AE292+AE282</f>
        <v>1419105</v>
      </c>
      <c r="AG293" s="301">
        <v>100</v>
      </c>
      <c r="AI293" s="143">
        <f>AI196+AI265+AI287+AI292+AI282</f>
        <v>198713</v>
      </c>
      <c r="AK293" s="302">
        <f>IF(AE293=0,"0.0 ",ROUND((AI293/AE293)*100,1))</f>
        <v>14</v>
      </c>
      <c r="AM293" s="120">
        <f>AM265+AM196</f>
        <v>23917</v>
      </c>
      <c r="AO293" s="143">
        <f>AO196+AO265+AO287+AO292+AO282</f>
        <v>1443022</v>
      </c>
      <c r="AQ293" s="302">
        <f>IF(AO293=0,"0.0 ",ROUND((AI293/AO293)*100,1))</f>
        <v>13.8</v>
      </c>
    </row>
    <row r="294" spans="1:51" ht="16.2" thickTop="1" x14ac:dyDescent="0.3">
      <c r="C294" s="99"/>
      <c r="F294" s="172"/>
      <c r="H294" s="172"/>
      <c r="I294" s="172"/>
      <c r="J294" s="222"/>
      <c r="K294" s="222"/>
      <c r="L294" s="110"/>
      <c r="M294" s="110"/>
      <c r="N294" s="141"/>
      <c r="O294" s="141"/>
      <c r="P294" s="172"/>
      <c r="Q294" s="172"/>
      <c r="R294" s="110"/>
      <c r="T294" s="178" t="s">
        <v>76</v>
      </c>
      <c r="U294" s="279"/>
      <c r="V294" s="279"/>
      <c r="W294" s="279"/>
      <c r="X294" s="279"/>
      <c r="Y294" s="279"/>
      <c r="Z294" s="279"/>
      <c r="AA294" s="279"/>
      <c r="AB294" s="279"/>
      <c r="AC294" s="279"/>
      <c r="AD294" s="279"/>
      <c r="AE294" s="248"/>
      <c r="AF294" s="279"/>
      <c r="AG294" s="280"/>
      <c r="AH294" s="279"/>
      <c r="AI294" s="279"/>
      <c r="AJ294" s="279"/>
      <c r="AK294" s="248"/>
      <c r="AL294" s="279"/>
      <c r="AM294" s="279"/>
      <c r="AN294" s="279"/>
      <c r="AO294" s="279"/>
      <c r="AP294" s="293"/>
      <c r="AQ294" s="294"/>
      <c r="AS294" s="110"/>
      <c r="AT294" s="163"/>
      <c r="AW294" s="147"/>
      <c r="AX294" s="1"/>
      <c r="AY294" s="1"/>
    </row>
    <row r="295" spans="1:51" x14ac:dyDescent="0.3">
      <c r="C295" s="99"/>
      <c r="F295" s="172"/>
      <c r="H295" s="172"/>
      <c r="I295" s="172"/>
      <c r="J295" s="222"/>
      <c r="K295" s="222"/>
      <c r="L295" s="110"/>
      <c r="M295" s="110"/>
      <c r="N295" s="141"/>
      <c r="O295" s="141"/>
      <c r="P295" s="172"/>
      <c r="Q295" s="172"/>
      <c r="R295" s="110"/>
      <c r="T295" s="178" t="str">
        <f>"(1A) REFLECTS FUEL COST RECOVERY INCLUDED IN BASE RATES OF "&amp;TEXT(CUR_BASE_FUEL,"$0.000000;($0.000000)")&amp;"  PER KWH."</f>
        <v>(1A) REFLECTS FUEL COST RECOVERY INCLUDED IN BASE RATES OF $0.033780  PER KWH.</v>
      </c>
      <c r="U295" s="279"/>
      <c r="V295" s="279"/>
      <c r="W295" s="279"/>
      <c r="X295" s="279"/>
      <c r="Y295" s="281"/>
      <c r="Z295" s="279"/>
      <c r="AA295" s="279"/>
      <c r="AB295" s="279"/>
      <c r="AC295" s="279"/>
      <c r="AD295" s="279"/>
      <c r="AE295" s="248"/>
      <c r="AF295" s="279"/>
      <c r="AG295" s="280"/>
      <c r="AH295" s="279"/>
      <c r="AI295" s="279"/>
      <c r="AJ295" s="279"/>
      <c r="AK295" s="248"/>
      <c r="AL295" s="279"/>
      <c r="AM295" s="279"/>
      <c r="AN295" s="279"/>
      <c r="AO295" s="279"/>
      <c r="AP295" s="293"/>
      <c r="AQ295" s="294"/>
      <c r="AS295" s="110"/>
      <c r="AT295" s="163"/>
      <c r="AW295" s="147"/>
      <c r="AX295" s="1"/>
      <c r="AY295" s="1"/>
    </row>
    <row r="296" spans="1:51" x14ac:dyDescent="0.3">
      <c r="C296" s="99"/>
      <c r="F296" s="172"/>
      <c r="H296" s="172"/>
      <c r="I296" s="172"/>
      <c r="J296" s="222"/>
      <c r="K296" s="222"/>
      <c r="L296" s="110"/>
      <c r="M296" s="110"/>
      <c r="N296" s="141"/>
      <c r="O296" s="141"/>
      <c r="P296" s="172"/>
      <c r="Q296" s="172"/>
      <c r="R296" s="110"/>
      <c r="T296" s="178" t="str">
        <f>"(2) REFLECTS FUEL COMPONENT OF "&amp;TEXT(CUR_FAC,"$0.000000;($0.000000)")&amp;"  PER KWH."</f>
        <v>(2) REFLECTS FUEL COMPONENT OF $0.003487  PER KWH.</v>
      </c>
      <c r="U296" s="279"/>
      <c r="V296" s="279"/>
      <c r="W296" s="279"/>
      <c r="X296" s="279"/>
      <c r="Y296" s="281"/>
      <c r="Z296" s="279"/>
      <c r="AA296" s="279"/>
      <c r="AB296" s="279"/>
      <c r="AC296" s="279"/>
      <c r="AD296" s="279"/>
      <c r="AE296" s="248"/>
      <c r="AF296" s="279"/>
      <c r="AG296" s="280"/>
      <c r="AH296" s="279"/>
      <c r="AI296" s="279"/>
      <c r="AJ296" s="279"/>
      <c r="AK296" s="248"/>
      <c r="AL296" s="279"/>
      <c r="AM296" s="279"/>
      <c r="AN296" s="279"/>
      <c r="AO296" s="279"/>
      <c r="AP296" s="293"/>
      <c r="AQ296" s="294"/>
      <c r="AS296" s="110"/>
      <c r="AT296" s="163"/>
      <c r="AW296" s="147"/>
      <c r="AX296" s="1"/>
      <c r="AY296" s="1"/>
    </row>
    <row r="297" spans="1:51" x14ac:dyDescent="0.3">
      <c r="C297" s="99"/>
      <c r="F297" s="172"/>
      <c r="H297" s="172"/>
      <c r="I297" s="172"/>
      <c r="J297" s="222"/>
      <c r="K297" s="222"/>
      <c r="L297" s="110"/>
      <c r="M297" s="110"/>
      <c r="N297" s="141"/>
      <c r="O297" s="141"/>
      <c r="P297" s="172"/>
      <c r="Q297" s="172"/>
      <c r="R297" s="110"/>
      <c r="T297" s="178" t="str">
        <f>"(3) REFLECTS REDUCTION IN LIGHTING SYSTEMS."</f>
        <v>(3) REFLECTS REDUCTION IN LIGHTING SYSTEMS.</v>
      </c>
      <c r="U297" s="279"/>
      <c r="V297" s="279"/>
      <c r="W297" s="279"/>
      <c r="X297" s="279"/>
      <c r="Y297" s="281"/>
      <c r="Z297" s="279"/>
      <c r="AA297" s="279"/>
      <c r="AB297" s="279"/>
      <c r="AC297" s="279"/>
      <c r="AD297" s="279"/>
      <c r="AE297" s="248"/>
      <c r="AF297" s="279"/>
      <c r="AG297" s="280"/>
      <c r="AH297" s="279"/>
      <c r="AI297" s="279"/>
      <c r="AJ297" s="279"/>
      <c r="AK297" s="248"/>
      <c r="AL297" s="279"/>
      <c r="AM297" s="279"/>
      <c r="AN297" s="279"/>
      <c r="AO297" s="279"/>
      <c r="AP297" s="293"/>
      <c r="AQ297" s="294"/>
      <c r="AS297" s="110"/>
      <c r="AT297" s="163"/>
      <c r="AW297" s="147"/>
      <c r="AX297" s="1"/>
      <c r="AY297" s="1"/>
    </row>
    <row r="298" spans="1:51" x14ac:dyDescent="0.3">
      <c r="C298" s="99"/>
      <c r="F298" s="172"/>
      <c r="H298" s="172"/>
      <c r="I298" s="172"/>
      <c r="J298" s="222"/>
      <c r="K298" s="222"/>
      <c r="L298" s="110"/>
      <c r="M298" s="110"/>
      <c r="N298" s="141"/>
      <c r="O298" s="141"/>
      <c r="P298" s="172"/>
      <c r="Q298" s="172"/>
      <c r="R298" s="110"/>
      <c r="T298" s="248"/>
      <c r="U298" s="279"/>
      <c r="V298" s="279"/>
      <c r="W298" s="279"/>
      <c r="X298" s="279"/>
      <c r="Y298" s="281"/>
      <c r="Z298" s="279"/>
      <c r="AA298" s="279"/>
      <c r="AB298" s="279"/>
      <c r="AC298" s="279"/>
      <c r="AD298" s="279"/>
      <c r="AE298" s="248"/>
      <c r="AF298" s="279"/>
      <c r="AG298" s="280"/>
      <c r="AH298" s="279"/>
      <c r="AI298" s="279"/>
      <c r="AJ298" s="279"/>
      <c r="AK298" s="248"/>
      <c r="AL298" s="279"/>
      <c r="AM298" s="279"/>
      <c r="AN298" s="279"/>
      <c r="AO298" s="279"/>
      <c r="AP298" s="293"/>
      <c r="AQ298" s="294"/>
      <c r="AS298" s="110"/>
      <c r="AT298" s="163"/>
      <c r="AW298" s="147"/>
      <c r="AX298" s="1"/>
      <c r="AY298" s="1"/>
    </row>
    <row r="299" spans="1:51" x14ac:dyDescent="0.3">
      <c r="L299" s="99"/>
      <c r="M299" s="99"/>
      <c r="AC299" s="99"/>
      <c r="AD299" s="99"/>
    </row>
    <row r="300" spans="1:51" x14ac:dyDescent="0.3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91"/>
      <c r="AH300" s="101"/>
      <c r="AI300" s="101"/>
      <c r="AJ300" s="101"/>
      <c r="AK300" s="191"/>
      <c r="AL300" s="101"/>
      <c r="AM300" s="101"/>
      <c r="AN300" s="101"/>
      <c r="AO300" s="101"/>
      <c r="AP300" s="101"/>
    </row>
    <row r="301" spans="1:51" x14ac:dyDescent="0.3">
      <c r="L301" s="102"/>
      <c r="M301" s="102"/>
      <c r="N301" s="102"/>
      <c r="O301" s="102"/>
      <c r="R301" s="102"/>
      <c r="AC301" s="102"/>
      <c r="AD301" s="102"/>
      <c r="AE301" s="102"/>
      <c r="AF301" s="102"/>
      <c r="AG301" s="151"/>
      <c r="AH301" s="102"/>
      <c r="AI301" s="102"/>
      <c r="AJ301" s="102"/>
      <c r="AM301" s="102"/>
      <c r="AN301" s="102"/>
      <c r="AO301" s="102"/>
      <c r="AP301" s="102"/>
    </row>
    <row r="302" spans="1:51" x14ac:dyDescent="0.3">
      <c r="L302" s="102"/>
      <c r="M302" s="102"/>
      <c r="N302" s="102"/>
      <c r="O302" s="102"/>
      <c r="R302" s="102"/>
      <c r="AB302" s="102"/>
      <c r="AC302" s="102"/>
      <c r="AD302" s="102"/>
      <c r="AE302" s="102"/>
      <c r="AF302" s="102"/>
      <c r="AG302" s="151"/>
      <c r="AH302" s="102"/>
      <c r="AI302" s="102"/>
      <c r="AJ302" s="102"/>
      <c r="AM302" s="102"/>
      <c r="AN302" s="102"/>
      <c r="AO302" s="102"/>
      <c r="AP302" s="102"/>
    </row>
    <row r="303" spans="1:51" x14ac:dyDescent="0.3">
      <c r="A303" s="102"/>
      <c r="C303" s="102"/>
      <c r="D303" s="102"/>
      <c r="E303" s="102"/>
      <c r="F303" s="102"/>
      <c r="J303" s="102"/>
      <c r="K303" s="102"/>
      <c r="L303" s="102"/>
      <c r="M303" s="102"/>
      <c r="N303" s="102"/>
      <c r="O303" s="102"/>
      <c r="P303" s="102"/>
      <c r="Q303" s="102"/>
      <c r="R303" s="102"/>
      <c r="T303" s="102"/>
      <c r="U303" s="102"/>
      <c r="V303" s="102"/>
      <c r="AB303" s="102"/>
      <c r="AC303" s="102"/>
      <c r="AD303" s="102"/>
      <c r="AE303" s="102"/>
      <c r="AF303" s="102"/>
      <c r="AG303" s="151"/>
      <c r="AH303" s="102"/>
      <c r="AI303" s="102"/>
      <c r="AJ303" s="102"/>
      <c r="AK303" s="151"/>
      <c r="AL303" s="102"/>
      <c r="AM303" s="102"/>
      <c r="AN303" s="102"/>
      <c r="AO303" s="102"/>
      <c r="AP303" s="102"/>
    </row>
    <row r="304" spans="1:51" x14ac:dyDescent="0.3">
      <c r="A304" s="102"/>
      <c r="C304" s="102"/>
      <c r="D304" s="102"/>
      <c r="E304" s="102"/>
      <c r="F304" s="102"/>
      <c r="H304" s="102"/>
      <c r="I304" s="102"/>
      <c r="J304" s="102"/>
      <c r="K304" s="102"/>
      <c r="L304" s="102"/>
      <c r="M304" s="102"/>
      <c r="N304" s="102"/>
      <c r="O304" s="102"/>
      <c r="P304" s="102"/>
      <c r="Q304" s="102"/>
      <c r="R304" s="102"/>
      <c r="T304" s="102"/>
      <c r="U304" s="102"/>
      <c r="V304" s="102"/>
      <c r="AA304" s="102"/>
      <c r="AB304" s="102"/>
      <c r="AC304" s="102"/>
      <c r="AD304" s="102"/>
      <c r="AE304" s="102"/>
      <c r="AF304" s="102"/>
      <c r="AG304" s="151"/>
      <c r="AH304" s="102"/>
      <c r="AI304" s="102"/>
      <c r="AJ304" s="102"/>
      <c r="AK304" s="151"/>
      <c r="AL304" s="102"/>
      <c r="AM304" s="102"/>
      <c r="AN304" s="102"/>
      <c r="AO304" s="102"/>
      <c r="AP304" s="102"/>
    </row>
    <row r="305" spans="1:42" x14ac:dyDescent="0.3">
      <c r="C305" s="102"/>
      <c r="D305" s="102"/>
      <c r="E305" s="102"/>
      <c r="F305" s="102"/>
      <c r="H305" s="102"/>
      <c r="I305" s="102"/>
      <c r="J305" s="102"/>
      <c r="K305" s="102"/>
      <c r="L305" s="102"/>
      <c r="M305" s="102"/>
      <c r="N305" s="102"/>
      <c r="O305" s="102"/>
      <c r="P305" s="102"/>
      <c r="Q305" s="102"/>
      <c r="R305" s="102"/>
      <c r="T305" s="102"/>
      <c r="U305" s="102"/>
      <c r="V305" s="102"/>
      <c r="AA305" s="102"/>
      <c r="AB305" s="102"/>
      <c r="AC305" s="102"/>
      <c r="AD305" s="102"/>
      <c r="AE305" s="102"/>
      <c r="AF305" s="102"/>
      <c r="AG305" s="151"/>
      <c r="AH305" s="102"/>
      <c r="AI305" s="102"/>
      <c r="AJ305" s="102"/>
      <c r="AK305" s="151"/>
      <c r="AL305" s="102"/>
      <c r="AM305" s="102"/>
      <c r="AN305" s="102"/>
      <c r="AO305" s="102"/>
      <c r="AP305" s="102"/>
    </row>
    <row r="306" spans="1:42" x14ac:dyDescent="0.3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91"/>
      <c r="AH306" s="101"/>
      <c r="AI306" s="101"/>
      <c r="AJ306" s="101"/>
      <c r="AK306" s="191"/>
      <c r="AL306" s="101"/>
      <c r="AM306" s="101"/>
      <c r="AN306" s="101"/>
      <c r="AO306" s="101"/>
      <c r="AP306" s="101"/>
    </row>
    <row r="307" spans="1:42" x14ac:dyDescent="0.3">
      <c r="H307" s="102"/>
      <c r="I307" s="102"/>
      <c r="J307" s="102"/>
      <c r="K307" s="102"/>
      <c r="L307" s="102"/>
      <c r="M307" s="102"/>
      <c r="N307" s="102"/>
      <c r="O307" s="102"/>
      <c r="P307" s="102"/>
      <c r="Q307" s="102"/>
      <c r="R307" s="102"/>
      <c r="AA307" s="102"/>
      <c r="AB307" s="102"/>
      <c r="AC307" s="102"/>
      <c r="AD307" s="102"/>
      <c r="AE307" s="102"/>
      <c r="AF307" s="102"/>
      <c r="AG307" s="151"/>
      <c r="AH307" s="102"/>
      <c r="AI307" s="102"/>
      <c r="AJ307" s="102"/>
      <c r="AK307" s="151"/>
      <c r="AL307" s="102"/>
      <c r="AM307" s="102"/>
      <c r="AN307" s="102"/>
      <c r="AO307" s="102"/>
      <c r="AP307" s="102"/>
    </row>
    <row r="308" spans="1:42" x14ac:dyDescent="0.3">
      <c r="C308" s="99"/>
      <c r="D308" s="99"/>
      <c r="E308" s="99"/>
      <c r="T308" s="99"/>
      <c r="U308" s="99"/>
    </row>
    <row r="309" spans="1:42" x14ac:dyDescent="0.3">
      <c r="D309" s="99"/>
      <c r="E309" s="99"/>
      <c r="U309" s="99"/>
    </row>
    <row r="311" spans="1:42" x14ac:dyDescent="0.3">
      <c r="C311" s="99"/>
      <c r="T311" s="99"/>
    </row>
    <row r="312" spans="1:42" x14ac:dyDescent="0.3">
      <c r="C312" s="99"/>
      <c r="F312" s="172"/>
      <c r="H312" s="172"/>
      <c r="I312" s="172"/>
      <c r="J312" s="228"/>
      <c r="K312" s="228"/>
      <c r="L312" s="110"/>
      <c r="M312" s="110"/>
      <c r="N312" s="141"/>
      <c r="O312" s="141"/>
      <c r="P312" s="110"/>
      <c r="Q312" s="110"/>
      <c r="R312" s="110"/>
      <c r="T312" s="99"/>
      <c r="V312" s="172"/>
      <c r="W312" s="110"/>
      <c r="X312" s="110"/>
      <c r="Y312" s="110"/>
      <c r="Z312" s="110"/>
      <c r="AA312" s="172"/>
      <c r="AB312" s="228"/>
      <c r="AC312" s="110"/>
      <c r="AD312" s="110"/>
      <c r="AE312" s="141"/>
      <c r="AF312" s="141"/>
      <c r="AH312" s="110"/>
      <c r="AI312" s="207"/>
      <c r="AJ312" s="207"/>
      <c r="AL312" s="110"/>
      <c r="AM312" s="110"/>
      <c r="AN312" s="110"/>
      <c r="AO312" s="141"/>
      <c r="AP312" s="141"/>
    </row>
    <row r="313" spans="1:42" x14ac:dyDescent="0.3">
      <c r="C313" s="99"/>
      <c r="F313" s="110"/>
      <c r="H313" s="110"/>
      <c r="I313" s="110"/>
      <c r="J313" s="217"/>
      <c r="K313" s="217"/>
      <c r="L313" s="110"/>
      <c r="M313" s="110"/>
      <c r="N313" s="141"/>
      <c r="O313" s="141"/>
      <c r="P313" s="110"/>
      <c r="Q313" s="110"/>
      <c r="R313" s="110"/>
      <c r="T313" s="99"/>
      <c r="V313" s="172"/>
      <c r="W313" s="110"/>
      <c r="X313" s="110"/>
      <c r="Y313" s="110"/>
      <c r="Z313" s="110"/>
      <c r="AA313" s="172"/>
      <c r="AB313" s="217"/>
      <c r="AC313" s="110"/>
      <c r="AD313" s="110"/>
      <c r="AE313" s="141"/>
      <c r="AF313" s="141"/>
      <c r="AH313" s="110"/>
      <c r="AI313" s="207"/>
      <c r="AJ313" s="207"/>
      <c r="AL313" s="110"/>
      <c r="AM313" s="110"/>
      <c r="AN313" s="110"/>
      <c r="AO313" s="141"/>
      <c r="AP313" s="141"/>
    </row>
    <row r="314" spans="1:42" x14ac:dyDescent="0.3">
      <c r="C314" s="99"/>
      <c r="F314" s="172"/>
      <c r="H314" s="172"/>
      <c r="I314" s="172"/>
      <c r="J314" s="228"/>
      <c r="K314" s="228"/>
      <c r="L314" s="110"/>
      <c r="M314" s="110"/>
      <c r="N314" s="141"/>
      <c r="O314" s="141"/>
      <c r="P314" s="110"/>
      <c r="Q314" s="110"/>
      <c r="R314" s="110"/>
      <c r="T314" s="99"/>
      <c r="V314" s="172"/>
      <c r="W314" s="110"/>
      <c r="X314" s="110"/>
      <c r="Y314" s="110"/>
      <c r="Z314" s="110"/>
      <c r="AA314" s="172"/>
      <c r="AB314" s="228"/>
      <c r="AC314" s="110"/>
      <c r="AD314" s="110"/>
      <c r="AE314" s="141"/>
      <c r="AF314" s="141"/>
      <c r="AH314" s="110"/>
      <c r="AI314" s="207"/>
      <c r="AJ314" s="207"/>
      <c r="AL314" s="110"/>
      <c r="AM314" s="110"/>
      <c r="AN314" s="110"/>
      <c r="AO314" s="141"/>
      <c r="AP314" s="141"/>
    </row>
    <row r="315" spans="1:42" x14ac:dyDescent="0.3">
      <c r="C315" s="99"/>
      <c r="F315" s="172"/>
      <c r="H315" s="172"/>
      <c r="I315" s="172"/>
      <c r="J315" s="228"/>
      <c r="K315" s="228"/>
      <c r="L315" s="110"/>
      <c r="M315" s="110"/>
      <c r="N315" s="141"/>
      <c r="O315" s="141"/>
      <c r="P315" s="110"/>
      <c r="Q315" s="110"/>
      <c r="R315" s="110"/>
      <c r="T315" s="99"/>
      <c r="V315" s="172"/>
      <c r="W315" s="110"/>
      <c r="X315" s="110"/>
      <c r="Y315" s="110"/>
      <c r="Z315" s="110"/>
      <c r="AA315" s="172"/>
      <c r="AB315" s="228"/>
      <c r="AC315" s="110"/>
      <c r="AD315" s="110"/>
      <c r="AE315" s="141"/>
      <c r="AF315" s="141"/>
      <c r="AH315" s="110"/>
      <c r="AI315" s="207"/>
      <c r="AJ315" s="207"/>
      <c r="AL315" s="110"/>
      <c r="AM315" s="110"/>
      <c r="AN315" s="110"/>
      <c r="AO315" s="141"/>
      <c r="AP315" s="141"/>
    </row>
    <row r="316" spans="1:42" x14ac:dyDescent="0.3">
      <c r="C316" s="99"/>
      <c r="F316" s="172"/>
      <c r="H316" s="172"/>
      <c r="I316" s="172"/>
      <c r="J316" s="228"/>
      <c r="K316" s="228"/>
      <c r="L316" s="110"/>
      <c r="M316" s="110"/>
      <c r="N316" s="141"/>
      <c r="O316" s="141"/>
      <c r="P316" s="110"/>
      <c r="Q316" s="110"/>
      <c r="R316" s="110"/>
      <c r="T316" s="99"/>
      <c r="V316" s="172"/>
      <c r="W316" s="110"/>
      <c r="X316" s="110"/>
      <c r="Y316" s="110"/>
      <c r="Z316" s="110"/>
      <c r="AA316" s="172"/>
      <c r="AB316" s="228"/>
      <c r="AC316" s="110"/>
      <c r="AD316" s="110"/>
      <c r="AE316" s="141"/>
      <c r="AF316" s="141"/>
      <c r="AH316" s="110"/>
      <c r="AI316" s="207"/>
      <c r="AJ316" s="207"/>
      <c r="AL316" s="110"/>
      <c r="AM316" s="110"/>
      <c r="AN316" s="110"/>
      <c r="AO316" s="141"/>
      <c r="AP316" s="141"/>
    </row>
    <row r="317" spans="1:42" x14ac:dyDescent="0.3">
      <c r="C317" s="99"/>
      <c r="F317" s="110"/>
      <c r="H317" s="110"/>
      <c r="I317" s="110"/>
      <c r="J317" s="228"/>
      <c r="K317" s="228"/>
      <c r="L317" s="110"/>
      <c r="M317" s="110"/>
      <c r="N317" s="141"/>
      <c r="O317" s="141"/>
      <c r="P317" s="110"/>
      <c r="Q317" s="110"/>
      <c r="R317" s="110"/>
      <c r="T317" s="99"/>
      <c r="V317" s="172"/>
      <c r="W317" s="110"/>
      <c r="X317" s="110"/>
      <c r="Y317" s="110"/>
      <c r="Z317" s="110"/>
      <c r="AA317" s="172"/>
      <c r="AB317" s="228"/>
      <c r="AC317" s="110"/>
      <c r="AD317" s="110"/>
      <c r="AE317" s="141"/>
      <c r="AF317" s="141"/>
      <c r="AH317" s="110"/>
      <c r="AI317" s="207"/>
      <c r="AJ317" s="207"/>
      <c r="AL317" s="110"/>
      <c r="AM317" s="110"/>
      <c r="AN317" s="110"/>
      <c r="AO317" s="141"/>
      <c r="AP317" s="141"/>
    </row>
    <row r="318" spans="1:42" x14ac:dyDescent="0.3">
      <c r="C318" s="99"/>
      <c r="F318" s="110"/>
      <c r="H318" s="110"/>
      <c r="I318" s="110"/>
      <c r="J318" s="228"/>
      <c r="K318" s="228"/>
      <c r="L318" s="110"/>
      <c r="M318" s="110"/>
      <c r="N318" s="141"/>
      <c r="O318" s="141"/>
      <c r="P318" s="110"/>
      <c r="Q318" s="110"/>
      <c r="R318" s="110"/>
      <c r="T318" s="99"/>
      <c r="V318" s="172"/>
      <c r="W318" s="110"/>
      <c r="X318" s="110"/>
      <c r="Y318" s="110"/>
      <c r="Z318" s="110"/>
      <c r="AA318" s="172"/>
      <c r="AB318" s="228"/>
      <c r="AC318" s="110"/>
      <c r="AD318" s="110"/>
      <c r="AE318" s="141"/>
      <c r="AF318" s="141"/>
      <c r="AH318" s="110"/>
      <c r="AI318" s="207"/>
      <c r="AJ318" s="207"/>
      <c r="AL318" s="110"/>
      <c r="AM318" s="110"/>
      <c r="AN318" s="110"/>
      <c r="AO318" s="141"/>
      <c r="AP318" s="141"/>
    </row>
    <row r="319" spans="1:42" x14ac:dyDescent="0.3">
      <c r="F319" s="210"/>
      <c r="H319" s="230"/>
      <c r="I319" s="230"/>
      <c r="J319" s="228"/>
      <c r="K319" s="228"/>
      <c r="L319" s="210"/>
      <c r="M319" s="210"/>
      <c r="N319" s="192"/>
      <c r="O319" s="192"/>
      <c r="P319" s="210"/>
      <c r="Q319" s="210"/>
      <c r="R319" s="210"/>
      <c r="V319" s="210"/>
      <c r="W319" s="110"/>
      <c r="X319" s="110"/>
      <c r="Y319" s="110"/>
      <c r="Z319" s="110"/>
      <c r="AA319" s="210"/>
      <c r="AB319" s="228"/>
      <c r="AC319" s="210"/>
      <c r="AD319" s="210"/>
      <c r="AE319" s="211"/>
      <c r="AF319" s="211"/>
      <c r="AG319" s="191"/>
      <c r="AH319" s="210"/>
      <c r="AI319" s="207"/>
      <c r="AJ319" s="207"/>
      <c r="AK319" s="191"/>
      <c r="AL319" s="210"/>
      <c r="AM319" s="210"/>
      <c r="AN319" s="210"/>
      <c r="AO319" s="141"/>
      <c r="AP319" s="141"/>
    </row>
    <row r="320" spans="1:42" x14ac:dyDescent="0.3">
      <c r="C320" s="99"/>
      <c r="F320" s="110"/>
      <c r="H320" s="110"/>
      <c r="I320" s="110"/>
      <c r="J320" s="228"/>
      <c r="K320" s="228"/>
      <c r="L320" s="110"/>
      <c r="M320" s="110"/>
      <c r="N320" s="207"/>
      <c r="O320" s="207"/>
      <c r="P320" s="110"/>
      <c r="Q320" s="110"/>
      <c r="R320" s="110"/>
      <c r="T320" s="102"/>
      <c r="V320" s="110"/>
      <c r="W320" s="110"/>
      <c r="X320" s="110"/>
      <c r="Y320" s="110"/>
      <c r="Z320" s="110"/>
      <c r="AA320" s="110"/>
      <c r="AB320" s="228"/>
      <c r="AC320" s="110"/>
      <c r="AD320" s="110"/>
      <c r="AE320" s="207"/>
      <c r="AF320" s="207"/>
      <c r="AH320" s="110"/>
      <c r="AI320" s="207"/>
      <c r="AJ320" s="207"/>
      <c r="AL320" s="110"/>
      <c r="AM320" s="110"/>
      <c r="AN320" s="110"/>
      <c r="AO320" s="141"/>
      <c r="AP320" s="141"/>
    </row>
    <row r="321" spans="1:42" x14ac:dyDescent="0.3">
      <c r="F321" s="101"/>
      <c r="H321" s="101"/>
      <c r="I321" s="101"/>
      <c r="L321" s="101"/>
      <c r="M321" s="101"/>
      <c r="N321" s="211"/>
      <c r="O321" s="211"/>
      <c r="P321" s="210"/>
      <c r="Q321" s="210"/>
      <c r="R321" s="210"/>
      <c r="V321" s="210"/>
      <c r="AA321" s="210"/>
      <c r="AB321" s="217"/>
      <c r="AC321" s="210"/>
      <c r="AD321" s="210"/>
      <c r="AE321" s="210"/>
      <c r="AF321" s="210"/>
      <c r="AG321" s="191"/>
      <c r="AH321" s="210"/>
      <c r="AK321" s="191"/>
      <c r="AL321" s="210"/>
      <c r="AM321" s="210"/>
      <c r="AN321" s="210"/>
      <c r="AO321" s="211"/>
      <c r="AP321" s="211"/>
    </row>
    <row r="326" spans="1:42" x14ac:dyDescent="0.3">
      <c r="N326" s="110"/>
      <c r="O326" s="110"/>
      <c r="P326" s="110"/>
      <c r="Q326" s="110"/>
      <c r="R326" s="110"/>
      <c r="V326" s="110"/>
      <c r="AA326" s="110"/>
      <c r="AB326" s="198"/>
      <c r="AC326" s="110"/>
      <c r="AD326" s="110"/>
      <c r="AE326" s="141"/>
      <c r="AF326" s="141"/>
      <c r="AH326" s="110"/>
      <c r="AI326" s="207"/>
      <c r="AJ326" s="207"/>
      <c r="AL326" s="110"/>
      <c r="AM326" s="110"/>
      <c r="AN326" s="110"/>
      <c r="AO326" s="141"/>
      <c r="AP326" s="141"/>
    </row>
    <row r="327" spans="1:42" x14ac:dyDescent="0.3">
      <c r="C327" s="99"/>
      <c r="D327" s="99"/>
      <c r="E327" s="99"/>
      <c r="J327" s="163"/>
      <c r="K327" s="163"/>
      <c r="T327" s="99"/>
      <c r="U327" s="99"/>
      <c r="AB327" s="163"/>
      <c r="AH327" s="110"/>
      <c r="AL327" s="110"/>
      <c r="AM327" s="110"/>
      <c r="AN327" s="110"/>
      <c r="AO327" s="141"/>
      <c r="AP327" s="141"/>
    </row>
    <row r="328" spans="1:42" x14ac:dyDescent="0.3">
      <c r="D328" s="99"/>
      <c r="E328" s="99"/>
      <c r="F328" s="110"/>
      <c r="H328" s="110"/>
      <c r="I328" s="110"/>
      <c r="J328" s="228"/>
      <c r="K328" s="228"/>
      <c r="L328" s="110"/>
      <c r="M328" s="110"/>
      <c r="N328" s="141"/>
      <c r="O328" s="141"/>
      <c r="P328" s="110"/>
      <c r="Q328" s="110"/>
      <c r="R328" s="110"/>
      <c r="U328" s="99"/>
      <c r="V328" s="110"/>
      <c r="AA328" s="110"/>
      <c r="AB328" s="228"/>
      <c r="AC328" s="110"/>
      <c r="AD328" s="110"/>
      <c r="AE328" s="141"/>
      <c r="AF328" s="141"/>
      <c r="AH328" s="110"/>
      <c r="AI328" s="207"/>
      <c r="AJ328" s="207"/>
      <c r="AL328" s="110"/>
      <c r="AM328" s="110"/>
      <c r="AN328" s="110"/>
      <c r="AO328" s="141"/>
      <c r="AP328" s="141"/>
    </row>
    <row r="329" spans="1:42" x14ac:dyDescent="0.3">
      <c r="F329" s="110"/>
      <c r="H329" s="110"/>
      <c r="I329" s="110"/>
      <c r="J329" s="217"/>
      <c r="K329" s="217"/>
      <c r="L329" s="110"/>
      <c r="M329" s="110"/>
      <c r="N329" s="110"/>
      <c r="O329" s="110"/>
      <c r="P329" s="110"/>
      <c r="Q329" s="110"/>
      <c r="R329" s="110"/>
      <c r="V329" s="110"/>
      <c r="AA329" s="110"/>
      <c r="AB329" s="217"/>
      <c r="AC329" s="110"/>
      <c r="AD329" s="110"/>
      <c r="AE329" s="110"/>
      <c r="AF329" s="110"/>
      <c r="AH329" s="110"/>
      <c r="AI329" s="207"/>
      <c r="AJ329" s="207"/>
      <c r="AK329" s="224"/>
      <c r="AL329" s="172"/>
      <c r="AM329" s="110"/>
      <c r="AN329" s="110"/>
      <c r="AO329" s="141"/>
      <c r="AP329" s="141"/>
    </row>
    <row r="330" spans="1:42" x14ac:dyDescent="0.3">
      <c r="C330" s="99"/>
      <c r="F330" s="172"/>
      <c r="H330" s="172"/>
      <c r="I330" s="172"/>
      <c r="J330" s="216"/>
      <c r="K330" s="216"/>
      <c r="L330" s="110"/>
      <c r="M330" s="110"/>
      <c r="N330" s="141"/>
      <c r="O330" s="141"/>
      <c r="P330" s="110"/>
      <c r="Q330" s="110"/>
      <c r="R330" s="110"/>
      <c r="T330" s="99"/>
      <c r="V330" s="172"/>
      <c r="AA330" s="172"/>
      <c r="AB330" s="216"/>
      <c r="AC330" s="110"/>
      <c r="AD330" s="110"/>
      <c r="AE330" s="141"/>
      <c r="AF330" s="141"/>
      <c r="AH330" s="110"/>
      <c r="AI330" s="207"/>
      <c r="AJ330" s="207"/>
      <c r="AL330" s="110"/>
      <c r="AM330" s="110"/>
      <c r="AN330" s="110"/>
      <c r="AO330" s="141"/>
      <c r="AP330" s="141"/>
    </row>
    <row r="331" spans="1:42" x14ac:dyDescent="0.3">
      <c r="F331" s="101"/>
      <c r="H331" s="101"/>
      <c r="I331" s="101"/>
      <c r="L331" s="101"/>
      <c r="M331" s="101"/>
      <c r="N331" s="101"/>
      <c r="O331" s="101"/>
      <c r="P331" s="101"/>
      <c r="Q331" s="101"/>
      <c r="R331" s="101"/>
      <c r="V331" s="101"/>
      <c r="AA331" s="101"/>
      <c r="AC331" s="101"/>
      <c r="AD331" s="101"/>
      <c r="AE331" s="101"/>
      <c r="AF331" s="101"/>
      <c r="AG331" s="191"/>
      <c r="AH331" s="101"/>
      <c r="AI331" s="101"/>
      <c r="AJ331" s="101"/>
      <c r="AK331" s="191"/>
      <c r="AL331" s="101"/>
      <c r="AM331" s="101"/>
      <c r="AN331" s="101"/>
      <c r="AO331" s="101"/>
      <c r="AP331" s="101"/>
    </row>
    <row r="332" spans="1:42" x14ac:dyDescent="0.3">
      <c r="C332" s="102"/>
      <c r="F332" s="172"/>
      <c r="H332" s="172"/>
      <c r="I332" s="172"/>
      <c r="J332" s="181"/>
      <c r="K332" s="181"/>
      <c r="L332" s="172"/>
      <c r="M332" s="172"/>
      <c r="N332" s="141"/>
      <c r="O332" s="141"/>
      <c r="P332" s="172"/>
      <c r="Q332" s="172"/>
      <c r="R332" s="172"/>
      <c r="T332" s="102"/>
      <c r="V332" s="110"/>
      <c r="AA332" s="110"/>
      <c r="AB332" s="198"/>
      <c r="AC332" s="110"/>
      <c r="AD332" s="110"/>
      <c r="AE332" s="141"/>
      <c r="AF332" s="141"/>
      <c r="AI332" s="207"/>
      <c r="AJ332" s="207"/>
      <c r="AL332" s="110"/>
      <c r="AM332" s="110"/>
      <c r="AN332" s="110"/>
      <c r="AO332" s="141"/>
      <c r="AP332" s="141"/>
    </row>
    <row r="333" spans="1:42" x14ac:dyDescent="0.3">
      <c r="F333" s="210"/>
      <c r="H333" s="210"/>
      <c r="I333" s="210"/>
      <c r="J333" s="217"/>
      <c r="K333" s="217"/>
      <c r="L333" s="210"/>
      <c r="M333" s="210"/>
      <c r="N333" s="210"/>
      <c r="O333" s="210"/>
      <c r="P333" s="210"/>
      <c r="Q333" s="210"/>
      <c r="R333" s="210"/>
      <c r="V333" s="101"/>
      <c r="AA333" s="101"/>
      <c r="AC333" s="101"/>
      <c r="AD333" s="101"/>
      <c r="AE333" s="101"/>
      <c r="AF333" s="101"/>
      <c r="AG333" s="191"/>
      <c r="AH333" s="101"/>
      <c r="AI333" s="101"/>
      <c r="AJ333" s="101"/>
      <c r="AK333" s="191"/>
      <c r="AL333" s="101"/>
      <c r="AM333" s="101"/>
      <c r="AN333" s="101"/>
      <c r="AO333" s="101"/>
      <c r="AP333" s="101"/>
    </row>
    <row r="334" spans="1:42" x14ac:dyDescent="0.3">
      <c r="F334" s="172"/>
      <c r="H334" s="172"/>
      <c r="I334" s="172"/>
      <c r="J334" s="227"/>
      <c r="K334" s="227"/>
      <c r="L334" s="110"/>
      <c r="M334" s="110"/>
      <c r="N334" s="141"/>
      <c r="O334" s="141"/>
      <c r="P334" s="110"/>
      <c r="Q334" s="110"/>
      <c r="R334" s="110"/>
    </row>
    <row r="335" spans="1:42" x14ac:dyDescent="0.3">
      <c r="A335" s="99"/>
      <c r="F335" s="172"/>
      <c r="H335" s="172"/>
      <c r="I335" s="172"/>
      <c r="J335" s="181"/>
      <c r="K335" s="181"/>
      <c r="L335" s="110"/>
      <c r="M335" s="110"/>
      <c r="N335" s="141"/>
      <c r="O335" s="141"/>
      <c r="P335" s="110"/>
      <c r="Q335" s="110"/>
      <c r="R335" s="110"/>
    </row>
    <row r="336" spans="1:42" x14ac:dyDescent="0.3">
      <c r="F336" s="172"/>
      <c r="H336" s="172"/>
      <c r="I336" s="172"/>
      <c r="J336" s="181"/>
      <c r="K336" s="181"/>
      <c r="L336" s="110"/>
      <c r="M336" s="110"/>
      <c r="N336" s="141"/>
      <c r="O336" s="141"/>
      <c r="P336" s="110"/>
      <c r="Q336" s="110"/>
      <c r="R336" s="110"/>
    </row>
    <row r="337" spans="1:42" x14ac:dyDescent="0.3">
      <c r="A337" s="99"/>
    </row>
    <row r="340" spans="1:42" x14ac:dyDescent="0.3">
      <c r="H340" s="99"/>
      <c r="I340" s="99"/>
      <c r="AA340" s="99"/>
    </row>
    <row r="342" spans="1:42" x14ac:dyDescent="0.3">
      <c r="L342" s="99"/>
      <c r="M342" s="99"/>
      <c r="AC342" s="99"/>
      <c r="AD342" s="99"/>
    </row>
    <row r="343" spans="1:42" x14ac:dyDescent="0.3">
      <c r="R343" s="99"/>
      <c r="AM343" s="99"/>
      <c r="AN343" s="99"/>
    </row>
    <row r="344" spans="1:42" x14ac:dyDescent="0.3">
      <c r="R344" s="99"/>
      <c r="AM344" s="99"/>
      <c r="AN344" s="99"/>
    </row>
    <row r="345" spans="1:42" x14ac:dyDescent="0.3">
      <c r="A345" s="99"/>
      <c r="R345" s="99"/>
      <c r="AM345" s="99"/>
      <c r="AN345" s="99"/>
    </row>
    <row r="346" spans="1:42" x14ac:dyDescent="0.3">
      <c r="L346" s="99"/>
      <c r="M346" s="99"/>
      <c r="AC346" s="99"/>
      <c r="AD346" s="99"/>
    </row>
    <row r="347" spans="1:42" x14ac:dyDescent="0.3">
      <c r="A347" s="101"/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T347" s="101"/>
      <c r="U347" s="101"/>
      <c r="V347" s="101"/>
      <c r="W347" s="101"/>
      <c r="X347" s="101"/>
      <c r="Y347" s="101"/>
      <c r="Z347" s="101"/>
      <c r="AA347" s="101"/>
      <c r="AB347" s="101"/>
      <c r="AC347" s="101"/>
      <c r="AD347" s="101"/>
      <c r="AE347" s="101"/>
      <c r="AF347" s="101"/>
      <c r="AG347" s="191"/>
      <c r="AH347" s="101"/>
      <c r="AI347" s="101"/>
      <c r="AJ347" s="101"/>
      <c r="AK347" s="191"/>
      <c r="AL347" s="101"/>
      <c r="AM347" s="101"/>
      <c r="AN347" s="101"/>
      <c r="AO347" s="101"/>
      <c r="AP347" s="101"/>
    </row>
    <row r="348" spans="1:42" x14ac:dyDescent="0.3">
      <c r="L348" s="102"/>
      <c r="M348" s="102"/>
      <c r="N348" s="102"/>
      <c r="O348" s="102"/>
      <c r="R348" s="102"/>
      <c r="AC348" s="102"/>
      <c r="AD348" s="102"/>
      <c r="AE348" s="102"/>
      <c r="AF348" s="102"/>
      <c r="AG348" s="151"/>
      <c r="AH348" s="102"/>
      <c r="AI348" s="102"/>
      <c r="AJ348" s="102"/>
      <c r="AM348" s="102"/>
      <c r="AN348" s="102"/>
      <c r="AO348" s="102"/>
      <c r="AP348" s="102"/>
    </row>
    <row r="349" spans="1:42" x14ac:dyDescent="0.3">
      <c r="L349" s="102"/>
      <c r="M349" s="102"/>
      <c r="N349" s="102"/>
      <c r="O349" s="102"/>
      <c r="R349" s="102"/>
      <c r="AB349" s="102"/>
      <c r="AC349" s="102"/>
      <c r="AD349" s="102"/>
      <c r="AE349" s="102"/>
      <c r="AF349" s="102"/>
      <c r="AG349" s="151"/>
      <c r="AH349" s="102"/>
      <c r="AI349" s="102"/>
      <c r="AJ349" s="102"/>
      <c r="AM349" s="102"/>
      <c r="AN349" s="102"/>
      <c r="AO349" s="102"/>
      <c r="AP349" s="102"/>
    </row>
    <row r="350" spans="1:42" x14ac:dyDescent="0.3">
      <c r="A350" s="102"/>
      <c r="C350" s="102"/>
      <c r="D350" s="102"/>
      <c r="E350" s="102"/>
      <c r="F350" s="102"/>
      <c r="J350" s="102"/>
      <c r="K350" s="102"/>
      <c r="L350" s="102"/>
      <c r="M350" s="102"/>
      <c r="N350" s="102"/>
      <c r="O350" s="102"/>
      <c r="P350" s="102"/>
      <c r="Q350" s="102"/>
      <c r="R350" s="102"/>
      <c r="T350" s="102"/>
      <c r="U350" s="102"/>
      <c r="V350" s="102"/>
      <c r="AB350" s="102"/>
      <c r="AC350" s="102"/>
      <c r="AD350" s="102"/>
      <c r="AE350" s="102"/>
      <c r="AF350" s="102"/>
      <c r="AG350" s="151"/>
      <c r="AH350" s="102"/>
      <c r="AI350" s="102"/>
      <c r="AJ350" s="102"/>
      <c r="AK350" s="151"/>
      <c r="AL350" s="102"/>
      <c r="AM350" s="102"/>
      <c r="AN350" s="102"/>
      <c r="AO350" s="102"/>
      <c r="AP350" s="102"/>
    </row>
    <row r="351" spans="1:42" x14ac:dyDescent="0.3">
      <c r="A351" s="102"/>
      <c r="C351" s="102"/>
      <c r="D351" s="102"/>
      <c r="E351" s="102"/>
      <c r="F351" s="102"/>
      <c r="H351" s="102"/>
      <c r="I351" s="102"/>
      <c r="J351" s="102"/>
      <c r="K351" s="102"/>
      <c r="L351" s="102"/>
      <c r="M351" s="102"/>
      <c r="N351" s="102"/>
      <c r="O351" s="102"/>
      <c r="P351" s="102"/>
      <c r="Q351" s="102"/>
      <c r="R351" s="102"/>
      <c r="T351" s="102"/>
      <c r="U351" s="102"/>
      <c r="V351" s="102"/>
      <c r="AA351" s="102"/>
      <c r="AB351" s="102"/>
      <c r="AC351" s="102"/>
      <c r="AD351" s="102"/>
      <c r="AE351" s="102"/>
      <c r="AF351" s="102"/>
      <c r="AG351" s="151"/>
      <c r="AH351" s="102"/>
      <c r="AI351" s="102"/>
      <c r="AJ351" s="102"/>
      <c r="AK351" s="151"/>
      <c r="AL351" s="102"/>
      <c r="AM351" s="102"/>
      <c r="AN351" s="102"/>
      <c r="AO351" s="102"/>
      <c r="AP351" s="102"/>
    </row>
    <row r="352" spans="1:42" x14ac:dyDescent="0.3">
      <c r="C352" s="102"/>
      <c r="D352" s="102"/>
      <c r="E352" s="102"/>
      <c r="F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T352" s="102"/>
      <c r="U352" s="102"/>
      <c r="V352" s="102"/>
      <c r="AA352" s="102"/>
      <c r="AB352" s="102"/>
      <c r="AC352" s="102"/>
      <c r="AD352" s="102"/>
      <c r="AE352" s="102"/>
      <c r="AF352" s="102"/>
      <c r="AG352" s="151"/>
      <c r="AH352" s="102"/>
      <c r="AI352" s="102"/>
      <c r="AJ352" s="102"/>
      <c r="AK352" s="151"/>
      <c r="AL352" s="102"/>
      <c r="AM352" s="102"/>
      <c r="AN352" s="102"/>
      <c r="AO352" s="102"/>
      <c r="AP352" s="102"/>
    </row>
    <row r="353" spans="1:42" x14ac:dyDescent="0.3">
      <c r="A353" s="101"/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T353" s="101"/>
      <c r="U353" s="101"/>
      <c r="V353" s="101"/>
      <c r="W353" s="101"/>
      <c r="X353" s="101"/>
      <c r="Y353" s="101"/>
      <c r="Z353" s="101"/>
      <c r="AA353" s="101"/>
      <c r="AB353" s="101"/>
      <c r="AC353" s="101"/>
      <c r="AD353" s="101"/>
      <c r="AE353" s="101"/>
      <c r="AF353" s="101"/>
      <c r="AG353" s="191"/>
      <c r="AH353" s="101"/>
      <c r="AI353" s="101"/>
      <c r="AJ353" s="101"/>
      <c r="AK353" s="191"/>
      <c r="AL353" s="101"/>
      <c r="AM353" s="101"/>
      <c r="AN353" s="101"/>
      <c r="AO353" s="101"/>
      <c r="AP353" s="101"/>
    </row>
    <row r="354" spans="1:42" x14ac:dyDescent="0.3">
      <c r="H354" s="102"/>
      <c r="I354" s="102"/>
      <c r="J354" s="102"/>
      <c r="K354" s="102"/>
      <c r="L354" s="102"/>
      <c r="M354" s="102"/>
      <c r="N354" s="102"/>
      <c r="O354" s="102"/>
      <c r="P354" s="102"/>
      <c r="Q354" s="102"/>
      <c r="R354" s="102"/>
      <c r="AA354" s="102"/>
      <c r="AB354" s="102"/>
      <c r="AC354" s="102"/>
      <c r="AD354" s="102"/>
      <c r="AE354" s="102"/>
      <c r="AF354" s="102"/>
      <c r="AG354" s="151"/>
      <c r="AH354" s="102"/>
      <c r="AI354" s="102"/>
      <c r="AJ354" s="102"/>
      <c r="AK354" s="151"/>
      <c r="AL354" s="102"/>
      <c r="AM354" s="102"/>
      <c r="AN354" s="102"/>
      <c r="AO354" s="102"/>
      <c r="AP354" s="102"/>
    </row>
    <row r="355" spans="1:42" x14ac:dyDescent="0.3">
      <c r="C355" s="99"/>
      <c r="D355" s="99"/>
      <c r="E355" s="99"/>
      <c r="T355" s="99"/>
      <c r="U355" s="99"/>
    </row>
    <row r="357" spans="1:42" x14ac:dyDescent="0.3">
      <c r="C357" s="99"/>
      <c r="T357" s="99"/>
    </row>
    <row r="358" spans="1:42" x14ac:dyDescent="0.3">
      <c r="C358" s="99"/>
      <c r="F358" s="172"/>
      <c r="H358" s="172"/>
      <c r="I358" s="172"/>
      <c r="J358" s="217"/>
      <c r="K358" s="217"/>
      <c r="L358" s="110"/>
      <c r="M358" s="110"/>
      <c r="N358" s="141"/>
      <c r="O358" s="141"/>
      <c r="P358" s="110"/>
      <c r="Q358" s="110"/>
      <c r="R358" s="110"/>
      <c r="T358" s="99"/>
      <c r="V358" s="172"/>
      <c r="AA358" s="172"/>
      <c r="AB358" s="217"/>
      <c r="AC358" s="110"/>
      <c r="AD358" s="110"/>
      <c r="AE358" s="141"/>
      <c r="AF358" s="141"/>
      <c r="AH358" s="110"/>
      <c r="AI358" s="207"/>
      <c r="AJ358" s="207"/>
      <c r="AL358" s="110"/>
      <c r="AM358" s="110"/>
      <c r="AN358" s="110"/>
      <c r="AO358" s="141"/>
      <c r="AP358" s="141"/>
    </row>
    <row r="359" spans="1:42" x14ac:dyDescent="0.3">
      <c r="C359" s="99"/>
      <c r="T359" s="99"/>
    </row>
    <row r="360" spans="1:42" x14ac:dyDescent="0.3">
      <c r="C360" s="99"/>
      <c r="F360" s="172"/>
      <c r="H360" s="172"/>
      <c r="I360" s="172"/>
      <c r="J360" s="228"/>
      <c r="K360" s="228"/>
      <c r="L360" s="110"/>
      <c r="M360" s="110"/>
      <c r="N360" s="141"/>
      <c r="O360" s="141"/>
      <c r="P360" s="110"/>
      <c r="Q360" s="110"/>
      <c r="R360" s="110"/>
      <c r="T360" s="99"/>
      <c r="V360" s="110"/>
      <c r="AA360" s="110"/>
      <c r="AB360" s="228"/>
      <c r="AC360" s="110"/>
      <c r="AD360" s="110"/>
      <c r="AE360" s="141"/>
      <c r="AF360" s="141"/>
      <c r="AH360" s="110"/>
      <c r="AI360" s="207"/>
      <c r="AJ360" s="207"/>
      <c r="AL360" s="110"/>
      <c r="AM360" s="110"/>
      <c r="AN360" s="110"/>
      <c r="AO360" s="141"/>
      <c r="AP360" s="141"/>
    </row>
    <row r="361" spans="1:42" x14ac:dyDescent="0.3">
      <c r="C361" s="99"/>
      <c r="F361" s="172"/>
      <c r="H361" s="172"/>
      <c r="I361" s="172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10"/>
      <c r="AA361" s="110"/>
      <c r="AB361" s="228"/>
      <c r="AC361" s="110"/>
      <c r="AD361" s="110"/>
      <c r="AE361" s="141"/>
      <c r="AF361" s="141"/>
      <c r="AH361" s="110"/>
      <c r="AI361" s="207"/>
      <c r="AJ361" s="207"/>
      <c r="AL361" s="110"/>
      <c r="AM361" s="110"/>
      <c r="AN361" s="110"/>
      <c r="AO361" s="141"/>
      <c r="AP361" s="141"/>
    </row>
    <row r="362" spans="1:42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AA362" s="110"/>
      <c r="AB362" s="228"/>
      <c r="AC362" s="110"/>
      <c r="AD362" s="110"/>
      <c r="AE362" s="141"/>
      <c r="AF362" s="141"/>
      <c r="AH362" s="110"/>
      <c r="AI362" s="207"/>
      <c r="AJ362" s="207"/>
      <c r="AL362" s="110"/>
      <c r="AM362" s="110"/>
      <c r="AN362" s="110"/>
      <c r="AO362" s="141"/>
      <c r="AP362" s="141"/>
    </row>
    <row r="363" spans="1:42" x14ac:dyDescent="0.3">
      <c r="C363" s="99"/>
      <c r="F363" s="172"/>
      <c r="H363" s="172"/>
      <c r="I363" s="172"/>
      <c r="J363" s="228"/>
      <c r="K363" s="228"/>
      <c r="L363" s="110"/>
      <c r="M363" s="110"/>
      <c r="N363" s="141"/>
      <c r="O363" s="141"/>
      <c r="P363" s="110"/>
      <c r="Q363" s="110"/>
      <c r="R363" s="110"/>
      <c r="T363" s="99"/>
      <c r="V363" s="110"/>
      <c r="AA363" s="110"/>
      <c r="AB363" s="228"/>
      <c r="AC363" s="110"/>
      <c r="AD363" s="110"/>
      <c r="AE363" s="141"/>
      <c r="AF363" s="141"/>
      <c r="AH363" s="110"/>
      <c r="AI363" s="207"/>
      <c r="AJ363" s="207"/>
      <c r="AL363" s="110"/>
      <c r="AM363" s="110"/>
      <c r="AN363" s="110"/>
      <c r="AO363" s="141"/>
      <c r="AP363" s="141"/>
    </row>
    <row r="364" spans="1:42" x14ac:dyDescent="0.3">
      <c r="C364" s="99"/>
      <c r="J364" s="163"/>
      <c r="K364" s="163"/>
      <c r="T364" s="99"/>
      <c r="AB364" s="163"/>
    </row>
    <row r="365" spans="1:42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AA365" s="110"/>
      <c r="AB365" s="228"/>
      <c r="AC365" s="110"/>
      <c r="AD365" s="110"/>
      <c r="AE365" s="141"/>
      <c r="AF365" s="141"/>
      <c r="AH365" s="110"/>
      <c r="AI365" s="207"/>
      <c r="AJ365" s="207"/>
      <c r="AL365" s="110"/>
      <c r="AM365" s="110"/>
      <c r="AN365" s="110"/>
      <c r="AO365" s="141"/>
      <c r="AP365" s="141"/>
    </row>
    <row r="366" spans="1:42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AA366" s="110"/>
      <c r="AB366" s="228"/>
      <c r="AC366" s="110"/>
      <c r="AD366" s="110"/>
      <c r="AE366" s="141"/>
      <c r="AF366" s="141"/>
      <c r="AH366" s="110"/>
      <c r="AI366" s="207"/>
      <c r="AJ366" s="207"/>
      <c r="AL366" s="110"/>
      <c r="AM366" s="110"/>
      <c r="AN366" s="110"/>
      <c r="AO366" s="141"/>
      <c r="AP366" s="141"/>
    </row>
    <row r="367" spans="1:42" x14ac:dyDescent="0.3">
      <c r="C367" s="99"/>
      <c r="F367" s="172"/>
      <c r="H367" s="172"/>
      <c r="I367" s="172"/>
      <c r="J367" s="228"/>
      <c r="K367" s="228"/>
      <c r="L367" s="110"/>
      <c r="M367" s="110"/>
      <c r="N367" s="141"/>
      <c r="O367" s="141"/>
      <c r="P367" s="110"/>
      <c r="Q367" s="110"/>
      <c r="R367" s="110"/>
      <c r="T367" s="99"/>
      <c r="V367" s="110"/>
      <c r="AA367" s="110"/>
      <c r="AB367" s="228"/>
      <c r="AC367" s="110"/>
      <c r="AD367" s="110"/>
      <c r="AE367" s="141"/>
      <c r="AF367" s="141"/>
      <c r="AH367" s="110"/>
      <c r="AI367" s="207"/>
      <c r="AJ367" s="207"/>
      <c r="AL367" s="110"/>
      <c r="AM367" s="110"/>
      <c r="AN367" s="110"/>
      <c r="AO367" s="141"/>
      <c r="AP367" s="141"/>
    </row>
    <row r="368" spans="1:42" x14ac:dyDescent="0.3">
      <c r="C368" s="99"/>
      <c r="J368" s="163"/>
      <c r="K368" s="163"/>
      <c r="T368" s="99"/>
      <c r="AB368" s="163"/>
    </row>
    <row r="369" spans="3:42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AA369" s="110"/>
      <c r="AB369" s="228"/>
      <c r="AC369" s="110"/>
      <c r="AD369" s="110"/>
      <c r="AE369" s="141"/>
      <c r="AF369" s="141"/>
      <c r="AH369" s="110"/>
      <c r="AI369" s="207"/>
      <c r="AJ369" s="207"/>
      <c r="AL369" s="110"/>
      <c r="AM369" s="110"/>
      <c r="AN369" s="110"/>
      <c r="AO369" s="141"/>
      <c r="AP369" s="141"/>
    </row>
    <row r="370" spans="3:42" x14ac:dyDescent="0.3">
      <c r="C370" s="99"/>
      <c r="F370" s="172"/>
      <c r="H370" s="172"/>
      <c r="I370" s="172"/>
      <c r="J370" s="228"/>
      <c r="K370" s="228"/>
      <c r="L370" s="110"/>
      <c r="M370" s="110"/>
      <c r="N370" s="141"/>
      <c r="O370" s="141"/>
      <c r="P370" s="110"/>
      <c r="Q370" s="110"/>
      <c r="R370" s="110"/>
      <c r="T370" s="99"/>
      <c r="V370" s="110"/>
      <c r="AA370" s="110"/>
      <c r="AB370" s="228"/>
      <c r="AC370" s="110"/>
      <c r="AD370" s="110"/>
      <c r="AE370" s="141"/>
      <c r="AF370" s="141"/>
      <c r="AH370" s="110"/>
      <c r="AI370" s="207"/>
      <c r="AJ370" s="207"/>
      <c r="AL370" s="110"/>
      <c r="AM370" s="110"/>
      <c r="AN370" s="110"/>
      <c r="AO370" s="141"/>
      <c r="AP370" s="141"/>
    </row>
    <row r="371" spans="3:42" x14ac:dyDescent="0.3">
      <c r="C371" s="99"/>
      <c r="J371" s="163"/>
      <c r="K371" s="163"/>
      <c r="T371" s="99"/>
      <c r="AB371" s="163"/>
    </row>
    <row r="372" spans="3:42" x14ac:dyDescent="0.3">
      <c r="C372" s="99"/>
      <c r="F372" s="172"/>
      <c r="H372" s="172"/>
      <c r="I372" s="172"/>
      <c r="J372" s="228"/>
      <c r="K372" s="228"/>
      <c r="L372" s="110"/>
      <c r="M372" s="110"/>
      <c r="N372" s="141"/>
      <c r="O372" s="141"/>
      <c r="P372" s="110"/>
      <c r="Q372" s="110"/>
      <c r="R372" s="110"/>
      <c r="T372" s="99"/>
      <c r="V372" s="110"/>
      <c r="AA372" s="110"/>
      <c r="AB372" s="228"/>
      <c r="AC372" s="110"/>
      <c r="AD372" s="110"/>
      <c r="AE372" s="141"/>
      <c r="AF372" s="141"/>
      <c r="AH372" s="110"/>
      <c r="AI372" s="207"/>
      <c r="AJ372" s="207"/>
      <c r="AL372" s="110"/>
      <c r="AM372" s="110"/>
      <c r="AN372" s="110"/>
      <c r="AO372" s="141"/>
      <c r="AP372" s="141"/>
    </row>
    <row r="373" spans="3:42" x14ac:dyDescent="0.3">
      <c r="C373" s="99"/>
      <c r="F373" s="172"/>
      <c r="H373" s="172"/>
      <c r="I373" s="172"/>
      <c r="J373" s="228"/>
      <c r="K373" s="228"/>
      <c r="L373" s="110"/>
      <c r="M373" s="110"/>
      <c r="N373" s="141"/>
      <c r="O373" s="141"/>
      <c r="P373" s="110"/>
      <c r="Q373" s="110"/>
      <c r="R373" s="110"/>
      <c r="T373" s="99"/>
      <c r="V373" s="110"/>
      <c r="AA373" s="110"/>
      <c r="AB373" s="228"/>
      <c r="AC373" s="110"/>
      <c r="AD373" s="110"/>
      <c r="AE373" s="141"/>
      <c r="AF373" s="141"/>
      <c r="AH373" s="110"/>
      <c r="AI373" s="207"/>
      <c r="AJ373" s="207"/>
      <c r="AL373" s="110"/>
      <c r="AM373" s="110"/>
      <c r="AN373" s="110"/>
      <c r="AO373" s="141"/>
      <c r="AP373" s="141"/>
    </row>
    <row r="374" spans="3:42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10"/>
      <c r="AA374" s="110"/>
      <c r="AB374" s="228"/>
      <c r="AC374" s="110"/>
      <c r="AD374" s="110"/>
      <c r="AE374" s="141"/>
      <c r="AF374" s="141"/>
      <c r="AH374" s="110"/>
      <c r="AI374" s="207"/>
      <c r="AJ374" s="207"/>
      <c r="AL374" s="110"/>
      <c r="AM374" s="110"/>
      <c r="AN374" s="110"/>
      <c r="AO374" s="141"/>
      <c r="AP374" s="141"/>
    </row>
    <row r="375" spans="3:42" x14ac:dyDescent="0.3">
      <c r="F375" s="192"/>
      <c r="H375" s="192"/>
      <c r="I375" s="192"/>
      <c r="J375" s="228"/>
      <c r="K375" s="228"/>
      <c r="L375" s="192"/>
      <c r="M375" s="192"/>
      <c r="N375" s="192"/>
      <c r="O375" s="192"/>
      <c r="P375" s="192"/>
      <c r="Q375" s="192"/>
      <c r="R375" s="192"/>
      <c r="V375" s="192"/>
      <c r="AA375" s="192"/>
      <c r="AB375" s="228"/>
      <c r="AC375" s="192"/>
      <c r="AD375" s="192"/>
      <c r="AE375" s="192"/>
      <c r="AF375" s="192"/>
      <c r="AG375" s="194"/>
      <c r="AH375" s="192"/>
      <c r="AK375" s="194"/>
      <c r="AL375" s="192"/>
      <c r="AM375" s="192"/>
      <c r="AN375" s="192"/>
    </row>
    <row r="376" spans="3:42" x14ac:dyDescent="0.3">
      <c r="C376" s="102"/>
      <c r="F376" s="110"/>
      <c r="H376" s="110"/>
      <c r="I376" s="110"/>
      <c r="J376" s="163"/>
      <c r="K376" s="163"/>
      <c r="L376" s="110"/>
      <c r="M376" s="110"/>
      <c r="N376" s="207"/>
      <c r="O376" s="207"/>
      <c r="P376" s="110"/>
      <c r="Q376" s="110"/>
      <c r="R376" s="110"/>
      <c r="T376" s="102"/>
      <c r="V376" s="110"/>
      <c r="AA376" s="110"/>
      <c r="AB376" s="163"/>
      <c r="AC376" s="110"/>
      <c r="AD376" s="110"/>
      <c r="AE376" s="110"/>
      <c r="AF376" s="110"/>
      <c r="AH376" s="110"/>
      <c r="AI376" s="207"/>
      <c r="AJ376" s="207"/>
      <c r="AL376" s="110"/>
      <c r="AM376" s="110"/>
      <c r="AN376" s="110"/>
      <c r="AO376" s="141"/>
      <c r="AP376" s="141"/>
    </row>
    <row r="377" spans="3:42" x14ac:dyDescent="0.3">
      <c r="F377" s="192"/>
      <c r="H377" s="192"/>
      <c r="I377" s="192"/>
      <c r="J377" s="228"/>
      <c r="K377" s="228"/>
      <c r="L377" s="192"/>
      <c r="M377" s="192"/>
      <c r="N377" s="192"/>
      <c r="O377" s="192"/>
      <c r="P377" s="192"/>
      <c r="Q377" s="192"/>
      <c r="R377" s="192"/>
      <c r="V377" s="192"/>
      <c r="AA377" s="192"/>
      <c r="AB377" s="228"/>
      <c r="AC377" s="192"/>
      <c r="AD377" s="192"/>
      <c r="AE377" s="192"/>
      <c r="AF377" s="192"/>
      <c r="AG377" s="194"/>
      <c r="AH377" s="192"/>
      <c r="AK377" s="194"/>
      <c r="AL377" s="192"/>
      <c r="AM377" s="192"/>
      <c r="AN377" s="192"/>
    </row>
    <row r="378" spans="3:42" x14ac:dyDescent="0.3">
      <c r="C378" s="99"/>
      <c r="J378" s="163"/>
      <c r="K378" s="163"/>
      <c r="T378" s="99"/>
      <c r="AB378" s="163"/>
    </row>
    <row r="379" spans="3:42" x14ac:dyDescent="0.3">
      <c r="C379" s="99"/>
      <c r="J379" s="163"/>
      <c r="K379" s="163"/>
      <c r="T379" s="99"/>
      <c r="AB379" s="163"/>
    </row>
    <row r="380" spans="3:42" x14ac:dyDescent="0.3">
      <c r="C380" s="99"/>
      <c r="F380" s="172"/>
      <c r="H380" s="172"/>
      <c r="I380" s="172"/>
      <c r="J380" s="228"/>
      <c r="K380" s="228"/>
      <c r="L380" s="110"/>
      <c r="M380" s="110"/>
      <c r="N380" s="141"/>
      <c r="O380" s="141"/>
      <c r="P380" s="110"/>
      <c r="Q380" s="110"/>
      <c r="R380" s="110"/>
      <c r="T380" s="99"/>
      <c r="V380" s="110"/>
      <c r="AA380" s="110"/>
      <c r="AB380" s="228"/>
      <c r="AC380" s="110"/>
      <c r="AD380" s="110"/>
      <c r="AE380" s="141"/>
      <c r="AF380" s="141"/>
      <c r="AH380" s="110"/>
      <c r="AI380" s="207"/>
      <c r="AJ380" s="207"/>
      <c r="AL380" s="110"/>
      <c r="AM380" s="110"/>
      <c r="AN380" s="110"/>
      <c r="AO380" s="141"/>
      <c r="AP380" s="141"/>
    </row>
    <row r="381" spans="3:42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AA381" s="110"/>
      <c r="AB381" s="228"/>
      <c r="AC381" s="110"/>
      <c r="AD381" s="110"/>
      <c r="AE381" s="141"/>
      <c r="AF381" s="141"/>
      <c r="AH381" s="110"/>
      <c r="AI381" s="207"/>
      <c r="AJ381" s="207"/>
      <c r="AL381" s="110"/>
      <c r="AM381" s="110"/>
      <c r="AN381" s="110"/>
      <c r="AO381" s="141"/>
      <c r="AP381" s="141"/>
    </row>
    <row r="382" spans="3:42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AA382" s="110"/>
      <c r="AB382" s="228"/>
      <c r="AC382" s="110"/>
      <c r="AD382" s="110"/>
      <c r="AE382" s="141"/>
      <c r="AF382" s="141"/>
      <c r="AH382" s="110"/>
      <c r="AI382" s="207"/>
      <c r="AJ382" s="207"/>
      <c r="AL382" s="110"/>
      <c r="AM382" s="110"/>
      <c r="AN382" s="110"/>
      <c r="AO382" s="141"/>
      <c r="AP382" s="141"/>
    </row>
    <row r="383" spans="3:42" x14ac:dyDescent="0.3">
      <c r="C383" s="99"/>
      <c r="F383" s="172"/>
      <c r="H383" s="172"/>
      <c r="I383" s="172"/>
      <c r="J383" s="228"/>
      <c r="K383" s="228"/>
      <c r="L383" s="110"/>
      <c r="M383" s="110"/>
      <c r="N383" s="141"/>
      <c r="O383" s="141"/>
      <c r="P383" s="110"/>
      <c r="Q383" s="110"/>
      <c r="R383" s="110"/>
      <c r="T383" s="99"/>
      <c r="V383" s="110"/>
      <c r="AA383" s="110"/>
      <c r="AB383" s="228"/>
      <c r="AC383" s="110"/>
      <c r="AD383" s="110"/>
      <c r="AE383" s="141"/>
      <c r="AF383" s="141"/>
      <c r="AH383" s="110"/>
      <c r="AI383" s="207"/>
      <c r="AJ383" s="207"/>
      <c r="AL383" s="110"/>
      <c r="AM383" s="110"/>
      <c r="AN383" s="110"/>
      <c r="AO383" s="141"/>
      <c r="AP383" s="141"/>
    </row>
    <row r="384" spans="3:42" x14ac:dyDescent="0.3">
      <c r="C384" s="99"/>
      <c r="F384" s="172"/>
      <c r="H384" s="172"/>
      <c r="I384" s="172"/>
      <c r="J384" s="228"/>
      <c r="K384" s="228"/>
      <c r="L384" s="110"/>
      <c r="M384" s="110"/>
      <c r="N384" s="141"/>
      <c r="O384" s="141"/>
      <c r="P384" s="110"/>
      <c r="Q384" s="110"/>
      <c r="R384" s="110"/>
      <c r="T384" s="99"/>
      <c r="V384" s="110"/>
      <c r="AA384" s="110"/>
      <c r="AB384" s="228"/>
      <c r="AC384" s="110"/>
      <c r="AD384" s="110"/>
      <c r="AE384" s="141"/>
      <c r="AF384" s="141"/>
      <c r="AH384" s="110"/>
      <c r="AI384" s="207"/>
      <c r="AJ384" s="207"/>
      <c r="AL384" s="110"/>
      <c r="AM384" s="110"/>
      <c r="AN384" s="110"/>
      <c r="AO384" s="141"/>
      <c r="AP384" s="141"/>
    </row>
    <row r="385" spans="3:42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10"/>
      <c r="AA385" s="110"/>
      <c r="AB385" s="228"/>
      <c r="AC385" s="110"/>
      <c r="AD385" s="110"/>
      <c r="AE385" s="141"/>
      <c r="AF385" s="141"/>
      <c r="AH385" s="110"/>
      <c r="AI385" s="207"/>
      <c r="AJ385" s="207"/>
      <c r="AL385" s="110"/>
      <c r="AM385" s="110"/>
      <c r="AN385" s="110"/>
      <c r="AO385" s="141"/>
      <c r="AP385" s="141"/>
    </row>
    <row r="386" spans="3:42" x14ac:dyDescent="0.3">
      <c r="C386" s="99"/>
      <c r="F386" s="172"/>
      <c r="H386" s="172"/>
      <c r="I386" s="172"/>
      <c r="J386" s="228"/>
      <c r="K386" s="228"/>
      <c r="L386" s="110"/>
      <c r="M386" s="110"/>
      <c r="N386" s="141"/>
      <c r="O386" s="141"/>
      <c r="P386" s="110"/>
      <c r="Q386" s="110"/>
      <c r="R386" s="110"/>
      <c r="T386" s="99"/>
      <c r="V386" s="110"/>
      <c r="AA386" s="110"/>
      <c r="AB386" s="228"/>
      <c r="AC386" s="110"/>
      <c r="AD386" s="110"/>
      <c r="AE386" s="141"/>
      <c r="AF386" s="141"/>
      <c r="AH386" s="110"/>
      <c r="AI386" s="207"/>
      <c r="AJ386" s="207"/>
      <c r="AL386" s="110"/>
      <c r="AM386" s="110"/>
      <c r="AN386" s="110"/>
      <c r="AO386" s="141"/>
      <c r="AP386" s="141"/>
    </row>
    <row r="387" spans="3:42" x14ac:dyDescent="0.3">
      <c r="C387" s="99"/>
      <c r="J387" s="163"/>
      <c r="K387" s="163"/>
      <c r="T387" s="99"/>
      <c r="AB387" s="163"/>
    </row>
    <row r="388" spans="3:42" x14ac:dyDescent="0.3">
      <c r="C388" s="99"/>
      <c r="F388" s="172"/>
      <c r="H388" s="172"/>
      <c r="I388" s="172"/>
      <c r="J388" s="228"/>
      <c r="K388" s="228"/>
      <c r="L388" s="110"/>
      <c r="M388" s="110"/>
      <c r="N388" s="141"/>
      <c r="O388" s="141"/>
      <c r="P388" s="110"/>
      <c r="Q388" s="110"/>
      <c r="R388" s="110"/>
      <c r="T388" s="99"/>
      <c r="V388" s="110"/>
      <c r="AA388" s="110"/>
      <c r="AB388" s="228"/>
      <c r="AC388" s="110"/>
      <c r="AD388" s="110"/>
      <c r="AE388" s="141"/>
      <c r="AF388" s="141"/>
      <c r="AH388" s="110"/>
      <c r="AI388" s="207"/>
      <c r="AJ388" s="207"/>
      <c r="AL388" s="110"/>
      <c r="AM388" s="110"/>
      <c r="AN388" s="110"/>
      <c r="AO388" s="141"/>
      <c r="AP388" s="141"/>
    </row>
    <row r="389" spans="3:42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10"/>
      <c r="AA389" s="110"/>
      <c r="AB389" s="228"/>
      <c r="AC389" s="110"/>
      <c r="AD389" s="110"/>
      <c r="AE389" s="141"/>
      <c r="AF389" s="141"/>
      <c r="AH389" s="110"/>
      <c r="AI389" s="207"/>
      <c r="AJ389" s="207"/>
      <c r="AL389" s="110"/>
      <c r="AM389" s="110"/>
      <c r="AN389" s="110"/>
      <c r="AO389" s="141"/>
      <c r="AP389" s="141"/>
    </row>
    <row r="390" spans="3:42" x14ac:dyDescent="0.3">
      <c r="C390" s="99"/>
      <c r="F390" s="172"/>
      <c r="H390" s="172"/>
      <c r="I390" s="172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10"/>
      <c r="AA390" s="110"/>
      <c r="AB390" s="228"/>
      <c r="AC390" s="110"/>
      <c r="AD390" s="110"/>
      <c r="AE390" s="141"/>
      <c r="AF390" s="141"/>
      <c r="AH390" s="110"/>
      <c r="AI390" s="207"/>
      <c r="AJ390" s="207"/>
      <c r="AL390" s="110"/>
      <c r="AM390" s="110"/>
      <c r="AN390" s="110"/>
      <c r="AO390" s="141"/>
      <c r="AP390" s="141"/>
    </row>
    <row r="391" spans="3:42" x14ac:dyDescent="0.3">
      <c r="C391" s="99"/>
      <c r="F391" s="172"/>
      <c r="H391" s="172"/>
      <c r="I391" s="172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10"/>
      <c r="AA391" s="110"/>
      <c r="AB391" s="228"/>
      <c r="AC391" s="110"/>
      <c r="AD391" s="110"/>
      <c r="AE391" s="141"/>
      <c r="AF391" s="141"/>
      <c r="AH391" s="110"/>
      <c r="AI391" s="207"/>
      <c r="AJ391" s="207"/>
      <c r="AL391" s="110"/>
      <c r="AM391" s="110"/>
      <c r="AN391" s="110"/>
      <c r="AO391" s="141"/>
      <c r="AP391" s="141"/>
    </row>
    <row r="392" spans="3:42" x14ac:dyDescent="0.3">
      <c r="C392" s="99"/>
      <c r="J392" s="163"/>
      <c r="K392" s="163"/>
      <c r="T392" s="99"/>
      <c r="AB392" s="163"/>
    </row>
    <row r="393" spans="3:42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AA393" s="110"/>
      <c r="AB393" s="228"/>
      <c r="AC393" s="110"/>
      <c r="AD393" s="110"/>
      <c r="AE393" s="141"/>
      <c r="AF393" s="141"/>
      <c r="AH393" s="110"/>
      <c r="AI393" s="207"/>
      <c r="AJ393" s="207"/>
      <c r="AL393" s="110"/>
      <c r="AM393" s="110"/>
      <c r="AN393" s="110"/>
      <c r="AO393" s="141"/>
      <c r="AP393" s="141"/>
    </row>
    <row r="394" spans="3:42" x14ac:dyDescent="0.3">
      <c r="C394" s="99"/>
      <c r="F394" s="172"/>
      <c r="H394" s="172"/>
      <c r="I394" s="172"/>
      <c r="J394" s="228"/>
      <c r="K394" s="228"/>
      <c r="L394" s="110"/>
      <c r="M394" s="110"/>
      <c r="N394" s="141"/>
      <c r="O394" s="141"/>
      <c r="P394" s="110"/>
      <c r="Q394" s="110"/>
      <c r="R394" s="110"/>
      <c r="T394" s="99"/>
      <c r="V394" s="110"/>
      <c r="AA394" s="110"/>
      <c r="AB394" s="228"/>
      <c r="AC394" s="110"/>
      <c r="AD394" s="110"/>
      <c r="AE394" s="141"/>
      <c r="AF394" s="141"/>
      <c r="AH394" s="110"/>
      <c r="AI394" s="207"/>
      <c r="AJ394" s="207"/>
      <c r="AL394" s="110"/>
      <c r="AM394" s="110"/>
      <c r="AN394" s="110"/>
      <c r="AO394" s="141"/>
      <c r="AP394" s="141"/>
    </row>
    <row r="395" spans="3:42" x14ac:dyDescent="0.3">
      <c r="C395" s="99"/>
      <c r="F395" s="172"/>
      <c r="H395" s="172"/>
      <c r="I395" s="172"/>
      <c r="J395" s="228"/>
      <c r="K395" s="228"/>
      <c r="L395" s="110"/>
      <c r="M395" s="110"/>
      <c r="N395" s="141"/>
      <c r="O395" s="141"/>
      <c r="P395" s="110"/>
      <c r="Q395" s="110"/>
      <c r="R395" s="110"/>
      <c r="T395" s="99"/>
      <c r="V395" s="110"/>
      <c r="AA395" s="110"/>
      <c r="AB395" s="228"/>
      <c r="AC395" s="110"/>
      <c r="AD395" s="110"/>
      <c r="AE395" s="141"/>
      <c r="AF395" s="141"/>
      <c r="AH395" s="110"/>
      <c r="AI395" s="207"/>
      <c r="AJ395" s="207"/>
      <c r="AL395" s="110"/>
      <c r="AM395" s="110"/>
      <c r="AN395" s="110"/>
      <c r="AO395" s="141"/>
      <c r="AP395" s="141"/>
    </row>
    <row r="396" spans="3:42" x14ac:dyDescent="0.3">
      <c r="C396" s="99"/>
      <c r="F396" s="172"/>
      <c r="H396" s="172"/>
      <c r="I396" s="172"/>
      <c r="J396" s="228"/>
      <c r="K396" s="228"/>
      <c r="L396" s="110"/>
      <c r="M396" s="110"/>
      <c r="N396" s="141"/>
      <c r="O396" s="141"/>
      <c r="P396" s="110"/>
      <c r="Q396" s="110"/>
      <c r="R396" s="110"/>
      <c r="T396" s="99"/>
      <c r="V396" s="110"/>
      <c r="AA396" s="110"/>
      <c r="AB396" s="228"/>
      <c r="AC396" s="110"/>
      <c r="AD396" s="110"/>
      <c r="AE396" s="141"/>
      <c r="AF396" s="141"/>
      <c r="AH396" s="110"/>
      <c r="AI396" s="207"/>
      <c r="AJ396" s="207"/>
      <c r="AL396" s="110"/>
      <c r="AM396" s="110"/>
      <c r="AN396" s="110"/>
      <c r="AO396" s="141"/>
      <c r="AP396" s="141"/>
    </row>
    <row r="397" spans="3:42" x14ac:dyDescent="0.3">
      <c r="C397" s="99"/>
      <c r="F397" s="172"/>
      <c r="H397" s="172"/>
      <c r="I397" s="172"/>
      <c r="J397" s="228"/>
      <c r="K397" s="228"/>
      <c r="L397" s="110"/>
      <c r="M397" s="110"/>
      <c r="N397" s="141"/>
      <c r="O397" s="141"/>
      <c r="P397" s="110"/>
      <c r="Q397" s="110"/>
      <c r="R397" s="110"/>
      <c r="T397" s="99"/>
      <c r="V397" s="110"/>
      <c r="AA397" s="110"/>
      <c r="AB397" s="228"/>
      <c r="AC397" s="110"/>
      <c r="AD397" s="110"/>
      <c r="AE397" s="141"/>
      <c r="AF397" s="141"/>
      <c r="AH397" s="110"/>
      <c r="AI397" s="207"/>
      <c r="AJ397" s="207"/>
      <c r="AL397" s="110"/>
      <c r="AM397" s="110"/>
      <c r="AN397" s="110"/>
      <c r="AO397" s="141"/>
      <c r="AP397" s="141"/>
    </row>
    <row r="398" spans="3:42" x14ac:dyDescent="0.3">
      <c r="F398" s="192"/>
      <c r="H398" s="192"/>
      <c r="I398" s="192"/>
      <c r="J398" s="217"/>
      <c r="K398" s="217"/>
      <c r="L398" s="192"/>
      <c r="M398" s="192"/>
      <c r="N398" s="192"/>
      <c r="O398" s="192"/>
      <c r="P398" s="192"/>
      <c r="Q398" s="192"/>
      <c r="R398" s="192"/>
      <c r="V398" s="192"/>
      <c r="AA398" s="192"/>
      <c r="AB398" s="228"/>
      <c r="AC398" s="192"/>
      <c r="AD398" s="192"/>
      <c r="AE398" s="192"/>
      <c r="AF398" s="192"/>
      <c r="AG398" s="194"/>
      <c r="AH398" s="192"/>
      <c r="AK398" s="194"/>
      <c r="AL398" s="192"/>
      <c r="AM398" s="192"/>
      <c r="AN398" s="192"/>
    </row>
    <row r="399" spans="3:42" x14ac:dyDescent="0.3">
      <c r="C399" s="99"/>
      <c r="F399" s="110"/>
      <c r="H399" s="110"/>
      <c r="I399" s="110"/>
      <c r="L399" s="110"/>
      <c r="M399" s="110"/>
      <c r="N399" s="207"/>
      <c r="O399" s="207"/>
      <c r="P399" s="110"/>
      <c r="Q399" s="110"/>
      <c r="R399" s="110"/>
      <c r="T399" s="99"/>
      <c r="V399" s="110"/>
      <c r="AA399" s="110"/>
      <c r="AC399" s="110"/>
      <c r="AD399" s="110"/>
      <c r="AE399" s="141"/>
      <c r="AF399" s="141"/>
      <c r="AH399" s="110"/>
      <c r="AI399" s="207"/>
      <c r="AJ399" s="207"/>
      <c r="AL399" s="110"/>
      <c r="AM399" s="110"/>
      <c r="AN399" s="110"/>
      <c r="AO399" s="141"/>
      <c r="AP399" s="141"/>
    </row>
    <row r="400" spans="3:42" x14ac:dyDescent="0.3">
      <c r="F400" s="192"/>
      <c r="H400" s="192"/>
      <c r="I400" s="192"/>
      <c r="J400" s="217"/>
      <c r="K400" s="217"/>
      <c r="L400" s="192"/>
      <c r="M400" s="192"/>
      <c r="N400" s="192"/>
      <c r="O400" s="192"/>
      <c r="P400" s="192"/>
      <c r="Q400" s="192"/>
      <c r="R400" s="192"/>
      <c r="V400" s="192"/>
      <c r="AA400" s="192"/>
      <c r="AB400" s="217"/>
      <c r="AC400" s="192"/>
      <c r="AD400" s="192"/>
      <c r="AE400" s="192"/>
      <c r="AF400" s="192"/>
      <c r="AG400" s="194"/>
      <c r="AH400" s="192"/>
      <c r="AK400" s="194"/>
      <c r="AL400" s="192"/>
      <c r="AM400" s="192"/>
      <c r="AN400" s="192"/>
    </row>
    <row r="401" spans="1:42" x14ac:dyDescent="0.3">
      <c r="C401" s="99"/>
      <c r="T401" s="99"/>
    </row>
    <row r="402" spans="1:42" x14ac:dyDescent="0.3">
      <c r="C402" s="99"/>
      <c r="F402" s="172"/>
      <c r="H402" s="172"/>
      <c r="I402" s="172"/>
      <c r="J402" s="181"/>
      <c r="K402" s="181"/>
      <c r="L402" s="110"/>
      <c r="M402" s="110"/>
      <c r="N402" s="141"/>
      <c r="O402" s="141"/>
      <c r="P402" s="110"/>
      <c r="Q402" s="110"/>
      <c r="R402" s="110"/>
      <c r="T402" s="99"/>
      <c r="V402" s="110"/>
      <c r="AA402" s="110"/>
      <c r="AB402" s="181"/>
      <c r="AC402" s="110"/>
      <c r="AD402" s="110"/>
      <c r="AE402" s="141"/>
      <c r="AF402" s="141"/>
      <c r="AH402" s="110"/>
      <c r="AI402" s="207"/>
      <c r="AJ402" s="207"/>
      <c r="AL402" s="110"/>
      <c r="AM402" s="110"/>
      <c r="AN402" s="110"/>
      <c r="AO402" s="141"/>
      <c r="AP402" s="141"/>
    </row>
    <row r="403" spans="1:42" x14ac:dyDescent="0.3">
      <c r="C403" s="99"/>
      <c r="F403" s="172"/>
      <c r="H403" s="172"/>
      <c r="I403" s="172"/>
      <c r="J403" s="181"/>
      <c r="K403" s="181"/>
      <c r="L403" s="110"/>
      <c r="M403" s="110"/>
      <c r="N403" s="141"/>
      <c r="O403" s="141"/>
      <c r="P403" s="110"/>
      <c r="Q403" s="110"/>
      <c r="R403" s="110"/>
      <c r="T403" s="99"/>
      <c r="V403" s="110"/>
      <c r="AA403" s="110"/>
      <c r="AB403" s="181"/>
      <c r="AC403" s="110"/>
      <c r="AD403" s="110"/>
      <c r="AE403" s="141"/>
      <c r="AF403" s="141"/>
      <c r="AH403" s="110"/>
      <c r="AI403" s="207"/>
      <c r="AJ403" s="207"/>
      <c r="AL403" s="110"/>
      <c r="AM403" s="110"/>
      <c r="AN403" s="110"/>
      <c r="AO403" s="141"/>
      <c r="AP403" s="141"/>
    </row>
    <row r="404" spans="1:42" x14ac:dyDescent="0.3">
      <c r="F404" s="192"/>
      <c r="H404" s="110"/>
      <c r="I404" s="110"/>
      <c r="J404" s="217"/>
      <c r="K404" s="217"/>
      <c r="L404" s="192"/>
      <c r="M404" s="192"/>
      <c r="N404" s="192"/>
      <c r="O404" s="192"/>
      <c r="P404" s="192"/>
      <c r="Q404" s="192"/>
      <c r="R404" s="192"/>
      <c r="V404" s="192"/>
      <c r="AA404" s="110"/>
      <c r="AB404" s="217"/>
      <c r="AC404" s="192"/>
      <c r="AD404" s="192"/>
      <c r="AE404" s="192"/>
      <c r="AF404" s="192"/>
      <c r="AG404" s="194"/>
      <c r="AH404" s="192"/>
      <c r="AK404" s="194"/>
      <c r="AL404" s="192"/>
      <c r="AM404" s="192"/>
      <c r="AN404" s="192"/>
    </row>
    <row r="405" spans="1:42" x14ac:dyDescent="0.3">
      <c r="F405" s="110"/>
      <c r="H405" s="110"/>
      <c r="I405" s="110"/>
      <c r="J405" s="217"/>
      <c r="K405" s="217"/>
      <c r="L405" s="110"/>
      <c r="M405" s="110"/>
      <c r="N405" s="110"/>
      <c r="O405" s="110"/>
      <c r="P405" s="110"/>
      <c r="Q405" s="110"/>
      <c r="R405" s="110"/>
      <c r="V405" s="110"/>
      <c r="AA405" s="110"/>
      <c r="AB405" s="217"/>
      <c r="AC405" s="110"/>
      <c r="AD405" s="110"/>
      <c r="AE405" s="110"/>
      <c r="AF405" s="110"/>
      <c r="AH405" s="110"/>
      <c r="AL405" s="110"/>
      <c r="AM405" s="110"/>
      <c r="AN405" s="110"/>
    </row>
    <row r="406" spans="1:42" x14ac:dyDescent="0.3">
      <c r="C406" s="99"/>
      <c r="F406" s="110"/>
      <c r="H406" s="110"/>
      <c r="I406" s="110"/>
      <c r="L406" s="110"/>
      <c r="M406" s="110"/>
      <c r="N406" s="141"/>
      <c r="O406" s="141"/>
      <c r="P406" s="110"/>
      <c r="Q406" s="110"/>
      <c r="R406" s="110"/>
      <c r="T406" s="99"/>
      <c r="V406" s="110"/>
      <c r="AA406" s="110"/>
      <c r="AC406" s="110"/>
      <c r="AD406" s="110"/>
      <c r="AE406" s="141"/>
      <c r="AF406" s="141"/>
      <c r="AH406" s="110"/>
      <c r="AI406" s="207"/>
      <c r="AJ406" s="207"/>
      <c r="AK406" s="224"/>
      <c r="AL406" s="172"/>
      <c r="AM406" s="110"/>
      <c r="AN406" s="110"/>
      <c r="AO406" s="141"/>
      <c r="AP406" s="141"/>
    </row>
    <row r="407" spans="1:42" x14ac:dyDescent="0.3">
      <c r="H407" s="192"/>
      <c r="I407" s="192"/>
      <c r="J407" s="217"/>
      <c r="K407" s="217"/>
      <c r="L407" s="192"/>
      <c r="M407" s="192"/>
      <c r="N407" s="192"/>
      <c r="O407" s="192"/>
      <c r="P407" s="192"/>
      <c r="Q407" s="192"/>
      <c r="R407" s="192"/>
      <c r="V407" s="192"/>
      <c r="AA407" s="192"/>
      <c r="AB407" s="217"/>
      <c r="AC407" s="192"/>
      <c r="AD407" s="192"/>
      <c r="AE407" s="192"/>
      <c r="AF407" s="192"/>
      <c r="AG407" s="194"/>
      <c r="AH407" s="192"/>
      <c r="AK407" s="194"/>
      <c r="AL407" s="192"/>
      <c r="AM407" s="192"/>
      <c r="AN407" s="192"/>
    </row>
    <row r="408" spans="1:42" x14ac:dyDescent="0.3">
      <c r="F408" s="192"/>
    </row>
    <row r="409" spans="1:42" x14ac:dyDescent="0.3">
      <c r="A409" s="99"/>
      <c r="T409" s="99"/>
    </row>
    <row r="410" spans="1:42" x14ac:dyDescent="0.3">
      <c r="A410" s="99"/>
      <c r="T410" s="99"/>
    </row>
    <row r="411" spans="1:42" x14ac:dyDescent="0.3">
      <c r="A411" s="99"/>
      <c r="T411" s="99"/>
    </row>
    <row r="412" spans="1:42" x14ac:dyDescent="0.3">
      <c r="A412" s="99"/>
      <c r="T412" s="99"/>
    </row>
    <row r="413" spans="1:42" x14ac:dyDescent="0.3">
      <c r="A413" s="99"/>
      <c r="T413" s="99"/>
    </row>
    <row r="414" spans="1:42" x14ac:dyDescent="0.3">
      <c r="A414" s="99"/>
      <c r="T414" s="99"/>
    </row>
    <row r="415" spans="1:42" x14ac:dyDescent="0.3">
      <c r="A415" s="99"/>
      <c r="T415" s="99"/>
    </row>
    <row r="416" spans="1:42" x14ac:dyDescent="0.3">
      <c r="A416" s="99"/>
      <c r="T416" s="99"/>
    </row>
    <row r="417" spans="1:42" x14ac:dyDescent="0.3">
      <c r="A417" s="99"/>
      <c r="T417" s="99"/>
    </row>
    <row r="419" spans="1:42" x14ac:dyDescent="0.3">
      <c r="A419" s="99"/>
    </row>
    <row r="421" spans="1:42" x14ac:dyDescent="0.3">
      <c r="H421" s="99"/>
      <c r="I421" s="99"/>
      <c r="AA421" s="99"/>
    </row>
    <row r="423" spans="1:42" x14ac:dyDescent="0.3">
      <c r="L423" s="99"/>
      <c r="M423" s="99"/>
      <c r="AC423" s="99"/>
      <c r="AD423" s="99"/>
    </row>
    <row r="424" spans="1:42" x14ac:dyDescent="0.3">
      <c r="R424" s="99"/>
      <c r="AM424" s="99"/>
      <c r="AN424" s="99"/>
    </row>
    <row r="425" spans="1:42" x14ac:dyDescent="0.3">
      <c r="R425" s="99"/>
      <c r="AM425" s="99"/>
      <c r="AN425" s="99"/>
    </row>
    <row r="426" spans="1:42" x14ac:dyDescent="0.3">
      <c r="A426" s="99"/>
      <c r="R426" s="99"/>
      <c r="AM426" s="99"/>
      <c r="AN426" s="99"/>
    </row>
    <row r="427" spans="1:42" x14ac:dyDescent="0.3">
      <c r="L427" s="99"/>
      <c r="M427" s="99"/>
      <c r="AC427" s="99"/>
      <c r="AD427" s="99"/>
    </row>
    <row r="428" spans="1:42" x14ac:dyDescent="0.3">
      <c r="A428" s="101"/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1"/>
      <c r="AF428" s="101"/>
      <c r="AG428" s="191"/>
      <c r="AH428" s="101"/>
      <c r="AI428" s="101"/>
      <c r="AJ428" s="101"/>
      <c r="AK428" s="191"/>
      <c r="AL428" s="101"/>
      <c r="AM428" s="101"/>
      <c r="AN428" s="101"/>
      <c r="AO428" s="101"/>
      <c r="AP428" s="101"/>
    </row>
    <row r="429" spans="1:42" x14ac:dyDescent="0.3">
      <c r="L429" s="102"/>
      <c r="M429" s="102"/>
      <c r="N429" s="102"/>
      <c r="O429" s="102"/>
      <c r="R429" s="102"/>
      <c r="AC429" s="102"/>
      <c r="AD429" s="102"/>
      <c r="AE429" s="102"/>
      <c r="AF429" s="102"/>
      <c r="AG429" s="151"/>
      <c r="AH429" s="102"/>
      <c r="AI429" s="102"/>
      <c r="AJ429" s="102"/>
      <c r="AM429" s="102"/>
      <c r="AN429" s="102"/>
      <c r="AO429" s="102"/>
      <c r="AP429" s="102"/>
    </row>
    <row r="430" spans="1:42" x14ac:dyDescent="0.3">
      <c r="L430" s="102"/>
      <c r="M430" s="102"/>
      <c r="N430" s="102"/>
      <c r="O430" s="102"/>
      <c r="R430" s="102"/>
      <c r="AB430" s="102"/>
      <c r="AC430" s="102"/>
      <c r="AD430" s="102"/>
      <c r="AE430" s="102"/>
      <c r="AF430" s="102"/>
      <c r="AG430" s="151"/>
      <c r="AH430" s="102"/>
      <c r="AI430" s="102"/>
      <c r="AJ430" s="102"/>
      <c r="AM430" s="102"/>
      <c r="AN430" s="102"/>
      <c r="AO430" s="102"/>
      <c r="AP430" s="102"/>
    </row>
    <row r="431" spans="1:42" x14ac:dyDescent="0.3">
      <c r="A431" s="102"/>
      <c r="C431" s="102"/>
      <c r="D431" s="102"/>
      <c r="E431" s="102"/>
      <c r="F431" s="102"/>
      <c r="J431" s="102"/>
      <c r="K431" s="102"/>
      <c r="L431" s="102"/>
      <c r="M431" s="102"/>
      <c r="N431" s="102"/>
      <c r="O431" s="102"/>
      <c r="P431" s="102"/>
      <c r="Q431" s="102"/>
      <c r="R431" s="102"/>
      <c r="T431" s="102"/>
      <c r="U431" s="102"/>
      <c r="V431" s="102"/>
      <c r="AB431" s="102"/>
      <c r="AC431" s="102"/>
      <c r="AD431" s="102"/>
      <c r="AE431" s="102"/>
      <c r="AF431" s="102"/>
      <c r="AG431" s="151"/>
      <c r="AH431" s="102"/>
      <c r="AI431" s="102"/>
      <c r="AJ431" s="102"/>
      <c r="AK431" s="151"/>
      <c r="AL431" s="102"/>
      <c r="AM431" s="102"/>
      <c r="AN431" s="102"/>
      <c r="AO431" s="102"/>
      <c r="AP431" s="102"/>
    </row>
    <row r="432" spans="1:42" x14ac:dyDescent="0.3">
      <c r="A432" s="102"/>
      <c r="C432" s="102"/>
      <c r="D432" s="102"/>
      <c r="E432" s="102"/>
      <c r="F432" s="102"/>
      <c r="H432" s="102"/>
      <c r="I432" s="102"/>
      <c r="J432" s="102"/>
      <c r="K432" s="102"/>
      <c r="L432" s="102"/>
      <c r="M432" s="102"/>
      <c r="N432" s="102"/>
      <c r="O432" s="102"/>
      <c r="P432" s="102"/>
      <c r="Q432" s="102"/>
      <c r="R432" s="102"/>
      <c r="T432" s="102"/>
      <c r="U432" s="102"/>
      <c r="V432" s="102"/>
      <c r="AA432" s="102"/>
      <c r="AB432" s="102"/>
      <c r="AC432" s="102"/>
      <c r="AD432" s="102"/>
      <c r="AE432" s="102"/>
      <c r="AF432" s="102"/>
      <c r="AG432" s="151"/>
      <c r="AH432" s="102"/>
      <c r="AI432" s="102"/>
      <c r="AJ432" s="102"/>
      <c r="AK432" s="151"/>
      <c r="AL432" s="102"/>
      <c r="AM432" s="102"/>
      <c r="AN432" s="102"/>
      <c r="AO432" s="102"/>
      <c r="AP432" s="102"/>
    </row>
    <row r="433" spans="1:42" x14ac:dyDescent="0.3">
      <c r="C433" s="102"/>
      <c r="D433" s="102"/>
      <c r="E433" s="102"/>
      <c r="F433" s="102"/>
      <c r="H433" s="102"/>
      <c r="I433" s="102"/>
      <c r="J433" s="102"/>
      <c r="K433" s="102"/>
      <c r="L433" s="102"/>
      <c r="M433" s="102"/>
      <c r="N433" s="102"/>
      <c r="O433" s="102"/>
      <c r="P433" s="102"/>
      <c r="Q433" s="102"/>
      <c r="R433" s="102"/>
      <c r="T433" s="102"/>
      <c r="U433" s="102"/>
      <c r="V433" s="102"/>
      <c r="AA433" s="102"/>
      <c r="AB433" s="102"/>
      <c r="AC433" s="102"/>
      <c r="AD433" s="102"/>
      <c r="AE433" s="102"/>
      <c r="AF433" s="102"/>
      <c r="AG433" s="151"/>
      <c r="AH433" s="102"/>
      <c r="AI433" s="102"/>
      <c r="AJ433" s="102"/>
      <c r="AK433" s="151"/>
      <c r="AL433" s="102"/>
      <c r="AM433" s="102"/>
      <c r="AN433" s="102"/>
      <c r="AO433" s="102"/>
      <c r="AP433" s="102"/>
    </row>
    <row r="434" spans="1:42" x14ac:dyDescent="0.3">
      <c r="A434" s="101"/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T434" s="101"/>
      <c r="U434" s="101"/>
      <c r="V434" s="101"/>
      <c r="W434" s="101"/>
      <c r="X434" s="101"/>
      <c r="Y434" s="101"/>
      <c r="Z434" s="101"/>
      <c r="AA434" s="101"/>
      <c r="AB434" s="101"/>
      <c r="AC434" s="101"/>
      <c r="AD434" s="101"/>
      <c r="AE434" s="101"/>
      <c r="AF434" s="101"/>
      <c r="AG434" s="191"/>
      <c r="AH434" s="101"/>
      <c r="AI434" s="101"/>
      <c r="AJ434" s="101"/>
      <c r="AK434" s="191"/>
      <c r="AL434" s="101"/>
      <c r="AM434" s="101"/>
      <c r="AN434" s="101"/>
      <c r="AO434" s="101"/>
      <c r="AP434" s="101"/>
    </row>
    <row r="435" spans="1:42" x14ac:dyDescent="0.3">
      <c r="H435" s="102"/>
      <c r="I435" s="102"/>
      <c r="J435" s="102"/>
      <c r="K435" s="102"/>
      <c r="L435" s="102"/>
      <c r="M435" s="102"/>
      <c r="N435" s="102"/>
      <c r="O435" s="102"/>
      <c r="P435" s="102"/>
      <c r="Q435" s="102"/>
      <c r="R435" s="102"/>
      <c r="AA435" s="102"/>
      <c r="AB435" s="102"/>
      <c r="AC435" s="102"/>
      <c r="AD435" s="102"/>
      <c r="AE435" s="102"/>
      <c r="AF435" s="102"/>
      <c r="AG435" s="151"/>
      <c r="AH435" s="102"/>
      <c r="AI435" s="102"/>
      <c r="AJ435" s="102"/>
      <c r="AK435" s="151"/>
      <c r="AL435" s="102"/>
      <c r="AM435" s="102"/>
      <c r="AN435" s="102"/>
      <c r="AO435" s="102"/>
      <c r="AP435" s="102"/>
    </row>
    <row r="436" spans="1:42" x14ac:dyDescent="0.3">
      <c r="C436" s="99"/>
      <c r="D436" s="99"/>
      <c r="E436" s="99"/>
      <c r="T436" s="99"/>
      <c r="U436" s="99"/>
    </row>
    <row r="437" spans="1:42" x14ac:dyDescent="0.3">
      <c r="D437" s="99"/>
      <c r="E437" s="99"/>
      <c r="U437" s="99"/>
    </row>
    <row r="439" spans="1:42" x14ac:dyDescent="0.3">
      <c r="C439" s="99"/>
      <c r="F439" s="110"/>
      <c r="J439" s="209"/>
      <c r="K439" s="209"/>
      <c r="L439" s="110"/>
      <c r="M439" s="110"/>
      <c r="R439" s="110"/>
      <c r="T439" s="99"/>
      <c r="V439" s="110"/>
      <c r="AB439" s="209"/>
      <c r="AC439" s="110"/>
      <c r="AD439" s="110"/>
      <c r="AI439" s="110"/>
      <c r="AJ439" s="110"/>
      <c r="AM439" s="110"/>
      <c r="AN439" s="110"/>
    </row>
    <row r="440" spans="1:42" x14ac:dyDescent="0.3">
      <c r="C440" s="99"/>
      <c r="F440" s="110"/>
      <c r="R440" s="110"/>
      <c r="T440" s="99"/>
      <c r="V440" s="110"/>
      <c r="AI440" s="110"/>
      <c r="AJ440" s="110"/>
      <c r="AM440" s="110"/>
      <c r="AN440" s="110"/>
    </row>
    <row r="441" spans="1:42" x14ac:dyDescent="0.3">
      <c r="AL441" s="110"/>
      <c r="AM441" s="110"/>
      <c r="AN441" s="110"/>
      <c r="AO441" s="141"/>
      <c r="AP441" s="141"/>
    </row>
    <row r="442" spans="1:42" x14ac:dyDescent="0.3">
      <c r="C442" s="99"/>
      <c r="F442" s="172"/>
      <c r="H442" s="172"/>
      <c r="I442" s="172"/>
      <c r="J442" s="227"/>
      <c r="K442" s="227"/>
      <c r="L442" s="110"/>
      <c r="M442" s="110"/>
      <c r="N442" s="141"/>
      <c r="O442" s="141"/>
      <c r="P442" s="110"/>
      <c r="Q442" s="110"/>
      <c r="R442" s="110"/>
      <c r="T442" s="99"/>
      <c r="V442" s="110"/>
      <c r="AA442" s="110"/>
      <c r="AB442" s="227"/>
      <c r="AC442" s="110"/>
      <c r="AD442" s="110"/>
      <c r="AE442" s="141"/>
      <c r="AF442" s="141"/>
      <c r="AH442" s="110"/>
      <c r="AI442" s="207"/>
      <c r="AJ442" s="207"/>
      <c r="AL442" s="110"/>
      <c r="AM442" s="110"/>
      <c r="AN442" s="110"/>
      <c r="AO442" s="141"/>
      <c r="AP442" s="141"/>
    </row>
    <row r="443" spans="1:42" x14ac:dyDescent="0.3">
      <c r="F443" s="110"/>
      <c r="H443" s="110"/>
      <c r="I443" s="110"/>
      <c r="J443" s="198"/>
      <c r="K443" s="198"/>
      <c r="L443" s="110"/>
      <c r="M443" s="110"/>
      <c r="P443" s="110"/>
      <c r="Q443" s="110"/>
      <c r="R443" s="110"/>
      <c r="V443" s="110"/>
      <c r="AA443" s="110"/>
      <c r="AB443" s="198"/>
      <c r="AC443" s="110"/>
      <c r="AD443" s="110"/>
      <c r="AL443" s="110"/>
      <c r="AM443" s="110"/>
      <c r="AN443" s="110"/>
      <c r="AO443" s="141"/>
      <c r="AP443" s="141"/>
    </row>
    <row r="444" spans="1:42" x14ac:dyDescent="0.3">
      <c r="F444" s="110"/>
      <c r="R444" s="110"/>
      <c r="V444" s="110"/>
      <c r="AM444" s="110"/>
      <c r="AN444" s="110"/>
      <c r="AO444" s="141"/>
      <c r="AP444" s="141"/>
    </row>
    <row r="445" spans="1:42" x14ac:dyDescent="0.3">
      <c r="C445" s="99"/>
      <c r="F445" s="110"/>
      <c r="J445" s="209"/>
      <c r="K445" s="209"/>
      <c r="L445" s="110"/>
      <c r="M445" s="110"/>
      <c r="N445" s="141"/>
      <c r="O445" s="141"/>
      <c r="R445" s="110"/>
      <c r="T445" s="99"/>
      <c r="V445" s="110"/>
      <c r="AB445" s="209"/>
      <c r="AC445" s="110"/>
      <c r="AD445" s="110"/>
      <c r="AE445" s="141"/>
      <c r="AF445" s="141"/>
      <c r="AM445" s="110"/>
      <c r="AN445" s="110"/>
      <c r="AO445" s="141"/>
      <c r="AP445" s="141"/>
    </row>
    <row r="446" spans="1:42" x14ac:dyDescent="0.3">
      <c r="C446" s="99"/>
      <c r="F446" s="110"/>
      <c r="H446" s="110"/>
      <c r="I446" s="110"/>
      <c r="J446" s="209"/>
      <c r="K446" s="209"/>
      <c r="L446" s="110"/>
      <c r="M446" s="110"/>
      <c r="N446" s="141"/>
      <c r="O446" s="141"/>
      <c r="P446" s="110"/>
      <c r="Q446" s="110"/>
      <c r="R446" s="110"/>
      <c r="T446" s="99"/>
      <c r="V446" s="110"/>
      <c r="AA446" s="110"/>
      <c r="AB446" s="209"/>
      <c r="AC446" s="110"/>
      <c r="AD446" s="110"/>
      <c r="AE446" s="141"/>
      <c r="AF446" s="141"/>
      <c r="AL446" s="110"/>
      <c r="AM446" s="110"/>
      <c r="AN446" s="110"/>
      <c r="AO446" s="141"/>
      <c r="AP446" s="141"/>
    </row>
    <row r="447" spans="1:42" x14ac:dyDescent="0.3">
      <c r="C447" s="99"/>
      <c r="T447" s="99"/>
      <c r="AO447" s="141"/>
      <c r="AP447" s="141"/>
    </row>
    <row r="448" spans="1:42" x14ac:dyDescent="0.3">
      <c r="C448" s="99"/>
      <c r="T448" s="99"/>
      <c r="AO448" s="141"/>
      <c r="AP448" s="141"/>
    </row>
    <row r="449" spans="1:42" x14ac:dyDescent="0.3">
      <c r="AO449" s="141"/>
      <c r="AP449" s="141"/>
    </row>
    <row r="450" spans="1:42" x14ac:dyDescent="0.3">
      <c r="C450" s="99"/>
      <c r="F450" s="172"/>
      <c r="H450" s="172"/>
      <c r="I450" s="172"/>
      <c r="J450" s="227"/>
      <c r="K450" s="227"/>
      <c r="L450" s="110"/>
      <c r="M450" s="110"/>
      <c r="N450" s="141"/>
      <c r="O450" s="141"/>
      <c r="P450" s="110"/>
      <c r="Q450" s="110"/>
      <c r="R450" s="110"/>
      <c r="T450" s="99"/>
      <c r="V450" s="110"/>
      <c r="AA450" s="110"/>
      <c r="AB450" s="227"/>
      <c r="AC450" s="110"/>
      <c r="AD450" s="110"/>
      <c r="AE450" s="141"/>
      <c r="AF450" s="141"/>
      <c r="AH450" s="110"/>
      <c r="AI450" s="207"/>
      <c r="AJ450" s="207"/>
      <c r="AL450" s="110"/>
      <c r="AM450" s="110"/>
      <c r="AN450" s="110"/>
      <c r="AO450" s="141"/>
      <c r="AP450" s="141"/>
    </row>
    <row r="451" spans="1:42" x14ac:dyDescent="0.3">
      <c r="F451" s="192"/>
      <c r="H451" s="192"/>
      <c r="I451" s="192"/>
      <c r="J451" s="217"/>
      <c r="K451" s="217"/>
      <c r="L451" s="192"/>
      <c r="M451" s="192"/>
      <c r="N451" s="192"/>
      <c r="O451" s="192"/>
      <c r="P451" s="192"/>
      <c r="Q451" s="192"/>
      <c r="R451" s="192"/>
      <c r="V451" s="192"/>
      <c r="AA451" s="192"/>
      <c r="AB451" s="217"/>
      <c r="AC451" s="192"/>
      <c r="AD451" s="192"/>
      <c r="AE451" s="192"/>
      <c r="AF451" s="192"/>
      <c r="AG451" s="194"/>
      <c r="AH451" s="192"/>
      <c r="AK451" s="194"/>
      <c r="AL451" s="192"/>
      <c r="AM451" s="192"/>
      <c r="AN451" s="192"/>
      <c r="AO451" s="141"/>
      <c r="AP451" s="141"/>
    </row>
    <row r="452" spans="1:42" x14ac:dyDescent="0.3">
      <c r="H452" s="110"/>
      <c r="I452" s="110"/>
      <c r="AA452" s="110"/>
      <c r="AO452" s="141"/>
      <c r="AP452" s="141"/>
    </row>
    <row r="453" spans="1:42" x14ac:dyDescent="0.3">
      <c r="C453" s="99"/>
      <c r="F453" s="110"/>
      <c r="H453" s="110"/>
      <c r="I453" s="110"/>
      <c r="L453" s="110"/>
      <c r="M453" s="110"/>
      <c r="N453" s="141"/>
      <c r="O453" s="141"/>
      <c r="P453" s="172"/>
      <c r="Q453" s="172"/>
      <c r="R453" s="110"/>
      <c r="T453" s="99"/>
      <c r="V453" s="110"/>
      <c r="AA453" s="110"/>
      <c r="AC453" s="110"/>
      <c r="AD453" s="110"/>
      <c r="AE453" s="141"/>
      <c r="AF453" s="141"/>
      <c r="AH453" s="110"/>
      <c r="AI453" s="207"/>
      <c r="AJ453" s="207"/>
      <c r="AK453" s="224"/>
      <c r="AL453" s="172"/>
      <c r="AM453" s="110"/>
      <c r="AN453" s="110"/>
      <c r="AO453" s="141"/>
      <c r="AP453" s="141"/>
    </row>
    <row r="454" spans="1:42" x14ac:dyDescent="0.3">
      <c r="H454" s="192"/>
      <c r="I454" s="192"/>
      <c r="J454" s="217"/>
      <c r="K454" s="217"/>
      <c r="L454" s="192"/>
      <c r="M454" s="192"/>
      <c r="N454" s="192"/>
      <c r="O454" s="192"/>
      <c r="P454" s="192"/>
      <c r="Q454" s="192"/>
      <c r="R454" s="192"/>
      <c r="V454" s="192"/>
      <c r="AA454" s="192"/>
      <c r="AB454" s="217"/>
      <c r="AC454" s="192"/>
      <c r="AD454" s="192"/>
      <c r="AE454" s="192"/>
      <c r="AF454" s="192"/>
      <c r="AG454" s="194"/>
      <c r="AH454" s="192"/>
      <c r="AK454" s="194"/>
      <c r="AL454" s="192"/>
      <c r="AM454" s="192"/>
      <c r="AN454" s="192"/>
      <c r="AO454" s="141"/>
      <c r="AP454" s="141"/>
    </row>
    <row r="455" spans="1:42" x14ac:dyDescent="0.3">
      <c r="F455" s="192"/>
    </row>
    <row r="456" spans="1:42" x14ac:dyDescent="0.3">
      <c r="F456" s="110"/>
      <c r="H456" s="110"/>
      <c r="I456" s="110"/>
      <c r="J456" s="198"/>
      <c r="K456" s="198"/>
      <c r="L456" s="110"/>
      <c r="M456" s="110"/>
      <c r="N456" s="110"/>
      <c r="O456" s="110"/>
      <c r="P456" s="110"/>
      <c r="Q456" s="110"/>
      <c r="R456" s="110"/>
      <c r="V456" s="110"/>
      <c r="AA456" s="110"/>
      <c r="AB456" s="198"/>
      <c r="AC456" s="110"/>
      <c r="AD456" s="110"/>
      <c r="AE456" s="110"/>
      <c r="AF456" s="110"/>
      <c r="AH456" s="110"/>
      <c r="AI456" s="110"/>
      <c r="AJ456" s="110"/>
      <c r="AL456" s="110"/>
      <c r="AM456" s="110"/>
      <c r="AN456" s="110"/>
    </row>
    <row r="457" spans="1:42" x14ac:dyDescent="0.3">
      <c r="A457" s="99"/>
    </row>
    <row r="459" spans="1:42" x14ac:dyDescent="0.3">
      <c r="H459" s="99"/>
      <c r="I459" s="99"/>
      <c r="AA459" s="99"/>
    </row>
    <row r="461" spans="1:42" x14ac:dyDescent="0.3">
      <c r="L461" s="99"/>
      <c r="M461" s="99"/>
      <c r="AC461" s="99"/>
      <c r="AD461" s="99"/>
    </row>
    <row r="462" spans="1:42" x14ac:dyDescent="0.3">
      <c r="R462" s="99"/>
      <c r="AM462" s="99"/>
      <c r="AN462" s="99"/>
    </row>
    <row r="463" spans="1:42" x14ac:dyDescent="0.3">
      <c r="R463" s="99"/>
      <c r="AM463" s="99"/>
      <c r="AN463" s="99"/>
    </row>
    <row r="464" spans="1:42" x14ac:dyDescent="0.3">
      <c r="A464" s="99"/>
      <c r="R464" s="99"/>
      <c r="AM464" s="99"/>
      <c r="AN464" s="99"/>
    </row>
    <row r="465" spans="1:42" x14ac:dyDescent="0.3">
      <c r="L465" s="99"/>
      <c r="M465" s="99"/>
      <c r="AC465" s="99"/>
      <c r="AD465" s="99"/>
    </row>
    <row r="466" spans="1:42" x14ac:dyDescent="0.3">
      <c r="A466" s="101"/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T466" s="101"/>
      <c r="U466" s="101"/>
      <c r="V466" s="101"/>
      <c r="W466" s="101"/>
      <c r="X466" s="101"/>
      <c r="Y466" s="101"/>
      <c r="Z466" s="101"/>
      <c r="AA466" s="101"/>
      <c r="AB466" s="101"/>
      <c r="AC466" s="101"/>
      <c r="AD466" s="101"/>
      <c r="AE466" s="101"/>
      <c r="AF466" s="101"/>
      <c r="AG466" s="191"/>
      <c r="AH466" s="101"/>
      <c r="AI466" s="101"/>
      <c r="AJ466" s="101"/>
      <c r="AK466" s="191"/>
      <c r="AL466" s="101"/>
      <c r="AM466" s="101"/>
      <c r="AN466" s="101"/>
      <c r="AO466" s="101"/>
      <c r="AP466" s="101"/>
    </row>
    <row r="467" spans="1:42" x14ac:dyDescent="0.3">
      <c r="L467" s="102"/>
      <c r="M467" s="102"/>
      <c r="N467" s="102"/>
      <c r="O467" s="102"/>
      <c r="R467" s="102"/>
      <c r="AC467" s="102"/>
      <c r="AD467" s="102"/>
      <c r="AE467" s="102"/>
      <c r="AF467" s="102"/>
      <c r="AG467" s="151"/>
      <c r="AH467" s="102"/>
      <c r="AI467" s="102"/>
      <c r="AJ467" s="102"/>
      <c r="AM467" s="102"/>
      <c r="AN467" s="102"/>
      <c r="AO467" s="102"/>
      <c r="AP467" s="102"/>
    </row>
    <row r="468" spans="1:42" x14ac:dyDescent="0.3">
      <c r="L468" s="102"/>
      <c r="M468" s="102"/>
      <c r="N468" s="102"/>
      <c r="O468" s="102"/>
      <c r="R468" s="102"/>
      <c r="AB468" s="102"/>
      <c r="AC468" s="102"/>
      <c r="AD468" s="102"/>
      <c r="AE468" s="102"/>
      <c r="AF468" s="102"/>
      <c r="AG468" s="151"/>
      <c r="AH468" s="102"/>
      <c r="AI468" s="102"/>
      <c r="AJ468" s="102"/>
      <c r="AM468" s="102"/>
      <c r="AN468" s="102"/>
      <c r="AO468" s="102"/>
      <c r="AP468" s="102"/>
    </row>
    <row r="469" spans="1:42" x14ac:dyDescent="0.3">
      <c r="A469" s="102"/>
      <c r="C469" s="102"/>
      <c r="D469" s="102"/>
      <c r="E469" s="102"/>
      <c r="F469" s="102"/>
      <c r="J469" s="102"/>
      <c r="K469" s="102"/>
      <c r="L469" s="102"/>
      <c r="M469" s="102"/>
      <c r="N469" s="102"/>
      <c r="O469" s="102"/>
      <c r="P469" s="102"/>
      <c r="Q469" s="102"/>
      <c r="R469" s="102"/>
      <c r="T469" s="102"/>
      <c r="U469" s="102"/>
      <c r="V469" s="102"/>
      <c r="AB469" s="102"/>
      <c r="AC469" s="102"/>
      <c r="AD469" s="102"/>
      <c r="AE469" s="102"/>
      <c r="AF469" s="102"/>
      <c r="AG469" s="151"/>
      <c r="AH469" s="102"/>
      <c r="AI469" s="102"/>
      <c r="AJ469" s="102"/>
      <c r="AK469" s="151"/>
      <c r="AL469" s="102"/>
      <c r="AM469" s="102"/>
      <c r="AN469" s="102"/>
      <c r="AO469" s="102"/>
      <c r="AP469" s="102"/>
    </row>
    <row r="470" spans="1:42" x14ac:dyDescent="0.3">
      <c r="A470" s="102"/>
      <c r="C470" s="102"/>
      <c r="D470" s="102"/>
      <c r="E470" s="102"/>
      <c r="F470" s="102"/>
      <c r="H470" s="102"/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T470" s="102"/>
      <c r="U470" s="102"/>
      <c r="V470" s="102"/>
      <c r="AA470" s="102"/>
      <c r="AB470" s="102"/>
      <c r="AC470" s="102"/>
      <c r="AD470" s="102"/>
      <c r="AE470" s="102"/>
      <c r="AF470" s="102"/>
      <c r="AG470" s="151"/>
      <c r="AH470" s="102"/>
      <c r="AI470" s="102"/>
      <c r="AJ470" s="102"/>
      <c r="AK470" s="151"/>
      <c r="AL470" s="102"/>
      <c r="AM470" s="102"/>
      <c r="AN470" s="102"/>
      <c r="AO470" s="102"/>
      <c r="AP470" s="102"/>
    </row>
    <row r="471" spans="1:42" x14ac:dyDescent="0.3">
      <c r="C471" s="102"/>
      <c r="D471" s="102"/>
      <c r="E471" s="102"/>
      <c r="F471" s="102"/>
      <c r="H471" s="102"/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T471" s="102"/>
      <c r="U471" s="102"/>
      <c r="V471" s="102"/>
      <c r="AA471" s="102"/>
      <c r="AB471" s="102"/>
      <c r="AC471" s="102"/>
      <c r="AD471" s="102"/>
      <c r="AE471" s="102"/>
      <c r="AF471" s="102"/>
      <c r="AG471" s="151"/>
      <c r="AH471" s="102"/>
      <c r="AI471" s="102"/>
      <c r="AJ471" s="102"/>
      <c r="AK471" s="151"/>
      <c r="AL471" s="102"/>
      <c r="AM471" s="102"/>
      <c r="AN471" s="102"/>
      <c r="AO471" s="102"/>
      <c r="AP471" s="102"/>
    </row>
    <row r="472" spans="1:42" x14ac:dyDescent="0.3">
      <c r="A472" s="101"/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T472" s="101"/>
      <c r="U472" s="101"/>
      <c r="V472" s="101"/>
      <c r="W472" s="101"/>
      <c r="X472" s="101"/>
      <c r="Y472" s="101"/>
      <c r="Z472" s="101"/>
      <c r="AA472" s="101"/>
      <c r="AB472" s="101"/>
      <c r="AC472" s="101"/>
      <c r="AD472" s="101"/>
      <c r="AE472" s="101"/>
      <c r="AF472" s="101"/>
      <c r="AG472" s="191"/>
      <c r="AH472" s="101"/>
      <c r="AI472" s="101"/>
      <c r="AJ472" s="101"/>
      <c r="AK472" s="191"/>
      <c r="AL472" s="101"/>
      <c r="AM472" s="101"/>
      <c r="AN472" s="101"/>
      <c r="AO472" s="101"/>
      <c r="AP472" s="101"/>
    </row>
    <row r="473" spans="1:42" x14ac:dyDescent="0.3">
      <c r="H473" s="102"/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AA473" s="102"/>
      <c r="AB473" s="102"/>
      <c r="AC473" s="102"/>
      <c r="AD473" s="102"/>
      <c r="AE473" s="102"/>
      <c r="AF473" s="102"/>
      <c r="AG473" s="151"/>
      <c r="AH473" s="102"/>
      <c r="AI473" s="102"/>
      <c r="AJ473" s="102"/>
      <c r="AK473" s="151"/>
      <c r="AL473" s="102"/>
      <c r="AM473" s="102"/>
      <c r="AN473" s="102"/>
      <c r="AO473" s="102"/>
      <c r="AP473" s="102"/>
    </row>
    <row r="474" spans="1:42" x14ac:dyDescent="0.3">
      <c r="C474" s="99"/>
      <c r="D474" s="99"/>
      <c r="E474" s="99"/>
      <c r="T474" s="99"/>
      <c r="U474" s="99"/>
      <c r="V474" s="110"/>
      <c r="W474" s="110"/>
      <c r="X474" s="110"/>
      <c r="Y474" s="110"/>
      <c r="Z474" s="110"/>
      <c r="AA474" s="110"/>
      <c r="AB474" s="227"/>
    </row>
    <row r="476" spans="1:42" x14ac:dyDescent="0.3">
      <c r="C476" s="99"/>
      <c r="T476" s="99"/>
      <c r="V476" s="110"/>
      <c r="W476" s="110"/>
      <c r="X476" s="110"/>
      <c r="Y476" s="110"/>
      <c r="Z476" s="110"/>
      <c r="AA476" s="110"/>
      <c r="AB476" s="227"/>
    </row>
    <row r="477" spans="1:42" x14ac:dyDescent="0.3">
      <c r="C477" s="99"/>
      <c r="F477" s="172"/>
      <c r="H477" s="172"/>
      <c r="I477" s="172"/>
      <c r="J477" s="228"/>
      <c r="K477" s="228"/>
      <c r="L477" s="110"/>
      <c r="M477" s="110"/>
      <c r="N477" s="141"/>
      <c r="O477" s="141"/>
      <c r="P477" s="110"/>
      <c r="Q477" s="110"/>
      <c r="R477" s="110"/>
      <c r="T477" s="99"/>
      <c r="V477" s="110"/>
      <c r="W477" s="110"/>
      <c r="X477" s="110"/>
      <c r="Y477" s="110"/>
      <c r="Z477" s="110"/>
      <c r="AA477" s="110"/>
      <c r="AB477" s="228"/>
      <c r="AC477" s="110"/>
      <c r="AD477" s="110"/>
      <c r="AE477" s="141"/>
      <c r="AF477" s="141"/>
      <c r="AH477" s="110"/>
      <c r="AI477" s="207"/>
      <c r="AJ477" s="207"/>
      <c r="AL477" s="110"/>
      <c r="AM477" s="110"/>
      <c r="AN477" s="110"/>
      <c r="AO477" s="141"/>
      <c r="AP477" s="141"/>
    </row>
    <row r="478" spans="1:42" x14ac:dyDescent="0.3">
      <c r="C478" s="99"/>
      <c r="F478" s="172"/>
      <c r="H478" s="172"/>
      <c r="I478" s="172"/>
      <c r="J478" s="228"/>
      <c r="K478" s="228"/>
      <c r="L478" s="110"/>
      <c r="M478" s="110"/>
      <c r="N478" s="141"/>
      <c r="O478" s="141"/>
      <c r="P478" s="110"/>
      <c r="Q478" s="110"/>
      <c r="R478" s="110"/>
      <c r="T478" s="99"/>
      <c r="V478" s="110"/>
      <c r="W478" s="110"/>
      <c r="X478" s="110"/>
      <c r="Y478" s="110"/>
      <c r="Z478" s="110"/>
      <c r="AA478" s="110"/>
      <c r="AB478" s="228"/>
      <c r="AC478" s="110"/>
      <c r="AD478" s="110"/>
      <c r="AE478" s="141"/>
      <c r="AF478" s="141"/>
      <c r="AH478" s="110"/>
      <c r="AI478" s="207"/>
      <c r="AJ478" s="207"/>
      <c r="AL478" s="110"/>
      <c r="AM478" s="110"/>
      <c r="AN478" s="110"/>
      <c r="AO478" s="141"/>
      <c r="AP478" s="141"/>
    </row>
    <row r="479" spans="1:42" x14ac:dyDescent="0.3">
      <c r="C479" s="99"/>
      <c r="F479" s="172"/>
      <c r="H479" s="172"/>
      <c r="I479" s="172"/>
      <c r="J479" s="228"/>
      <c r="K479" s="228"/>
      <c r="L479" s="110"/>
      <c r="M479" s="110"/>
      <c r="N479" s="141"/>
      <c r="O479" s="141"/>
      <c r="P479" s="110"/>
      <c r="Q479" s="110"/>
      <c r="R479" s="110"/>
      <c r="T479" s="99"/>
      <c r="V479" s="110"/>
      <c r="W479" s="110"/>
      <c r="X479" s="110"/>
      <c r="Y479" s="110"/>
      <c r="Z479" s="110"/>
      <c r="AA479" s="110"/>
      <c r="AB479" s="228"/>
      <c r="AC479" s="110"/>
      <c r="AD479" s="110"/>
      <c r="AE479" s="141"/>
      <c r="AF479" s="141"/>
      <c r="AH479" s="110"/>
      <c r="AI479" s="207"/>
      <c r="AJ479" s="207"/>
      <c r="AL479" s="110"/>
      <c r="AM479" s="110"/>
      <c r="AN479" s="110"/>
      <c r="AO479" s="141"/>
      <c r="AP479" s="141"/>
    </row>
    <row r="480" spans="1:42" x14ac:dyDescent="0.3">
      <c r="C480" s="99"/>
      <c r="F480" s="172"/>
      <c r="H480" s="172"/>
      <c r="I480" s="172"/>
      <c r="J480" s="228"/>
      <c r="K480" s="228"/>
      <c r="L480" s="110"/>
      <c r="M480" s="110"/>
      <c r="N480" s="141"/>
      <c r="O480" s="141"/>
      <c r="P480" s="110"/>
      <c r="Q480" s="110"/>
      <c r="R480" s="110"/>
      <c r="T480" s="99"/>
      <c r="V480" s="110"/>
      <c r="W480" s="110"/>
      <c r="X480" s="110"/>
      <c r="Y480" s="110"/>
      <c r="Z480" s="110"/>
      <c r="AA480" s="110"/>
      <c r="AB480" s="228"/>
      <c r="AC480" s="110"/>
      <c r="AD480" s="110"/>
      <c r="AE480" s="141"/>
      <c r="AF480" s="141"/>
      <c r="AH480" s="110"/>
      <c r="AI480" s="207"/>
      <c r="AJ480" s="207"/>
      <c r="AL480" s="110"/>
      <c r="AM480" s="110"/>
      <c r="AN480" s="110"/>
      <c r="AO480" s="141"/>
      <c r="AP480" s="141"/>
    </row>
    <row r="481" spans="1:42" x14ac:dyDescent="0.3">
      <c r="J481" s="163"/>
      <c r="K481" s="163"/>
      <c r="V481" s="110"/>
      <c r="W481" s="110"/>
      <c r="X481" s="110"/>
      <c r="Y481" s="110"/>
      <c r="Z481" s="110"/>
      <c r="AA481" s="110"/>
      <c r="AB481" s="228"/>
    </row>
    <row r="482" spans="1:42" x14ac:dyDescent="0.3">
      <c r="C482" s="99"/>
      <c r="F482" s="172"/>
      <c r="H482" s="172"/>
      <c r="I482" s="172"/>
      <c r="J482" s="228"/>
      <c r="K482" s="228"/>
      <c r="L482" s="110"/>
      <c r="M482" s="110"/>
      <c r="N482" s="141"/>
      <c r="O482" s="141"/>
      <c r="P482" s="110"/>
      <c r="Q482" s="110"/>
      <c r="R482" s="110"/>
      <c r="T482" s="99"/>
      <c r="V482" s="110"/>
      <c r="W482" s="110"/>
      <c r="X482" s="110"/>
      <c r="Y482" s="110"/>
      <c r="Z482" s="110"/>
      <c r="AA482" s="110"/>
      <c r="AB482" s="228"/>
      <c r="AC482" s="110"/>
      <c r="AD482" s="110"/>
      <c r="AE482" s="141"/>
      <c r="AF482" s="141"/>
      <c r="AH482" s="110"/>
      <c r="AI482" s="207"/>
      <c r="AJ482" s="207"/>
      <c r="AL482" s="110"/>
      <c r="AM482" s="110"/>
      <c r="AN482" s="110"/>
      <c r="AO482" s="207"/>
      <c r="AP482" s="207"/>
    </row>
    <row r="483" spans="1:42" x14ac:dyDescent="0.3">
      <c r="C483" s="99"/>
      <c r="J483" s="163"/>
      <c r="K483" s="163"/>
      <c r="T483" s="99"/>
      <c r="V483" s="110"/>
      <c r="W483" s="110"/>
      <c r="X483" s="110"/>
      <c r="Y483" s="110"/>
      <c r="Z483" s="110"/>
      <c r="AA483" s="110"/>
      <c r="AB483" s="228"/>
    </row>
    <row r="484" spans="1:42" x14ac:dyDescent="0.3">
      <c r="C484" s="99"/>
      <c r="F484" s="172"/>
      <c r="H484" s="172"/>
      <c r="I484" s="172"/>
      <c r="J484" s="228"/>
      <c r="K484" s="228"/>
      <c r="L484" s="110"/>
      <c r="M484" s="110"/>
      <c r="N484" s="141"/>
      <c r="O484" s="141"/>
      <c r="P484" s="110"/>
      <c r="Q484" s="110"/>
      <c r="R484" s="110"/>
      <c r="T484" s="99"/>
      <c r="V484" s="110"/>
      <c r="W484" s="110"/>
      <c r="X484" s="110"/>
      <c r="Y484" s="110"/>
      <c r="Z484" s="110"/>
      <c r="AA484" s="110"/>
      <c r="AB484" s="228"/>
      <c r="AC484" s="110"/>
      <c r="AD484" s="110"/>
      <c r="AE484" s="141"/>
      <c r="AF484" s="141"/>
      <c r="AH484" s="110"/>
      <c r="AI484" s="207"/>
      <c r="AJ484" s="207"/>
      <c r="AL484" s="110"/>
      <c r="AM484" s="110"/>
      <c r="AN484" s="110"/>
      <c r="AO484" s="207"/>
      <c r="AP484" s="207"/>
    </row>
    <row r="485" spans="1:42" x14ac:dyDescent="0.3">
      <c r="J485" s="163"/>
      <c r="K485" s="163"/>
      <c r="AB485" s="163"/>
    </row>
    <row r="486" spans="1:42" x14ac:dyDescent="0.3">
      <c r="C486" s="99"/>
      <c r="J486" s="163"/>
      <c r="K486" s="163"/>
      <c r="T486" s="99"/>
      <c r="V486" s="110"/>
      <c r="W486" s="110"/>
      <c r="X486" s="110"/>
      <c r="Y486" s="110"/>
      <c r="Z486" s="110"/>
      <c r="AA486" s="110"/>
      <c r="AB486" s="228"/>
    </row>
    <row r="487" spans="1:42" x14ac:dyDescent="0.3">
      <c r="C487" s="99"/>
      <c r="F487" s="172"/>
      <c r="H487" s="172"/>
      <c r="I487" s="172"/>
      <c r="J487" s="228"/>
      <c r="K487" s="228"/>
      <c r="L487" s="110"/>
      <c r="M487" s="110"/>
      <c r="N487" s="141"/>
      <c r="O487" s="141"/>
      <c r="P487" s="110"/>
      <c r="Q487" s="110"/>
      <c r="R487" s="110"/>
      <c r="T487" s="99"/>
      <c r="V487" s="110"/>
      <c r="W487" s="110"/>
      <c r="X487" s="110"/>
      <c r="Y487" s="110"/>
      <c r="Z487" s="110"/>
      <c r="AA487" s="110"/>
      <c r="AB487" s="228"/>
      <c r="AC487" s="110"/>
      <c r="AD487" s="110"/>
      <c r="AE487" s="141"/>
      <c r="AF487" s="141"/>
      <c r="AH487" s="110"/>
      <c r="AI487" s="207"/>
      <c r="AJ487" s="207"/>
      <c r="AL487" s="110"/>
      <c r="AM487" s="110"/>
      <c r="AN487" s="110"/>
      <c r="AO487" s="207"/>
      <c r="AP487" s="207"/>
    </row>
    <row r="488" spans="1:42" x14ac:dyDescent="0.3">
      <c r="C488" s="99"/>
      <c r="F488" s="172"/>
      <c r="H488" s="172"/>
      <c r="I488" s="172"/>
      <c r="J488" s="228"/>
      <c r="K488" s="228"/>
      <c r="L488" s="110"/>
      <c r="M488" s="110"/>
      <c r="N488" s="141"/>
      <c r="O488" s="141"/>
      <c r="P488" s="110"/>
      <c r="Q488" s="110"/>
      <c r="R488" s="110"/>
      <c r="T488" s="99"/>
      <c r="V488" s="110"/>
      <c r="W488" s="110"/>
      <c r="X488" s="110"/>
      <c r="Y488" s="110"/>
      <c r="Z488" s="110"/>
      <c r="AA488" s="110"/>
      <c r="AB488" s="228"/>
      <c r="AC488" s="110"/>
      <c r="AD488" s="110"/>
      <c r="AE488" s="141"/>
      <c r="AF488" s="141"/>
      <c r="AH488" s="110"/>
      <c r="AI488" s="207"/>
      <c r="AJ488" s="207"/>
      <c r="AL488" s="110"/>
      <c r="AM488" s="110"/>
      <c r="AN488" s="110"/>
      <c r="AO488" s="207"/>
      <c r="AP488" s="207"/>
    </row>
    <row r="489" spans="1:42" x14ac:dyDescent="0.3">
      <c r="F489" s="192"/>
      <c r="H489" s="192"/>
      <c r="I489" s="192"/>
      <c r="J489" s="228"/>
      <c r="K489" s="228"/>
      <c r="L489" s="192"/>
      <c r="M489" s="192"/>
      <c r="N489" s="192"/>
      <c r="O489" s="192"/>
      <c r="P489" s="192"/>
      <c r="Q489" s="192"/>
      <c r="R489" s="192"/>
      <c r="V489" s="192"/>
      <c r="AA489" s="192"/>
      <c r="AB489" s="217"/>
      <c r="AC489" s="192"/>
      <c r="AD489" s="192"/>
      <c r="AE489" s="192"/>
      <c r="AF489" s="192"/>
      <c r="AG489" s="194"/>
      <c r="AH489" s="192"/>
      <c r="AK489" s="194"/>
      <c r="AL489" s="192"/>
      <c r="AM489" s="192"/>
      <c r="AN489" s="192"/>
    </row>
    <row r="490" spans="1:42" x14ac:dyDescent="0.3">
      <c r="C490" s="99"/>
      <c r="F490" s="110"/>
      <c r="H490" s="110"/>
      <c r="I490" s="110"/>
      <c r="L490" s="110"/>
      <c r="M490" s="110"/>
      <c r="N490" s="141"/>
      <c r="O490" s="141"/>
      <c r="P490" s="172"/>
      <c r="Q490" s="172"/>
      <c r="R490" s="110"/>
      <c r="T490" s="99"/>
      <c r="V490" s="110"/>
      <c r="W490" s="110"/>
      <c r="X490" s="110"/>
      <c r="Y490" s="110"/>
      <c r="Z490" s="110"/>
      <c r="AA490" s="110"/>
      <c r="AB490" s="227"/>
      <c r="AC490" s="110"/>
      <c r="AD490" s="110"/>
      <c r="AE490" s="141"/>
      <c r="AF490" s="141"/>
      <c r="AH490" s="110"/>
      <c r="AI490" s="207"/>
      <c r="AJ490" s="207"/>
      <c r="AK490" s="224"/>
      <c r="AL490" s="172"/>
      <c r="AM490" s="110"/>
      <c r="AN490" s="110"/>
      <c r="AO490" s="207"/>
      <c r="AP490" s="207"/>
    </row>
    <row r="491" spans="1:42" x14ac:dyDescent="0.3">
      <c r="H491" s="192"/>
      <c r="I491" s="192"/>
      <c r="J491" s="217"/>
      <c r="K491" s="217"/>
      <c r="L491" s="192"/>
      <c r="M491" s="192"/>
      <c r="N491" s="192"/>
      <c r="O491" s="192"/>
      <c r="P491" s="192"/>
      <c r="Q491" s="192"/>
      <c r="R491" s="192"/>
      <c r="V491" s="192"/>
      <c r="AA491" s="192"/>
      <c r="AB491" s="217"/>
      <c r="AC491" s="192"/>
      <c r="AD491" s="192"/>
      <c r="AE491" s="192"/>
      <c r="AF491" s="192"/>
      <c r="AG491" s="194"/>
      <c r="AH491" s="192"/>
      <c r="AK491" s="194"/>
      <c r="AL491" s="192"/>
      <c r="AM491" s="192"/>
      <c r="AN491" s="192"/>
    </row>
    <row r="492" spans="1:42" x14ac:dyDescent="0.3">
      <c r="F492" s="192"/>
    </row>
    <row r="494" spans="1:42" x14ac:dyDescent="0.3">
      <c r="A494" s="99"/>
    </row>
    <row r="496" spans="1:42" x14ac:dyDescent="0.3">
      <c r="H496" s="99"/>
      <c r="I496" s="99"/>
      <c r="AA496" s="99"/>
    </row>
    <row r="498" spans="1:42" x14ac:dyDescent="0.3">
      <c r="L498" s="99"/>
      <c r="M498" s="99"/>
      <c r="AC498" s="99"/>
      <c r="AD498" s="99"/>
    </row>
    <row r="499" spans="1:42" x14ac:dyDescent="0.3">
      <c r="R499" s="99"/>
      <c r="AM499" s="99"/>
      <c r="AN499" s="99"/>
    </row>
    <row r="500" spans="1:42" x14ac:dyDescent="0.3">
      <c r="R500" s="99"/>
      <c r="AM500" s="99"/>
      <c r="AN500" s="99"/>
    </row>
    <row r="501" spans="1:42" x14ac:dyDescent="0.3">
      <c r="A501" s="99"/>
      <c r="R501" s="99"/>
      <c r="AM501" s="99"/>
      <c r="AN501" s="99"/>
    </row>
    <row r="502" spans="1:42" x14ac:dyDescent="0.3">
      <c r="L502" s="99"/>
      <c r="M502" s="99"/>
      <c r="AC502" s="99"/>
      <c r="AD502" s="99"/>
    </row>
    <row r="503" spans="1:42" x14ac:dyDescent="0.3">
      <c r="A503" s="10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91"/>
      <c r="AH503" s="101"/>
      <c r="AI503" s="101"/>
      <c r="AJ503" s="101"/>
      <c r="AK503" s="191"/>
      <c r="AL503" s="101"/>
      <c r="AM503" s="101"/>
      <c r="AN503" s="101"/>
      <c r="AO503" s="101"/>
      <c r="AP503" s="101"/>
    </row>
    <row r="504" spans="1:42" x14ac:dyDescent="0.3">
      <c r="L504" s="102"/>
      <c r="M504" s="102"/>
      <c r="N504" s="102"/>
      <c r="O504" s="102"/>
      <c r="R504" s="102"/>
      <c r="AC504" s="102"/>
      <c r="AD504" s="102"/>
      <c r="AE504" s="102"/>
      <c r="AF504" s="102"/>
      <c r="AG504" s="151"/>
      <c r="AH504" s="102"/>
      <c r="AI504" s="102"/>
      <c r="AJ504" s="102"/>
      <c r="AM504" s="102"/>
      <c r="AN504" s="102"/>
      <c r="AO504" s="102"/>
      <c r="AP504" s="102"/>
    </row>
    <row r="505" spans="1:42" x14ac:dyDescent="0.3">
      <c r="L505" s="102"/>
      <c r="M505" s="102"/>
      <c r="N505" s="102"/>
      <c r="O505" s="102"/>
      <c r="R505" s="102"/>
      <c r="AB505" s="102"/>
      <c r="AC505" s="102"/>
      <c r="AD505" s="102"/>
      <c r="AE505" s="102"/>
      <c r="AF505" s="102"/>
      <c r="AG505" s="151"/>
      <c r="AH505" s="102"/>
      <c r="AI505" s="102"/>
      <c r="AJ505" s="102"/>
      <c r="AM505" s="102"/>
      <c r="AN505" s="102"/>
      <c r="AO505" s="102"/>
      <c r="AP505" s="102"/>
    </row>
    <row r="506" spans="1:42" x14ac:dyDescent="0.3">
      <c r="A506" s="102"/>
      <c r="C506" s="102"/>
      <c r="D506" s="102"/>
      <c r="E506" s="102"/>
      <c r="F506" s="102"/>
      <c r="J506" s="102"/>
      <c r="K506" s="102"/>
      <c r="L506" s="102"/>
      <c r="M506" s="102"/>
      <c r="N506" s="102"/>
      <c r="O506" s="102"/>
      <c r="P506" s="102"/>
      <c r="Q506" s="102"/>
      <c r="R506" s="102"/>
      <c r="T506" s="102"/>
      <c r="U506" s="102"/>
      <c r="V506" s="102"/>
      <c r="AB506" s="102"/>
      <c r="AC506" s="102"/>
      <c r="AD506" s="102"/>
      <c r="AE506" s="102"/>
      <c r="AF506" s="102"/>
      <c r="AG506" s="151"/>
      <c r="AH506" s="102"/>
      <c r="AI506" s="102"/>
      <c r="AJ506" s="102"/>
      <c r="AK506" s="151"/>
      <c r="AL506" s="102"/>
      <c r="AM506" s="102"/>
      <c r="AN506" s="102"/>
      <c r="AO506" s="102"/>
      <c r="AP506" s="102"/>
    </row>
    <row r="507" spans="1:42" x14ac:dyDescent="0.3">
      <c r="A507" s="102"/>
      <c r="C507" s="102"/>
      <c r="D507" s="102"/>
      <c r="E507" s="102"/>
      <c r="F507" s="102"/>
      <c r="H507" s="102"/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T507" s="102"/>
      <c r="U507" s="102"/>
      <c r="V507" s="102"/>
      <c r="AA507" s="102"/>
      <c r="AB507" s="102"/>
      <c r="AC507" s="102"/>
      <c r="AD507" s="102"/>
      <c r="AE507" s="102"/>
      <c r="AF507" s="102"/>
      <c r="AG507" s="151"/>
      <c r="AH507" s="102"/>
      <c r="AI507" s="102"/>
      <c r="AJ507" s="102"/>
      <c r="AK507" s="151"/>
      <c r="AL507" s="102"/>
      <c r="AM507" s="102"/>
      <c r="AN507" s="102"/>
      <c r="AO507" s="102"/>
      <c r="AP507" s="102"/>
    </row>
    <row r="508" spans="1:42" x14ac:dyDescent="0.3">
      <c r="C508" s="102"/>
      <c r="D508" s="102"/>
      <c r="E508" s="102"/>
      <c r="F508" s="102"/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T508" s="102"/>
      <c r="U508" s="102"/>
      <c r="V508" s="102"/>
      <c r="AA508" s="102"/>
      <c r="AB508" s="102"/>
      <c r="AC508" s="102"/>
      <c r="AD508" s="102"/>
      <c r="AE508" s="102"/>
      <c r="AF508" s="102"/>
      <c r="AG508" s="151"/>
      <c r="AH508" s="102"/>
      <c r="AI508" s="102"/>
      <c r="AJ508" s="102"/>
      <c r="AK508" s="151"/>
      <c r="AL508" s="102"/>
      <c r="AM508" s="102"/>
      <c r="AN508" s="102"/>
      <c r="AO508" s="102"/>
      <c r="AP508" s="102"/>
    </row>
    <row r="509" spans="1:42" x14ac:dyDescent="0.3">
      <c r="A509" s="101"/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T509" s="101"/>
      <c r="U509" s="101"/>
      <c r="V509" s="101"/>
      <c r="W509" s="101"/>
      <c r="X509" s="101"/>
      <c r="Y509" s="101"/>
      <c r="Z509" s="101"/>
      <c r="AA509" s="101"/>
      <c r="AB509" s="101"/>
      <c r="AC509" s="101"/>
      <c r="AD509" s="101"/>
      <c r="AE509" s="101"/>
      <c r="AF509" s="101"/>
      <c r="AG509" s="191"/>
      <c r="AH509" s="101"/>
      <c r="AI509" s="101"/>
      <c r="AJ509" s="101"/>
      <c r="AK509" s="191"/>
      <c r="AL509" s="101"/>
      <c r="AM509" s="101"/>
      <c r="AN509" s="101"/>
      <c r="AO509" s="101"/>
      <c r="AP509" s="101"/>
    </row>
    <row r="510" spans="1:42" x14ac:dyDescent="0.3">
      <c r="H510" s="102"/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AA510" s="102"/>
      <c r="AB510" s="102"/>
      <c r="AC510" s="102"/>
      <c r="AD510" s="102"/>
      <c r="AE510" s="102"/>
      <c r="AF510" s="102"/>
      <c r="AG510" s="151"/>
      <c r="AH510" s="102"/>
      <c r="AI510" s="102"/>
      <c r="AJ510" s="102"/>
      <c r="AK510" s="151"/>
      <c r="AL510" s="102"/>
      <c r="AM510" s="102"/>
      <c r="AN510" s="102"/>
      <c r="AO510" s="102"/>
      <c r="AP510" s="102"/>
    </row>
    <row r="511" spans="1:42" x14ac:dyDescent="0.3">
      <c r="C511" s="99"/>
      <c r="D511" s="99"/>
      <c r="E511" s="99"/>
      <c r="T511" s="99"/>
      <c r="U511" s="99"/>
    </row>
    <row r="513" spans="3:42" x14ac:dyDescent="0.3">
      <c r="C513" s="99"/>
      <c r="T513" s="99"/>
    </row>
    <row r="514" spans="3:42" x14ac:dyDescent="0.3">
      <c r="C514" s="99"/>
      <c r="T514" s="99"/>
    </row>
    <row r="515" spans="3:42" x14ac:dyDescent="0.3">
      <c r="C515" s="99"/>
      <c r="F515" s="172"/>
      <c r="H515" s="172"/>
      <c r="I515" s="172"/>
      <c r="J515" s="228"/>
      <c r="K515" s="228"/>
      <c r="L515" s="110"/>
      <c r="M515" s="110"/>
      <c r="N515" s="141"/>
      <c r="O515" s="141"/>
      <c r="P515" s="110"/>
      <c r="Q515" s="110"/>
      <c r="R515" s="110"/>
      <c r="T515" s="99"/>
      <c r="V515" s="110"/>
      <c r="W515" s="110"/>
      <c r="X515" s="110"/>
      <c r="Y515" s="110"/>
      <c r="Z515" s="110"/>
      <c r="AA515" s="110"/>
      <c r="AB515" s="228"/>
      <c r="AC515" s="110"/>
      <c r="AD515" s="110"/>
      <c r="AE515" s="141"/>
      <c r="AF515" s="141"/>
      <c r="AH515" s="110"/>
      <c r="AI515" s="207"/>
      <c r="AJ515" s="207"/>
      <c r="AL515" s="110"/>
      <c r="AM515" s="110"/>
      <c r="AN515" s="110"/>
      <c r="AO515" s="207"/>
      <c r="AP515" s="207"/>
    </row>
    <row r="516" spans="3:42" x14ac:dyDescent="0.3">
      <c r="C516" s="99"/>
      <c r="F516" s="110"/>
      <c r="H516" s="110"/>
      <c r="I516" s="110"/>
      <c r="J516" s="163"/>
      <c r="K516" s="163"/>
      <c r="L516" s="110"/>
      <c r="M516" s="110"/>
      <c r="N516" s="141"/>
      <c r="O516" s="141"/>
      <c r="P516" s="110"/>
      <c r="Q516" s="110"/>
      <c r="R516" s="110"/>
      <c r="T516" s="99"/>
      <c r="V516" s="110"/>
      <c r="W516" s="110"/>
      <c r="X516" s="110"/>
      <c r="Y516" s="110"/>
      <c r="Z516" s="110"/>
      <c r="AA516" s="110"/>
      <c r="AB516" s="163"/>
      <c r="AC516" s="110"/>
      <c r="AD516" s="110"/>
      <c r="AE516" s="141"/>
      <c r="AF516" s="141"/>
      <c r="AH516" s="110"/>
      <c r="AI516" s="207"/>
      <c r="AJ516" s="207"/>
      <c r="AL516" s="110"/>
      <c r="AM516" s="110"/>
      <c r="AN516" s="110"/>
      <c r="AO516" s="207"/>
      <c r="AP516" s="207"/>
    </row>
    <row r="517" spans="3:42" x14ac:dyDescent="0.3">
      <c r="C517" s="99"/>
      <c r="F517" s="110"/>
      <c r="H517" s="110"/>
      <c r="I517" s="110"/>
      <c r="J517" s="163"/>
      <c r="K517" s="163"/>
      <c r="L517" s="110"/>
      <c r="M517" s="110"/>
      <c r="N517" s="141"/>
      <c r="O517" s="141"/>
      <c r="P517" s="110"/>
      <c r="Q517" s="110"/>
      <c r="R517" s="110"/>
      <c r="T517" s="99"/>
      <c r="V517" s="110"/>
      <c r="W517" s="110"/>
      <c r="X517" s="110"/>
      <c r="Y517" s="110"/>
      <c r="Z517" s="110"/>
      <c r="AA517" s="110"/>
      <c r="AB517" s="163"/>
      <c r="AC517" s="110"/>
      <c r="AD517" s="110"/>
      <c r="AE517" s="141"/>
      <c r="AF517" s="141"/>
      <c r="AH517" s="110"/>
      <c r="AI517" s="207"/>
      <c r="AJ517" s="207"/>
      <c r="AL517" s="110"/>
      <c r="AM517" s="110"/>
      <c r="AN517" s="110"/>
      <c r="AO517" s="207"/>
      <c r="AP517" s="207"/>
    </row>
    <row r="518" spans="3:42" x14ac:dyDescent="0.3">
      <c r="C518" s="99"/>
      <c r="F518" s="110"/>
      <c r="H518" s="110"/>
      <c r="I518" s="110"/>
      <c r="J518" s="163"/>
      <c r="K518" s="163"/>
      <c r="T518" s="99"/>
      <c r="V518" s="110"/>
      <c r="AB518" s="163"/>
    </row>
    <row r="519" spans="3:42" x14ac:dyDescent="0.3">
      <c r="C519" s="99"/>
      <c r="F519" s="172"/>
      <c r="H519" s="172"/>
      <c r="I519" s="172"/>
      <c r="J519" s="228"/>
      <c r="K519" s="228"/>
      <c r="L519" s="110"/>
      <c r="M519" s="110"/>
      <c r="N519" s="141"/>
      <c r="O519" s="141"/>
      <c r="P519" s="110"/>
      <c r="Q519" s="110"/>
      <c r="R519" s="110"/>
      <c r="T519" s="99"/>
      <c r="V519" s="110"/>
      <c r="W519" s="110"/>
      <c r="X519" s="110"/>
      <c r="Y519" s="110"/>
      <c r="Z519" s="110"/>
      <c r="AA519" s="110"/>
      <c r="AB519" s="228"/>
      <c r="AC519" s="110"/>
      <c r="AD519" s="110"/>
      <c r="AE519" s="141"/>
      <c r="AF519" s="141"/>
      <c r="AH519" s="110"/>
      <c r="AI519" s="207"/>
      <c r="AJ519" s="207"/>
      <c r="AL519" s="110"/>
      <c r="AM519" s="110"/>
      <c r="AN519" s="110"/>
      <c r="AO519" s="207"/>
      <c r="AP519" s="207"/>
    </row>
    <row r="520" spans="3:42" x14ac:dyDescent="0.3">
      <c r="C520" s="99"/>
      <c r="F520" s="110"/>
      <c r="H520" s="110"/>
      <c r="I520" s="110"/>
      <c r="J520" s="163"/>
      <c r="K520" s="163"/>
      <c r="T520" s="99"/>
      <c r="V520" s="110"/>
      <c r="W520" s="110"/>
      <c r="X520" s="110"/>
      <c r="Y520" s="110"/>
      <c r="Z520" s="110"/>
      <c r="AA520" s="110"/>
      <c r="AB520" s="163"/>
      <c r="AE520" s="141"/>
      <c r="AF520" s="141"/>
      <c r="AH520" s="110"/>
      <c r="AI520" s="207"/>
      <c r="AJ520" s="207"/>
      <c r="AL520" s="110"/>
      <c r="AM520" s="110"/>
      <c r="AN520" s="110"/>
      <c r="AO520" s="207"/>
      <c r="AP520" s="207"/>
    </row>
    <row r="521" spans="3:42" x14ac:dyDescent="0.3">
      <c r="C521" s="99"/>
      <c r="F521" s="172"/>
      <c r="H521" s="172"/>
      <c r="I521" s="172"/>
      <c r="J521" s="228"/>
      <c r="K521" s="228"/>
      <c r="L521" s="110"/>
      <c r="M521" s="110"/>
      <c r="N521" s="141"/>
      <c r="O521" s="141"/>
      <c r="P521" s="110"/>
      <c r="Q521" s="110"/>
      <c r="R521" s="110"/>
      <c r="T521" s="99"/>
      <c r="V521" s="110"/>
      <c r="W521" s="110"/>
      <c r="X521" s="110"/>
      <c r="Y521" s="110"/>
      <c r="Z521" s="110"/>
      <c r="AA521" s="110"/>
      <c r="AB521" s="228"/>
      <c r="AC521" s="110"/>
      <c r="AD521" s="110"/>
      <c r="AE521" s="141"/>
      <c r="AF521" s="141"/>
      <c r="AH521" s="110"/>
      <c r="AI521" s="207"/>
      <c r="AJ521" s="207"/>
      <c r="AL521" s="110"/>
      <c r="AM521" s="110"/>
      <c r="AN521" s="110"/>
      <c r="AO521" s="207"/>
      <c r="AP521" s="207"/>
    </row>
    <row r="522" spans="3:42" x14ac:dyDescent="0.3">
      <c r="C522" s="99"/>
      <c r="F522" s="110"/>
      <c r="H522" s="110"/>
      <c r="I522" s="110"/>
      <c r="J522" s="163"/>
      <c r="K522" s="163"/>
      <c r="L522" s="110"/>
      <c r="M522" s="110"/>
      <c r="N522" s="141"/>
      <c r="O522" s="141"/>
      <c r="P522" s="110"/>
      <c r="Q522" s="110"/>
      <c r="R522" s="110"/>
      <c r="T522" s="99"/>
      <c r="V522" s="110"/>
      <c r="W522" s="110"/>
      <c r="X522" s="110"/>
      <c r="Y522" s="110"/>
      <c r="Z522" s="110"/>
      <c r="AA522" s="110"/>
      <c r="AB522" s="163"/>
      <c r="AC522" s="110"/>
      <c r="AD522" s="110"/>
      <c r="AE522" s="141"/>
      <c r="AF522" s="141"/>
      <c r="AH522" s="110"/>
      <c r="AI522" s="207"/>
      <c r="AJ522" s="207"/>
      <c r="AL522" s="110"/>
      <c r="AM522" s="110"/>
      <c r="AN522" s="110"/>
      <c r="AO522" s="207"/>
      <c r="AP522" s="207"/>
    </row>
    <row r="523" spans="3:42" x14ac:dyDescent="0.3">
      <c r="F523" s="110"/>
      <c r="H523" s="110"/>
      <c r="I523" s="110"/>
      <c r="J523" s="163"/>
      <c r="K523" s="163"/>
      <c r="AB523" s="163"/>
    </row>
    <row r="524" spans="3:42" x14ac:dyDescent="0.3">
      <c r="C524" s="99"/>
      <c r="F524" s="110"/>
      <c r="H524" s="172"/>
      <c r="I524" s="172"/>
      <c r="J524" s="228"/>
      <c r="K524" s="228"/>
      <c r="L524" s="110"/>
      <c r="M524" s="110"/>
      <c r="N524" s="141"/>
      <c r="O524" s="141"/>
      <c r="P524" s="110"/>
      <c r="Q524" s="110"/>
      <c r="R524" s="110"/>
      <c r="T524" s="99"/>
      <c r="V524" s="110"/>
      <c r="W524" s="110"/>
      <c r="X524" s="110"/>
      <c r="Y524" s="110"/>
      <c r="Z524" s="110"/>
      <c r="AA524" s="110"/>
      <c r="AB524" s="228"/>
      <c r="AC524" s="110"/>
      <c r="AD524" s="110"/>
      <c r="AE524" s="141"/>
      <c r="AF524" s="141"/>
      <c r="AH524" s="110"/>
      <c r="AI524" s="207"/>
      <c r="AJ524" s="207"/>
      <c r="AL524" s="110"/>
      <c r="AM524" s="110"/>
      <c r="AN524" s="110"/>
      <c r="AO524" s="207"/>
      <c r="AP524" s="207"/>
    </row>
    <row r="525" spans="3:42" x14ac:dyDescent="0.3">
      <c r="F525" s="192"/>
      <c r="H525" s="192"/>
      <c r="I525" s="192"/>
      <c r="J525" s="228"/>
      <c r="K525" s="228"/>
      <c r="L525" s="192"/>
      <c r="M525" s="192"/>
      <c r="N525" s="192"/>
      <c r="O525" s="192"/>
      <c r="P525" s="192"/>
      <c r="Q525" s="192"/>
      <c r="R525" s="192"/>
      <c r="V525" s="192"/>
      <c r="AA525" s="192"/>
      <c r="AB525" s="228"/>
      <c r="AC525" s="192"/>
      <c r="AD525" s="192"/>
      <c r="AE525" s="192"/>
      <c r="AF525" s="192"/>
      <c r="AG525" s="194"/>
      <c r="AH525" s="192"/>
      <c r="AK525" s="194"/>
      <c r="AL525" s="192"/>
      <c r="AM525" s="192"/>
      <c r="AN525" s="192"/>
    </row>
    <row r="526" spans="3:42" x14ac:dyDescent="0.3">
      <c r="C526" s="99"/>
      <c r="F526" s="110"/>
      <c r="H526" s="110"/>
      <c r="I526" s="110"/>
      <c r="J526" s="163"/>
      <c r="K526" s="163"/>
      <c r="L526" s="110"/>
      <c r="M526" s="110"/>
      <c r="P526" s="110"/>
      <c r="Q526" s="110"/>
      <c r="R526" s="110"/>
      <c r="T526" s="99"/>
      <c r="V526" s="110"/>
      <c r="AA526" s="110"/>
      <c r="AB526" s="163"/>
      <c r="AC526" s="110"/>
      <c r="AD526" s="110"/>
      <c r="AE526" s="207"/>
      <c r="AF526" s="207"/>
      <c r="AH526" s="110"/>
      <c r="AI526" s="207"/>
      <c r="AJ526" s="207"/>
      <c r="AL526" s="110"/>
      <c r="AM526" s="110"/>
      <c r="AN526" s="110"/>
      <c r="AO526" s="207"/>
      <c r="AP526" s="207"/>
    </row>
    <row r="527" spans="3:42" x14ac:dyDescent="0.3">
      <c r="F527" s="192"/>
      <c r="H527" s="192"/>
      <c r="I527" s="192"/>
      <c r="J527" s="228"/>
      <c r="K527" s="228"/>
      <c r="L527" s="192"/>
      <c r="M527" s="192"/>
      <c r="N527" s="192"/>
      <c r="O527" s="192"/>
      <c r="P527" s="192"/>
      <c r="Q527" s="192"/>
      <c r="R527" s="192"/>
      <c r="V527" s="192"/>
      <c r="AA527" s="192"/>
      <c r="AB527" s="228"/>
      <c r="AC527" s="192"/>
      <c r="AD527" s="192"/>
      <c r="AE527" s="192"/>
      <c r="AF527" s="192"/>
      <c r="AG527" s="194"/>
      <c r="AH527" s="192"/>
      <c r="AK527" s="194"/>
      <c r="AL527" s="192"/>
      <c r="AM527" s="192"/>
      <c r="AN527" s="192"/>
    </row>
    <row r="528" spans="3:42" x14ac:dyDescent="0.3">
      <c r="J528" s="163"/>
      <c r="K528" s="163"/>
      <c r="AB528" s="163"/>
    </row>
    <row r="529" spans="1:42" x14ac:dyDescent="0.3">
      <c r="C529" s="99"/>
      <c r="J529" s="163"/>
      <c r="K529" s="163"/>
      <c r="T529" s="99"/>
      <c r="AB529" s="163"/>
    </row>
    <row r="530" spans="1:42" x14ac:dyDescent="0.3">
      <c r="C530" s="99"/>
      <c r="J530" s="163"/>
      <c r="K530" s="163"/>
      <c r="T530" s="99"/>
      <c r="AB530" s="163"/>
    </row>
    <row r="531" spans="1:42" x14ac:dyDescent="0.3">
      <c r="C531" s="99"/>
      <c r="F531" s="172"/>
      <c r="H531" s="172"/>
      <c r="I531" s="172"/>
      <c r="J531" s="228"/>
      <c r="K531" s="228"/>
      <c r="L531" s="110"/>
      <c r="M531" s="110"/>
      <c r="N531" s="141"/>
      <c r="O531" s="141"/>
      <c r="P531" s="110"/>
      <c r="Q531" s="110"/>
      <c r="R531" s="110"/>
      <c r="T531" s="99"/>
      <c r="V531" s="110"/>
      <c r="W531" s="110"/>
      <c r="X531" s="110"/>
      <c r="Y531" s="110"/>
      <c r="Z531" s="110"/>
      <c r="AA531" s="110"/>
      <c r="AB531" s="228"/>
      <c r="AC531" s="110"/>
      <c r="AD531" s="110"/>
      <c r="AE531" s="141"/>
      <c r="AF531" s="141"/>
      <c r="AH531" s="110"/>
      <c r="AI531" s="207"/>
      <c r="AJ531" s="207"/>
      <c r="AL531" s="110"/>
      <c r="AM531" s="110"/>
      <c r="AN531" s="110"/>
      <c r="AO531" s="207"/>
      <c r="AP531" s="207"/>
    </row>
    <row r="532" spans="1:42" x14ac:dyDescent="0.3">
      <c r="C532" s="99"/>
      <c r="J532" s="163"/>
      <c r="K532" s="163"/>
      <c r="T532" s="99"/>
      <c r="AB532" s="163"/>
    </row>
    <row r="533" spans="1:42" x14ac:dyDescent="0.3">
      <c r="C533" s="99"/>
      <c r="F533" s="172"/>
      <c r="H533" s="172"/>
      <c r="I533" s="172"/>
      <c r="J533" s="228"/>
      <c r="K533" s="228"/>
      <c r="L533" s="110"/>
      <c r="M533" s="110"/>
      <c r="N533" s="141"/>
      <c r="O533" s="141"/>
      <c r="P533" s="110"/>
      <c r="Q533" s="110"/>
      <c r="R533" s="110"/>
      <c r="T533" s="99"/>
      <c r="V533" s="110"/>
      <c r="W533" s="110"/>
      <c r="X533" s="110"/>
      <c r="Y533" s="110"/>
      <c r="Z533" s="110"/>
      <c r="AA533" s="110"/>
      <c r="AB533" s="228"/>
      <c r="AC533" s="110"/>
      <c r="AD533" s="110"/>
      <c r="AE533" s="141"/>
      <c r="AF533" s="141"/>
      <c r="AH533" s="110"/>
      <c r="AI533" s="207"/>
      <c r="AJ533" s="207"/>
      <c r="AL533" s="110"/>
      <c r="AM533" s="110"/>
      <c r="AN533" s="110"/>
      <c r="AO533" s="207"/>
      <c r="AP533" s="207"/>
    </row>
    <row r="534" spans="1:42" x14ac:dyDescent="0.3">
      <c r="F534" s="192"/>
      <c r="H534" s="192"/>
      <c r="I534" s="192"/>
      <c r="J534" s="228"/>
      <c r="K534" s="228"/>
      <c r="L534" s="192"/>
      <c r="M534" s="192"/>
      <c r="N534" s="192"/>
      <c r="O534" s="192"/>
      <c r="P534" s="192"/>
      <c r="Q534" s="192"/>
      <c r="R534" s="192"/>
      <c r="V534" s="192"/>
      <c r="AA534" s="192"/>
      <c r="AB534" s="228"/>
      <c r="AC534" s="192"/>
      <c r="AD534" s="192"/>
      <c r="AE534" s="192"/>
      <c r="AF534" s="192"/>
      <c r="AG534" s="194"/>
      <c r="AH534" s="192"/>
      <c r="AK534" s="194"/>
      <c r="AL534" s="192"/>
      <c r="AM534" s="192"/>
      <c r="AN534" s="192"/>
    </row>
    <row r="535" spans="1:42" x14ac:dyDescent="0.3">
      <c r="C535" s="99"/>
      <c r="F535" s="110"/>
      <c r="H535" s="110"/>
      <c r="I535" s="110"/>
      <c r="J535" s="163"/>
      <c r="K535" s="163"/>
      <c r="L535" s="110"/>
      <c r="M535" s="110"/>
      <c r="N535" s="207"/>
      <c r="O535" s="207"/>
      <c r="P535" s="110"/>
      <c r="Q535" s="110"/>
      <c r="R535" s="110"/>
      <c r="T535" s="99"/>
      <c r="V535" s="110"/>
      <c r="AA535" s="110"/>
      <c r="AB535" s="163"/>
      <c r="AC535" s="110"/>
      <c r="AD535" s="110"/>
      <c r="AE535" s="207"/>
      <c r="AF535" s="207"/>
      <c r="AH535" s="110"/>
      <c r="AI535" s="207"/>
      <c r="AJ535" s="207"/>
      <c r="AL535" s="110"/>
      <c r="AM535" s="110"/>
      <c r="AN535" s="110"/>
      <c r="AO535" s="207"/>
      <c r="AP535" s="207"/>
    </row>
    <row r="536" spans="1:42" x14ac:dyDescent="0.3">
      <c r="F536" s="192"/>
      <c r="H536" s="192"/>
      <c r="I536" s="192"/>
      <c r="J536" s="228"/>
      <c r="K536" s="228"/>
      <c r="L536" s="192"/>
      <c r="M536" s="192"/>
      <c r="N536" s="192"/>
      <c r="O536" s="192"/>
      <c r="P536" s="192"/>
      <c r="Q536" s="192"/>
      <c r="R536" s="192"/>
      <c r="V536" s="192"/>
      <c r="AA536" s="192"/>
      <c r="AB536" s="217"/>
      <c r="AC536" s="192"/>
      <c r="AD536" s="192"/>
      <c r="AE536" s="192"/>
      <c r="AF536" s="192"/>
      <c r="AG536" s="194"/>
      <c r="AH536" s="192"/>
      <c r="AK536" s="194"/>
      <c r="AL536" s="192"/>
      <c r="AM536" s="192"/>
      <c r="AN536" s="192"/>
    </row>
    <row r="537" spans="1:42" x14ac:dyDescent="0.3">
      <c r="J537" s="163"/>
      <c r="K537" s="163"/>
    </row>
    <row r="538" spans="1:42" x14ac:dyDescent="0.3">
      <c r="C538" s="99"/>
      <c r="F538" s="110"/>
      <c r="H538" s="110"/>
      <c r="I538" s="110"/>
      <c r="J538" s="163"/>
      <c r="K538" s="163"/>
      <c r="L538" s="110"/>
      <c r="M538" s="110"/>
      <c r="N538" s="141"/>
      <c r="O538" s="141"/>
      <c r="P538" s="172"/>
      <c r="Q538" s="172"/>
      <c r="R538" s="110"/>
      <c r="T538" s="99"/>
      <c r="V538" s="110"/>
      <c r="AA538" s="110"/>
      <c r="AC538" s="110"/>
      <c r="AD538" s="110"/>
      <c r="AE538" s="207"/>
      <c r="AF538" s="207"/>
      <c r="AH538" s="110"/>
      <c r="AI538" s="207"/>
      <c r="AJ538" s="207"/>
      <c r="AK538" s="224"/>
      <c r="AL538" s="172"/>
      <c r="AM538" s="110"/>
      <c r="AN538" s="110"/>
      <c r="AO538" s="207"/>
      <c r="AP538" s="207"/>
    </row>
    <row r="539" spans="1:42" x14ac:dyDescent="0.3">
      <c r="H539" s="192"/>
      <c r="I539" s="192"/>
      <c r="J539" s="228"/>
      <c r="K539" s="228"/>
      <c r="L539" s="192"/>
      <c r="M539" s="192"/>
      <c r="N539" s="192"/>
      <c r="O539" s="192"/>
      <c r="P539" s="192"/>
      <c r="Q539" s="192"/>
      <c r="R539" s="192"/>
      <c r="V539" s="192"/>
      <c r="AA539" s="192"/>
      <c r="AB539" s="217"/>
      <c r="AC539" s="192"/>
      <c r="AD539" s="192"/>
      <c r="AE539" s="192"/>
      <c r="AF539" s="192"/>
      <c r="AG539" s="194"/>
      <c r="AH539" s="192"/>
      <c r="AK539" s="194"/>
      <c r="AL539" s="192"/>
      <c r="AM539" s="192"/>
      <c r="AN539" s="192"/>
    </row>
    <row r="540" spans="1:42" x14ac:dyDescent="0.3">
      <c r="F540" s="192"/>
    </row>
    <row r="542" spans="1:42" x14ac:dyDescent="0.3">
      <c r="A542" s="99"/>
    </row>
    <row r="544" spans="1:42" x14ac:dyDescent="0.3">
      <c r="H544" s="99"/>
      <c r="I544" s="99"/>
      <c r="AA544" s="99"/>
    </row>
    <row r="546" spans="1:42" x14ac:dyDescent="0.3">
      <c r="L546" s="99"/>
      <c r="M546" s="99"/>
      <c r="AC546" s="99"/>
      <c r="AD546" s="99"/>
    </row>
    <row r="547" spans="1:42" x14ac:dyDescent="0.3">
      <c r="R547" s="99"/>
      <c r="AM547" s="99"/>
      <c r="AN547" s="99"/>
    </row>
    <row r="548" spans="1:42" x14ac:dyDescent="0.3">
      <c r="R548" s="99"/>
      <c r="AM548" s="99"/>
      <c r="AN548" s="99"/>
    </row>
    <row r="549" spans="1:42" x14ac:dyDescent="0.3">
      <c r="A549" s="99"/>
      <c r="R549" s="99"/>
      <c r="AM549" s="99"/>
      <c r="AN549" s="99"/>
    </row>
    <row r="550" spans="1:42" x14ac:dyDescent="0.3">
      <c r="L550" s="99"/>
      <c r="M550" s="99"/>
      <c r="AC550" s="99"/>
      <c r="AD550" s="99"/>
    </row>
    <row r="551" spans="1:42" x14ac:dyDescent="0.3">
      <c r="A551" s="101"/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T551" s="101"/>
      <c r="U551" s="101"/>
      <c r="V551" s="101"/>
      <c r="W551" s="101"/>
      <c r="X551" s="101"/>
      <c r="Y551" s="101"/>
      <c r="Z551" s="101"/>
      <c r="AA551" s="101"/>
      <c r="AB551" s="101"/>
      <c r="AC551" s="101"/>
      <c r="AD551" s="101"/>
      <c r="AE551" s="101"/>
      <c r="AF551" s="101"/>
      <c r="AG551" s="191"/>
      <c r="AH551" s="101"/>
      <c r="AI551" s="101"/>
      <c r="AJ551" s="101"/>
      <c r="AK551" s="191"/>
      <c r="AL551" s="101"/>
      <c r="AM551" s="101"/>
      <c r="AN551" s="101"/>
      <c r="AO551" s="101"/>
      <c r="AP551" s="101"/>
    </row>
    <row r="552" spans="1:42" x14ac:dyDescent="0.3">
      <c r="L552" s="102"/>
      <c r="M552" s="102"/>
      <c r="N552" s="102"/>
      <c r="O552" s="102"/>
      <c r="R552" s="102"/>
      <c r="AC552" s="102"/>
      <c r="AD552" s="102"/>
      <c r="AE552" s="102"/>
      <c r="AF552" s="102"/>
      <c r="AG552" s="151"/>
      <c r="AH552" s="102"/>
      <c r="AI552" s="102"/>
      <c r="AJ552" s="102"/>
      <c r="AM552" s="102"/>
      <c r="AN552" s="102"/>
      <c r="AO552" s="102"/>
      <c r="AP552" s="102"/>
    </row>
    <row r="553" spans="1:42" x14ac:dyDescent="0.3">
      <c r="L553" s="102"/>
      <c r="M553" s="102"/>
      <c r="N553" s="102"/>
      <c r="O553" s="102"/>
      <c r="R553" s="102"/>
      <c r="AB553" s="102"/>
      <c r="AC553" s="102"/>
      <c r="AD553" s="102"/>
      <c r="AE553" s="102"/>
      <c r="AF553" s="102"/>
      <c r="AG553" s="151"/>
      <c r="AH553" s="102"/>
      <c r="AI553" s="102"/>
      <c r="AJ553" s="102"/>
      <c r="AM553" s="102"/>
      <c r="AN553" s="102"/>
      <c r="AO553" s="102"/>
      <c r="AP553" s="102"/>
    </row>
    <row r="554" spans="1:42" x14ac:dyDescent="0.3">
      <c r="A554" s="102"/>
      <c r="C554" s="102"/>
      <c r="D554" s="102"/>
      <c r="E554" s="102"/>
      <c r="F554" s="102"/>
      <c r="J554" s="102"/>
      <c r="K554" s="102"/>
      <c r="L554" s="102"/>
      <c r="M554" s="102"/>
      <c r="N554" s="102"/>
      <c r="O554" s="102"/>
      <c r="P554" s="102"/>
      <c r="Q554" s="102"/>
      <c r="R554" s="102"/>
      <c r="T554" s="102"/>
      <c r="U554" s="102"/>
      <c r="V554" s="102"/>
      <c r="AB554" s="102"/>
      <c r="AC554" s="102"/>
      <c r="AD554" s="102"/>
      <c r="AE554" s="102"/>
      <c r="AF554" s="102"/>
      <c r="AG554" s="151"/>
      <c r="AH554" s="102"/>
      <c r="AI554" s="102"/>
      <c r="AJ554" s="102"/>
      <c r="AK554" s="151"/>
      <c r="AL554" s="102"/>
      <c r="AM554" s="102"/>
      <c r="AN554" s="102"/>
      <c r="AO554" s="102"/>
      <c r="AP554" s="102"/>
    </row>
    <row r="555" spans="1:42" x14ac:dyDescent="0.3">
      <c r="A555" s="102"/>
      <c r="C555" s="102"/>
      <c r="D555" s="102"/>
      <c r="E555" s="102"/>
      <c r="F555" s="102"/>
      <c r="H555" s="102"/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T555" s="102"/>
      <c r="U555" s="102"/>
      <c r="V555" s="102"/>
      <c r="AA555" s="102"/>
      <c r="AB555" s="102"/>
      <c r="AC555" s="102"/>
      <c r="AD555" s="102"/>
      <c r="AE555" s="102"/>
      <c r="AF555" s="102"/>
      <c r="AG555" s="151"/>
      <c r="AH555" s="102"/>
      <c r="AI555" s="102"/>
      <c r="AJ555" s="102"/>
      <c r="AK555" s="151"/>
      <c r="AL555" s="102"/>
      <c r="AM555" s="102"/>
      <c r="AN555" s="102"/>
      <c r="AO555" s="102"/>
      <c r="AP555" s="102"/>
    </row>
    <row r="556" spans="1:42" x14ac:dyDescent="0.3">
      <c r="C556" s="102"/>
      <c r="D556" s="102"/>
      <c r="E556" s="102"/>
      <c r="F556" s="102"/>
      <c r="H556" s="102"/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T556" s="102"/>
      <c r="U556" s="102"/>
      <c r="V556" s="102"/>
      <c r="AA556" s="102"/>
      <c r="AB556" s="102"/>
      <c r="AC556" s="102"/>
      <c r="AD556" s="102"/>
      <c r="AE556" s="102"/>
      <c r="AF556" s="102"/>
      <c r="AG556" s="151"/>
      <c r="AH556" s="102"/>
      <c r="AI556" s="102"/>
      <c r="AJ556" s="102"/>
      <c r="AK556" s="151"/>
      <c r="AL556" s="102"/>
      <c r="AM556" s="102"/>
      <c r="AN556" s="102"/>
      <c r="AO556" s="102"/>
      <c r="AP556" s="102"/>
    </row>
    <row r="557" spans="1:42" x14ac:dyDescent="0.3">
      <c r="A557" s="101"/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91"/>
      <c r="AH557" s="101"/>
      <c r="AI557" s="101"/>
      <c r="AJ557" s="101"/>
      <c r="AK557" s="191"/>
      <c r="AL557" s="101"/>
      <c r="AM557" s="101"/>
      <c r="AN557" s="101"/>
      <c r="AO557" s="101"/>
      <c r="AP557" s="101"/>
    </row>
    <row r="558" spans="1:42" x14ac:dyDescent="0.3">
      <c r="H558" s="102"/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AA558" s="102"/>
      <c r="AB558" s="102"/>
      <c r="AC558" s="102"/>
      <c r="AD558" s="102"/>
      <c r="AE558" s="102"/>
      <c r="AF558" s="102"/>
      <c r="AG558" s="151"/>
      <c r="AH558" s="102"/>
      <c r="AI558" s="102"/>
      <c r="AJ558" s="102"/>
      <c r="AK558" s="151"/>
      <c r="AL558" s="102"/>
      <c r="AM558" s="102"/>
      <c r="AN558" s="102"/>
      <c r="AO558" s="102"/>
      <c r="AP558" s="102"/>
    </row>
    <row r="559" spans="1:42" x14ac:dyDescent="0.3">
      <c r="C559" s="99"/>
      <c r="D559" s="99"/>
      <c r="E559" s="99"/>
      <c r="T559" s="99"/>
      <c r="U559" s="99"/>
    </row>
    <row r="561" spans="3:42" x14ac:dyDescent="0.3">
      <c r="C561" s="99"/>
      <c r="D561" s="99"/>
      <c r="E561" s="99"/>
      <c r="T561" s="99"/>
      <c r="U561" s="99"/>
    </row>
    <row r="562" spans="3:42" x14ac:dyDescent="0.3">
      <c r="C562" s="99"/>
      <c r="T562" s="99"/>
    </row>
    <row r="563" spans="3:42" x14ac:dyDescent="0.3">
      <c r="C563" s="99"/>
      <c r="T563" s="99"/>
    </row>
    <row r="564" spans="3:42" x14ac:dyDescent="0.3">
      <c r="C564" s="99"/>
      <c r="H564" s="172"/>
      <c r="I564" s="172"/>
      <c r="J564" s="228"/>
      <c r="K564" s="228"/>
      <c r="L564" s="110"/>
      <c r="M564" s="110"/>
      <c r="N564" s="141"/>
      <c r="O564" s="141"/>
      <c r="P564" s="110"/>
      <c r="Q564" s="110"/>
      <c r="R564" s="110"/>
      <c r="T564" s="99"/>
      <c r="V564" s="110"/>
      <c r="W564" s="110"/>
      <c r="X564" s="110"/>
      <c r="Y564" s="110"/>
      <c r="Z564" s="110"/>
      <c r="AA564" s="110"/>
      <c r="AB564" s="228"/>
      <c r="AC564" s="110"/>
      <c r="AD564" s="110"/>
      <c r="AE564" s="141"/>
      <c r="AF564" s="141"/>
      <c r="AH564" s="110"/>
      <c r="AI564" s="207"/>
      <c r="AJ564" s="207"/>
      <c r="AL564" s="110"/>
      <c r="AM564" s="110"/>
      <c r="AN564" s="110"/>
      <c r="AO564" s="141"/>
      <c r="AP564" s="141"/>
    </row>
    <row r="565" spans="3:42" x14ac:dyDescent="0.3">
      <c r="C565" s="99"/>
      <c r="F565" s="172"/>
      <c r="J565" s="163"/>
      <c r="K565" s="163"/>
      <c r="T565" s="99"/>
      <c r="V565" s="110"/>
      <c r="W565" s="110"/>
      <c r="X565" s="110"/>
      <c r="Y565" s="110"/>
      <c r="Z565" s="110"/>
      <c r="AA565" s="110"/>
      <c r="AB565" s="228"/>
    </row>
    <row r="566" spans="3:42" x14ac:dyDescent="0.3">
      <c r="C566" s="99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110"/>
      <c r="AA566" s="110"/>
      <c r="AB566" s="228"/>
      <c r="AC566" s="110"/>
      <c r="AD566" s="110"/>
      <c r="AE566" s="141"/>
      <c r="AF566" s="141"/>
      <c r="AH566" s="110"/>
      <c r="AI566" s="207"/>
      <c r="AJ566" s="207"/>
      <c r="AL566" s="110"/>
      <c r="AM566" s="110"/>
      <c r="AN566" s="110"/>
      <c r="AO566" s="141"/>
      <c r="AP566" s="141"/>
    </row>
    <row r="567" spans="3:42" x14ac:dyDescent="0.3">
      <c r="C567" s="99"/>
      <c r="F567" s="172"/>
      <c r="J567" s="163"/>
      <c r="K567" s="163"/>
      <c r="T567" s="99"/>
      <c r="V567" s="110"/>
      <c r="W567" s="110"/>
      <c r="X567" s="110"/>
      <c r="Y567" s="110"/>
      <c r="Z567" s="110"/>
      <c r="AA567" s="110"/>
      <c r="AB567" s="228"/>
    </row>
    <row r="568" spans="3:42" x14ac:dyDescent="0.3">
      <c r="C568" s="99"/>
      <c r="H568" s="172"/>
      <c r="I568" s="172"/>
      <c r="J568" s="228"/>
      <c r="K568" s="228"/>
      <c r="L568" s="110"/>
      <c r="M568" s="110"/>
      <c r="N568" s="141"/>
      <c r="O568" s="141"/>
      <c r="P568" s="110"/>
      <c r="Q568" s="110"/>
      <c r="R568" s="110"/>
      <c r="T568" s="99"/>
      <c r="V568" s="110"/>
      <c r="W568" s="110"/>
      <c r="X568" s="110"/>
      <c r="Y568" s="110"/>
      <c r="Z568" s="110"/>
      <c r="AA568" s="110"/>
      <c r="AB568" s="228"/>
      <c r="AC568" s="110"/>
      <c r="AD568" s="110"/>
      <c r="AE568" s="141"/>
      <c r="AF568" s="141"/>
      <c r="AH568" s="110"/>
      <c r="AI568" s="207"/>
      <c r="AJ568" s="207"/>
      <c r="AL568" s="110"/>
      <c r="AM568" s="110"/>
      <c r="AN568" s="110"/>
      <c r="AO568" s="141"/>
      <c r="AP568" s="141"/>
    </row>
    <row r="569" spans="3:42" x14ac:dyDescent="0.3">
      <c r="C569" s="99"/>
      <c r="F569" s="172"/>
      <c r="J569" s="163"/>
      <c r="K569" s="163"/>
      <c r="T569" s="99"/>
      <c r="V569" s="110"/>
      <c r="W569" s="110"/>
      <c r="X569" s="110"/>
      <c r="Y569" s="110"/>
      <c r="Z569" s="110"/>
      <c r="AA569" s="110"/>
      <c r="AB569" s="228"/>
    </row>
    <row r="570" spans="3:42" x14ac:dyDescent="0.3">
      <c r="C570" s="99"/>
      <c r="H570" s="172"/>
      <c r="I570" s="172"/>
      <c r="J570" s="228"/>
      <c r="K570" s="228"/>
      <c r="L570" s="110"/>
      <c r="M570" s="110"/>
      <c r="N570" s="141"/>
      <c r="O570" s="141"/>
      <c r="P570" s="110"/>
      <c r="Q570" s="110"/>
      <c r="R570" s="110"/>
      <c r="T570" s="99"/>
      <c r="V570" s="110"/>
      <c r="W570" s="110"/>
      <c r="X570" s="110"/>
      <c r="Y570" s="110"/>
      <c r="Z570" s="110"/>
      <c r="AA570" s="110"/>
      <c r="AB570" s="228"/>
      <c r="AC570" s="110"/>
      <c r="AD570" s="110"/>
      <c r="AE570" s="141"/>
      <c r="AF570" s="141"/>
      <c r="AH570" s="110"/>
      <c r="AI570" s="207"/>
      <c r="AJ570" s="207"/>
      <c r="AL570" s="110"/>
      <c r="AM570" s="110"/>
      <c r="AN570" s="110"/>
      <c r="AO570" s="141"/>
      <c r="AP570" s="141"/>
    </row>
    <row r="571" spans="3:42" x14ac:dyDescent="0.3">
      <c r="C571" s="99"/>
      <c r="F571" s="172"/>
      <c r="J571" s="163"/>
      <c r="K571" s="163"/>
      <c r="T571" s="99"/>
      <c r="V571" s="110"/>
      <c r="W571" s="110"/>
      <c r="X571" s="110"/>
      <c r="Y571" s="110"/>
      <c r="Z571" s="110"/>
      <c r="AA571" s="110"/>
      <c r="AB571" s="228"/>
    </row>
    <row r="572" spans="3:42" x14ac:dyDescent="0.3">
      <c r="C572" s="99"/>
      <c r="H572" s="172"/>
      <c r="I572" s="172"/>
      <c r="J572" s="228"/>
      <c r="K572" s="228"/>
      <c r="L572" s="110"/>
      <c r="M572" s="110"/>
      <c r="N572" s="141"/>
      <c r="O572" s="141"/>
      <c r="P572" s="110"/>
      <c r="Q572" s="110"/>
      <c r="R572" s="110"/>
      <c r="T572" s="99"/>
      <c r="V572" s="110"/>
      <c r="W572" s="110"/>
      <c r="X572" s="110"/>
      <c r="Y572" s="110"/>
      <c r="Z572" s="110"/>
      <c r="AA572" s="110"/>
      <c r="AB572" s="228"/>
      <c r="AC572" s="110"/>
      <c r="AD572" s="110"/>
      <c r="AE572" s="141"/>
      <c r="AF572" s="141"/>
      <c r="AH572" s="110"/>
      <c r="AI572" s="207"/>
      <c r="AJ572" s="207"/>
      <c r="AL572" s="110"/>
      <c r="AM572" s="110"/>
      <c r="AN572" s="110"/>
      <c r="AO572" s="141"/>
      <c r="AP572" s="141"/>
    </row>
    <row r="573" spans="3:42" x14ac:dyDescent="0.3">
      <c r="C573" s="99"/>
      <c r="F573" s="172"/>
      <c r="J573" s="163"/>
      <c r="K573" s="163"/>
      <c r="T573" s="99"/>
      <c r="V573" s="110"/>
      <c r="W573" s="110"/>
      <c r="X573" s="110"/>
      <c r="Y573" s="110"/>
      <c r="Z573" s="110"/>
      <c r="AA573" s="110"/>
      <c r="AB573" s="228"/>
    </row>
    <row r="574" spans="3:42" x14ac:dyDescent="0.3">
      <c r="C574" s="99"/>
      <c r="H574" s="172"/>
      <c r="I574" s="172"/>
      <c r="J574" s="228"/>
      <c r="K574" s="228"/>
      <c r="L574" s="110"/>
      <c r="M574" s="110"/>
      <c r="N574" s="141"/>
      <c r="O574" s="141"/>
      <c r="P574" s="110"/>
      <c r="Q574" s="110"/>
      <c r="R574" s="110"/>
      <c r="T574" s="99"/>
      <c r="V574" s="110"/>
      <c r="W574" s="110"/>
      <c r="X574" s="110"/>
      <c r="Y574" s="110"/>
      <c r="Z574" s="110"/>
      <c r="AA574" s="110"/>
      <c r="AB574" s="228"/>
      <c r="AC574" s="110"/>
      <c r="AD574" s="110"/>
      <c r="AE574" s="141"/>
      <c r="AF574" s="141"/>
      <c r="AH574" s="110"/>
      <c r="AI574" s="207"/>
      <c r="AJ574" s="207"/>
      <c r="AL574" s="110"/>
      <c r="AM574" s="110"/>
      <c r="AN574" s="110"/>
      <c r="AO574" s="141"/>
      <c r="AP574" s="141"/>
    </row>
    <row r="575" spans="3:42" x14ac:dyDescent="0.3">
      <c r="F575" s="172"/>
      <c r="H575" s="192"/>
      <c r="I575" s="192"/>
      <c r="J575" s="228"/>
      <c r="K575" s="228"/>
      <c r="L575" s="192"/>
      <c r="M575" s="192"/>
      <c r="N575" s="192"/>
      <c r="O575" s="192"/>
      <c r="P575" s="192"/>
      <c r="Q575" s="192"/>
      <c r="R575" s="192"/>
      <c r="V575" s="192"/>
      <c r="AA575" s="192"/>
      <c r="AB575" s="228"/>
      <c r="AC575" s="192"/>
      <c r="AD575" s="192"/>
      <c r="AE575" s="192"/>
      <c r="AF575" s="192"/>
      <c r="AG575" s="194"/>
      <c r="AH575" s="192"/>
      <c r="AK575" s="194"/>
      <c r="AL575" s="192"/>
      <c r="AM575" s="192"/>
      <c r="AN575" s="192"/>
      <c r="AO575" s="141"/>
      <c r="AP575" s="141"/>
    </row>
    <row r="576" spans="3:42" x14ac:dyDescent="0.3">
      <c r="C576" s="99"/>
      <c r="F576" s="192"/>
      <c r="H576" s="110"/>
      <c r="I576" s="110"/>
      <c r="J576" s="163"/>
      <c r="K576" s="163"/>
      <c r="L576" s="110"/>
      <c r="M576" s="110"/>
      <c r="N576" s="141"/>
      <c r="O576" s="141"/>
      <c r="P576" s="172"/>
      <c r="Q576" s="172"/>
      <c r="R576" s="110"/>
      <c r="T576" s="99"/>
      <c r="V576" s="110"/>
      <c r="W576" s="110"/>
      <c r="X576" s="110"/>
      <c r="Y576" s="110"/>
      <c r="Z576" s="110"/>
      <c r="AA576" s="110"/>
      <c r="AB576" s="228"/>
      <c r="AC576" s="110"/>
      <c r="AD576" s="110"/>
      <c r="AE576" s="141"/>
      <c r="AF576" s="141"/>
      <c r="AH576" s="110"/>
      <c r="AI576" s="207"/>
      <c r="AJ576" s="207"/>
      <c r="AK576" s="224"/>
      <c r="AL576" s="172"/>
      <c r="AM576" s="110"/>
      <c r="AN576" s="110"/>
      <c r="AO576" s="141"/>
      <c r="AP576" s="141"/>
    </row>
    <row r="577" spans="3:42" x14ac:dyDescent="0.3">
      <c r="F577" s="110"/>
      <c r="H577" s="192"/>
      <c r="I577" s="192"/>
      <c r="J577" s="228"/>
      <c r="K577" s="228"/>
      <c r="L577" s="192"/>
      <c r="M577" s="192"/>
      <c r="N577" s="192"/>
      <c r="O577" s="192"/>
      <c r="P577" s="192"/>
      <c r="Q577" s="192"/>
      <c r="R577" s="192"/>
      <c r="V577" s="192"/>
      <c r="AA577" s="192"/>
      <c r="AB577" s="228"/>
      <c r="AC577" s="192"/>
      <c r="AD577" s="192"/>
      <c r="AE577" s="192"/>
      <c r="AF577" s="192"/>
      <c r="AG577" s="194"/>
      <c r="AH577" s="192"/>
      <c r="AK577" s="194"/>
      <c r="AL577" s="192"/>
      <c r="AM577" s="192"/>
      <c r="AN577" s="192"/>
    </row>
    <row r="578" spans="3:42" x14ac:dyDescent="0.3">
      <c r="C578" s="99"/>
      <c r="D578" s="99"/>
      <c r="E578" s="99"/>
      <c r="F578" s="192"/>
      <c r="J578" s="163"/>
      <c r="K578" s="163"/>
      <c r="T578" s="99"/>
      <c r="U578" s="99"/>
      <c r="V578" s="110"/>
      <c r="W578" s="110"/>
      <c r="X578" s="110"/>
      <c r="Y578" s="110"/>
      <c r="Z578" s="110"/>
      <c r="AA578" s="110"/>
      <c r="AB578" s="228"/>
    </row>
    <row r="579" spans="3:42" x14ac:dyDescent="0.3">
      <c r="C579" s="99"/>
      <c r="J579" s="163"/>
      <c r="K579" s="163"/>
      <c r="T579" s="99"/>
      <c r="V579" s="110"/>
      <c r="W579" s="110"/>
      <c r="X579" s="110"/>
      <c r="Y579" s="110"/>
      <c r="Z579" s="110"/>
      <c r="AA579" s="110"/>
      <c r="AB579" s="228"/>
    </row>
    <row r="580" spans="3:42" x14ac:dyDescent="0.3">
      <c r="C580" s="99"/>
      <c r="J580" s="163"/>
      <c r="K580" s="163"/>
      <c r="T580" s="99"/>
      <c r="V580" s="110"/>
      <c r="W580" s="110"/>
      <c r="X580" s="110"/>
      <c r="Y580" s="110"/>
      <c r="Z580" s="110"/>
      <c r="AA580" s="110"/>
      <c r="AB580" s="228"/>
    </row>
    <row r="581" spans="3:42" x14ac:dyDescent="0.3">
      <c r="C581" s="99"/>
      <c r="H581" s="172"/>
      <c r="I581" s="172"/>
      <c r="J581" s="228"/>
      <c r="K581" s="228"/>
      <c r="L581" s="110"/>
      <c r="M581" s="110"/>
      <c r="N581" s="141"/>
      <c r="O581" s="141"/>
      <c r="P581" s="110"/>
      <c r="Q581" s="110"/>
      <c r="R581" s="110"/>
      <c r="T581" s="99"/>
      <c r="V581" s="110"/>
      <c r="W581" s="110"/>
      <c r="X581" s="110"/>
      <c r="Y581" s="110"/>
      <c r="Z581" s="110"/>
      <c r="AA581" s="110"/>
      <c r="AB581" s="228"/>
      <c r="AC581" s="110"/>
      <c r="AD581" s="110"/>
      <c r="AE581" s="141"/>
      <c r="AF581" s="141"/>
      <c r="AH581" s="110"/>
      <c r="AI581" s="207"/>
      <c r="AJ581" s="207"/>
      <c r="AL581" s="110"/>
      <c r="AM581" s="110"/>
      <c r="AN581" s="110"/>
      <c r="AO581" s="141"/>
      <c r="AP581" s="141"/>
    </row>
    <row r="582" spans="3:42" x14ac:dyDescent="0.3">
      <c r="C582" s="99"/>
      <c r="F582" s="172"/>
      <c r="J582" s="163"/>
      <c r="K582" s="163"/>
      <c r="T582" s="99"/>
      <c r="V582" s="110"/>
      <c r="W582" s="110"/>
      <c r="X582" s="110"/>
      <c r="Y582" s="110"/>
      <c r="Z582" s="110"/>
      <c r="AA582" s="110"/>
      <c r="AB582" s="228"/>
    </row>
    <row r="583" spans="3:42" x14ac:dyDescent="0.3">
      <c r="C583" s="99"/>
      <c r="H583" s="172"/>
      <c r="I583" s="172"/>
      <c r="J583" s="228"/>
      <c r="K583" s="228"/>
      <c r="L583" s="110"/>
      <c r="M583" s="110"/>
      <c r="N583" s="141"/>
      <c r="O583" s="141"/>
      <c r="P583" s="110"/>
      <c r="Q583" s="110"/>
      <c r="R583" s="110"/>
      <c r="T583" s="99"/>
      <c r="V583" s="110"/>
      <c r="W583" s="110"/>
      <c r="X583" s="110"/>
      <c r="Y583" s="110"/>
      <c r="Z583" s="110"/>
      <c r="AA583" s="110"/>
      <c r="AB583" s="228"/>
      <c r="AC583" s="110"/>
      <c r="AD583" s="110"/>
      <c r="AE583" s="141"/>
      <c r="AF583" s="141"/>
      <c r="AH583" s="110"/>
      <c r="AI583" s="207"/>
      <c r="AJ583" s="207"/>
      <c r="AL583" s="110"/>
      <c r="AM583" s="110"/>
      <c r="AN583" s="110"/>
      <c r="AO583" s="141"/>
      <c r="AP583" s="141"/>
    </row>
    <row r="584" spans="3:42" x14ac:dyDescent="0.3">
      <c r="F584" s="172"/>
      <c r="H584" s="192"/>
      <c r="I584" s="192"/>
      <c r="J584" s="228"/>
      <c r="K584" s="228"/>
      <c r="L584" s="192"/>
      <c r="M584" s="192"/>
      <c r="N584" s="192"/>
      <c r="O584" s="192"/>
      <c r="P584" s="192"/>
      <c r="Q584" s="192"/>
      <c r="R584" s="192"/>
      <c r="V584" s="192"/>
      <c r="AA584" s="192"/>
      <c r="AB584" s="217"/>
      <c r="AC584" s="192"/>
      <c r="AD584" s="192"/>
      <c r="AE584" s="192"/>
      <c r="AF584" s="192"/>
      <c r="AG584" s="194"/>
      <c r="AH584" s="192"/>
      <c r="AK584" s="194"/>
      <c r="AL584" s="192"/>
      <c r="AM584" s="192"/>
      <c r="AN584" s="192"/>
    </row>
    <row r="585" spans="3:42" x14ac:dyDescent="0.3">
      <c r="C585" s="99"/>
      <c r="F585" s="192"/>
      <c r="H585" s="110"/>
      <c r="I585" s="110"/>
      <c r="L585" s="110"/>
      <c r="M585" s="110"/>
      <c r="N585" s="141"/>
      <c r="O585" s="141"/>
      <c r="P585" s="172"/>
      <c r="Q585" s="172"/>
      <c r="R585" s="110"/>
      <c r="T585" s="99"/>
      <c r="V585" s="110"/>
      <c r="W585" s="110"/>
      <c r="X585" s="110"/>
      <c r="Y585" s="110"/>
      <c r="Z585" s="110"/>
      <c r="AA585" s="110"/>
      <c r="AB585" s="227"/>
      <c r="AC585" s="110"/>
      <c r="AD585" s="110"/>
      <c r="AE585" s="141"/>
      <c r="AF585" s="141"/>
      <c r="AH585" s="110"/>
      <c r="AI585" s="207"/>
      <c r="AJ585" s="207"/>
      <c r="AK585" s="224"/>
      <c r="AL585" s="172"/>
      <c r="AM585" s="110"/>
      <c r="AN585" s="110"/>
      <c r="AO585" s="141"/>
      <c r="AP585" s="141"/>
    </row>
    <row r="586" spans="3:42" x14ac:dyDescent="0.3">
      <c r="F586" s="110"/>
      <c r="H586" s="192"/>
      <c r="I586" s="192"/>
      <c r="J586" s="217"/>
      <c r="K586" s="217"/>
      <c r="L586" s="192"/>
      <c r="M586" s="192"/>
      <c r="N586" s="192"/>
      <c r="O586" s="192"/>
      <c r="P586" s="192"/>
      <c r="Q586" s="192"/>
      <c r="R586" s="192"/>
      <c r="V586" s="192"/>
      <c r="AA586" s="192"/>
      <c r="AB586" s="217"/>
      <c r="AC586" s="192"/>
      <c r="AD586" s="192"/>
      <c r="AE586" s="192"/>
      <c r="AF586" s="192"/>
      <c r="AG586" s="194"/>
      <c r="AH586" s="192"/>
      <c r="AK586" s="194"/>
      <c r="AL586" s="192"/>
      <c r="AM586" s="192"/>
      <c r="AN586" s="192"/>
    </row>
    <row r="587" spans="3:42" x14ac:dyDescent="0.3">
      <c r="C587" s="99"/>
      <c r="D587" s="99"/>
      <c r="E587" s="99"/>
      <c r="F587" s="192"/>
      <c r="T587" s="99"/>
      <c r="U587" s="99"/>
      <c r="V587" s="110"/>
      <c r="W587" s="110"/>
      <c r="X587" s="110"/>
      <c r="Y587" s="110"/>
      <c r="Z587" s="110"/>
      <c r="AA587" s="110"/>
      <c r="AB587" s="227"/>
    </row>
    <row r="588" spans="3:42" x14ac:dyDescent="0.3">
      <c r="C588" s="99"/>
      <c r="T588" s="99"/>
      <c r="V588" s="110"/>
      <c r="W588" s="110"/>
      <c r="X588" s="110"/>
      <c r="Y588" s="110"/>
      <c r="Z588" s="110"/>
      <c r="AA588" s="110"/>
      <c r="AB588" s="227"/>
    </row>
    <row r="589" spans="3:42" x14ac:dyDescent="0.3">
      <c r="C589" s="99"/>
      <c r="H589" s="172"/>
      <c r="I589" s="172"/>
      <c r="J589" s="227"/>
      <c r="K589" s="227"/>
      <c r="L589" s="110"/>
      <c r="M589" s="110"/>
      <c r="N589" s="141"/>
      <c r="O589" s="141"/>
      <c r="P589" s="110"/>
      <c r="Q589" s="110"/>
      <c r="R589" s="110"/>
      <c r="T589" s="99"/>
      <c r="V589" s="110"/>
      <c r="W589" s="110"/>
      <c r="X589" s="110"/>
      <c r="Y589" s="110"/>
      <c r="Z589" s="110"/>
      <c r="AA589" s="110"/>
      <c r="AB589" s="227"/>
      <c r="AC589" s="110"/>
      <c r="AD589" s="110"/>
      <c r="AE589" s="141"/>
      <c r="AF589" s="141"/>
      <c r="AH589" s="110"/>
      <c r="AI589" s="207"/>
      <c r="AJ589" s="207"/>
      <c r="AL589" s="110"/>
      <c r="AM589" s="110"/>
      <c r="AN589" s="110"/>
      <c r="AO589" s="141"/>
      <c r="AP589" s="141"/>
    </row>
    <row r="590" spans="3:42" x14ac:dyDescent="0.3">
      <c r="C590" s="99"/>
      <c r="F590" s="172"/>
      <c r="T590" s="99"/>
      <c r="V590" s="110"/>
      <c r="W590" s="110"/>
      <c r="X590" s="110"/>
      <c r="Y590" s="110"/>
      <c r="Z590" s="110"/>
      <c r="AA590" s="110"/>
      <c r="AB590" s="227"/>
    </row>
    <row r="591" spans="3:42" x14ac:dyDescent="0.3">
      <c r="C591" s="99"/>
      <c r="H591" s="172"/>
      <c r="I591" s="172"/>
      <c r="J591" s="227"/>
      <c r="K591" s="227"/>
      <c r="L591" s="110"/>
      <c r="M591" s="110"/>
      <c r="N591" s="141"/>
      <c r="O591" s="141"/>
      <c r="P591" s="110"/>
      <c r="Q591" s="110"/>
      <c r="R591" s="110"/>
      <c r="T591" s="99"/>
      <c r="V591" s="110"/>
      <c r="W591" s="110"/>
      <c r="X591" s="110"/>
      <c r="Y591" s="110"/>
      <c r="Z591" s="110"/>
      <c r="AA591" s="110"/>
      <c r="AB591" s="227"/>
      <c r="AC591" s="110"/>
      <c r="AD591" s="110"/>
      <c r="AE591" s="141"/>
      <c r="AF591" s="141"/>
      <c r="AH591" s="110"/>
      <c r="AI591" s="207"/>
      <c r="AJ591" s="207"/>
      <c r="AL591" s="110"/>
      <c r="AM591" s="110"/>
      <c r="AN591" s="110"/>
      <c r="AO591" s="141"/>
      <c r="AP591" s="141"/>
    </row>
    <row r="592" spans="3:42" x14ac:dyDescent="0.3">
      <c r="C592" s="99"/>
      <c r="F592" s="172"/>
      <c r="T592" s="99"/>
      <c r="V592" s="110"/>
      <c r="W592" s="110"/>
      <c r="X592" s="110"/>
      <c r="Y592" s="110"/>
      <c r="Z592" s="110"/>
      <c r="AA592" s="110"/>
      <c r="AB592" s="227"/>
    </row>
    <row r="593" spans="1:42" x14ac:dyDescent="0.3">
      <c r="C593" s="99"/>
      <c r="H593" s="172"/>
      <c r="I593" s="172"/>
      <c r="J593" s="227"/>
      <c r="K593" s="227"/>
      <c r="L593" s="110"/>
      <c r="M593" s="110"/>
      <c r="N593" s="141"/>
      <c r="O593" s="141"/>
      <c r="P593" s="110"/>
      <c r="Q593" s="110"/>
      <c r="R593" s="110"/>
      <c r="T593" s="99"/>
      <c r="V593" s="110"/>
      <c r="W593" s="110"/>
      <c r="X593" s="110"/>
      <c r="Y593" s="110"/>
      <c r="Z593" s="110"/>
      <c r="AA593" s="110"/>
      <c r="AB593" s="227"/>
      <c r="AC593" s="110"/>
      <c r="AD593" s="110"/>
      <c r="AE593" s="141"/>
      <c r="AF593" s="141"/>
      <c r="AH593" s="110"/>
      <c r="AI593" s="207"/>
      <c r="AJ593" s="207"/>
      <c r="AL593" s="110"/>
      <c r="AM593" s="110"/>
      <c r="AN593" s="110"/>
      <c r="AO593" s="141"/>
      <c r="AP593" s="141"/>
    </row>
    <row r="594" spans="1:42" x14ac:dyDescent="0.3">
      <c r="C594" s="99"/>
      <c r="F594" s="172"/>
      <c r="T594" s="99"/>
      <c r="V594" s="110"/>
      <c r="W594" s="110"/>
      <c r="X594" s="110"/>
      <c r="Y594" s="110"/>
      <c r="Z594" s="110"/>
      <c r="AA594" s="110"/>
      <c r="AB594" s="227"/>
    </row>
    <row r="595" spans="1:42" x14ac:dyDescent="0.3">
      <c r="C595" s="99"/>
      <c r="H595" s="172"/>
      <c r="I595" s="172"/>
      <c r="J595" s="227"/>
      <c r="K595" s="227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Z595" s="110"/>
      <c r="AA595" s="110"/>
      <c r="AB595" s="227"/>
      <c r="AC595" s="110"/>
      <c r="AD595" s="110"/>
      <c r="AE595" s="141"/>
      <c r="AF595" s="141"/>
      <c r="AH595" s="110"/>
      <c r="AI595" s="207"/>
      <c r="AJ595" s="207"/>
      <c r="AL595" s="110"/>
      <c r="AM595" s="110"/>
      <c r="AN595" s="110"/>
      <c r="AO595" s="141"/>
      <c r="AP595" s="141"/>
    </row>
    <row r="596" spans="1:42" x14ac:dyDescent="0.3">
      <c r="F596" s="172"/>
      <c r="H596" s="192"/>
      <c r="I596" s="192"/>
      <c r="J596" s="217"/>
      <c r="K596" s="217"/>
      <c r="L596" s="192"/>
      <c r="M596" s="192"/>
      <c r="N596" s="192"/>
      <c r="O596" s="192"/>
      <c r="P596" s="192"/>
      <c r="Q596" s="192"/>
      <c r="R596" s="192"/>
      <c r="V596" s="192"/>
      <c r="AA596" s="192"/>
      <c r="AB596" s="217"/>
      <c r="AC596" s="192"/>
      <c r="AD596" s="192"/>
      <c r="AE596" s="192"/>
      <c r="AF596" s="192"/>
      <c r="AG596" s="194"/>
      <c r="AH596" s="192"/>
      <c r="AK596" s="194"/>
      <c r="AL596" s="192"/>
      <c r="AM596" s="192"/>
      <c r="AN596" s="192"/>
    </row>
    <row r="597" spans="1:42" x14ac:dyDescent="0.3">
      <c r="C597" s="99"/>
      <c r="F597" s="192"/>
      <c r="H597" s="110"/>
      <c r="I597" s="110"/>
      <c r="L597" s="110"/>
      <c r="M597" s="110"/>
      <c r="N597" s="141"/>
      <c r="O597" s="141"/>
      <c r="P597" s="172"/>
      <c r="Q597" s="172"/>
      <c r="R597" s="110"/>
      <c r="T597" s="99"/>
      <c r="V597" s="110"/>
      <c r="W597" s="110"/>
      <c r="X597" s="110"/>
      <c r="Y597" s="110"/>
      <c r="Z597" s="110"/>
      <c r="AA597" s="110"/>
      <c r="AB597" s="227"/>
      <c r="AC597" s="110"/>
      <c r="AD597" s="110"/>
      <c r="AE597" s="141"/>
      <c r="AF597" s="141"/>
      <c r="AH597" s="110"/>
      <c r="AI597" s="207"/>
      <c r="AJ597" s="207"/>
      <c r="AK597" s="224"/>
      <c r="AL597" s="172"/>
      <c r="AM597" s="110"/>
      <c r="AN597" s="110"/>
      <c r="AO597" s="141"/>
      <c r="AP597" s="141"/>
    </row>
    <row r="598" spans="1:42" x14ac:dyDescent="0.3">
      <c r="F598" s="110"/>
      <c r="H598" s="192"/>
      <c r="I598" s="192"/>
      <c r="J598" s="217"/>
      <c r="K598" s="217"/>
      <c r="L598" s="192"/>
      <c r="M598" s="192"/>
      <c r="N598" s="192"/>
      <c r="O598" s="192"/>
      <c r="P598" s="192"/>
      <c r="Q598" s="192"/>
      <c r="R598" s="192"/>
      <c r="V598" s="192"/>
      <c r="AA598" s="192"/>
      <c r="AB598" s="217"/>
      <c r="AC598" s="192"/>
      <c r="AD598" s="192"/>
      <c r="AE598" s="192"/>
      <c r="AF598" s="192"/>
      <c r="AG598" s="194"/>
      <c r="AH598" s="192"/>
      <c r="AK598" s="194"/>
      <c r="AL598" s="192"/>
      <c r="AM598" s="192"/>
      <c r="AN598" s="192"/>
    </row>
    <row r="599" spans="1:42" x14ac:dyDescent="0.3">
      <c r="C599" s="99"/>
      <c r="F599" s="192"/>
      <c r="H599" s="110"/>
      <c r="I599" s="110"/>
      <c r="L599" s="110"/>
      <c r="M599" s="110"/>
      <c r="N599" s="141"/>
      <c r="O599" s="141"/>
      <c r="P599" s="110"/>
      <c r="Q599" s="110"/>
      <c r="R599" s="110"/>
      <c r="T599" s="99"/>
      <c r="V599" s="110"/>
      <c r="W599" s="110"/>
      <c r="X599" s="110"/>
      <c r="Y599" s="110"/>
      <c r="Z599" s="110"/>
      <c r="AA599" s="110"/>
      <c r="AC599" s="110"/>
      <c r="AD599" s="110"/>
      <c r="AE599" s="141"/>
      <c r="AF599" s="141"/>
      <c r="AH599" s="110"/>
      <c r="AI599" s="207"/>
      <c r="AJ599" s="207"/>
      <c r="AL599" s="110"/>
      <c r="AM599" s="110"/>
      <c r="AN599" s="110"/>
      <c r="AO599" s="207"/>
      <c r="AP599" s="207"/>
    </row>
    <row r="600" spans="1:42" x14ac:dyDescent="0.3">
      <c r="F600" s="110"/>
      <c r="H600" s="192"/>
      <c r="I600" s="192"/>
      <c r="J600" s="217"/>
      <c r="K600" s="217"/>
      <c r="L600" s="192"/>
      <c r="M600" s="192"/>
      <c r="N600" s="192"/>
      <c r="O600" s="192"/>
      <c r="P600" s="192"/>
      <c r="Q600" s="192"/>
      <c r="R600" s="192"/>
      <c r="V600" s="192"/>
      <c r="AA600" s="192"/>
      <c r="AB600" s="217"/>
      <c r="AC600" s="192"/>
      <c r="AD600" s="192"/>
      <c r="AE600" s="192"/>
      <c r="AF600" s="192"/>
      <c r="AG600" s="194"/>
      <c r="AH600" s="192"/>
      <c r="AK600" s="194"/>
      <c r="AL600" s="192"/>
      <c r="AM600" s="192"/>
      <c r="AN600" s="192"/>
    </row>
    <row r="602" spans="1:42" x14ac:dyDescent="0.3">
      <c r="F602" s="192"/>
    </row>
    <row r="603" spans="1:42" x14ac:dyDescent="0.3">
      <c r="A603" s="99"/>
    </row>
    <row r="605" spans="1:42" x14ac:dyDescent="0.3">
      <c r="H605" s="99"/>
      <c r="I605" s="99"/>
      <c r="AA605" s="99"/>
    </row>
    <row r="607" spans="1:42" x14ac:dyDescent="0.3">
      <c r="L607" s="99"/>
      <c r="M607" s="99"/>
      <c r="AC607" s="99"/>
      <c r="AD607" s="99"/>
    </row>
    <row r="608" spans="1:42" x14ac:dyDescent="0.3">
      <c r="R608" s="99"/>
      <c r="AM608" s="99"/>
      <c r="AN608" s="99"/>
    </row>
    <row r="609" spans="1:42" x14ac:dyDescent="0.3">
      <c r="R609" s="99"/>
      <c r="AM609" s="99"/>
      <c r="AN609" s="99"/>
    </row>
    <row r="610" spans="1:42" x14ac:dyDescent="0.3">
      <c r="A610" s="99"/>
      <c r="R610" s="99"/>
      <c r="AM610" s="99"/>
      <c r="AN610" s="99"/>
    </row>
    <row r="611" spans="1:42" x14ac:dyDescent="0.3">
      <c r="L611" s="99"/>
      <c r="M611" s="99"/>
      <c r="AC611" s="99"/>
      <c r="AD611" s="99"/>
    </row>
    <row r="612" spans="1:42" x14ac:dyDescent="0.3">
      <c r="A612" s="101"/>
      <c r="B612" s="101"/>
      <c r="C612" s="101"/>
      <c r="D612" s="101"/>
      <c r="E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T612" s="101"/>
      <c r="U612" s="101"/>
      <c r="V612" s="101"/>
      <c r="W612" s="101"/>
      <c r="X612" s="101"/>
      <c r="Y612" s="101"/>
      <c r="Z612" s="101"/>
      <c r="AA612" s="101"/>
      <c r="AB612" s="101"/>
      <c r="AC612" s="101"/>
      <c r="AD612" s="101"/>
      <c r="AE612" s="101"/>
      <c r="AF612" s="101"/>
      <c r="AG612" s="191"/>
      <c r="AH612" s="101"/>
      <c r="AI612" s="101"/>
      <c r="AJ612" s="101"/>
      <c r="AK612" s="191"/>
      <c r="AL612" s="101"/>
      <c r="AM612" s="101"/>
      <c r="AN612" s="101"/>
      <c r="AO612" s="101"/>
      <c r="AP612" s="101"/>
    </row>
    <row r="613" spans="1:42" x14ac:dyDescent="0.3">
      <c r="F613" s="101"/>
      <c r="L613" s="102"/>
      <c r="M613" s="102"/>
      <c r="N613" s="102"/>
      <c r="O613" s="102"/>
      <c r="R613" s="102"/>
      <c r="AC613" s="102"/>
      <c r="AD613" s="102"/>
      <c r="AE613" s="102"/>
      <c r="AF613" s="102"/>
      <c r="AG613" s="151"/>
      <c r="AH613" s="102"/>
      <c r="AI613" s="102"/>
      <c r="AJ613" s="102"/>
      <c r="AM613" s="102"/>
      <c r="AN613" s="102"/>
      <c r="AO613" s="102"/>
      <c r="AP613" s="102"/>
    </row>
    <row r="614" spans="1:42" x14ac:dyDescent="0.3">
      <c r="L614" s="102"/>
      <c r="M614" s="102"/>
      <c r="N614" s="102"/>
      <c r="O614" s="102"/>
      <c r="R614" s="102"/>
      <c r="AB614" s="102"/>
      <c r="AC614" s="102"/>
      <c r="AD614" s="102"/>
      <c r="AE614" s="102"/>
      <c r="AF614" s="102"/>
      <c r="AG614" s="151"/>
      <c r="AH614" s="102"/>
      <c r="AI614" s="102"/>
      <c r="AJ614" s="102"/>
      <c r="AM614" s="102"/>
      <c r="AN614" s="102"/>
      <c r="AO614" s="102"/>
      <c r="AP614" s="102"/>
    </row>
    <row r="615" spans="1:42" x14ac:dyDescent="0.3">
      <c r="A615" s="102"/>
      <c r="C615" s="102"/>
      <c r="D615" s="102"/>
      <c r="E615" s="102"/>
      <c r="J615" s="102"/>
      <c r="K615" s="102"/>
      <c r="L615" s="102"/>
      <c r="M615" s="102"/>
      <c r="N615" s="102"/>
      <c r="O615" s="102"/>
      <c r="P615" s="102"/>
      <c r="Q615" s="102"/>
      <c r="R615" s="102"/>
      <c r="T615" s="102"/>
      <c r="U615" s="102"/>
      <c r="V615" s="102"/>
      <c r="AB615" s="102"/>
      <c r="AC615" s="102"/>
      <c r="AD615" s="102"/>
      <c r="AE615" s="102"/>
      <c r="AF615" s="102"/>
      <c r="AG615" s="151"/>
      <c r="AH615" s="102"/>
      <c r="AI615" s="102"/>
      <c r="AJ615" s="102"/>
      <c r="AK615" s="151"/>
      <c r="AL615" s="102"/>
      <c r="AM615" s="102"/>
      <c r="AN615" s="102"/>
      <c r="AO615" s="102"/>
      <c r="AP615" s="102"/>
    </row>
    <row r="616" spans="1:42" x14ac:dyDescent="0.3">
      <c r="A616" s="102"/>
      <c r="C616" s="102"/>
      <c r="D616" s="102"/>
      <c r="E616" s="102"/>
      <c r="F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T616" s="102"/>
      <c r="U616" s="102"/>
      <c r="V616" s="102"/>
      <c r="AA616" s="102"/>
      <c r="AB616" s="102"/>
      <c r="AC616" s="102"/>
      <c r="AD616" s="102"/>
      <c r="AE616" s="102"/>
      <c r="AF616" s="102"/>
      <c r="AG616" s="151"/>
      <c r="AH616" s="102"/>
      <c r="AI616" s="102"/>
      <c r="AJ616" s="102"/>
      <c r="AK616" s="151"/>
      <c r="AL616" s="102"/>
      <c r="AM616" s="102"/>
      <c r="AN616" s="102"/>
      <c r="AO616" s="102"/>
      <c r="AP616" s="102"/>
    </row>
    <row r="617" spans="1:42" x14ac:dyDescent="0.3">
      <c r="C617" s="102"/>
      <c r="D617" s="102"/>
      <c r="E617" s="102"/>
      <c r="F617" s="102"/>
      <c r="H617" s="102"/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T617" s="102"/>
      <c r="U617" s="102"/>
      <c r="V617" s="102"/>
      <c r="AA617" s="102"/>
      <c r="AB617" s="102"/>
      <c r="AC617" s="102"/>
      <c r="AD617" s="102"/>
      <c r="AE617" s="102"/>
      <c r="AF617" s="102"/>
      <c r="AG617" s="151"/>
      <c r="AH617" s="102"/>
      <c r="AI617" s="102"/>
      <c r="AJ617" s="102"/>
      <c r="AK617" s="151"/>
      <c r="AL617" s="102"/>
      <c r="AM617" s="102"/>
      <c r="AN617" s="102"/>
      <c r="AO617" s="102"/>
      <c r="AP617" s="102"/>
    </row>
    <row r="618" spans="1:42" x14ac:dyDescent="0.3">
      <c r="A618" s="101"/>
      <c r="B618" s="101"/>
      <c r="C618" s="101"/>
      <c r="D618" s="101"/>
      <c r="E618" s="101"/>
      <c r="F618" s="102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T618" s="101"/>
      <c r="U618" s="101"/>
      <c r="V618" s="101"/>
      <c r="W618" s="101"/>
      <c r="X618" s="101"/>
      <c r="Y618" s="101"/>
      <c r="Z618" s="101"/>
      <c r="AA618" s="101"/>
      <c r="AB618" s="101"/>
      <c r="AC618" s="101"/>
      <c r="AD618" s="101"/>
      <c r="AE618" s="101"/>
      <c r="AF618" s="101"/>
      <c r="AG618" s="191"/>
      <c r="AH618" s="101"/>
      <c r="AI618" s="101"/>
      <c r="AJ618" s="101"/>
      <c r="AK618" s="191"/>
      <c r="AL618" s="101"/>
      <c r="AM618" s="101"/>
      <c r="AN618" s="101"/>
      <c r="AO618" s="101"/>
      <c r="AP618" s="101"/>
    </row>
    <row r="619" spans="1:42" x14ac:dyDescent="0.3">
      <c r="F619" s="101"/>
      <c r="H619" s="102"/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AA619" s="102"/>
      <c r="AB619" s="102"/>
      <c r="AC619" s="102"/>
      <c r="AD619" s="102"/>
      <c r="AE619" s="102"/>
      <c r="AF619" s="102"/>
      <c r="AG619" s="151"/>
      <c r="AH619" s="102"/>
      <c r="AI619" s="102"/>
      <c r="AJ619" s="102"/>
      <c r="AK619" s="151"/>
      <c r="AL619" s="102"/>
      <c r="AM619" s="102"/>
      <c r="AN619" s="102"/>
      <c r="AO619" s="102"/>
      <c r="AP619" s="102"/>
    </row>
    <row r="620" spans="1:42" x14ac:dyDescent="0.3">
      <c r="C620" s="99"/>
      <c r="D620" s="99"/>
      <c r="E620" s="99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U620" s="99"/>
      <c r="V620" s="110"/>
      <c r="AA620" s="110"/>
      <c r="AB620" s="198"/>
      <c r="AC620" s="110"/>
      <c r="AD620" s="110"/>
      <c r="AE620" s="198"/>
      <c r="AF620" s="198"/>
      <c r="AH620" s="110"/>
      <c r="AI620" s="207"/>
      <c r="AJ620" s="207"/>
      <c r="AL620" s="110"/>
      <c r="AM620" s="110"/>
      <c r="AN620" s="110"/>
      <c r="AO620" s="141"/>
      <c r="AP620" s="141"/>
    </row>
    <row r="621" spans="1:42" x14ac:dyDescent="0.3">
      <c r="F621" s="110"/>
      <c r="H621" s="192"/>
      <c r="I621" s="192"/>
      <c r="J621" s="217"/>
      <c r="K621" s="217"/>
      <c r="L621" s="192"/>
      <c r="M621" s="192"/>
      <c r="N621" s="192"/>
      <c r="O621" s="192"/>
      <c r="P621" s="192"/>
      <c r="Q621" s="192"/>
      <c r="R621" s="192"/>
      <c r="V621" s="192"/>
      <c r="AA621" s="192"/>
      <c r="AB621" s="217"/>
      <c r="AC621" s="192"/>
      <c r="AD621" s="192"/>
      <c r="AE621" s="192"/>
      <c r="AF621" s="192"/>
      <c r="AG621" s="194"/>
      <c r="AH621" s="192"/>
      <c r="AK621" s="194"/>
      <c r="AL621" s="192"/>
      <c r="AM621" s="192"/>
      <c r="AN621" s="192"/>
      <c r="AO621" s="141"/>
      <c r="AP621" s="141"/>
    </row>
    <row r="622" spans="1:42" x14ac:dyDescent="0.3">
      <c r="C622" s="99"/>
      <c r="F622" s="192"/>
      <c r="H622" s="110"/>
      <c r="I622" s="110"/>
      <c r="J622" s="198"/>
      <c r="K622" s="198"/>
      <c r="L622" s="110"/>
      <c r="M622" s="110"/>
      <c r="N622" s="198"/>
      <c r="O622" s="198"/>
      <c r="P622" s="110"/>
      <c r="Q622" s="110"/>
      <c r="R622" s="110"/>
      <c r="T622" s="99"/>
      <c r="V622" s="110"/>
      <c r="AA622" s="110"/>
      <c r="AB622" s="198"/>
      <c r="AC622" s="110"/>
      <c r="AD622" s="110"/>
      <c r="AE622" s="198"/>
      <c r="AF622" s="198"/>
      <c r="AH622" s="110"/>
      <c r="AI622" s="207"/>
      <c r="AJ622" s="207"/>
      <c r="AL622" s="110"/>
      <c r="AM622" s="110"/>
      <c r="AN622" s="110"/>
      <c r="AO622" s="141"/>
      <c r="AP622" s="141"/>
    </row>
    <row r="623" spans="1:42" x14ac:dyDescent="0.3">
      <c r="F623" s="110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V623" s="110"/>
      <c r="AA623" s="110"/>
      <c r="AB623" s="198"/>
      <c r="AC623" s="110"/>
      <c r="AD623" s="110"/>
      <c r="AE623" s="198"/>
      <c r="AF623" s="198"/>
      <c r="AI623" s="207"/>
      <c r="AJ623" s="207"/>
      <c r="AL623" s="110"/>
      <c r="AM623" s="110"/>
      <c r="AN623" s="110"/>
      <c r="AO623" s="141"/>
      <c r="AP623" s="141"/>
    </row>
    <row r="624" spans="1:42" x14ac:dyDescent="0.3">
      <c r="C624" s="99"/>
      <c r="D624" s="99"/>
      <c r="E624" s="99"/>
      <c r="F624" s="110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T624" s="99"/>
      <c r="U624" s="99"/>
      <c r="V624" s="110"/>
      <c r="AA624" s="110"/>
      <c r="AB624" s="198"/>
      <c r="AC624" s="110"/>
      <c r="AD624" s="110"/>
      <c r="AE624" s="198"/>
      <c r="AF624" s="198"/>
      <c r="AH624" s="110"/>
      <c r="AI624" s="207"/>
      <c r="AJ624" s="207"/>
      <c r="AL624" s="110"/>
      <c r="AM624" s="110"/>
      <c r="AN624" s="110"/>
      <c r="AO624" s="141"/>
      <c r="AP624" s="141"/>
    </row>
    <row r="625" spans="3:42" x14ac:dyDescent="0.3">
      <c r="C625" s="99"/>
      <c r="D625" s="99"/>
      <c r="E625" s="99"/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T625" s="99"/>
      <c r="U625" s="99"/>
      <c r="V625" s="110"/>
      <c r="AA625" s="110"/>
      <c r="AB625" s="198"/>
      <c r="AC625" s="110"/>
      <c r="AD625" s="110"/>
      <c r="AE625" s="198"/>
      <c r="AF625" s="198"/>
      <c r="AH625" s="110"/>
      <c r="AI625" s="207"/>
      <c r="AJ625" s="207"/>
      <c r="AL625" s="110"/>
      <c r="AM625" s="110"/>
      <c r="AN625" s="110"/>
      <c r="AO625" s="141"/>
      <c r="AP625" s="141"/>
    </row>
    <row r="626" spans="3:42" x14ac:dyDescent="0.3">
      <c r="C626" s="99"/>
      <c r="D626" s="99"/>
      <c r="E626" s="99"/>
      <c r="F626" s="110"/>
      <c r="H626" s="110"/>
      <c r="I626" s="110"/>
      <c r="J626" s="198"/>
      <c r="K626" s="198"/>
      <c r="L626" s="110"/>
      <c r="M626" s="110"/>
      <c r="N626" s="198"/>
      <c r="O626" s="198"/>
      <c r="P626" s="110"/>
      <c r="Q626" s="110"/>
      <c r="R626" s="110"/>
      <c r="T626" s="99"/>
      <c r="U626" s="99"/>
      <c r="V626" s="110"/>
      <c r="AA626" s="110"/>
      <c r="AB626" s="198"/>
      <c r="AC626" s="110"/>
      <c r="AD626" s="110"/>
      <c r="AE626" s="198"/>
      <c r="AF626" s="198"/>
      <c r="AH626" s="110"/>
      <c r="AI626" s="207"/>
      <c r="AJ626" s="207"/>
      <c r="AL626" s="110"/>
      <c r="AM626" s="110"/>
      <c r="AN626" s="110"/>
      <c r="AO626" s="141"/>
      <c r="AP626" s="141"/>
    </row>
    <row r="627" spans="3:42" x14ac:dyDescent="0.3">
      <c r="C627" s="99"/>
      <c r="D627" s="99"/>
      <c r="E627" s="99"/>
      <c r="F627" s="110"/>
      <c r="H627" s="110"/>
      <c r="I627" s="110"/>
      <c r="J627" s="198"/>
      <c r="K627" s="198"/>
      <c r="L627" s="110"/>
      <c r="M627" s="110"/>
      <c r="N627" s="198"/>
      <c r="O627" s="198"/>
      <c r="P627" s="110"/>
      <c r="Q627" s="110"/>
      <c r="R627" s="110"/>
      <c r="T627" s="99"/>
      <c r="U627" s="99"/>
      <c r="V627" s="110"/>
      <c r="AA627" s="110"/>
      <c r="AB627" s="198"/>
      <c r="AC627" s="110"/>
      <c r="AD627" s="110"/>
      <c r="AE627" s="198"/>
      <c r="AF627" s="198"/>
      <c r="AH627" s="110"/>
      <c r="AI627" s="207"/>
      <c r="AJ627" s="207"/>
      <c r="AL627" s="110"/>
      <c r="AM627" s="110"/>
      <c r="AN627" s="110"/>
      <c r="AO627" s="141"/>
      <c r="AP627" s="141"/>
    </row>
    <row r="628" spans="3:42" x14ac:dyDescent="0.3">
      <c r="C628" s="99"/>
      <c r="D628" s="99"/>
      <c r="E628" s="99"/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T628" s="99"/>
      <c r="U628" s="99"/>
      <c r="V628" s="110"/>
      <c r="AA628" s="110"/>
      <c r="AB628" s="198"/>
      <c r="AC628" s="110"/>
      <c r="AD628" s="110"/>
      <c r="AE628" s="198"/>
      <c r="AF628" s="198"/>
      <c r="AH628" s="110"/>
      <c r="AI628" s="207"/>
      <c r="AJ628" s="207"/>
      <c r="AL628" s="110"/>
      <c r="AM628" s="110"/>
      <c r="AN628" s="110"/>
      <c r="AO628" s="141"/>
      <c r="AP628" s="141"/>
    </row>
    <row r="629" spans="3:42" x14ac:dyDescent="0.3">
      <c r="C629" s="99"/>
      <c r="D629" s="99"/>
      <c r="E629" s="99"/>
      <c r="F629" s="110"/>
      <c r="H629" s="110"/>
      <c r="I629" s="110"/>
      <c r="J629" s="198"/>
      <c r="K629" s="198"/>
      <c r="L629" s="110"/>
      <c r="M629" s="110"/>
      <c r="N629" s="198"/>
      <c r="O629" s="198"/>
      <c r="P629" s="110"/>
      <c r="Q629" s="110"/>
      <c r="R629" s="110"/>
      <c r="T629" s="99"/>
      <c r="U629" s="99"/>
      <c r="V629" s="110"/>
      <c r="AA629" s="110"/>
      <c r="AB629" s="198"/>
      <c r="AC629" s="110"/>
      <c r="AD629" s="110"/>
      <c r="AE629" s="198"/>
      <c r="AF629" s="198"/>
      <c r="AH629" s="110"/>
      <c r="AI629" s="207"/>
      <c r="AJ629" s="207"/>
      <c r="AL629" s="110"/>
      <c r="AM629" s="110"/>
      <c r="AN629" s="110"/>
      <c r="AO629" s="141"/>
      <c r="AP629" s="141"/>
    </row>
    <row r="630" spans="3:42" x14ac:dyDescent="0.3">
      <c r="F630" s="110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AA630" s="192"/>
      <c r="AB630" s="217"/>
      <c r="AC630" s="192"/>
      <c r="AD630" s="192"/>
      <c r="AE630" s="192"/>
      <c r="AF630" s="192"/>
      <c r="AG630" s="194"/>
      <c r="AH630" s="192"/>
      <c r="AK630" s="194"/>
      <c r="AL630" s="192"/>
      <c r="AM630" s="192"/>
      <c r="AN630" s="192"/>
      <c r="AO630" s="141"/>
      <c r="AP630" s="141"/>
    </row>
    <row r="631" spans="3:42" x14ac:dyDescent="0.3">
      <c r="C631" s="99"/>
      <c r="F631" s="192"/>
      <c r="H631" s="110"/>
      <c r="I631" s="110"/>
      <c r="J631" s="198"/>
      <c r="K631" s="198"/>
      <c r="L631" s="110"/>
      <c r="M631" s="110"/>
      <c r="N631" s="198"/>
      <c r="O631" s="198"/>
      <c r="P631" s="110"/>
      <c r="Q631" s="110"/>
      <c r="R631" s="110"/>
      <c r="T631" s="99"/>
      <c r="V631" s="110"/>
      <c r="AA631" s="110"/>
      <c r="AB631" s="198"/>
      <c r="AC631" s="110"/>
      <c r="AD631" s="110"/>
      <c r="AE631" s="198"/>
      <c r="AF631" s="198"/>
      <c r="AH631" s="110"/>
      <c r="AI631" s="207"/>
      <c r="AJ631" s="207"/>
      <c r="AL631" s="110"/>
      <c r="AM631" s="110"/>
      <c r="AN631" s="110"/>
      <c r="AO631" s="141"/>
      <c r="AP631" s="141"/>
    </row>
    <row r="632" spans="3:42" x14ac:dyDescent="0.3">
      <c r="F632" s="110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V632" s="110"/>
      <c r="AA632" s="110"/>
      <c r="AB632" s="198"/>
      <c r="AC632" s="110"/>
      <c r="AD632" s="110"/>
      <c r="AE632" s="198"/>
      <c r="AF632" s="198"/>
      <c r="AI632" s="207"/>
      <c r="AJ632" s="207"/>
      <c r="AL632" s="110"/>
      <c r="AM632" s="110"/>
      <c r="AN632" s="110"/>
      <c r="AO632" s="141"/>
      <c r="AP632" s="141"/>
    </row>
    <row r="633" spans="3:42" x14ac:dyDescent="0.3">
      <c r="C633" s="99"/>
      <c r="D633" s="99"/>
      <c r="E633" s="99"/>
      <c r="F633" s="110"/>
      <c r="H633" s="110"/>
      <c r="I633" s="110"/>
      <c r="J633" s="198"/>
      <c r="K633" s="198"/>
      <c r="L633" s="110"/>
      <c r="M633" s="110"/>
      <c r="N633" s="198"/>
      <c r="O633" s="198"/>
      <c r="P633" s="110"/>
      <c r="Q633" s="110"/>
      <c r="R633" s="110"/>
      <c r="T633" s="99"/>
      <c r="U633" s="99"/>
      <c r="V633" s="110"/>
      <c r="AA633" s="110"/>
      <c r="AB633" s="198"/>
      <c r="AC633" s="110"/>
      <c r="AD633" s="110"/>
      <c r="AE633" s="198"/>
      <c r="AF633" s="198"/>
      <c r="AH633" s="110"/>
      <c r="AI633" s="207"/>
      <c r="AJ633" s="207"/>
      <c r="AL633" s="110"/>
      <c r="AM633" s="110"/>
      <c r="AN633" s="110"/>
      <c r="AO633" s="141"/>
      <c r="AP633" s="141"/>
    </row>
    <row r="634" spans="3:42" x14ac:dyDescent="0.3">
      <c r="F634" s="110"/>
      <c r="H634" s="192"/>
      <c r="I634" s="192"/>
      <c r="J634" s="217"/>
      <c r="K634" s="217"/>
      <c r="L634" s="192"/>
      <c r="M634" s="192"/>
      <c r="N634" s="192"/>
      <c r="O634" s="192"/>
      <c r="P634" s="192"/>
      <c r="Q634" s="192"/>
      <c r="R634" s="192"/>
      <c r="V634" s="192"/>
      <c r="AA634" s="192"/>
      <c r="AB634" s="217"/>
      <c r="AC634" s="192"/>
      <c r="AD634" s="192"/>
      <c r="AE634" s="192"/>
      <c r="AF634" s="192"/>
      <c r="AG634" s="194"/>
      <c r="AH634" s="192"/>
      <c r="AK634" s="194"/>
      <c r="AL634" s="192"/>
      <c r="AM634" s="192"/>
      <c r="AN634" s="192"/>
      <c r="AO634" s="141"/>
      <c r="AP634" s="141"/>
    </row>
    <row r="635" spans="3:42" x14ac:dyDescent="0.3">
      <c r="C635" s="99"/>
      <c r="F635" s="192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T635" s="99"/>
      <c r="V635" s="110"/>
      <c r="AA635" s="110"/>
      <c r="AB635" s="198"/>
      <c r="AC635" s="110"/>
      <c r="AD635" s="110"/>
      <c r="AE635" s="198"/>
      <c r="AF635" s="198"/>
      <c r="AH635" s="110"/>
      <c r="AI635" s="207"/>
      <c r="AJ635" s="207"/>
      <c r="AL635" s="110"/>
      <c r="AM635" s="110"/>
      <c r="AN635" s="110"/>
      <c r="AO635" s="141"/>
      <c r="AP635" s="141"/>
    </row>
    <row r="636" spans="3:42" x14ac:dyDescent="0.3"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V636" s="110"/>
      <c r="AA636" s="110"/>
      <c r="AB636" s="198"/>
      <c r="AC636" s="110"/>
      <c r="AD636" s="110"/>
      <c r="AE636" s="198"/>
      <c r="AF636" s="198"/>
      <c r="AI636" s="207"/>
      <c r="AJ636" s="207"/>
      <c r="AL636" s="110"/>
      <c r="AM636" s="110"/>
      <c r="AN636" s="110"/>
      <c r="AO636" s="141"/>
      <c r="AP636" s="141"/>
    </row>
    <row r="637" spans="3:42" x14ac:dyDescent="0.3">
      <c r="C637" s="99"/>
      <c r="D637" s="99"/>
      <c r="E637" s="99"/>
      <c r="F637" s="110"/>
      <c r="H637" s="110"/>
      <c r="I637" s="110"/>
      <c r="J637" s="198"/>
      <c r="K637" s="198"/>
      <c r="L637" s="110"/>
      <c r="M637" s="110"/>
      <c r="N637" s="198"/>
      <c r="O637" s="198"/>
      <c r="P637" s="110"/>
      <c r="Q637" s="110"/>
      <c r="R637" s="110"/>
      <c r="T637" s="99"/>
      <c r="U637" s="99"/>
      <c r="V637" s="110"/>
      <c r="AA637" s="110"/>
      <c r="AB637" s="198"/>
      <c r="AC637" s="110"/>
      <c r="AD637" s="110"/>
      <c r="AE637" s="198"/>
      <c r="AF637" s="198"/>
      <c r="AH637" s="110"/>
      <c r="AI637" s="207"/>
      <c r="AJ637" s="207"/>
      <c r="AL637" s="110"/>
      <c r="AM637" s="110"/>
      <c r="AN637" s="110"/>
      <c r="AO637" s="141"/>
      <c r="AP637" s="141"/>
    </row>
    <row r="638" spans="3:42" x14ac:dyDescent="0.3">
      <c r="C638" s="99"/>
      <c r="D638" s="99"/>
      <c r="E638" s="99"/>
      <c r="F638" s="110"/>
      <c r="G638" s="110"/>
      <c r="H638" s="110"/>
      <c r="I638" s="110"/>
      <c r="J638" s="198"/>
      <c r="K638" s="198"/>
      <c r="L638" s="110"/>
      <c r="M638" s="110"/>
      <c r="N638" s="198"/>
      <c r="O638" s="198"/>
      <c r="P638" s="110"/>
      <c r="Q638" s="110"/>
      <c r="R638" s="110"/>
      <c r="T638" s="99"/>
      <c r="U638" s="99"/>
      <c r="V638" s="110"/>
      <c r="W638" s="110"/>
      <c r="X638" s="110"/>
      <c r="Y638" s="110"/>
      <c r="Z638" s="110"/>
      <c r="AA638" s="110"/>
      <c r="AB638" s="198"/>
      <c r="AC638" s="110"/>
      <c r="AD638" s="110"/>
      <c r="AE638" s="198"/>
      <c r="AF638" s="198"/>
      <c r="AH638" s="110"/>
      <c r="AI638" s="207"/>
      <c r="AJ638" s="207"/>
      <c r="AL638" s="110"/>
      <c r="AM638" s="110"/>
      <c r="AN638" s="110"/>
      <c r="AO638" s="141"/>
      <c r="AP638" s="141"/>
    </row>
    <row r="639" spans="3:42" x14ac:dyDescent="0.3">
      <c r="C639" s="99"/>
      <c r="D639" s="99"/>
      <c r="E639" s="99"/>
      <c r="F639" s="110"/>
      <c r="G639" s="110"/>
      <c r="H639" s="110"/>
      <c r="I639" s="110"/>
      <c r="J639" s="198"/>
      <c r="K639" s="198"/>
      <c r="L639" s="110"/>
      <c r="M639" s="110"/>
      <c r="N639" s="198"/>
      <c r="O639" s="198"/>
      <c r="P639" s="110"/>
      <c r="Q639" s="110"/>
      <c r="R639" s="110"/>
      <c r="T639" s="99"/>
      <c r="U639" s="99"/>
      <c r="V639" s="110"/>
      <c r="W639" s="110"/>
      <c r="X639" s="110"/>
      <c r="Y639" s="110"/>
      <c r="Z639" s="110"/>
      <c r="AA639" s="110"/>
      <c r="AB639" s="198"/>
      <c r="AC639" s="110"/>
      <c r="AD639" s="110"/>
      <c r="AE639" s="198"/>
      <c r="AF639" s="198"/>
      <c r="AH639" s="110"/>
      <c r="AI639" s="207"/>
      <c r="AJ639" s="207"/>
      <c r="AL639" s="110"/>
      <c r="AM639" s="110"/>
      <c r="AN639" s="110"/>
      <c r="AO639" s="141"/>
      <c r="AP639" s="141"/>
    </row>
    <row r="640" spans="3:42" x14ac:dyDescent="0.3">
      <c r="C640" s="99"/>
      <c r="D640" s="99"/>
      <c r="E640" s="99"/>
      <c r="F640" s="110"/>
      <c r="H640" s="110"/>
      <c r="I640" s="110"/>
      <c r="J640" s="198"/>
      <c r="K640" s="198"/>
      <c r="L640" s="110"/>
      <c r="M640" s="110"/>
      <c r="N640" s="198"/>
      <c r="O640" s="198"/>
      <c r="P640" s="110"/>
      <c r="Q640" s="110"/>
      <c r="R640" s="110"/>
      <c r="T640" s="99"/>
      <c r="U640" s="99"/>
      <c r="V640" s="110"/>
      <c r="AA640" s="110"/>
      <c r="AB640" s="198"/>
      <c r="AC640" s="110"/>
      <c r="AD640" s="110"/>
      <c r="AE640" s="198"/>
      <c r="AF640" s="198"/>
      <c r="AH640" s="110"/>
      <c r="AI640" s="207"/>
      <c r="AJ640" s="207"/>
      <c r="AL640" s="110"/>
      <c r="AM640" s="110"/>
      <c r="AN640" s="110"/>
      <c r="AO640" s="141"/>
      <c r="AP640" s="141"/>
    </row>
    <row r="641" spans="3:42" x14ac:dyDescent="0.3">
      <c r="C641" s="99"/>
      <c r="D641" s="99"/>
      <c r="E641" s="99"/>
      <c r="F641" s="110"/>
      <c r="H641" s="110"/>
      <c r="I641" s="110"/>
      <c r="J641" s="198"/>
      <c r="K641" s="198"/>
      <c r="L641" s="110"/>
      <c r="M641" s="110"/>
      <c r="N641" s="198"/>
      <c r="O641" s="198"/>
      <c r="P641" s="110"/>
      <c r="Q641" s="110"/>
      <c r="R641" s="110"/>
      <c r="T641" s="99"/>
      <c r="U641" s="99"/>
      <c r="V641" s="110"/>
      <c r="AA641" s="110"/>
      <c r="AB641" s="198"/>
      <c r="AC641" s="110"/>
      <c r="AD641" s="110"/>
      <c r="AE641" s="198"/>
      <c r="AF641" s="198"/>
      <c r="AH641" s="110"/>
      <c r="AI641" s="207"/>
      <c r="AJ641" s="207"/>
      <c r="AL641" s="110"/>
      <c r="AM641" s="110"/>
      <c r="AN641" s="110"/>
      <c r="AO641" s="141"/>
      <c r="AP641" s="141"/>
    </row>
    <row r="642" spans="3:42" x14ac:dyDescent="0.3">
      <c r="C642" s="99"/>
      <c r="D642" s="99"/>
      <c r="E642" s="99"/>
      <c r="F642" s="110"/>
      <c r="H642" s="110"/>
      <c r="I642" s="110"/>
      <c r="J642" s="198"/>
      <c r="K642" s="198"/>
      <c r="L642" s="110"/>
      <c r="M642" s="110"/>
      <c r="N642" s="198"/>
      <c r="O642" s="198"/>
      <c r="P642" s="110"/>
      <c r="Q642" s="110"/>
      <c r="R642" s="110"/>
      <c r="T642" s="99"/>
      <c r="U642" s="99"/>
      <c r="V642" s="110"/>
      <c r="AA642" s="110"/>
      <c r="AB642" s="198"/>
      <c r="AC642" s="110"/>
      <c r="AD642" s="110"/>
      <c r="AE642" s="198"/>
      <c r="AF642" s="198"/>
      <c r="AH642" s="110"/>
      <c r="AI642" s="207"/>
      <c r="AJ642" s="207"/>
      <c r="AL642" s="110"/>
      <c r="AM642" s="110"/>
      <c r="AN642" s="110"/>
      <c r="AO642" s="141"/>
      <c r="AP642" s="141"/>
    </row>
    <row r="643" spans="3:42" x14ac:dyDescent="0.3">
      <c r="C643" s="99"/>
      <c r="D643" s="99"/>
      <c r="E643" s="99"/>
      <c r="F643" s="110"/>
      <c r="H643" s="110"/>
      <c r="I643" s="110"/>
      <c r="J643" s="198"/>
      <c r="K643" s="198"/>
      <c r="L643" s="110"/>
      <c r="M643" s="110"/>
      <c r="N643" s="198"/>
      <c r="O643" s="198"/>
      <c r="P643" s="110"/>
      <c r="Q643" s="110"/>
      <c r="R643" s="110"/>
      <c r="T643" s="99"/>
      <c r="U643" s="99"/>
      <c r="V643" s="110"/>
      <c r="AA643" s="110"/>
      <c r="AB643" s="198"/>
      <c r="AC643" s="110"/>
      <c r="AD643" s="110"/>
      <c r="AE643" s="198"/>
      <c r="AF643" s="198"/>
      <c r="AH643" s="110"/>
      <c r="AI643" s="207"/>
      <c r="AJ643" s="207"/>
      <c r="AL643" s="110"/>
      <c r="AM643" s="110"/>
      <c r="AN643" s="110"/>
      <c r="AO643" s="141"/>
      <c r="AP643" s="141"/>
    </row>
    <row r="644" spans="3:42" x14ac:dyDescent="0.3">
      <c r="F644" s="110"/>
      <c r="H644" s="192"/>
      <c r="I644" s="192"/>
      <c r="J644" s="217"/>
      <c r="K644" s="217"/>
      <c r="L644" s="192"/>
      <c r="M644" s="192"/>
      <c r="N644" s="192"/>
      <c r="O644" s="192"/>
      <c r="P644" s="192"/>
      <c r="Q644" s="192"/>
      <c r="R644" s="192"/>
      <c r="V644" s="192"/>
      <c r="AA644" s="192"/>
      <c r="AB644" s="217"/>
      <c r="AC644" s="192"/>
      <c r="AD644" s="192"/>
      <c r="AE644" s="192"/>
      <c r="AF644" s="192"/>
      <c r="AG644" s="194"/>
      <c r="AH644" s="192"/>
      <c r="AK644" s="194"/>
      <c r="AL644" s="192"/>
      <c r="AM644" s="192"/>
      <c r="AN644" s="192"/>
      <c r="AO644" s="141"/>
      <c r="AP644" s="141"/>
    </row>
    <row r="645" spans="3:42" x14ac:dyDescent="0.3">
      <c r="C645" s="99"/>
      <c r="F645" s="192"/>
      <c r="H645" s="110"/>
      <c r="I645" s="110"/>
      <c r="J645" s="198"/>
      <c r="K645" s="198"/>
      <c r="L645" s="110"/>
      <c r="M645" s="110"/>
      <c r="N645" s="198"/>
      <c r="O645" s="198"/>
      <c r="P645" s="110"/>
      <c r="Q645" s="110"/>
      <c r="R645" s="110"/>
      <c r="T645" s="99"/>
      <c r="V645" s="110"/>
      <c r="AA645" s="110"/>
      <c r="AB645" s="198"/>
      <c r="AC645" s="110"/>
      <c r="AD645" s="110"/>
      <c r="AE645" s="198"/>
      <c r="AF645" s="198"/>
      <c r="AH645" s="110"/>
      <c r="AI645" s="207"/>
      <c r="AJ645" s="207"/>
      <c r="AL645" s="110"/>
      <c r="AM645" s="110"/>
      <c r="AN645" s="110"/>
      <c r="AO645" s="141"/>
      <c r="AP645" s="141"/>
    </row>
    <row r="646" spans="3:42" x14ac:dyDescent="0.3">
      <c r="F646" s="110"/>
      <c r="V646" s="110"/>
      <c r="AA646" s="110"/>
      <c r="AB646" s="217"/>
      <c r="AC646" s="110"/>
      <c r="AD646" s="110"/>
      <c r="AE646" s="110"/>
      <c r="AF646" s="110"/>
      <c r="AH646" s="110"/>
      <c r="AL646" s="110"/>
      <c r="AM646" s="110"/>
      <c r="AN646" s="110"/>
      <c r="AO646" s="141"/>
      <c r="AP646" s="141"/>
    </row>
    <row r="647" spans="3:42" x14ac:dyDescent="0.3">
      <c r="C647" s="99"/>
      <c r="D647" s="99"/>
      <c r="E647" s="99"/>
      <c r="L647" s="110"/>
      <c r="M647" s="110"/>
      <c r="N647" s="198"/>
      <c r="O647" s="198"/>
      <c r="R647" s="110"/>
      <c r="T647" s="99"/>
      <c r="U647" s="99"/>
      <c r="AC647" s="110"/>
      <c r="AD647" s="110"/>
      <c r="AE647" s="198"/>
      <c r="AF647" s="198"/>
      <c r="AH647" s="110"/>
      <c r="AI647" s="207"/>
      <c r="AJ647" s="207"/>
      <c r="AM647" s="110"/>
      <c r="AN647" s="110"/>
      <c r="AO647" s="141"/>
      <c r="AP647" s="141"/>
    </row>
    <row r="648" spans="3:42" x14ac:dyDescent="0.3">
      <c r="D648" s="99"/>
      <c r="E648" s="99"/>
      <c r="H648" s="172"/>
      <c r="I648" s="172"/>
      <c r="J648" s="198"/>
      <c r="K648" s="198"/>
      <c r="L648" s="110"/>
      <c r="M648" s="110"/>
      <c r="N648" s="198"/>
      <c r="O648" s="198"/>
      <c r="P648" s="172"/>
      <c r="Q648" s="172"/>
      <c r="R648" s="110"/>
      <c r="U648" s="99"/>
      <c r="V648" s="110"/>
      <c r="AA648" s="110"/>
      <c r="AB648" s="198"/>
      <c r="AC648" s="110"/>
      <c r="AD648" s="110"/>
      <c r="AE648" s="198"/>
      <c r="AF648" s="198"/>
      <c r="AH648" s="110"/>
      <c r="AI648" s="207"/>
      <c r="AJ648" s="207"/>
      <c r="AL648" s="110"/>
      <c r="AM648" s="110"/>
      <c r="AN648" s="110"/>
      <c r="AO648" s="141"/>
      <c r="AP648" s="141"/>
    </row>
    <row r="649" spans="3:42" x14ac:dyDescent="0.3">
      <c r="F649" s="172"/>
      <c r="H649" s="192"/>
      <c r="I649" s="192"/>
      <c r="J649" s="217"/>
      <c r="K649" s="217"/>
      <c r="L649" s="192"/>
      <c r="M649" s="192"/>
      <c r="N649" s="192"/>
      <c r="O649" s="192"/>
      <c r="P649" s="192"/>
      <c r="Q649" s="192"/>
      <c r="R649" s="192"/>
      <c r="V649" s="192"/>
      <c r="AA649" s="192"/>
      <c r="AB649" s="217"/>
      <c r="AC649" s="192"/>
      <c r="AD649" s="192"/>
      <c r="AE649" s="192"/>
      <c r="AF649" s="192"/>
      <c r="AG649" s="194"/>
      <c r="AH649" s="192"/>
      <c r="AK649" s="194"/>
      <c r="AL649" s="192"/>
      <c r="AM649" s="192"/>
      <c r="AN649" s="192"/>
      <c r="AO649" s="141"/>
      <c r="AP649" s="141"/>
    </row>
    <row r="650" spans="3:42" x14ac:dyDescent="0.3">
      <c r="C650" s="99"/>
      <c r="F650" s="192"/>
      <c r="H650" s="110"/>
      <c r="I650" s="110"/>
      <c r="J650" s="198"/>
      <c r="K650" s="198"/>
      <c r="L650" s="110"/>
      <c r="M650" s="110"/>
      <c r="N650" s="198"/>
      <c r="O650" s="198"/>
      <c r="P650" s="110"/>
      <c r="Q650" s="110"/>
      <c r="R650" s="110"/>
      <c r="T650" s="99"/>
      <c r="V650" s="110"/>
      <c r="AA650" s="110"/>
      <c r="AB650" s="198"/>
      <c r="AC650" s="110"/>
      <c r="AD650" s="110"/>
      <c r="AE650" s="198"/>
      <c r="AF650" s="198"/>
      <c r="AH650" s="110"/>
      <c r="AI650" s="207"/>
      <c r="AJ650" s="207"/>
      <c r="AL650" s="110"/>
      <c r="AM650" s="110"/>
      <c r="AN650" s="110"/>
      <c r="AO650" s="141"/>
      <c r="AP650" s="141"/>
    </row>
    <row r="651" spans="3:42" x14ac:dyDescent="0.3">
      <c r="F651" s="110"/>
      <c r="H651" s="110"/>
      <c r="I651" s="110"/>
      <c r="J651" s="198"/>
      <c r="K651" s="198"/>
      <c r="L651" s="110"/>
      <c r="M651" s="110"/>
      <c r="N651" s="198"/>
      <c r="O651" s="198"/>
      <c r="P651" s="110"/>
      <c r="Q651" s="110"/>
      <c r="R651" s="110"/>
      <c r="V651" s="110"/>
      <c r="AA651" s="110"/>
      <c r="AB651" s="198"/>
      <c r="AC651" s="110"/>
      <c r="AD651" s="110"/>
      <c r="AE651" s="198"/>
      <c r="AF651" s="198"/>
      <c r="AI651" s="207"/>
      <c r="AJ651" s="207"/>
      <c r="AL651" s="110"/>
      <c r="AM651" s="110"/>
      <c r="AN651" s="110"/>
      <c r="AO651" s="141"/>
      <c r="AP651" s="141"/>
    </row>
    <row r="652" spans="3:42" x14ac:dyDescent="0.3">
      <c r="D652" s="99"/>
      <c r="E652" s="99"/>
      <c r="F652" s="110"/>
      <c r="H652" s="110"/>
      <c r="I652" s="110"/>
      <c r="J652" s="198"/>
      <c r="K652" s="198"/>
      <c r="L652" s="172"/>
      <c r="M652" s="172"/>
      <c r="N652" s="198"/>
      <c r="O652" s="198"/>
      <c r="P652" s="110"/>
      <c r="Q652" s="110"/>
      <c r="R652" s="110"/>
      <c r="U652" s="99"/>
      <c r="V652" s="110"/>
      <c r="AA652" s="110"/>
      <c r="AB652" s="198"/>
      <c r="AC652" s="172"/>
      <c r="AD652" s="172"/>
      <c r="AE652" s="198"/>
      <c r="AF652" s="198"/>
      <c r="AH652" s="110"/>
      <c r="AI652" s="207"/>
      <c r="AJ652" s="207"/>
      <c r="AL652" s="110"/>
      <c r="AM652" s="110"/>
      <c r="AN652" s="110"/>
      <c r="AO652" s="141"/>
      <c r="AP652" s="141"/>
    </row>
    <row r="653" spans="3:42" x14ac:dyDescent="0.3">
      <c r="D653" s="99"/>
      <c r="E653" s="99"/>
      <c r="F653" s="110"/>
      <c r="H653" s="110"/>
      <c r="I653" s="110"/>
      <c r="J653" s="198"/>
      <c r="K653" s="198"/>
      <c r="L653" s="172"/>
      <c r="M653" s="172"/>
      <c r="N653" s="198"/>
      <c r="O653" s="198"/>
      <c r="P653" s="110"/>
      <c r="Q653" s="110"/>
      <c r="R653" s="110"/>
      <c r="U653" s="99"/>
      <c r="V653" s="110"/>
      <c r="AA653" s="110"/>
      <c r="AB653" s="198"/>
      <c r="AC653" s="172"/>
      <c r="AD653" s="172"/>
      <c r="AE653" s="198"/>
      <c r="AF653" s="198"/>
      <c r="AH653" s="110"/>
      <c r="AI653" s="207"/>
      <c r="AJ653" s="207"/>
      <c r="AL653" s="110"/>
      <c r="AM653" s="110"/>
      <c r="AN653" s="110"/>
      <c r="AO653" s="141"/>
      <c r="AP653" s="141"/>
    </row>
    <row r="654" spans="3:42" x14ac:dyDescent="0.3">
      <c r="D654" s="99"/>
      <c r="E654" s="99"/>
      <c r="F654" s="110"/>
      <c r="H654" s="110"/>
      <c r="I654" s="110"/>
      <c r="J654" s="198"/>
      <c r="K654" s="198"/>
      <c r="L654" s="172"/>
      <c r="M654" s="172"/>
      <c r="N654" s="198"/>
      <c r="O654" s="198"/>
      <c r="P654" s="110"/>
      <c r="Q654" s="110"/>
      <c r="R654" s="110"/>
      <c r="U654" s="99"/>
      <c r="V654" s="110"/>
      <c r="AA654" s="110"/>
      <c r="AB654" s="198"/>
      <c r="AC654" s="172"/>
      <c r="AD654" s="172"/>
      <c r="AE654" s="198"/>
      <c r="AF654" s="198"/>
      <c r="AH654" s="110"/>
      <c r="AI654" s="207"/>
      <c r="AJ654" s="207"/>
      <c r="AL654" s="110"/>
      <c r="AM654" s="110"/>
      <c r="AN654" s="110"/>
      <c r="AO654" s="141"/>
      <c r="AP654" s="141"/>
    </row>
    <row r="655" spans="3:42" x14ac:dyDescent="0.3">
      <c r="F655" s="110"/>
      <c r="H655" s="192"/>
      <c r="I655" s="192"/>
      <c r="J655" s="217"/>
      <c r="K655" s="217"/>
      <c r="L655" s="192"/>
      <c r="M655" s="192"/>
      <c r="N655" s="192"/>
      <c r="O655" s="192"/>
      <c r="P655" s="192"/>
      <c r="Q655" s="192"/>
      <c r="R655" s="192"/>
      <c r="V655" s="192"/>
      <c r="AA655" s="192"/>
      <c r="AB655" s="217"/>
      <c r="AC655" s="192"/>
      <c r="AD655" s="192"/>
      <c r="AE655" s="192"/>
      <c r="AF655" s="192"/>
      <c r="AG655" s="194"/>
      <c r="AH655" s="192"/>
      <c r="AK655" s="194"/>
      <c r="AL655" s="192"/>
      <c r="AM655" s="192"/>
      <c r="AN655" s="192"/>
      <c r="AO655" s="141"/>
      <c r="AP655" s="141"/>
    </row>
    <row r="656" spans="3:42" x14ac:dyDescent="0.3">
      <c r="C656" s="99"/>
      <c r="F656" s="192"/>
      <c r="H656" s="110"/>
      <c r="I656" s="110"/>
      <c r="J656" s="198"/>
      <c r="K656" s="198"/>
      <c r="L656" s="110"/>
      <c r="M656" s="110"/>
      <c r="N656" s="198"/>
      <c r="O656" s="198"/>
      <c r="P656" s="110"/>
      <c r="Q656" s="110"/>
      <c r="R656" s="110"/>
      <c r="T656" s="99"/>
      <c r="V656" s="110"/>
      <c r="AA656" s="110"/>
      <c r="AB656" s="198"/>
      <c r="AC656" s="110"/>
      <c r="AD656" s="110"/>
      <c r="AE656" s="198"/>
      <c r="AF656" s="198"/>
      <c r="AH656" s="110"/>
      <c r="AI656" s="207"/>
      <c r="AJ656" s="207"/>
      <c r="AL656" s="110"/>
      <c r="AM656" s="110"/>
      <c r="AN656" s="110"/>
      <c r="AO656" s="141"/>
      <c r="AP656" s="141"/>
    </row>
    <row r="657" spans="1:42" x14ac:dyDescent="0.3">
      <c r="F657" s="110"/>
      <c r="H657" s="110"/>
      <c r="I657" s="110"/>
      <c r="J657" s="198"/>
      <c r="K657" s="198"/>
      <c r="L657" s="110"/>
      <c r="M657" s="110"/>
      <c r="N657" s="198"/>
      <c r="O657" s="198"/>
      <c r="P657" s="110"/>
      <c r="Q657" s="110"/>
      <c r="R657" s="110"/>
      <c r="V657" s="110"/>
      <c r="AA657" s="110"/>
      <c r="AB657" s="198"/>
      <c r="AC657" s="110"/>
      <c r="AD657" s="110"/>
      <c r="AE657" s="198"/>
      <c r="AF657" s="198"/>
      <c r="AI657" s="207"/>
      <c r="AJ657" s="207"/>
      <c r="AL657" s="110"/>
      <c r="AM657" s="110"/>
      <c r="AN657" s="110"/>
      <c r="AO657" s="141"/>
      <c r="AP657" s="141"/>
    </row>
    <row r="658" spans="1:42" x14ac:dyDescent="0.3">
      <c r="C658" s="99"/>
      <c r="F658" s="110"/>
      <c r="H658" s="110"/>
      <c r="I658" s="110"/>
      <c r="J658" s="198"/>
      <c r="K658" s="198"/>
      <c r="L658" s="110"/>
      <c r="M658" s="110"/>
      <c r="N658" s="198"/>
      <c r="O658" s="198"/>
      <c r="P658" s="110"/>
      <c r="Q658" s="110"/>
      <c r="R658" s="110"/>
      <c r="T658" s="99"/>
      <c r="V658" s="110"/>
      <c r="AA658" s="110"/>
      <c r="AB658" s="198"/>
      <c r="AC658" s="110"/>
      <c r="AD658" s="110"/>
      <c r="AE658" s="198"/>
      <c r="AF658" s="198"/>
      <c r="AH658" s="110"/>
      <c r="AI658" s="207"/>
      <c r="AJ658" s="207"/>
      <c r="AL658" s="110"/>
      <c r="AM658" s="110"/>
      <c r="AN658" s="110"/>
      <c r="AO658" s="141"/>
      <c r="AP658" s="141"/>
    </row>
    <row r="659" spans="1:42" x14ac:dyDescent="0.3">
      <c r="F659" s="110"/>
      <c r="H659" s="192"/>
      <c r="I659" s="192"/>
      <c r="J659" s="217"/>
      <c r="K659" s="217"/>
      <c r="L659" s="192"/>
      <c r="M659" s="192"/>
      <c r="N659" s="192"/>
      <c r="O659" s="192"/>
      <c r="P659" s="192"/>
      <c r="Q659" s="192"/>
      <c r="R659" s="192"/>
      <c r="V659" s="192"/>
      <c r="AA659" s="192"/>
      <c r="AB659" s="217"/>
      <c r="AC659" s="192"/>
      <c r="AD659" s="192"/>
      <c r="AE659" s="192"/>
      <c r="AF659" s="192"/>
      <c r="AG659" s="194"/>
      <c r="AH659" s="192"/>
      <c r="AK659" s="194"/>
      <c r="AL659" s="192"/>
      <c r="AM659" s="192"/>
      <c r="AN659" s="192"/>
    </row>
    <row r="661" spans="1:42" x14ac:dyDescent="0.3">
      <c r="C661" s="99"/>
      <c r="F661" s="192"/>
      <c r="L661" s="110"/>
      <c r="M661" s="110"/>
      <c r="P661" s="110"/>
      <c r="Q661" s="110"/>
      <c r="R661" s="110"/>
      <c r="T661" s="99"/>
    </row>
    <row r="662" spans="1:42" x14ac:dyDescent="0.3">
      <c r="A662" s="99"/>
      <c r="L662" s="110"/>
      <c r="M662" s="110"/>
      <c r="P662" s="110"/>
      <c r="Q662" s="110"/>
      <c r="R662" s="110"/>
    </row>
    <row r="663" spans="1:42" x14ac:dyDescent="0.3">
      <c r="L663" s="110"/>
      <c r="M663" s="110"/>
      <c r="P663" s="110"/>
      <c r="Q663" s="110"/>
      <c r="R663" s="110"/>
    </row>
    <row r="664" spans="1:42" x14ac:dyDescent="0.3">
      <c r="L664" s="110"/>
      <c r="M664" s="110"/>
      <c r="P664" s="110"/>
      <c r="Q664" s="110"/>
      <c r="R664" s="110"/>
    </row>
    <row r="665" spans="1:42" x14ac:dyDescent="0.3">
      <c r="L665" s="110"/>
      <c r="M665" s="110"/>
      <c r="P665" s="110"/>
      <c r="Q665" s="110"/>
      <c r="R665" s="110"/>
    </row>
    <row r="666" spans="1:42" x14ac:dyDescent="0.3">
      <c r="L666" s="110"/>
      <c r="M666" s="110"/>
      <c r="P666" s="110"/>
      <c r="Q666" s="110"/>
      <c r="R666" s="110"/>
    </row>
    <row r="667" spans="1:42" x14ac:dyDescent="0.3">
      <c r="L667" s="110"/>
      <c r="M667" s="110"/>
      <c r="P667" s="110"/>
      <c r="Q667" s="110"/>
      <c r="R667" s="110"/>
    </row>
    <row r="700" spans="51:51" x14ac:dyDescent="0.3">
      <c r="AY700" s="110"/>
    </row>
    <row r="701" spans="51:51" x14ac:dyDescent="0.3">
      <c r="AY701" s="110"/>
    </row>
    <row r="702" spans="51:51" x14ac:dyDescent="0.3">
      <c r="AY702" s="110"/>
    </row>
    <row r="703" spans="51:51" x14ac:dyDescent="0.3">
      <c r="AY703" s="110"/>
    </row>
    <row r="704" spans="51:51" x14ac:dyDescent="0.3">
      <c r="AY704" s="110"/>
    </row>
    <row r="705" spans="51:51" x14ac:dyDescent="0.3">
      <c r="AY705" s="110"/>
    </row>
    <row r="708" spans="51:51" x14ac:dyDescent="0.3">
      <c r="AY708" s="110"/>
    </row>
    <row r="709" spans="51:51" x14ac:dyDescent="0.3">
      <c r="AY709" s="110"/>
    </row>
    <row r="710" spans="51:51" x14ac:dyDescent="0.3">
      <c r="AY710" s="110"/>
    </row>
    <row r="711" spans="51:51" x14ac:dyDescent="0.3">
      <c r="AY711" s="110"/>
    </row>
    <row r="712" spans="51:51" x14ac:dyDescent="0.3">
      <c r="AY712" s="110"/>
    </row>
    <row r="713" spans="51:51" x14ac:dyDescent="0.3">
      <c r="AY713" s="110"/>
    </row>
    <row r="714" spans="51:51" x14ac:dyDescent="0.3">
      <c r="AY714" s="110"/>
    </row>
    <row r="715" spans="51:51" x14ac:dyDescent="0.3">
      <c r="AY715" s="110"/>
    </row>
    <row r="718" spans="51:51" x14ac:dyDescent="0.3">
      <c r="AY718" s="110"/>
    </row>
    <row r="719" spans="51:51" x14ac:dyDescent="0.3">
      <c r="AY719" s="110"/>
    </row>
    <row r="722" spans="51:58" x14ac:dyDescent="0.3">
      <c r="AY722" s="110"/>
    </row>
    <row r="723" spans="51:58" x14ac:dyDescent="0.3">
      <c r="AY723" s="110"/>
    </row>
    <row r="724" spans="51:58" x14ac:dyDescent="0.3">
      <c r="AY724" s="110"/>
    </row>
    <row r="725" spans="51:58" x14ac:dyDescent="0.3">
      <c r="AY725" s="110"/>
    </row>
    <row r="733" spans="51:58" x14ac:dyDescent="0.3">
      <c r="BA733" s="99"/>
    </row>
    <row r="734" spans="51:58" x14ac:dyDescent="0.3">
      <c r="BA734" s="99"/>
    </row>
    <row r="735" spans="51:58" x14ac:dyDescent="0.3">
      <c r="BF735" s="99"/>
    </row>
    <row r="736" spans="51:58" x14ac:dyDescent="0.3">
      <c r="BF736" s="99"/>
    </row>
    <row r="737" spans="47:71" x14ac:dyDescent="0.3">
      <c r="AU737" s="99"/>
      <c r="BF737" s="99"/>
    </row>
    <row r="739" spans="47:71" x14ac:dyDescent="0.3">
      <c r="AU739" s="101"/>
      <c r="AV739" s="101"/>
      <c r="AW739" s="101"/>
      <c r="AX739" s="101"/>
      <c r="AY739" s="101"/>
      <c r="AZ739" s="101"/>
      <c r="BA739" s="101"/>
      <c r="BB739" s="101"/>
      <c r="BC739" s="101"/>
      <c r="BD739" s="101"/>
      <c r="BE739" s="101"/>
      <c r="BF739" s="101"/>
      <c r="BG739" s="101"/>
    </row>
    <row r="740" spans="47:71" x14ac:dyDescent="0.3">
      <c r="AZ740" s="99"/>
    </row>
    <row r="741" spans="47:71" x14ac:dyDescent="0.3">
      <c r="AZ741" s="101"/>
      <c r="BA741" s="101"/>
      <c r="BB741" s="101"/>
      <c r="BC741" s="101"/>
      <c r="BE741" s="102"/>
      <c r="BF741" s="102"/>
    </row>
    <row r="742" spans="47:71" x14ac:dyDescent="0.3">
      <c r="AX742" s="102"/>
      <c r="AY742" s="102"/>
      <c r="BB742" s="102"/>
      <c r="BC742" s="102"/>
      <c r="BE742" s="102"/>
      <c r="BF742" s="102"/>
      <c r="BG742" s="102"/>
      <c r="BI742" s="101"/>
      <c r="BJ742" s="99"/>
      <c r="BM742" s="101"/>
      <c r="BO742" s="101"/>
      <c r="BP742" s="99"/>
      <c r="BS742" s="101"/>
    </row>
    <row r="743" spans="47:71" x14ac:dyDescent="0.3"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J743" s="102"/>
      <c r="BK743" s="102"/>
      <c r="BL743" s="102"/>
      <c r="BP743" s="102"/>
      <c r="BQ743" s="102"/>
      <c r="BR743" s="102"/>
    </row>
    <row r="744" spans="47:71" x14ac:dyDescent="0.3">
      <c r="AU744" s="102"/>
      <c r="AW744" s="99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I744" s="102"/>
      <c r="BJ744" s="102"/>
      <c r="BK744" s="102"/>
      <c r="BL744" s="102"/>
      <c r="BM744" s="102"/>
      <c r="BO744" s="102"/>
      <c r="BP744" s="102"/>
      <c r="BQ744" s="102"/>
      <c r="BR744" s="102"/>
      <c r="BS744" s="102"/>
    </row>
    <row r="745" spans="47:71" x14ac:dyDescent="0.3">
      <c r="AU745" s="102"/>
      <c r="AW745" s="99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I745" s="102"/>
      <c r="BJ745" s="102"/>
      <c r="BK745" s="102"/>
      <c r="BL745" s="102"/>
      <c r="BM745" s="102"/>
      <c r="BO745" s="102"/>
      <c r="BP745" s="102"/>
      <c r="BQ745" s="102"/>
      <c r="BR745" s="102"/>
      <c r="BS745" s="102"/>
    </row>
    <row r="746" spans="47:71" x14ac:dyDescent="0.3">
      <c r="AU746" s="101"/>
      <c r="AV746" s="101"/>
      <c r="AW746" s="101"/>
      <c r="AX746" s="101"/>
      <c r="AY746" s="101"/>
      <c r="AZ746" s="101"/>
      <c r="BA746" s="101"/>
      <c r="BB746" s="101"/>
      <c r="BC746" s="101"/>
      <c r="BD746" s="101"/>
      <c r="BE746" s="101"/>
      <c r="BF746" s="101"/>
      <c r="BG746" s="101"/>
      <c r="BI746" s="101"/>
      <c r="BJ746" s="101"/>
      <c r="BK746" s="101"/>
      <c r="BL746" s="101"/>
      <c r="BM746" s="101"/>
      <c r="BO746" s="101"/>
      <c r="BP746" s="101"/>
      <c r="BQ746" s="101"/>
      <c r="BR746" s="101"/>
      <c r="BS746" s="101"/>
    </row>
    <row r="747" spans="47:71" x14ac:dyDescent="0.3"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</row>
    <row r="748" spans="47:71" x14ac:dyDescent="0.3">
      <c r="AW748" s="99"/>
      <c r="AX748" s="102"/>
      <c r="BA748" s="198"/>
    </row>
    <row r="749" spans="47:71" x14ac:dyDescent="0.3">
      <c r="AX749" s="102"/>
      <c r="AY749" s="110"/>
      <c r="AZ749" s="163"/>
      <c r="BA749" s="163"/>
      <c r="BB749" s="163"/>
      <c r="BC749" s="141"/>
      <c r="BD749" s="163"/>
      <c r="BE749" s="198"/>
      <c r="BF749" s="198"/>
      <c r="BG749" s="141"/>
      <c r="BI749" s="163"/>
      <c r="BJ749" s="163"/>
      <c r="BK749" s="163"/>
      <c r="BL749" s="163"/>
      <c r="BM749" s="163"/>
      <c r="BO749" s="163"/>
      <c r="BP749" s="163"/>
      <c r="BQ749" s="163"/>
      <c r="BR749" s="163"/>
      <c r="BS749" s="163"/>
    </row>
    <row r="750" spans="47:71" x14ac:dyDescent="0.3">
      <c r="AX750" s="102"/>
      <c r="AY750" s="110"/>
      <c r="AZ750" s="163"/>
      <c r="BA750" s="163"/>
      <c r="BB750" s="163"/>
      <c r="BC750" s="141"/>
      <c r="BD750" s="163"/>
      <c r="BE750" s="198"/>
      <c r="BF750" s="198"/>
      <c r="BG750" s="141"/>
      <c r="BI750" s="163"/>
      <c r="BJ750" s="163"/>
      <c r="BK750" s="163"/>
      <c r="BL750" s="163"/>
      <c r="BM750" s="163"/>
      <c r="BO750" s="163"/>
      <c r="BP750" s="163"/>
      <c r="BQ750" s="163"/>
      <c r="BR750" s="163"/>
      <c r="BS750" s="163"/>
    </row>
    <row r="751" spans="47:71" x14ac:dyDescent="0.3">
      <c r="AX751" s="102"/>
      <c r="AY751" s="110"/>
      <c r="AZ751" s="163"/>
      <c r="BA751" s="163"/>
      <c r="BB751" s="163"/>
      <c r="BC751" s="141"/>
      <c r="BD751" s="163"/>
      <c r="BE751" s="198"/>
      <c r="BF751" s="198"/>
      <c r="BG751" s="141"/>
      <c r="BI751" s="163"/>
      <c r="BJ751" s="163"/>
      <c r="BK751" s="163"/>
      <c r="BL751" s="163"/>
      <c r="BM751" s="163"/>
      <c r="BO751" s="163"/>
      <c r="BP751" s="163"/>
      <c r="BQ751" s="163"/>
      <c r="BR751" s="163"/>
      <c r="BS751" s="163"/>
    </row>
    <row r="752" spans="47:71" x14ac:dyDescent="0.3">
      <c r="AX752" s="102"/>
      <c r="AY752" s="110"/>
      <c r="AZ752" s="163"/>
      <c r="BA752" s="163"/>
      <c r="BB752" s="163"/>
      <c r="BC752" s="141"/>
      <c r="BD752" s="163"/>
      <c r="BE752" s="198"/>
      <c r="BF752" s="198"/>
      <c r="BG752" s="141"/>
      <c r="BI752" s="163"/>
      <c r="BJ752" s="163"/>
      <c r="BK752" s="163"/>
      <c r="BL752" s="163"/>
      <c r="BM752" s="163"/>
      <c r="BO752" s="163"/>
      <c r="BP752" s="163"/>
      <c r="BQ752" s="163"/>
      <c r="BR752" s="163"/>
      <c r="BS752" s="163"/>
    </row>
    <row r="753" spans="49:71" x14ac:dyDescent="0.3">
      <c r="AX753" s="102"/>
      <c r="AY753" s="110"/>
      <c r="AZ753" s="163"/>
      <c r="BA753" s="163"/>
      <c r="BB753" s="163"/>
      <c r="BC753" s="141"/>
      <c r="BD753" s="163"/>
      <c r="BE753" s="198"/>
      <c r="BF753" s="198"/>
      <c r="BG753" s="141"/>
      <c r="BI753" s="163"/>
      <c r="BJ753" s="163"/>
      <c r="BK753" s="163"/>
      <c r="BL753" s="163"/>
      <c r="BM753" s="163"/>
      <c r="BO753" s="163"/>
      <c r="BP753" s="163"/>
      <c r="BQ753" s="163"/>
      <c r="BR753" s="163"/>
      <c r="BS753" s="163"/>
    </row>
    <row r="754" spans="49:71" x14ac:dyDescent="0.3">
      <c r="AX754" s="102"/>
      <c r="AY754" s="110"/>
      <c r="AZ754" s="163"/>
      <c r="BA754" s="163"/>
      <c r="BB754" s="163"/>
      <c r="BC754" s="141"/>
      <c r="BD754" s="163"/>
      <c r="BE754" s="198"/>
      <c r="BF754" s="198"/>
      <c r="BG754" s="141"/>
      <c r="BI754" s="163"/>
      <c r="BJ754" s="163"/>
      <c r="BK754" s="163"/>
      <c r="BL754" s="163"/>
      <c r="BM754" s="163"/>
      <c r="BO754" s="163"/>
      <c r="BP754" s="163"/>
      <c r="BQ754" s="163"/>
      <c r="BR754" s="163"/>
      <c r="BS754" s="163"/>
    </row>
    <row r="755" spans="49:71" x14ac:dyDescent="0.3">
      <c r="AX755" s="102"/>
      <c r="AY755" s="110"/>
      <c r="AZ755" s="163"/>
      <c r="BA755" s="163"/>
      <c r="BB755" s="163"/>
      <c r="BC755" s="141"/>
      <c r="BD755" s="163"/>
      <c r="BE755" s="198"/>
      <c r="BF755" s="198"/>
      <c r="BG755" s="141"/>
      <c r="BI755" s="163"/>
      <c r="BJ755" s="163"/>
      <c r="BK755" s="163"/>
      <c r="BL755" s="163"/>
      <c r="BM755" s="163"/>
      <c r="BO755" s="163"/>
      <c r="BP755" s="163"/>
      <c r="BQ755" s="163"/>
      <c r="BR755" s="163"/>
      <c r="BS755" s="163"/>
    </row>
    <row r="756" spans="49:71" x14ac:dyDescent="0.3">
      <c r="BA756" s="198"/>
      <c r="BB756" s="163"/>
      <c r="BC756" s="141"/>
      <c r="BD756" s="163"/>
      <c r="BE756" s="198"/>
      <c r="BF756" s="198"/>
      <c r="BG756" s="141"/>
      <c r="BM756" s="163"/>
      <c r="BS756" s="163"/>
    </row>
    <row r="757" spans="49:71" x14ac:dyDescent="0.3">
      <c r="AX757" s="102"/>
      <c r="BA757" s="198"/>
      <c r="BB757" s="163"/>
      <c r="BC757" s="141"/>
      <c r="BD757" s="163"/>
      <c r="BE757" s="198"/>
      <c r="BF757" s="198"/>
      <c r="BG757" s="141"/>
      <c r="BM757" s="163"/>
      <c r="BS757" s="163"/>
    </row>
    <row r="758" spans="49:71" x14ac:dyDescent="0.3">
      <c r="AX758" s="102"/>
      <c r="AY758" s="110"/>
      <c r="AZ758" s="163"/>
      <c r="BA758" s="163"/>
      <c r="BB758" s="163"/>
      <c r="BC758" s="141"/>
      <c r="BD758" s="163"/>
      <c r="BE758" s="198"/>
      <c r="BF758" s="198"/>
      <c r="BG758" s="141"/>
      <c r="BI758" s="163"/>
      <c r="BJ758" s="163"/>
      <c r="BK758" s="163"/>
      <c r="BL758" s="163"/>
      <c r="BM758" s="163"/>
      <c r="BO758" s="163"/>
      <c r="BP758" s="163"/>
      <c r="BQ758" s="163"/>
      <c r="BR758" s="163"/>
      <c r="BS758" s="163"/>
    </row>
    <row r="759" spans="49:71" x14ac:dyDescent="0.3">
      <c r="AX759" s="102"/>
      <c r="AY759" s="110"/>
      <c r="AZ759" s="163"/>
      <c r="BA759" s="163"/>
      <c r="BB759" s="163"/>
      <c r="BC759" s="141"/>
      <c r="BD759" s="163"/>
      <c r="BE759" s="198"/>
      <c r="BF759" s="198"/>
      <c r="BG759" s="141"/>
      <c r="BI759" s="163"/>
      <c r="BJ759" s="163"/>
      <c r="BK759" s="163"/>
      <c r="BL759" s="163"/>
      <c r="BM759" s="163"/>
      <c r="BO759" s="163"/>
      <c r="BP759" s="163"/>
      <c r="BQ759" s="163"/>
      <c r="BR759" s="163"/>
      <c r="BS759" s="163"/>
    </row>
    <row r="760" spans="49:71" x14ac:dyDescent="0.3">
      <c r="AX760" s="102"/>
      <c r="AY760" s="110"/>
      <c r="AZ760" s="163"/>
      <c r="BA760" s="163"/>
      <c r="BB760" s="163"/>
      <c r="BC760" s="141"/>
      <c r="BD760" s="163"/>
      <c r="BE760" s="198"/>
      <c r="BF760" s="198"/>
      <c r="BG760" s="141"/>
      <c r="BI760" s="163"/>
      <c r="BJ760" s="163"/>
      <c r="BK760" s="163"/>
      <c r="BL760" s="163"/>
      <c r="BM760" s="163"/>
      <c r="BO760" s="163"/>
      <c r="BP760" s="163"/>
      <c r="BQ760" s="163"/>
      <c r="BR760" s="163"/>
      <c r="BS760" s="163"/>
    </row>
    <row r="761" spans="49:71" x14ac:dyDescent="0.3">
      <c r="AX761" s="102"/>
      <c r="AY761" s="110"/>
      <c r="AZ761" s="163"/>
      <c r="BA761" s="163"/>
      <c r="BB761" s="163"/>
      <c r="BC761" s="141"/>
      <c r="BD761" s="163"/>
      <c r="BE761" s="198"/>
      <c r="BF761" s="198"/>
      <c r="BG761" s="141"/>
      <c r="BI761" s="163"/>
      <c r="BJ761" s="163"/>
      <c r="BK761" s="163"/>
      <c r="BL761" s="163"/>
      <c r="BM761" s="163"/>
      <c r="BO761" s="163"/>
      <c r="BP761" s="163"/>
      <c r="BQ761" s="163"/>
      <c r="BR761" s="163"/>
      <c r="BS761" s="163"/>
    </row>
    <row r="762" spans="49:71" x14ac:dyDescent="0.3">
      <c r="AX762" s="102"/>
      <c r="AY762" s="110"/>
      <c r="AZ762" s="163"/>
      <c r="BA762" s="163"/>
      <c r="BB762" s="163"/>
      <c r="BC762" s="141"/>
      <c r="BD762" s="163"/>
      <c r="BE762" s="198"/>
      <c r="BF762" s="198"/>
      <c r="BG762" s="141"/>
      <c r="BI762" s="163"/>
      <c r="BJ762" s="163"/>
      <c r="BK762" s="163"/>
      <c r="BL762" s="163"/>
      <c r="BM762" s="163"/>
      <c r="BO762" s="163"/>
      <c r="BP762" s="163"/>
      <c r="BQ762" s="163"/>
      <c r="BR762" s="163"/>
      <c r="BS762" s="163"/>
    </row>
    <row r="763" spans="49:71" x14ac:dyDescent="0.3">
      <c r="AX763" s="102"/>
      <c r="AY763" s="110"/>
      <c r="AZ763" s="163"/>
      <c r="BA763" s="163"/>
      <c r="BB763" s="163"/>
      <c r="BC763" s="141"/>
      <c r="BD763" s="163"/>
      <c r="BE763" s="198"/>
      <c r="BF763" s="198"/>
      <c r="BG763" s="141"/>
      <c r="BI763" s="163"/>
      <c r="BJ763" s="163"/>
      <c r="BK763" s="163"/>
      <c r="BL763" s="163"/>
      <c r="BM763" s="163"/>
      <c r="BO763" s="163"/>
      <c r="BP763" s="163"/>
      <c r="BQ763" s="163"/>
      <c r="BR763" s="163"/>
      <c r="BS763" s="163"/>
    </row>
    <row r="764" spans="49:71" x14ac:dyDescent="0.3">
      <c r="AX764" s="102"/>
      <c r="AY764" s="110"/>
      <c r="AZ764" s="163"/>
      <c r="BA764" s="163"/>
      <c r="BB764" s="163"/>
      <c r="BC764" s="141"/>
      <c r="BD764" s="163"/>
      <c r="BE764" s="198"/>
      <c r="BF764" s="198"/>
      <c r="BG764" s="141"/>
      <c r="BI764" s="163"/>
      <c r="BJ764" s="163"/>
      <c r="BK764" s="163"/>
      <c r="BL764" s="163"/>
      <c r="BM764" s="163"/>
      <c r="BO764" s="163"/>
      <c r="BP764" s="163"/>
      <c r="BQ764" s="163"/>
      <c r="BR764" s="163"/>
      <c r="BS764" s="163"/>
    </row>
    <row r="765" spans="49:71" x14ac:dyDescent="0.3">
      <c r="AX765" s="102"/>
      <c r="AY765" s="110"/>
      <c r="AZ765" s="163"/>
      <c r="BA765" s="163"/>
      <c r="BB765" s="163"/>
      <c r="BC765" s="141"/>
      <c r="BD765" s="163"/>
      <c r="BE765" s="198"/>
      <c r="BF765" s="198"/>
      <c r="BG765" s="141"/>
      <c r="BI765" s="163"/>
      <c r="BJ765" s="163"/>
      <c r="BK765" s="163"/>
      <c r="BL765" s="163"/>
      <c r="BM765" s="163"/>
      <c r="BO765" s="163"/>
      <c r="BP765" s="163"/>
      <c r="BQ765" s="163"/>
      <c r="BR765" s="163"/>
      <c r="BS765" s="163"/>
    </row>
    <row r="766" spans="49:71" x14ac:dyDescent="0.3">
      <c r="BA766" s="198"/>
      <c r="BB766" s="163"/>
      <c r="BC766" s="141"/>
      <c r="BD766" s="163"/>
      <c r="BE766" s="198"/>
      <c r="BF766" s="198"/>
      <c r="BG766" s="141"/>
      <c r="BM766" s="163"/>
      <c r="BS766" s="163"/>
    </row>
    <row r="767" spans="49:71" x14ac:dyDescent="0.3">
      <c r="AW767" s="99"/>
      <c r="BB767" s="163"/>
      <c r="BD767" s="163"/>
      <c r="BI767" s="163"/>
      <c r="BJ767" s="163"/>
      <c r="BL767" s="163"/>
      <c r="BM767" s="163"/>
    </row>
    <row r="768" spans="49:71" x14ac:dyDescent="0.3">
      <c r="BB768" s="163"/>
      <c r="BD768" s="163"/>
    </row>
    <row r="769" spans="47:77" x14ac:dyDescent="0.3">
      <c r="AU769" s="99"/>
      <c r="BB769" s="163"/>
      <c r="BD769" s="163"/>
      <c r="BK769" s="163"/>
    </row>
    <row r="770" spans="47:77" x14ac:dyDescent="0.3">
      <c r="BB770" s="163"/>
      <c r="BD770" s="163"/>
    </row>
    <row r="771" spans="47:77" x14ac:dyDescent="0.3">
      <c r="BA771" s="163"/>
      <c r="BD771" s="163"/>
    </row>
    <row r="772" spans="47:77" x14ac:dyDescent="0.3">
      <c r="BA772" s="99"/>
      <c r="BB772" s="163"/>
      <c r="BD772" s="163"/>
    </row>
    <row r="773" spans="47:77" x14ac:dyDescent="0.3">
      <c r="BA773" s="99"/>
      <c r="BB773" s="163"/>
      <c r="BD773" s="163"/>
    </row>
    <row r="774" spans="47:77" x14ac:dyDescent="0.3">
      <c r="BB774" s="163"/>
      <c r="BD774" s="163"/>
      <c r="BF774" s="99"/>
    </row>
    <row r="775" spans="47:77" x14ac:dyDescent="0.3">
      <c r="BB775" s="163"/>
      <c r="BD775" s="163"/>
      <c r="BF775" s="99"/>
    </row>
    <row r="776" spans="47:77" x14ac:dyDescent="0.3">
      <c r="AU776" s="99"/>
      <c r="BB776" s="163"/>
      <c r="BD776" s="163"/>
      <c r="BF776" s="99"/>
    </row>
    <row r="777" spans="47:77" x14ac:dyDescent="0.3">
      <c r="BB777" s="163"/>
      <c r="BD777" s="163"/>
    </row>
    <row r="778" spans="47:77" x14ac:dyDescent="0.3">
      <c r="AU778" s="101"/>
      <c r="AV778" s="101"/>
      <c r="AW778" s="101"/>
      <c r="AX778" s="101"/>
      <c r="AY778" s="101"/>
      <c r="AZ778" s="101"/>
      <c r="BA778" s="101"/>
      <c r="BB778" s="212"/>
      <c r="BC778" s="101"/>
      <c r="BD778" s="212"/>
      <c r="BE778" s="101"/>
      <c r="BF778" s="101"/>
      <c r="BG778" s="101"/>
    </row>
    <row r="779" spans="47:77" x14ac:dyDescent="0.3">
      <c r="AZ779" s="99"/>
      <c r="BB779" s="163"/>
      <c r="BD779" s="163"/>
    </row>
    <row r="780" spans="47:77" x14ac:dyDescent="0.3">
      <c r="AZ780" s="101"/>
      <c r="BA780" s="101"/>
      <c r="BB780" s="212"/>
      <c r="BC780" s="101"/>
      <c r="BD780" s="163"/>
      <c r="BE780" s="102"/>
      <c r="BF780" s="102"/>
    </row>
    <row r="781" spans="47:77" x14ac:dyDescent="0.3">
      <c r="AX781" s="102"/>
      <c r="AY781" s="102"/>
      <c r="BB781" s="213"/>
      <c r="BC781" s="102"/>
      <c r="BD781" s="163"/>
      <c r="BE781" s="102"/>
      <c r="BF781" s="102"/>
      <c r="BG781" s="102"/>
      <c r="BI781" s="101"/>
      <c r="BJ781" s="101"/>
      <c r="BK781" s="99"/>
      <c r="BO781" s="101"/>
      <c r="BP781" s="101"/>
      <c r="BR781" s="101"/>
      <c r="BS781" s="101"/>
      <c r="BT781" s="99"/>
      <c r="BX781" s="101"/>
      <c r="BY781" s="101"/>
    </row>
    <row r="782" spans="47:77" x14ac:dyDescent="0.3">
      <c r="AX782" s="102"/>
      <c r="AY782" s="102"/>
      <c r="AZ782" s="102"/>
      <c r="BA782" s="102"/>
      <c r="BB782" s="213"/>
      <c r="BC782" s="102"/>
      <c r="BD782" s="213"/>
      <c r="BE782" s="102"/>
      <c r="BF782" s="102"/>
      <c r="BG782" s="102"/>
      <c r="BJ782" s="102"/>
      <c r="BK782" s="102"/>
      <c r="BL782" s="102"/>
      <c r="BM782" s="102"/>
      <c r="BN782" s="102"/>
      <c r="BO782" s="102"/>
      <c r="BS782" s="102"/>
      <c r="BT782" s="102"/>
      <c r="BU782" s="102"/>
      <c r="BV782" s="102"/>
      <c r="BW782" s="102"/>
      <c r="BX782" s="102"/>
    </row>
    <row r="783" spans="47:77" x14ac:dyDescent="0.3">
      <c r="AU783" s="102"/>
      <c r="AW783" s="99"/>
      <c r="AX783" s="102"/>
      <c r="AY783" s="102"/>
      <c r="AZ783" s="102"/>
      <c r="BA783" s="102"/>
      <c r="BB783" s="213"/>
      <c r="BC783" s="102"/>
      <c r="BD783" s="213"/>
      <c r="BE783" s="102"/>
      <c r="BF783" s="102"/>
      <c r="BG783" s="102"/>
      <c r="BI783" s="102"/>
      <c r="BJ783" s="102"/>
      <c r="BK783" s="102"/>
      <c r="BL783" s="102"/>
      <c r="BM783" s="102"/>
      <c r="BN783" s="102"/>
      <c r="BO783" s="102"/>
      <c r="BP783" s="102"/>
      <c r="BR783" s="102"/>
      <c r="BS783" s="102"/>
      <c r="BT783" s="102"/>
      <c r="BU783" s="102"/>
      <c r="BV783" s="102"/>
      <c r="BW783" s="102"/>
      <c r="BX783" s="102"/>
      <c r="BY783" s="102"/>
    </row>
    <row r="784" spans="47:77" x14ac:dyDescent="0.3">
      <c r="AU784" s="102"/>
      <c r="AW784" s="99"/>
      <c r="AX784" s="102"/>
      <c r="AY784" s="102"/>
      <c r="AZ784" s="102"/>
      <c r="BA784" s="102"/>
      <c r="BB784" s="213"/>
      <c r="BC784" s="102"/>
      <c r="BD784" s="213"/>
      <c r="BE784" s="102"/>
      <c r="BF784" s="102"/>
      <c r="BG784" s="102"/>
      <c r="BI784" s="102"/>
      <c r="BJ784" s="102"/>
      <c r="BK784" s="102"/>
      <c r="BL784" s="102"/>
      <c r="BM784" s="102"/>
      <c r="BN784" s="102"/>
      <c r="BO784" s="102"/>
      <c r="BP784" s="102"/>
      <c r="BR784" s="102"/>
      <c r="BS784" s="102"/>
      <c r="BT784" s="102"/>
      <c r="BU784" s="102"/>
      <c r="BV784" s="102"/>
      <c r="BW784" s="102"/>
      <c r="BX784" s="102"/>
      <c r="BY784" s="102"/>
    </row>
    <row r="785" spans="47:77" x14ac:dyDescent="0.3">
      <c r="AU785" s="101"/>
      <c r="AV785" s="101"/>
      <c r="AW785" s="101"/>
      <c r="AX785" s="101"/>
      <c r="AY785" s="101"/>
      <c r="AZ785" s="101"/>
      <c r="BA785" s="101"/>
      <c r="BB785" s="212"/>
      <c r="BC785" s="101"/>
      <c r="BD785" s="212"/>
      <c r="BE785" s="101"/>
      <c r="BF785" s="101"/>
      <c r="BG785" s="101"/>
      <c r="BI785" s="101"/>
      <c r="BJ785" s="101"/>
      <c r="BK785" s="101"/>
      <c r="BL785" s="101"/>
      <c r="BM785" s="101"/>
      <c r="BN785" s="101"/>
      <c r="BO785" s="101"/>
      <c r="BP785" s="101"/>
      <c r="BR785" s="101"/>
      <c r="BS785" s="101"/>
      <c r="BT785" s="101"/>
      <c r="BU785" s="101"/>
      <c r="BV785" s="101"/>
      <c r="BW785" s="101"/>
      <c r="BX785" s="101"/>
      <c r="BY785" s="101"/>
    </row>
    <row r="786" spans="47:77" x14ac:dyDescent="0.3">
      <c r="AX786" s="102"/>
      <c r="AY786" s="102"/>
      <c r="AZ786" s="102"/>
      <c r="BA786" s="102"/>
      <c r="BB786" s="213"/>
      <c r="BC786" s="102"/>
      <c r="BD786" s="213"/>
      <c r="BE786" s="102"/>
      <c r="BF786" s="102"/>
      <c r="BG786" s="102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  <c r="BX786" s="163"/>
      <c r="BY786" s="163"/>
    </row>
    <row r="787" spans="47:77" x14ac:dyDescent="0.3">
      <c r="AW787" s="99"/>
      <c r="AY787" s="110"/>
      <c r="AZ787" s="163"/>
      <c r="BA787" s="163"/>
      <c r="BB787" s="163"/>
      <c r="BC787" s="207"/>
      <c r="BD787" s="163"/>
      <c r="BE787" s="163"/>
      <c r="BF787" s="163"/>
      <c r="BG787" s="207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  <c r="BX787" s="163"/>
      <c r="BY787" s="163"/>
    </row>
    <row r="788" spans="47:77" x14ac:dyDescent="0.3">
      <c r="AY788" s="110"/>
      <c r="AZ788" s="163"/>
      <c r="BA788" s="163"/>
      <c r="BB788" s="163"/>
      <c r="BC788" s="207"/>
      <c r="BD788" s="163"/>
      <c r="BE788" s="163"/>
      <c r="BF788" s="163"/>
      <c r="BG788" s="207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  <c r="BX788" s="163"/>
      <c r="BY788" s="163"/>
    </row>
    <row r="789" spans="47:77" x14ac:dyDescent="0.3">
      <c r="AY789" s="110"/>
      <c r="AZ789" s="163"/>
      <c r="BA789" s="163"/>
      <c r="BB789" s="163"/>
      <c r="BC789" s="207"/>
      <c r="BD789" s="163"/>
      <c r="BE789" s="163"/>
      <c r="BF789" s="163"/>
      <c r="BG789" s="207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  <c r="BX789" s="163"/>
      <c r="BY789" s="163"/>
    </row>
    <row r="790" spans="47:77" x14ac:dyDescent="0.3">
      <c r="AY790" s="110"/>
      <c r="AZ790" s="163"/>
      <c r="BA790" s="163"/>
      <c r="BB790" s="163"/>
      <c r="BC790" s="207"/>
      <c r="BD790" s="163"/>
      <c r="BE790" s="163"/>
      <c r="BF790" s="163"/>
      <c r="BG790" s="207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  <c r="BX790" s="163"/>
      <c r="BY790" s="163"/>
    </row>
    <row r="791" spans="47:77" x14ac:dyDescent="0.3">
      <c r="AY791" s="110"/>
      <c r="AZ791" s="163"/>
      <c r="BA791" s="163"/>
      <c r="BB791" s="163"/>
      <c r="BC791" s="207"/>
      <c r="BD791" s="163"/>
      <c r="BE791" s="163"/>
      <c r="BF791" s="163"/>
      <c r="BG791" s="207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  <c r="BX791" s="163"/>
      <c r="BY791" s="163"/>
    </row>
    <row r="792" spans="47:77" x14ac:dyDescent="0.3">
      <c r="AY792" s="110"/>
      <c r="AZ792" s="163"/>
      <c r="BA792" s="163"/>
      <c r="BB792" s="163"/>
      <c r="BC792" s="207"/>
      <c r="BD792" s="163"/>
      <c r="BE792" s="163"/>
      <c r="BF792" s="163"/>
      <c r="BG792" s="207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  <c r="BX792" s="163"/>
      <c r="BY792" s="163"/>
    </row>
    <row r="793" spans="47:77" x14ac:dyDescent="0.3">
      <c r="AY793" s="110"/>
      <c r="AZ793" s="163"/>
      <c r="BA793" s="163"/>
      <c r="BB793" s="163"/>
      <c r="BC793" s="207"/>
      <c r="BD793" s="163"/>
      <c r="BE793" s="163"/>
      <c r="BF793" s="163"/>
      <c r="BG793" s="207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  <c r="BX793" s="163"/>
      <c r="BY793" s="163"/>
    </row>
    <row r="794" spans="47:77" x14ac:dyDescent="0.3">
      <c r="AY794" s="110"/>
      <c r="AZ794" s="163"/>
      <c r="BA794" s="163"/>
      <c r="BB794" s="163"/>
      <c r="BC794" s="207"/>
      <c r="BD794" s="163"/>
      <c r="BE794" s="163"/>
      <c r="BF794" s="163"/>
      <c r="BG794" s="207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  <c r="BX794" s="163"/>
      <c r="BY794" s="163"/>
    </row>
    <row r="795" spans="47:77" x14ac:dyDescent="0.3">
      <c r="AY795" s="110"/>
      <c r="AZ795" s="163"/>
      <c r="BA795" s="163"/>
      <c r="BB795" s="163"/>
      <c r="BC795" s="207"/>
      <c r="BD795" s="163"/>
      <c r="BE795" s="163"/>
      <c r="BF795" s="163"/>
      <c r="BG795" s="207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  <c r="BX795" s="163"/>
      <c r="BY795" s="163"/>
    </row>
    <row r="796" spans="47:77" x14ac:dyDescent="0.3">
      <c r="AY796" s="110"/>
      <c r="AZ796" s="163"/>
      <c r="BA796" s="163"/>
      <c r="BB796" s="163"/>
      <c r="BC796" s="207"/>
      <c r="BD796" s="163"/>
      <c r="BE796" s="163"/>
      <c r="BF796" s="163"/>
      <c r="BG796" s="207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  <c r="BX796" s="163"/>
      <c r="BY796" s="163"/>
    </row>
    <row r="797" spans="47:77" x14ac:dyDescent="0.3">
      <c r="AY797" s="110"/>
      <c r="AZ797" s="163"/>
      <c r="BA797" s="163"/>
      <c r="BB797" s="163"/>
      <c r="BC797" s="207"/>
      <c r="BD797" s="163"/>
      <c r="BE797" s="163"/>
      <c r="BF797" s="163"/>
      <c r="BG797" s="207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  <c r="BX797" s="163"/>
      <c r="BY797" s="163"/>
    </row>
    <row r="798" spans="47:77" x14ac:dyDescent="0.3">
      <c r="AY798" s="110"/>
      <c r="AZ798" s="163"/>
      <c r="BA798" s="163"/>
      <c r="BB798" s="163"/>
      <c r="BC798" s="207"/>
      <c r="BD798" s="163"/>
      <c r="BE798" s="163"/>
      <c r="BF798" s="163"/>
      <c r="BG798" s="207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  <c r="BX798" s="163"/>
      <c r="BY798" s="163"/>
    </row>
    <row r="799" spans="47:77" x14ac:dyDescent="0.3">
      <c r="AY799" s="110"/>
      <c r="AZ799" s="163"/>
      <c r="BA799" s="163"/>
      <c r="BB799" s="163"/>
      <c r="BC799" s="207"/>
      <c r="BD799" s="163"/>
      <c r="BE799" s="163"/>
      <c r="BF799" s="163"/>
      <c r="BG799" s="207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  <c r="BX799" s="163"/>
      <c r="BY799" s="163"/>
    </row>
    <row r="800" spans="47:77" x14ac:dyDescent="0.3">
      <c r="AY800" s="110"/>
      <c r="AZ800" s="163"/>
      <c r="BA800" s="163"/>
      <c r="BB800" s="163"/>
      <c r="BC800" s="207"/>
      <c r="BD800" s="163"/>
      <c r="BE800" s="163"/>
      <c r="BF800" s="163"/>
      <c r="BG800" s="207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  <c r="BX800" s="163"/>
      <c r="BY800" s="163"/>
    </row>
    <row r="801" spans="47:77" x14ac:dyDescent="0.3">
      <c r="AY801" s="110"/>
      <c r="AZ801" s="163"/>
      <c r="BA801" s="163"/>
      <c r="BB801" s="163"/>
      <c r="BC801" s="207"/>
      <c r="BD801" s="163"/>
      <c r="BE801" s="163"/>
      <c r="BF801" s="163"/>
      <c r="BG801" s="207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  <c r="BX801" s="163"/>
      <c r="BY801" s="163"/>
    </row>
    <row r="802" spans="47:77" x14ac:dyDescent="0.3">
      <c r="AY802" s="110"/>
      <c r="AZ802" s="163"/>
      <c r="BA802" s="163"/>
      <c r="BB802" s="163"/>
      <c r="BC802" s="207"/>
      <c r="BD802" s="163"/>
      <c r="BE802" s="163"/>
      <c r="BF802" s="163"/>
      <c r="BG802" s="207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  <c r="BX802" s="163"/>
      <c r="BY802" s="163"/>
    </row>
    <row r="803" spans="47:77" x14ac:dyDescent="0.3">
      <c r="AY803" s="110"/>
      <c r="AZ803" s="163"/>
      <c r="BA803" s="163"/>
      <c r="BB803" s="163"/>
      <c r="BC803" s="207"/>
      <c r="BD803" s="163"/>
      <c r="BE803" s="163"/>
      <c r="BF803" s="163"/>
      <c r="BG803" s="207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  <c r="BX803" s="163"/>
      <c r="BY803" s="163"/>
    </row>
    <row r="804" spans="47:77" x14ac:dyDescent="0.3">
      <c r="AY804" s="110"/>
      <c r="AZ804" s="163"/>
      <c r="BA804" s="163"/>
      <c r="BB804" s="163"/>
      <c r="BC804" s="207"/>
      <c r="BD804" s="163"/>
      <c r="BE804" s="163"/>
      <c r="BF804" s="163"/>
      <c r="BG804" s="207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  <c r="BX804" s="163"/>
      <c r="BY804" s="163"/>
    </row>
    <row r="805" spans="47:77" x14ac:dyDescent="0.3">
      <c r="AY805" s="110"/>
      <c r="AZ805" s="163"/>
      <c r="BA805" s="163"/>
      <c r="BB805" s="163"/>
      <c r="BC805" s="207"/>
      <c r="BD805" s="163"/>
      <c r="BE805" s="163"/>
      <c r="BF805" s="163"/>
      <c r="BG805" s="207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  <c r="BX805" s="163"/>
      <c r="BY805" s="163"/>
    </row>
    <row r="806" spans="47:77" x14ac:dyDescent="0.3">
      <c r="AY806" s="110"/>
      <c r="AZ806" s="163"/>
      <c r="BA806" s="163"/>
      <c r="BB806" s="163"/>
      <c r="BC806" s="207"/>
      <c r="BD806" s="163"/>
      <c r="BE806" s="163"/>
      <c r="BF806" s="163"/>
      <c r="BG806" s="207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  <c r="BX806" s="163"/>
      <c r="BY806" s="163"/>
    </row>
    <row r="807" spans="47:77" x14ac:dyDescent="0.3">
      <c r="AY807" s="110"/>
      <c r="AZ807" s="163"/>
      <c r="BA807" s="163"/>
      <c r="BB807" s="163"/>
      <c r="BC807" s="207"/>
      <c r="BD807" s="163"/>
      <c r="BE807" s="163"/>
      <c r="BF807" s="163"/>
      <c r="BG807" s="207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  <c r="BX807" s="163"/>
      <c r="BY807" s="163"/>
    </row>
    <row r="808" spans="47:77" x14ac:dyDescent="0.3">
      <c r="AY808" s="110"/>
      <c r="AZ808" s="163"/>
      <c r="BA808" s="163"/>
      <c r="BB808" s="163"/>
      <c r="BC808" s="207"/>
      <c r="BD808" s="163"/>
      <c r="BE808" s="163"/>
      <c r="BF808" s="163"/>
      <c r="BG808" s="207"/>
      <c r="BI808" s="101"/>
      <c r="BJ808" s="101"/>
      <c r="BK808" s="99"/>
      <c r="BO808" s="101"/>
      <c r="BP808" s="101"/>
      <c r="BQ808" s="163"/>
      <c r="BR808" s="101"/>
      <c r="BS808" s="101"/>
      <c r="BT808" s="99"/>
      <c r="BX808" s="101"/>
      <c r="BY808" s="101"/>
    </row>
    <row r="809" spans="47:77" x14ac:dyDescent="0.3">
      <c r="AW809" s="99"/>
      <c r="AX809" s="102"/>
      <c r="AY809" s="110"/>
      <c r="AZ809" s="163"/>
      <c r="BA809" s="163"/>
      <c r="BB809" s="163"/>
      <c r="BC809" s="207"/>
      <c r="BD809" s="163"/>
      <c r="BE809" s="163"/>
      <c r="BF809" s="163"/>
      <c r="BG809" s="207"/>
      <c r="BI809" s="213"/>
      <c r="BJ809" s="163"/>
      <c r="BK809" s="163"/>
      <c r="BL809" s="163"/>
      <c r="BM809" s="213"/>
      <c r="BN809" s="214"/>
      <c r="BO809" s="163"/>
      <c r="BP809" s="213"/>
      <c r="BQ809" s="163"/>
      <c r="BR809" s="213"/>
      <c r="BS809" s="163"/>
      <c r="BT809" s="163"/>
      <c r="BU809" s="163"/>
      <c r="BV809" s="213"/>
      <c r="BW809" s="214"/>
      <c r="BX809" s="163"/>
      <c r="BY809" s="213"/>
    </row>
    <row r="810" spans="47:77" x14ac:dyDescent="0.3">
      <c r="AX810" s="102"/>
      <c r="AY810" s="110"/>
      <c r="AZ810" s="163"/>
      <c r="BA810" s="163"/>
      <c r="BB810" s="163"/>
      <c r="BC810" s="207"/>
      <c r="BD810" s="163"/>
      <c r="BE810" s="163"/>
      <c r="BF810" s="163"/>
      <c r="BG810" s="207"/>
      <c r="BI810" s="163"/>
      <c r="BJ810" s="163"/>
      <c r="BK810" s="163"/>
      <c r="BL810" s="163"/>
      <c r="BM810" s="163"/>
      <c r="BN810" s="214"/>
      <c r="BO810" s="163"/>
      <c r="BP810" s="163"/>
      <c r="BQ810" s="163"/>
      <c r="BR810" s="163"/>
      <c r="BS810" s="163"/>
      <c r="BT810" s="163"/>
      <c r="BU810" s="163"/>
      <c r="BV810" s="163"/>
      <c r="BW810" s="214"/>
      <c r="BX810" s="163"/>
      <c r="BY810" s="163"/>
    </row>
    <row r="811" spans="47:77" x14ac:dyDescent="0.3">
      <c r="AX811" s="102"/>
      <c r="AY811" s="110"/>
      <c r="AZ811" s="163"/>
      <c r="BA811" s="163"/>
      <c r="BB811" s="163"/>
      <c r="BC811" s="207"/>
      <c r="BD811" s="163"/>
      <c r="BE811" s="163"/>
      <c r="BF811" s="163"/>
      <c r="BG811" s="207"/>
      <c r="BI811" s="163"/>
      <c r="BJ811" s="163"/>
      <c r="BK811" s="163"/>
      <c r="BL811" s="163"/>
      <c r="BM811" s="163"/>
      <c r="BN811" s="214"/>
      <c r="BO811" s="163"/>
      <c r="BP811" s="163"/>
      <c r="BQ811" s="163"/>
      <c r="BR811" s="163"/>
      <c r="BS811" s="163"/>
      <c r="BT811" s="163"/>
      <c r="BU811" s="163"/>
      <c r="BV811" s="163"/>
      <c r="BW811" s="214"/>
      <c r="BX811" s="163"/>
      <c r="BY811" s="163"/>
    </row>
    <row r="812" spans="47:77" x14ac:dyDescent="0.3">
      <c r="AX812" s="102"/>
      <c r="AY812" s="110"/>
      <c r="AZ812" s="163"/>
      <c r="BA812" s="163"/>
      <c r="BB812" s="163"/>
      <c r="BC812" s="207"/>
      <c r="BD812" s="163"/>
      <c r="BE812" s="163"/>
      <c r="BF812" s="163"/>
      <c r="BG812" s="207"/>
      <c r="BI812" s="163"/>
      <c r="BJ812" s="163"/>
      <c r="BK812" s="163"/>
      <c r="BL812" s="163"/>
      <c r="BM812" s="163"/>
      <c r="BN812" s="214"/>
      <c r="BO812" s="163"/>
      <c r="BP812" s="163"/>
      <c r="BQ812" s="163"/>
      <c r="BR812" s="163"/>
      <c r="BS812" s="163"/>
      <c r="BT812" s="163"/>
      <c r="BU812" s="163"/>
      <c r="BV812" s="163"/>
      <c r="BW812" s="214"/>
      <c r="BX812" s="163"/>
      <c r="BY812" s="163"/>
    </row>
    <row r="813" spans="47:77" x14ac:dyDescent="0.3">
      <c r="AZ813" s="163"/>
      <c r="BA813" s="163"/>
      <c r="BB813" s="163"/>
      <c r="BC813" s="207"/>
      <c r="BD813" s="163"/>
      <c r="BE813" s="163"/>
      <c r="BF813" s="163"/>
      <c r="BG813" s="207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  <c r="BX813" s="163"/>
    </row>
    <row r="814" spans="47:77" x14ac:dyDescent="0.3">
      <c r="AW814" s="99"/>
    </row>
    <row r="815" spans="47:77" x14ac:dyDescent="0.3">
      <c r="AW815" s="99"/>
      <c r="BB815" s="163"/>
      <c r="BC815" s="207"/>
      <c r="BD815" s="163"/>
      <c r="BE815" s="163"/>
      <c r="BF815" s="163"/>
      <c r="BG815" s="207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  <c r="BX815" s="163"/>
    </row>
    <row r="816" spans="47:77" x14ac:dyDescent="0.3">
      <c r="AU816" s="99"/>
      <c r="BB816" s="163"/>
      <c r="BD816" s="163"/>
    </row>
    <row r="817" spans="47:76" x14ac:dyDescent="0.3">
      <c r="BB817" s="163"/>
      <c r="BD817" s="163"/>
      <c r="BQ817" s="163"/>
      <c r="BR817" s="163"/>
      <c r="BS817" s="163"/>
      <c r="BT817" s="163"/>
      <c r="BU817" s="163"/>
      <c r="BV817" s="163"/>
      <c r="BW817" s="163"/>
      <c r="BX817" s="163"/>
    </row>
    <row r="818" spans="47:76" x14ac:dyDescent="0.3">
      <c r="BA818" s="163"/>
      <c r="BB818" s="163"/>
      <c r="BD818" s="163"/>
      <c r="BQ818" s="163"/>
      <c r="BR818" s="163"/>
      <c r="BS818" s="163"/>
      <c r="BT818" s="163"/>
      <c r="BU818" s="163"/>
      <c r="BV818" s="163"/>
      <c r="BW818" s="163"/>
      <c r="BX818" s="163"/>
    </row>
    <row r="819" spans="47:76" x14ac:dyDescent="0.3">
      <c r="BA819" s="99"/>
      <c r="BB819" s="163"/>
      <c r="BD819" s="163"/>
      <c r="BQ819" s="163"/>
      <c r="BR819" s="163"/>
      <c r="BS819" s="163"/>
      <c r="BT819" s="163"/>
      <c r="BU819" s="163"/>
      <c r="BV819" s="163"/>
      <c r="BW819" s="163"/>
      <c r="BX819" s="163"/>
    </row>
    <row r="820" spans="47:76" x14ac:dyDescent="0.3">
      <c r="BA820" s="99"/>
      <c r="BB820" s="163"/>
      <c r="BD820" s="163"/>
      <c r="BQ820" s="163"/>
      <c r="BR820" s="163"/>
      <c r="BS820" s="163"/>
      <c r="BT820" s="163"/>
      <c r="BU820" s="163"/>
      <c r="BV820" s="163"/>
      <c r="BW820" s="163"/>
      <c r="BX820" s="163"/>
    </row>
    <row r="821" spans="47:76" x14ac:dyDescent="0.3">
      <c r="BB821" s="163"/>
      <c r="BD821" s="163"/>
      <c r="BF821" s="99"/>
      <c r="BQ821" s="163"/>
      <c r="BR821" s="163"/>
      <c r="BS821" s="163"/>
      <c r="BT821" s="163"/>
      <c r="BU821" s="163"/>
      <c r="BV821" s="163"/>
      <c r="BW821" s="163"/>
      <c r="BX821" s="163"/>
    </row>
    <row r="822" spans="47:76" x14ac:dyDescent="0.3">
      <c r="BB822" s="163"/>
      <c r="BD822" s="163"/>
      <c r="BF822" s="99"/>
      <c r="BQ822" s="163"/>
      <c r="BR822" s="163"/>
      <c r="BS822" s="163"/>
      <c r="BT822" s="163"/>
      <c r="BU822" s="163"/>
      <c r="BV822" s="163"/>
      <c r="BW822" s="163"/>
      <c r="BX822" s="163"/>
    </row>
    <row r="823" spans="47:76" x14ac:dyDescent="0.3">
      <c r="AU823" s="99"/>
      <c r="BB823" s="163"/>
      <c r="BD823" s="163"/>
      <c r="BF823" s="99"/>
      <c r="BQ823" s="163"/>
      <c r="BR823" s="163"/>
      <c r="BS823" s="163"/>
      <c r="BT823" s="163"/>
      <c r="BU823" s="163"/>
      <c r="BV823" s="163"/>
      <c r="BW823" s="163"/>
      <c r="BX823" s="163"/>
    </row>
    <row r="824" spans="47:76" x14ac:dyDescent="0.3">
      <c r="BB824" s="163"/>
      <c r="BD824" s="163"/>
      <c r="BQ824" s="163"/>
      <c r="BR824" s="163"/>
      <c r="BS824" s="163"/>
      <c r="BT824" s="163"/>
      <c r="BU824" s="163"/>
      <c r="BV824" s="163"/>
      <c r="BW824" s="163"/>
      <c r="BX824" s="163"/>
    </row>
    <row r="825" spans="47:76" x14ac:dyDescent="0.3">
      <c r="AU825" s="101"/>
      <c r="AV825" s="101"/>
      <c r="AW825" s="101"/>
      <c r="AX825" s="101"/>
      <c r="AY825" s="101"/>
      <c r="AZ825" s="101"/>
      <c r="BA825" s="101"/>
      <c r="BB825" s="212"/>
      <c r="BC825" s="101"/>
      <c r="BD825" s="212"/>
      <c r="BE825" s="101"/>
      <c r="BF825" s="101"/>
      <c r="BG825" s="101"/>
      <c r="BQ825" s="163"/>
      <c r="BR825" s="163"/>
      <c r="BS825" s="163"/>
      <c r="BT825" s="163"/>
      <c r="BU825" s="163"/>
      <c r="BV825" s="163"/>
      <c r="BW825" s="163"/>
      <c r="BX825" s="163"/>
    </row>
    <row r="826" spans="47:76" x14ac:dyDescent="0.3">
      <c r="AZ826" s="99"/>
      <c r="BB826" s="163"/>
      <c r="BD826" s="163"/>
      <c r="BQ826" s="163"/>
      <c r="BR826" s="163"/>
      <c r="BS826" s="163"/>
      <c r="BT826" s="163"/>
      <c r="BU826" s="163"/>
      <c r="BV826" s="163"/>
      <c r="BW826" s="163"/>
      <c r="BX826" s="163"/>
    </row>
    <row r="827" spans="47:76" x14ac:dyDescent="0.3">
      <c r="AZ827" s="101"/>
      <c r="BA827" s="101"/>
      <c r="BB827" s="212"/>
      <c r="BC827" s="101"/>
      <c r="BD827" s="163"/>
      <c r="BE827" s="102"/>
      <c r="BF827" s="102"/>
      <c r="BQ827" s="163"/>
      <c r="BR827" s="163"/>
      <c r="BS827" s="163"/>
      <c r="BT827" s="163"/>
      <c r="BU827" s="163"/>
      <c r="BV827" s="163"/>
      <c r="BW827" s="163"/>
      <c r="BX827" s="163"/>
    </row>
    <row r="828" spans="47:76" x14ac:dyDescent="0.3">
      <c r="AX828" s="102"/>
      <c r="AY828" s="102"/>
      <c r="BB828" s="213"/>
      <c r="BC828" s="102"/>
      <c r="BD828" s="163"/>
      <c r="BE828" s="102"/>
      <c r="BF828" s="102"/>
      <c r="BG828" s="102"/>
      <c r="BI828" s="101"/>
      <c r="BJ828" s="99"/>
      <c r="BM828" s="101"/>
      <c r="BO828" s="101"/>
      <c r="BP828" s="99"/>
      <c r="BS828" s="101"/>
    </row>
    <row r="829" spans="47:76" x14ac:dyDescent="0.3">
      <c r="AX829" s="102"/>
      <c r="AY829" s="102"/>
      <c r="AZ829" s="102"/>
      <c r="BA829" s="102"/>
      <c r="BB829" s="213"/>
      <c r="BC829" s="102"/>
      <c r="BD829" s="213"/>
      <c r="BE829" s="102"/>
      <c r="BF829" s="102"/>
      <c r="BG829" s="102"/>
      <c r="BJ829" s="102"/>
      <c r="BK829" s="102"/>
      <c r="BP829" s="102"/>
      <c r="BQ829" s="102"/>
    </row>
    <row r="830" spans="47:76" x14ac:dyDescent="0.3">
      <c r="AU830" s="102"/>
      <c r="AW830" s="99"/>
      <c r="AX830" s="102"/>
      <c r="AY830" s="102"/>
      <c r="AZ830" s="102"/>
      <c r="BA830" s="102"/>
      <c r="BB830" s="213"/>
      <c r="BC830" s="102"/>
      <c r="BD830" s="213"/>
      <c r="BE830" s="102"/>
      <c r="BF830" s="102"/>
      <c r="BG830" s="102"/>
      <c r="BI830" s="102"/>
      <c r="BJ830" s="102"/>
      <c r="BK830" s="102"/>
      <c r="BL830" s="102"/>
      <c r="BM830" s="102"/>
      <c r="BO830" s="102"/>
      <c r="BP830" s="102"/>
      <c r="BQ830" s="102"/>
      <c r="BR830" s="102"/>
      <c r="BS830" s="102"/>
    </row>
    <row r="831" spans="47:76" x14ac:dyDescent="0.3">
      <c r="AU831" s="102"/>
      <c r="AW831" s="99"/>
      <c r="AX831" s="102"/>
      <c r="AY831" s="102"/>
      <c r="AZ831" s="102"/>
      <c r="BA831" s="102"/>
      <c r="BB831" s="213"/>
      <c r="BC831" s="102"/>
      <c r="BD831" s="213"/>
      <c r="BE831" s="102"/>
      <c r="BF831" s="102"/>
      <c r="BG831" s="102"/>
      <c r="BI831" s="102"/>
      <c r="BJ831" s="102"/>
      <c r="BK831" s="102"/>
      <c r="BL831" s="102"/>
      <c r="BM831" s="102"/>
      <c r="BO831" s="102"/>
      <c r="BP831" s="102"/>
      <c r="BQ831" s="102"/>
      <c r="BR831" s="102"/>
      <c r="BS831" s="102"/>
    </row>
    <row r="832" spans="47:76" x14ac:dyDescent="0.3">
      <c r="AU832" s="101"/>
      <c r="AV832" s="101"/>
      <c r="AW832" s="101"/>
      <c r="AX832" s="101"/>
      <c r="AY832" s="101"/>
      <c r="AZ832" s="101"/>
      <c r="BA832" s="101"/>
      <c r="BB832" s="212"/>
      <c r="BC832" s="101"/>
      <c r="BD832" s="212"/>
      <c r="BE832" s="101"/>
      <c r="BF832" s="101"/>
      <c r="BG832" s="101"/>
      <c r="BI832" s="101"/>
      <c r="BJ832" s="101"/>
      <c r="BK832" s="101"/>
      <c r="BL832" s="101"/>
      <c r="BM832" s="101"/>
      <c r="BO832" s="101"/>
      <c r="BP832" s="101"/>
      <c r="BQ832" s="101"/>
      <c r="BR832" s="101"/>
      <c r="BS832" s="101"/>
    </row>
    <row r="833" spans="48:73" x14ac:dyDescent="0.3">
      <c r="AX833" s="102"/>
      <c r="AY833" s="102"/>
      <c r="AZ833" s="102"/>
      <c r="BA833" s="102"/>
      <c r="BB833" s="213"/>
      <c r="BC833" s="102"/>
      <c r="BD833" s="213"/>
      <c r="BE833" s="102"/>
      <c r="BF833" s="102"/>
      <c r="BG833" s="102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</row>
    <row r="834" spans="48:73" x14ac:dyDescent="0.3">
      <c r="AV834" s="99"/>
      <c r="AX834" s="110"/>
      <c r="AY834" s="110"/>
      <c r="AZ834" s="163"/>
      <c r="BA834" s="163"/>
      <c r="BB834" s="163"/>
      <c r="BC834" s="207"/>
      <c r="BD834" s="163"/>
      <c r="BE834" s="163"/>
      <c r="BF834" s="163"/>
      <c r="BG834" s="207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</row>
    <row r="835" spans="48:73" x14ac:dyDescent="0.3">
      <c r="AX835" s="110"/>
      <c r="AY835" s="110"/>
      <c r="AZ835" s="163"/>
      <c r="BA835" s="163"/>
      <c r="BB835" s="163"/>
      <c r="BC835" s="207"/>
      <c r="BD835" s="163"/>
      <c r="BE835" s="163"/>
      <c r="BF835" s="163"/>
      <c r="BG835" s="207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</row>
    <row r="836" spans="48:73" x14ac:dyDescent="0.3">
      <c r="AX836" s="110"/>
      <c r="AY836" s="110"/>
      <c r="AZ836" s="163"/>
      <c r="BA836" s="163"/>
      <c r="BB836" s="163"/>
      <c r="BC836" s="207"/>
      <c r="BD836" s="163"/>
      <c r="BE836" s="163"/>
      <c r="BF836" s="163"/>
      <c r="BG836" s="207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</row>
    <row r="837" spans="48:73" x14ac:dyDescent="0.3">
      <c r="AX837" s="110"/>
      <c r="AY837" s="110"/>
      <c r="AZ837" s="163"/>
      <c r="BA837" s="163"/>
      <c r="BB837" s="163"/>
      <c r="BC837" s="207"/>
      <c r="BD837" s="163"/>
      <c r="BE837" s="163"/>
      <c r="BF837" s="163"/>
      <c r="BG837" s="207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</row>
    <row r="838" spans="48:73" x14ac:dyDescent="0.3">
      <c r="AX838" s="110"/>
      <c r="AY838" s="110"/>
      <c r="AZ838" s="163"/>
      <c r="BA838" s="163"/>
      <c r="BB838" s="163"/>
      <c r="BC838" s="207"/>
      <c r="BD838" s="163"/>
      <c r="BE838" s="163"/>
      <c r="BF838" s="163"/>
      <c r="BG838" s="207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</row>
    <row r="839" spans="48:73" x14ac:dyDescent="0.3">
      <c r="AX839" s="110"/>
      <c r="AY839" s="110"/>
      <c r="AZ839" s="163"/>
      <c r="BA839" s="163"/>
      <c r="BB839" s="163"/>
      <c r="BC839" s="207"/>
      <c r="BD839" s="163"/>
      <c r="BE839" s="163"/>
      <c r="BF839" s="163"/>
      <c r="BG839" s="207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</row>
    <row r="840" spans="48:73" x14ac:dyDescent="0.3">
      <c r="AX840" s="110"/>
      <c r="AY840" s="110"/>
      <c r="AZ840" s="163"/>
      <c r="BA840" s="163"/>
      <c r="BB840" s="163"/>
      <c r="BC840" s="207"/>
      <c r="BD840" s="163"/>
      <c r="BE840" s="163"/>
      <c r="BF840" s="163"/>
      <c r="BG840" s="207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</row>
    <row r="841" spans="48:73" x14ac:dyDescent="0.3">
      <c r="AX841" s="110"/>
      <c r="AY841" s="110"/>
      <c r="AZ841" s="163"/>
      <c r="BA841" s="163"/>
      <c r="BB841" s="163"/>
      <c r="BC841" s="207"/>
      <c r="BD841" s="163"/>
      <c r="BE841" s="163"/>
      <c r="BF841" s="163"/>
      <c r="BG841" s="207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</row>
    <row r="842" spans="48:73" x14ac:dyDescent="0.3">
      <c r="AX842" s="110"/>
      <c r="AY842" s="110"/>
      <c r="AZ842" s="163"/>
      <c r="BA842" s="163"/>
      <c r="BB842" s="163"/>
      <c r="BC842" s="207"/>
      <c r="BD842" s="163"/>
      <c r="BE842" s="163"/>
      <c r="BF842" s="163"/>
      <c r="BG842" s="207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</row>
    <row r="843" spans="48:73" x14ac:dyDescent="0.3">
      <c r="AX843" s="110"/>
      <c r="AY843" s="110"/>
      <c r="AZ843" s="163"/>
      <c r="BA843" s="163"/>
      <c r="BB843" s="163"/>
      <c r="BC843" s="207"/>
      <c r="BD843" s="163"/>
      <c r="BE843" s="163"/>
      <c r="BF843" s="163"/>
      <c r="BG843" s="207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</row>
    <row r="844" spans="48:73" x14ac:dyDescent="0.3">
      <c r="AX844" s="110"/>
      <c r="AY844" s="110"/>
      <c r="AZ844" s="163"/>
      <c r="BA844" s="163"/>
      <c r="BB844" s="163"/>
      <c r="BC844" s="207"/>
      <c r="BD844" s="163"/>
      <c r="BE844" s="163"/>
      <c r="BF844" s="163"/>
      <c r="BG844" s="207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</row>
    <row r="845" spans="48:73" x14ac:dyDescent="0.3">
      <c r="AX845" s="110"/>
      <c r="AY845" s="110"/>
      <c r="AZ845" s="163"/>
      <c r="BA845" s="163"/>
      <c r="BB845" s="163"/>
      <c r="BC845" s="207"/>
      <c r="BD845" s="163"/>
      <c r="BE845" s="163"/>
      <c r="BF845" s="163"/>
      <c r="BG845" s="207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</row>
    <row r="846" spans="48:73" x14ac:dyDescent="0.3">
      <c r="AX846" s="110"/>
      <c r="AY846" s="110"/>
      <c r="AZ846" s="163"/>
      <c r="BA846" s="163"/>
      <c r="BB846" s="163"/>
      <c r="BC846" s="207"/>
      <c r="BD846" s="163"/>
      <c r="BE846" s="163"/>
      <c r="BF846" s="163"/>
      <c r="BG846" s="207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</row>
    <row r="847" spans="48:73" x14ac:dyDescent="0.3">
      <c r="AX847" s="110"/>
      <c r="AY847" s="110"/>
      <c r="AZ847" s="163"/>
      <c r="BA847" s="163"/>
      <c r="BB847" s="163"/>
      <c r="BC847" s="207"/>
      <c r="BD847" s="163"/>
      <c r="BE847" s="163"/>
      <c r="BF847" s="163"/>
      <c r="BG847" s="207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</row>
    <row r="848" spans="48:73" x14ac:dyDescent="0.3">
      <c r="AX848" s="110"/>
      <c r="AY848" s="110"/>
      <c r="AZ848" s="163"/>
      <c r="BA848" s="163"/>
      <c r="BB848" s="163"/>
      <c r="BC848" s="207"/>
      <c r="BD848" s="163"/>
      <c r="BE848" s="163"/>
      <c r="BF848" s="163"/>
      <c r="BG848" s="207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</row>
    <row r="849" spans="48:73" x14ac:dyDescent="0.3">
      <c r="AX849" s="110"/>
      <c r="AY849" s="110"/>
      <c r="AZ849" s="163"/>
      <c r="BA849" s="163"/>
      <c r="BB849" s="163"/>
      <c r="BC849" s="207"/>
      <c r="BD849" s="163"/>
      <c r="BE849" s="163"/>
      <c r="BF849" s="163"/>
      <c r="BG849" s="207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</row>
    <row r="850" spans="48:73" x14ac:dyDescent="0.3">
      <c r="AX850" s="110"/>
      <c r="AY850" s="110"/>
      <c r="AZ850" s="163"/>
      <c r="BA850" s="163"/>
      <c r="BB850" s="163"/>
      <c r="BC850" s="207"/>
      <c r="BD850" s="163"/>
      <c r="BE850" s="163"/>
      <c r="BF850" s="163"/>
      <c r="BG850" s="207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</row>
    <row r="851" spans="48:73" x14ac:dyDescent="0.3">
      <c r="AX851" s="110"/>
      <c r="AY851" s="110"/>
      <c r="AZ851" s="163"/>
      <c r="BA851" s="163"/>
      <c r="BB851" s="163"/>
      <c r="BC851" s="207"/>
      <c r="BD851" s="163"/>
      <c r="BE851" s="163"/>
      <c r="BF851" s="163"/>
      <c r="BG851" s="207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</row>
    <row r="852" spans="48:73" x14ac:dyDescent="0.3">
      <c r="BB852" s="163"/>
      <c r="BD852" s="163"/>
      <c r="BE852" s="163"/>
      <c r="BF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</row>
    <row r="853" spans="48:73" x14ac:dyDescent="0.3">
      <c r="AV853" s="99"/>
      <c r="AX853" s="110"/>
      <c r="AY853" s="110"/>
      <c r="AZ853" s="163"/>
      <c r="BA853" s="163"/>
      <c r="BB853" s="163"/>
      <c r="BC853" s="207"/>
      <c r="BD853" s="163"/>
      <c r="BE853" s="163"/>
      <c r="BF853" s="163"/>
      <c r="BG853" s="207"/>
    </row>
    <row r="854" spans="48:73" x14ac:dyDescent="0.3">
      <c r="AX854" s="110"/>
      <c r="AY854" s="110"/>
      <c r="AZ854" s="163"/>
      <c r="BA854" s="163"/>
      <c r="BB854" s="163"/>
      <c r="BC854" s="207"/>
      <c r="BD854" s="163"/>
      <c r="BE854" s="163"/>
      <c r="BF854" s="163"/>
      <c r="BG854" s="207"/>
    </row>
    <row r="855" spans="48:73" x14ac:dyDescent="0.3">
      <c r="AX855" s="110"/>
      <c r="AY855" s="110"/>
      <c r="AZ855" s="163"/>
      <c r="BA855" s="163"/>
      <c r="BB855" s="163"/>
      <c r="BC855" s="207"/>
      <c r="BD855" s="163"/>
      <c r="BE855" s="163"/>
      <c r="BF855" s="163"/>
      <c r="BG855" s="207"/>
    </row>
    <row r="856" spans="48:73" x14ac:dyDescent="0.3">
      <c r="AX856" s="110"/>
      <c r="AY856" s="110"/>
      <c r="AZ856" s="163"/>
      <c r="BA856" s="163"/>
      <c r="BB856" s="163"/>
      <c r="BC856" s="207"/>
      <c r="BD856" s="163"/>
      <c r="BE856" s="163"/>
      <c r="BF856" s="163"/>
      <c r="BG856" s="207"/>
    </row>
    <row r="857" spans="48:73" x14ac:dyDescent="0.3">
      <c r="AX857" s="110"/>
      <c r="AY857" s="110"/>
      <c r="AZ857" s="163"/>
      <c r="BA857" s="163"/>
      <c r="BB857" s="163"/>
      <c r="BC857" s="207"/>
      <c r="BD857" s="163"/>
      <c r="BE857" s="163"/>
      <c r="BF857" s="163"/>
      <c r="BG857" s="207"/>
    </row>
    <row r="858" spans="48:73" x14ac:dyDescent="0.3">
      <c r="AX858" s="110"/>
      <c r="AY858" s="110"/>
      <c r="AZ858" s="163"/>
      <c r="BA858" s="163"/>
      <c r="BB858" s="163"/>
      <c r="BC858" s="207"/>
      <c r="BD858" s="163"/>
      <c r="BE858" s="163"/>
      <c r="BF858" s="163"/>
      <c r="BG858" s="207"/>
    </row>
    <row r="859" spans="48:73" x14ac:dyDescent="0.3">
      <c r="AX859" s="110"/>
      <c r="AY859" s="110"/>
      <c r="AZ859" s="163"/>
      <c r="BA859" s="163"/>
      <c r="BB859" s="163"/>
      <c r="BC859" s="207"/>
      <c r="BD859" s="163"/>
      <c r="BE859" s="163"/>
      <c r="BF859" s="163"/>
      <c r="BG859" s="207"/>
    </row>
    <row r="860" spans="48:73" x14ac:dyDescent="0.3">
      <c r="AX860" s="110"/>
      <c r="AY860" s="110"/>
      <c r="AZ860" s="163"/>
      <c r="BA860" s="163"/>
      <c r="BB860" s="163"/>
      <c r="BC860" s="207"/>
      <c r="BD860" s="163"/>
      <c r="BE860" s="163"/>
      <c r="BF860" s="163"/>
      <c r="BG860" s="207"/>
    </row>
    <row r="861" spans="48:73" x14ac:dyDescent="0.3">
      <c r="AX861" s="110"/>
      <c r="AY861" s="110"/>
      <c r="AZ861" s="163"/>
      <c r="BA861" s="163"/>
      <c r="BB861" s="163"/>
      <c r="BC861" s="207"/>
      <c r="BD861" s="163"/>
      <c r="BE861" s="163"/>
      <c r="BF861" s="163"/>
      <c r="BG861" s="207"/>
    </row>
    <row r="862" spans="48:73" x14ac:dyDescent="0.3">
      <c r="AX862" s="110"/>
      <c r="AY862" s="110"/>
      <c r="AZ862" s="163"/>
      <c r="BA862" s="163"/>
      <c r="BB862" s="163"/>
      <c r="BC862" s="207"/>
      <c r="BD862" s="163"/>
      <c r="BE862" s="163"/>
      <c r="BF862" s="163"/>
      <c r="BG862" s="207"/>
    </row>
    <row r="863" spans="48:73" x14ac:dyDescent="0.3">
      <c r="AX863" s="110"/>
      <c r="AY863" s="110"/>
      <c r="AZ863" s="163"/>
      <c r="BA863" s="163"/>
      <c r="BB863" s="163"/>
      <c r="BC863" s="207"/>
      <c r="BD863" s="163"/>
      <c r="BE863" s="163"/>
      <c r="BF863" s="163"/>
      <c r="BG863" s="207"/>
    </row>
    <row r="864" spans="48:73" x14ac:dyDescent="0.3">
      <c r="AX864" s="110"/>
      <c r="AY864" s="110"/>
      <c r="AZ864" s="163"/>
      <c r="BA864" s="163"/>
      <c r="BB864" s="163"/>
      <c r="BC864" s="207"/>
      <c r="BD864" s="163"/>
      <c r="BE864" s="163"/>
      <c r="BF864" s="163"/>
      <c r="BG864" s="207"/>
    </row>
    <row r="865" spans="47:59" x14ac:dyDescent="0.3">
      <c r="AX865" s="110"/>
      <c r="AY865" s="110"/>
      <c r="AZ865" s="163"/>
      <c r="BA865" s="163"/>
      <c r="BB865" s="163"/>
      <c r="BC865" s="207"/>
      <c r="BD865" s="163"/>
      <c r="BE865" s="163"/>
      <c r="BF865" s="163"/>
      <c r="BG865" s="207"/>
    </row>
    <row r="866" spans="47:59" x14ac:dyDescent="0.3">
      <c r="AX866" s="110"/>
      <c r="AY866" s="110"/>
      <c r="AZ866" s="163"/>
      <c r="BA866" s="163"/>
      <c r="BB866" s="163"/>
      <c r="BC866" s="207"/>
      <c r="BD866" s="163"/>
      <c r="BE866" s="163"/>
      <c r="BF866" s="163"/>
      <c r="BG866" s="207"/>
    </row>
    <row r="867" spans="47:59" x14ac:dyDescent="0.3">
      <c r="AX867" s="110"/>
      <c r="AY867" s="110"/>
      <c r="AZ867" s="163"/>
      <c r="BA867" s="163"/>
      <c r="BB867" s="163"/>
      <c r="BC867" s="207"/>
      <c r="BD867" s="163"/>
      <c r="BE867" s="163"/>
      <c r="BF867" s="163"/>
      <c r="BG867" s="207"/>
    </row>
    <row r="868" spans="47:59" x14ac:dyDescent="0.3">
      <c r="AX868" s="110"/>
      <c r="AY868" s="110"/>
      <c r="AZ868" s="163"/>
      <c r="BA868" s="163"/>
      <c r="BB868" s="163"/>
      <c r="BC868" s="207"/>
      <c r="BD868" s="163"/>
      <c r="BE868" s="163"/>
      <c r="BF868" s="163"/>
      <c r="BG868" s="207"/>
    </row>
    <row r="869" spans="47:59" x14ac:dyDescent="0.3">
      <c r="AX869" s="110"/>
      <c r="AY869" s="110"/>
      <c r="AZ869" s="163"/>
      <c r="BA869" s="163"/>
      <c r="BB869" s="163"/>
      <c r="BC869" s="207"/>
      <c r="BD869" s="163"/>
      <c r="BE869" s="163"/>
      <c r="BF869" s="163"/>
      <c r="BG869" s="207"/>
    </row>
    <row r="870" spans="47:59" x14ac:dyDescent="0.3">
      <c r="AX870" s="110"/>
      <c r="AY870" s="110"/>
      <c r="AZ870" s="163"/>
      <c r="BA870" s="163"/>
      <c r="BB870" s="163"/>
      <c r="BC870" s="207"/>
      <c r="BD870" s="163"/>
      <c r="BE870" s="163"/>
      <c r="BF870" s="163"/>
      <c r="BG870" s="207"/>
    </row>
    <row r="871" spans="47:59" x14ac:dyDescent="0.3">
      <c r="BD871" s="163"/>
    </row>
    <row r="872" spans="47:59" x14ac:dyDescent="0.3">
      <c r="AW872" s="99"/>
      <c r="BD872" s="163"/>
    </row>
    <row r="873" spans="47:59" x14ac:dyDescent="0.3">
      <c r="AW873" s="99"/>
    </row>
    <row r="874" spans="47:59" x14ac:dyDescent="0.3">
      <c r="AW874" s="99"/>
      <c r="BD874" s="163"/>
    </row>
    <row r="875" spans="47:59" x14ac:dyDescent="0.3">
      <c r="AU875" s="99"/>
      <c r="BB875" s="163"/>
      <c r="BD875" s="163"/>
    </row>
    <row r="876" spans="47:59" x14ac:dyDescent="0.3">
      <c r="BB876" s="163"/>
      <c r="BD876" s="163"/>
    </row>
    <row r="877" spans="47:59" x14ac:dyDescent="0.3">
      <c r="BA877" s="163"/>
      <c r="BB877" s="163"/>
      <c r="BD877" s="163"/>
    </row>
    <row r="878" spans="47:59" x14ac:dyDescent="0.3">
      <c r="BA878" s="99"/>
      <c r="BB878" s="163"/>
      <c r="BD878" s="163"/>
    </row>
    <row r="879" spans="47:59" x14ac:dyDescent="0.3">
      <c r="BA879" s="99"/>
      <c r="BB879" s="163"/>
      <c r="BD879" s="163"/>
    </row>
    <row r="880" spans="47:59" x14ac:dyDescent="0.3">
      <c r="BB880" s="163"/>
      <c r="BD880" s="163"/>
      <c r="BF880" s="99"/>
    </row>
    <row r="881" spans="47:59" x14ac:dyDescent="0.3">
      <c r="BB881" s="163"/>
      <c r="BD881" s="163"/>
      <c r="BF881" s="99"/>
    </row>
    <row r="882" spans="47:59" x14ac:dyDescent="0.3">
      <c r="AU882" s="99"/>
      <c r="BB882" s="163"/>
      <c r="BD882" s="163"/>
      <c r="BF882" s="99"/>
    </row>
    <row r="883" spans="47:59" x14ac:dyDescent="0.3">
      <c r="BB883" s="163"/>
      <c r="BD883" s="163"/>
    </row>
    <row r="884" spans="47:59" x14ac:dyDescent="0.3">
      <c r="AU884" s="101"/>
      <c r="AV884" s="101"/>
      <c r="AW884" s="101"/>
      <c r="AX884" s="101"/>
      <c r="AY884" s="101"/>
      <c r="AZ884" s="101"/>
      <c r="BA884" s="101"/>
      <c r="BB884" s="212"/>
      <c r="BC884" s="101"/>
      <c r="BD884" s="212"/>
      <c r="BE884" s="101"/>
      <c r="BF884" s="101"/>
      <c r="BG884" s="101"/>
    </row>
    <row r="885" spans="47:59" x14ac:dyDescent="0.3">
      <c r="AZ885" s="99"/>
      <c r="BB885" s="163"/>
      <c r="BD885" s="163"/>
    </row>
    <row r="886" spans="47:59" x14ac:dyDescent="0.3">
      <c r="AZ886" s="101"/>
      <c r="BA886" s="101"/>
      <c r="BB886" s="212"/>
      <c r="BC886" s="101"/>
      <c r="BD886" s="163"/>
      <c r="BE886" s="102"/>
      <c r="BF886" s="102"/>
    </row>
    <row r="887" spans="47:59" x14ac:dyDescent="0.3">
      <c r="AX887" s="102"/>
      <c r="AY887" s="102"/>
      <c r="BB887" s="213"/>
      <c r="BC887" s="102"/>
      <c r="BD887" s="163"/>
      <c r="BE887" s="102"/>
      <c r="BF887" s="102"/>
      <c r="BG887" s="102"/>
    </row>
    <row r="888" spans="47:59" x14ac:dyDescent="0.3">
      <c r="AX888" s="102"/>
      <c r="AY888" s="102"/>
      <c r="AZ888" s="102"/>
      <c r="BA888" s="102"/>
      <c r="BB888" s="213"/>
      <c r="BC888" s="102"/>
      <c r="BD888" s="213"/>
      <c r="BE888" s="102"/>
      <c r="BF888" s="102"/>
      <c r="BG888" s="102"/>
    </row>
    <row r="889" spans="47:59" x14ac:dyDescent="0.3">
      <c r="AU889" s="102"/>
      <c r="AW889" s="99"/>
      <c r="AX889" s="102"/>
      <c r="AY889" s="102"/>
      <c r="AZ889" s="102"/>
      <c r="BA889" s="102"/>
      <c r="BB889" s="213"/>
      <c r="BC889" s="102"/>
      <c r="BD889" s="213"/>
      <c r="BE889" s="102"/>
      <c r="BF889" s="102"/>
      <c r="BG889" s="102"/>
    </row>
    <row r="890" spans="47:59" x14ac:dyDescent="0.3">
      <c r="AU890" s="102"/>
      <c r="AW890" s="99"/>
      <c r="AX890" s="102"/>
      <c r="AY890" s="102"/>
      <c r="AZ890" s="102"/>
      <c r="BA890" s="102"/>
      <c r="BB890" s="213"/>
      <c r="BC890" s="102"/>
      <c r="BD890" s="213"/>
      <c r="BE890" s="102"/>
      <c r="BF890" s="102"/>
      <c r="BG890" s="102"/>
    </row>
    <row r="891" spans="47:59" x14ac:dyDescent="0.3">
      <c r="AU891" s="101"/>
      <c r="AV891" s="101"/>
      <c r="AW891" s="101"/>
      <c r="AX891" s="101"/>
      <c r="AY891" s="101"/>
      <c r="AZ891" s="101"/>
      <c r="BA891" s="101"/>
      <c r="BB891" s="212"/>
      <c r="BC891" s="101"/>
      <c r="BD891" s="212"/>
      <c r="BE891" s="101"/>
      <c r="BF891" s="101"/>
      <c r="BG891" s="101"/>
    </row>
    <row r="892" spans="47:59" x14ac:dyDescent="0.3">
      <c r="AX892" s="102"/>
      <c r="AY892" s="102"/>
      <c r="AZ892" s="102"/>
      <c r="BA892" s="102"/>
      <c r="BB892" s="213"/>
      <c r="BC892" s="102"/>
      <c r="BD892" s="213"/>
      <c r="BE892" s="102"/>
      <c r="BF892" s="102"/>
      <c r="BG892" s="102"/>
    </row>
    <row r="893" spans="47:59" x14ac:dyDescent="0.3">
      <c r="AV893" s="99"/>
      <c r="AX893" s="110"/>
      <c r="AY893" s="110"/>
      <c r="AZ893" s="163"/>
      <c r="BA893" s="163"/>
      <c r="BB893" s="163"/>
      <c r="BC893" s="207"/>
      <c r="BD893" s="163"/>
      <c r="BE893" s="163"/>
      <c r="BF893" s="163"/>
      <c r="BG893" s="207"/>
    </row>
    <row r="894" spans="47:59" x14ac:dyDescent="0.3">
      <c r="AX894" s="110"/>
      <c r="AY894" s="110"/>
      <c r="AZ894" s="163"/>
      <c r="BA894" s="163"/>
      <c r="BB894" s="163"/>
      <c r="BC894" s="207"/>
      <c r="BD894" s="163"/>
      <c r="BE894" s="163"/>
      <c r="BF894" s="163"/>
      <c r="BG894" s="207"/>
    </row>
    <row r="895" spans="47:59" x14ac:dyDescent="0.3">
      <c r="AX895" s="110"/>
      <c r="AY895" s="110"/>
      <c r="AZ895" s="163"/>
      <c r="BA895" s="163"/>
      <c r="BB895" s="163"/>
      <c r="BC895" s="207"/>
      <c r="BD895" s="163"/>
      <c r="BE895" s="163"/>
      <c r="BF895" s="163"/>
      <c r="BG895" s="207"/>
    </row>
    <row r="896" spans="47:59" x14ac:dyDescent="0.3">
      <c r="AX896" s="110"/>
      <c r="AY896" s="110"/>
      <c r="AZ896" s="163"/>
      <c r="BA896" s="163"/>
      <c r="BB896" s="163"/>
      <c r="BC896" s="207"/>
      <c r="BD896" s="163"/>
      <c r="BE896" s="163"/>
      <c r="BF896" s="163"/>
      <c r="BG896" s="207"/>
    </row>
    <row r="897" spans="48:59" x14ac:dyDescent="0.3">
      <c r="AX897" s="110"/>
      <c r="AY897" s="110"/>
      <c r="AZ897" s="163"/>
      <c r="BA897" s="163"/>
      <c r="BB897" s="163"/>
      <c r="BC897" s="207"/>
      <c r="BD897" s="163"/>
      <c r="BE897" s="163"/>
      <c r="BF897" s="163"/>
      <c r="BG897" s="207"/>
    </row>
    <row r="898" spans="48:59" x14ac:dyDescent="0.3">
      <c r="AX898" s="110"/>
      <c r="AY898" s="110"/>
      <c r="AZ898" s="163"/>
      <c r="BA898" s="163"/>
      <c r="BB898" s="163"/>
      <c r="BC898" s="207"/>
      <c r="BD898" s="163"/>
      <c r="BE898" s="163"/>
      <c r="BF898" s="163"/>
      <c r="BG898" s="207"/>
    </row>
    <row r="899" spans="48:59" x14ac:dyDescent="0.3">
      <c r="AX899" s="110"/>
      <c r="AY899" s="110"/>
      <c r="AZ899" s="163"/>
      <c r="BA899" s="163"/>
      <c r="BB899" s="163"/>
      <c r="BC899" s="207"/>
      <c r="BD899" s="163"/>
      <c r="BE899" s="163"/>
      <c r="BF899" s="163"/>
      <c r="BG899" s="207"/>
    </row>
    <row r="900" spans="48:59" x14ac:dyDescent="0.3">
      <c r="AX900" s="110"/>
      <c r="AY900" s="110"/>
      <c r="AZ900" s="163"/>
      <c r="BA900" s="163"/>
      <c r="BB900" s="163"/>
      <c r="BC900" s="207"/>
      <c r="BD900" s="163"/>
      <c r="BE900" s="163"/>
      <c r="BF900" s="163"/>
      <c r="BG900" s="207"/>
    </row>
    <row r="901" spans="48:59" x14ac:dyDescent="0.3">
      <c r="AX901" s="110"/>
      <c r="AY901" s="110"/>
      <c r="AZ901" s="163"/>
      <c r="BA901" s="163"/>
      <c r="BB901" s="163"/>
      <c r="BC901" s="207"/>
      <c r="BD901" s="163"/>
      <c r="BE901" s="163"/>
      <c r="BF901" s="163"/>
      <c r="BG901" s="207"/>
    </row>
    <row r="902" spans="48:59" x14ac:dyDescent="0.3">
      <c r="AX902" s="110"/>
      <c r="AY902" s="110"/>
      <c r="AZ902" s="163"/>
      <c r="BA902" s="163"/>
      <c r="BB902" s="163"/>
      <c r="BC902" s="207"/>
      <c r="BD902" s="163"/>
      <c r="BE902" s="163"/>
      <c r="BF902" s="163"/>
      <c r="BG902" s="207"/>
    </row>
    <row r="903" spans="48:59" x14ac:dyDescent="0.3">
      <c r="AX903" s="110"/>
      <c r="AY903" s="110"/>
      <c r="BD903" s="163"/>
    </row>
    <row r="904" spans="48:59" x14ac:dyDescent="0.3">
      <c r="AV904" s="99"/>
      <c r="AX904" s="110"/>
      <c r="AY904" s="110"/>
      <c r="AZ904" s="163"/>
      <c r="BA904" s="163"/>
      <c r="BB904" s="163"/>
      <c r="BC904" s="207"/>
      <c r="BD904" s="163"/>
      <c r="BE904" s="163"/>
      <c r="BF904" s="163"/>
      <c r="BG904" s="207"/>
    </row>
    <row r="905" spans="48:59" x14ac:dyDescent="0.3">
      <c r="AX905" s="110"/>
      <c r="AY905" s="110"/>
      <c r="AZ905" s="163"/>
      <c r="BA905" s="163"/>
      <c r="BB905" s="163"/>
      <c r="BC905" s="207"/>
      <c r="BD905" s="163"/>
      <c r="BE905" s="163"/>
      <c r="BF905" s="163"/>
      <c r="BG905" s="207"/>
    </row>
    <row r="906" spans="48:59" x14ac:dyDescent="0.3">
      <c r="AX906" s="110"/>
      <c r="AY906" s="110"/>
      <c r="AZ906" s="163"/>
      <c r="BA906" s="163"/>
      <c r="BB906" s="163"/>
      <c r="BC906" s="207"/>
      <c r="BD906" s="163"/>
      <c r="BE906" s="163"/>
      <c r="BF906" s="163"/>
      <c r="BG906" s="207"/>
    </row>
    <row r="907" spans="48:59" x14ac:dyDescent="0.3">
      <c r="AX907" s="110"/>
      <c r="AY907" s="110"/>
      <c r="AZ907" s="163"/>
      <c r="BA907" s="163"/>
      <c r="BB907" s="163"/>
      <c r="BC907" s="207"/>
      <c r="BD907" s="163"/>
      <c r="BE907" s="163"/>
      <c r="BF907" s="163"/>
      <c r="BG907" s="207"/>
    </row>
    <row r="908" spans="48:59" x14ac:dyDescent="0.3">
      <c r="AX908" s="110"/>
      <c r="AY908" s="110"/>
      <c r="AZ908" s="163"/>
      <c r="BA908" s="163"/>
      <c r="BB908" s="163"/>
      <c r="BC908" s="207"/>
      <c r="BD908" s="163"/>
      <c r="BE908" s="163"/>
      <c r="BF908" s="163"/>
      <c r="BG908" s="207"/>
    </row>
    <row r="909" spans="48:59" x14ac:dyDescent="0.3">
      <c r="AX909" s="110"/>
      <c r="AY909" s="110"/>
      <c r="AZ909" s="163"/>
      <c r="BA909" s="163"/>
      <c r="BB909" s="163"/>
      <c r="BC909" s="207"/>
      <c r="BD909" s="163"/>
      <c r="BE909" s="163"/>
      <c r="BF909" s="163"/>
      <c r="BG909" s="207"/>
    </row>
    <row r="910" spans="48:59" x14ac:dyDescent="0.3">
      <c r="AX910" s="110"/>
      <c r="AY910" s="110"/>
      <c r="AZ910" s="163"/>
      <c r="BA910" s="163"/>
      <c r="BB910" s="163"/>
      <c r="BC910" s="207"/>
      <c r="BD910" s="163"/>
      <c r="BE910" s="163"/>
      <c r="BF910" s="163"/>
      <c r="BG910" s="207"/>
    </row>
    <row r="911" spans="48:59" x14ac:dyDescent="0.3">
      <c r="AX911" s="110"/>
      <c r="AY911" s="110"/>
      <c r="AZ911" s="163"/>
      <c r="BA911" s="163"/>
      <c r="BB911" s="163"/>
      <c r="BC911" s="207"/>
      <c r="BD911" s="163"/>
      <c r="BE911" s="163"/>
      <c r="BF911" s="163"/>
      <c r="BG911" s="207"/>
    </row>
    <row r="912" spans="48:59" x14ac:dyDescent="0.3">
      <c r="AX912" s="110"/>
      <c r="AY912" s="110"/>
      <c r="AZ912" s="163"/>
      <c r="BA912" s="163"/>
      <c r="BB912" s="163"/>
      <c r="BC912" s="207"/>
      <c r="BD912" s="163"/>
      <c r="BE912" s="163"/>
      <c r="BF912" s="163"/>
      <c r="BG912" s="207"/>
    </row>
    <row r="913" spans="47:59" x14ac:dyDescent="0.3">
      <c r="AX913" s="110"/>
      <c r="AY913" s="110"/>
      <c r="AZ913" s="163"/>
      <c r="BA913" s="163"/>
      <c r="BB913" s="163"/>
      <c r="BC913" s="207"/>
      <c r="BD913" s="163"/>
      <c r="BE913" s="163"/>
      <c r="BF913" s="163"/>
      <c r="BG913" s="207"/>
    </row>
    <row r="915" spans="47:59" x14ac:dyDescent="0.3">
      <c r="AW915" s="99"/>
    </row>
    <row r="916" spans="47:59" x14ac:dyDescent="0.3">
      <c r="AW916" s="99"/>
    </row>
    <row r="917" spans="47:59" x14ac:dyDescent="0.3">
      <c r="AW917" s="99"/>
    </row>
    <row r="918" spans="47:59" x14ac:dyDescent="0.3">
      <c r="AU918" s="99"/>
    </row>
    <row r="939" spans="54:73" x14ac:dyDescent="0.3">
      <c r="BB939" s="163"/>
      <c r="BD939" s="163"/>
      <c r="BE939" s="163"/>
      <c r="BF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  <c r="BT939" s="163"/>
      <c r="BU939" s="163"/>
    </row>
    <row r="940" spans="54:73" x14ac:dyDescent="0.3">
      <c r="BB940" s="163"/>
      <c r="BD940" s="163"/>
      <c r="BE940" s="163"/>
      <c r="BF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  <c r="BT940" s="163"/>
      <c r="BU940" s="163"/>
    </row>
    <row r="941" spans="54:73" x14ac:dyDescent="0.3">
      <c r="BB941" s="163"/>
      <c r="BD941" s="163"/>
      <c r="BE941" s="163"/>
      <c r="BF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  <c r="BT941" s="163"/>
      <c r="BU941" s="163"/>
    </row>
    <row r="942" spans="54:73" x14ac:dyDescent="0.3">
      <c r="BB942" s="163"/>
      <c r="BD942" s="163"/>
      <c r="BE942" s="163"/>
      <c r="BF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  <c r="BT942" s="163"/>
      <c r="BU942" s="163"/>
    </row>
    <row r="943" spans="54:73" x14ac:dyDescent="0.3">
      <c r="BB943" s="163"/>
      <c r="BD943" s="163"/>
      <c r="BE943" s="163"/>
      <c r="BF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  <c r="BT943" s="163"/>
      <c r="BU943" s="163"/>
    </row>
    <row r="944" spans="54:73" x14ac:dyDescent="0.3">
      <c r="BB944" s="163"/>
      <c r="BD944" s="163"/>
      <c r="BE944" s="163"/>
      <c r="BF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  <c r="BT944" s="163"/>
      <c r="BU944" s="163"/>
    </row>
    <row r="945" spans="54:73" x14ac:dyDescent="0.3">
      <c r="BB945" s="163"/>
      <c r="BD945" s="163"/>
      <c r="BE945" s="163"/>
      <c r="BF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  <c r="BT945" s="163"/>
      <c r="BU945" s="163"/>
    </row>
    <row r="946" spans="54:73" x14ac:dyDescent="0.3">
      <c r="BB946" s="163"/>
      <c r="BD946" s="163"/>
      <c r="BE946" s="163"/>
      <c r="BF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  <c r="BT946" s="163"/>
      <c r="BU946" s="163"/>
    </row>
    <row r="947" spans="54:73" x14ac:dyDescent="0.3">
      <c r="BB947" s="163"/>
      <c r="BD947" s="163"/>
      <c r="BE947" s="163"/>
      <c r="BF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  <c r="BT947" s="163"/>
      <c r="BU947" s="163"/>
    </row>
    <row r="948" spans="54:73" x14ac:dyDescent="0.3">
      <c r="BB948" s="163"/>
      <c r="BD948" s="163"/>
      <c r="BE948" s="163"/>
      <c r="BF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  <c r="BT948" s="163"/>
      <c r="BU948" s="163"/>
    </row>
    <row r="949" spans="54:73" x14ac:dyDescent="0.3">
      <c r="BB949" s="163"/>
      <c r="BD949" s="163"/>
      <c r="BE949" s="163"/>
      <c r="BF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  <c r="BT949" s="163"/>
      <c r="BU949" s="163"/>
    </row>
    <row r="950" spans="54:73" x14ac:dyDescent="0.3">
      <c r="BB950" s="163"/>
      <c r="BD950" s="163"/>
      <c r="BE950" s="163"/>
      <c r="BF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  <c r="BT950" s="163"/>
      <c r="BU950" s="163"/>
    </row>
    <row r="951" spans="54:73" x14ac:dyDescent="0.3">
      <c r="BB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  <c r="BT951" s="163"/>
      <c r="BU951" s="163"/>
    </row>
    <row r="952" spans="54:73" x14ac:dyDescent="0.3">
      <c r="BB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  <c r="BT952" s="163"/>
      <c r="BU952" s="163"/>
    </row>
    <row r="953" spans="54:73" x14ac:dyDescent="0.3">
      <c r="BB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  <c r="BT953" s="163"/>
      <c r="BU953" s="163"/>
    </row>
    <row r="954" spans="54:73" x14ac:dyDescent="0.3">
      <c r="BB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  <c r="BT954" s="163"/>
      <c r="BU954" s="163"/>
    </row>
    <row r="955" spans="54:73" x14ac:dyDescent="0.3">
      <c r="BB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  <c r="BT955" s="163"/>
      <c r="BU955" s="163"/>
    </row>
    <row r="956" spans="54:73" x14ac:dyDescent="0.3">
      <c r="BB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  <c r="BT956" s="163"/>
      <c r="BU956" s="163"/>
    </row>
    <row r="957" spans="54:73" x14ac:dyDescent="0.3">
      <c r="BB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  <c r="BT957" s="163"/>
      <c r="BU957" s="163"/>
    </row>
    <row r="958" spans="54:73" x14ac:dyDescent="0.3">
      <c r="BB958" s="163"/>
    </row>
    <row r="959" spans="54:73" x14ac:dyDescent="0.3">
      <c r="BB959" s="163"/>
    </row>
    <row r="973" spans="1:27" x14ac:dyDescent="0.3">
      <c r="A973" s="99"/>
    </row>
    <row r="976" spans="1:27" x14ac:dyDescent="0.3">
      <c r="AA976" s="99"/>
    </row>
    <row r="977" spans="1:30" x14ac:dyDescent="0.3">
      <c r="A977" s="99"/>
      <c r="H977" s="99"/>
      <c r="I977" s="99"/>
    </row>
    <row r="978" spans="1:30" x14ac:dyDescent="0.3">
      <c r="A978" s="99"/>
      <c r="V978" s="102"/>
      <c r="AC978" s="102"/>
      <c r="AD978" s="102"/>
    </row>
    <row r="979" spans="1:30" x14ac:dyDescent="0.3">
      <c r="A979" s="99"/>
      <c r="V979" s="101"/>
      <c r="AC979" s="101"/>
      <c r="AD979" s="101"/>
    </row>
    <row r="980" spans="1:30" x14ac:dyDescent="0.3">
      <c r="A980" s="99"/>
      <c r="U980" s="99"/>
      <c r="AC980" s="102"/>
      <c r="AD980" s="102"/>
    </row>
    <row r="981" spans="1:30" x14ac:dyDescent="0.3">
      <c r="A981" s="99"/>
    </row>
    <row r="982" spans="1:30" x14ac:dyDescent="0.3">
      <c r="A982" s="99"/>
      <c r="U982" s="99"/>
      <c r="AC982" s="102"/>
      <c r="AD982" s="102"/>
    </row>
    <row r="983" spans="1:30" x14ac:dyDescent="0.3">
      <c r="A983" s="99"/>
    </row>
    <row r="984" spans="1:30" x14ac:dyDescent="0.3">
      <c r="A984" s="99"/>
      <c r="U984" s="99"/>
      <c r="V984" s="231"/>
      <c r="AC984" s="102"/>
      <c r="AD984" s="102"/>
    </row>
    <row r="985" spans="1:30" x14ac:dyDescent="0.3">
      <c r="A985" s="99"/>
    </row>
    <row r="986" spans="1:30" x14ac:dyDescent="0.3">
      <c r="A986" s="99"/>
      <c r="U986" s="99"/>
      <c r="AC986" s="102"/>
      <c r="AD986" s="102"/>
    </row>
    <row r="987" spans="1:30" x14ac:dyDescent="0.3">
      <c r="A987" s="99"/>
    </row>
    <row r="988" spans="1:30" x14ac:dyDescent="0.3">
      <c r="A988" s="99"/>
      <c r="U988" s="99"/>
      <c r="AC988" s="102"/>
      <c r="AD988" s="102"/>
    </row>
    <row r="989" spans="1:30" x14ac:dyDescent="0.3">
      <c r="A989" s="99"/>
    </row>
    <row r="990" spans="1:30" x14ac:dyDescent="0.3">
      <c r="A990" s="99"/>
    </row>
    <row r="991" spans="1:30" x14ac:dyDescent="0.3">
      <c r="A991" s="99"/>
    </row>
    <row r="992" spans="1:30" x14ac:dyDescent="0.3">
      <c r="A992" s="99"/>
    </row>
    <row r="993" spans="1:9" x14ac:dyDescent="0.3">
      <c r="A993" s="99"/>
    </row>
    <row r="994" spans="1:9" x14ac:dyDescent="0.3">
      <c r="A994" s="99"/>
    </row>
    <row r="995" spans="1:9" x14ac:dyDescent="0.3">
      <c r="A995" s="99"/>
    </row>
    <row r="996" spans="1:9" x14ac:dyDescent="0.3">
      <c r="A996" s="99"/>
    </row>
    <row r="997" spans="1:9" x14ac:dyDescent="0.3">
      <c r="A997" s="99"/>
    </row>
    <row r="998" spans="1:9" x14ac:dyDescent="0.3">
      <c r="A998" s="99"/>
    </row>
    <row r="999" spans="1:9" x14ac:dyDescent="0.3">
      <c r="A999" s="99"/>
      <c r="H999" s="99"/>
      <c r="I999" s="99"/>
    </row>
    <row r="1002" spans="1:9" x14ac:dyDescent="0.3">
      <c r="A1002" s="99"/>
    </row>
    <row r="1005" spans="1:9" x14ac:dyDescent="0.3">
      <c r="A1005" s="99"/>
    </row>
    <row r="1008" spans="1:9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1" spans="1:1" x14ac:dyDescent="0.3">
      <c r="A1021" s="99"/>
    </row>
    <row r="1022" spans="1:1" x14ac:dyDescent="0.3">
      <c r="A1022" s="99"/>
    </row>
    <row r="1023" spans="1:1" x14ac:dyDescent="0.3">
      <c r="A1023" s="99"/>
    </row>
    <row r="1024" spans="1:1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28" spans="1:1" x14ac:dyDescent="0.3">
      <c r="A1028" s="99"/>
    </row>
    <row r="1029" spans="1:1" x14ac:dyDescent="0.3">
      <c r="A1029" s="99"/>
    </row>
    <row r="1030" spans="1:1" x14ac:dyDescent="0.3">
      <c r="A1030" s="99"/>
    </row>
    <row r="1031" spans="1:1" x14ac:dyDescent="0.3">
      <c r="A1031" s="99"/>
    </row>
    <row r="1032" spans="1:1" x14ac:dyDescent="0.3">
      <c r="A1032" s="99"/>
    </row>
    <row r="1033" spans="1:1" x14ac:dyDescent="0.3">
      <c r="A1033" s="99"/>
    </row>
    <row r="1034" spans="1:1" x14ac:dyDescent="0.3">
      <c r="A1034" s="99"/>
    </row>
    <row r="1035" spans="1:1" x14ac:dyDescent="0.3">
      <c r="A1035" s="99"/>
    </row>
    <row r="1036" spans="1:1" x14ac:dyDescent="0.3">
      <c r="A1036" s="99"/>
    </row>
    <row r="1037" spans="1:1" x14ac:dyDescent="0.3">
      <c r="A1037" s="99"/>
    </row>
    <row r="1038" spans="1:1" x14ac:dyDescent="0.3">
      <c r="A1038" s="99"/>
    </row>
    <row r="1039" spans="1:1" x14ac:dyDescent="0.3">
      <c r="A1039" s="99"/>
    </row>
    <row r="1040" spans="1:1" x14ac:dyDescent="0.3">
      <c r="A1040" s="99"/>
    </row>
    <row r="1041" spans="1:1" x14ac:dyDescent="0.3">
      <c r="A1041" s="99"/>
    </row>
    <row r="1042" spans="1:1" x14ac:dyDescent="0.3">
      <c r="A1042" s="99"/>
    </row>
    <row r="1047" spans="1:1" x14ac:dyDescent="0.3">
      <c r="A1047" s="99"/>
    </row>
    <row r="1048" spans="1:1" x14ac:dyDescent="0.3">
      <c r="A1048" s="99"/>
    </row>
    <row r="1051" spans="1:1" x14ac:dyDescent="0.3">
      <c r="A1051" s="99"/>
    </row>
    <row r="1053" spans="1:1" x14ac:dyDescent="0.3">
      <c r="A1053" s="99"/>
    </row>
    <row r="1055" spans="1:1" x14ac:dyDescent="0.3">
      <c r="A1055" s="99"/>
    </row>
    <row r="1057" spans="1:1" x14ac:dyDescent="0.3">
      <c r="A1057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  <row r="1064" spans="1:1" x14ac:dyDescent="0.3">
      <c r="A1064" s="99"/>
    </row>
    <row r="1065" spans="1:1" x14ac:dyDescent="0.3">
      <c r="A1065" s="99"/>
    </row>
    <row r="1066" spans="1:1" x14ac:dyDescent="0.3">
      <c r="A1066" s="99"/>
    </row>
    <row r="1067" spans="1:1" x14ac:dyDescent="0.3">
      <c r="A1067" s="99"/>
    </row>
  </sheetData>
  <customSheetViews>
    <customSheetView guid="{F562D92E-120C-4AE9-9663-89E64D41DC53}" scale="75" fitToPage="1" topLeftCell="X187">
      <selection activeCell="P146" sqref="P14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1"/>
      <headerFooter alignWithMargins="0"/>
    </customSheetView>
    <customSheetView guid="{35F19056-2E6F-4935-B863-78836FE990BF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2"/>
      <headerFooter alignWithMargins="0"/>
    </customSheetView>
    <customSheetView guid="{18BDED73-BFA0-442E-87EC-CED86EE4CF94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3"/>
      <headerFooter alignWithMargins="0"/>
    </customSheetView>
    <customSheetView guid="{0BC1F393-8A13-47D5-BC6C-0C99615B5AB9}" scale="75" fitToPage="1" showRuler="0" topLeftCell="A117">
      <selection activeCell="P104" sqref="P10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5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5"/>
      <headerFooter alignWithMargins="0"/>
    </customSheetView>
    <customSheetView guid="{8FB94551-8874-4095-B8FB-5316E0D2FD2C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6"/>
      <headerFooter alignWithMargins="0"/>
    </customSheetView>
    <customSheetView guid="{8FC77C99-DBF7-40B8-99B8-01B75826CDCB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7"/>
      <headerFooter alignWithMargins="0"/>
    </customSheetView>
    <customSheetView guid="{2EA35095-1ADC-4CC7-8C3C-B487D65FA247}" scale="75" fitToPage="1" showRuler="0" topLeftCell="T228">
      <selection activeCell="T228" sqref="T228:AQ310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8"/>
      <headerFooter alignWithMargins="0"/>
    </customSheetView>
    <customSheetView guid="{2431C9E5-7CC2-4B8D-99C3-962247B1DBF5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9"/>
      <headerFooter alignWithMargins="0"/>
    </customSheetView>
    <customSheetView guid="{4BC93440-BA85-4935-A8C9-66DC6AE5DE5E}" scale="75" fitToPage="1" showRuler="0" topLeftCell="T268">
      <selection activeCell="AC284" sqref="AC284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1" orientation="landscape" r:id="rId10"/>
      <headerFooter alignWithMargins="0"/>
    </customSheetView>
    <customSheetView guid="{0C49E549-011E-46F4-A82E-2CC8951A9C1E}" scale="75" fitToPage="1" showRuler="0" topLeftCell="S1">
      <selection activeCell="AE16" sqref="AE16"/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1"/>
      <headerFooter alignWithMargins="0"/>
    </customSheetView>
    <customSheetView guid="{195DF303-1BBD-4236-94B5-47432850B006}" scale="75" fitToPage="1" showRuler="0">
      <rowBreaks count="2" manualBreakCount="2">
        <brk id="70" max="17" man="1"/>
        <brk id="88" max="17" man="1"/>
      </rowBreaks>
      <pageMargins left="0.5" right="0.5" top="0.5" bottom="0.5" header="0" footer="0"/>
      <printOptions horizontalCentered="1"/>
      <pageSetup scale="46" orientation="landscape" r:id="rId12"/>
      <headerFooter alignWithMargins="0"/>
    </customSheetView>
  </customSheetViews>
  <mergeCells count="2">
    <mergeCell ref="T155:AQ155"/>
    <mergeCell ref="T224:AQ224"/>
  </mergeCells>
  <phoneticPr fontId="11" type="noConversion"/>
  <printOptions horizontalCentered="1"/>
  <pageMargins left="0.5" right="0.5" top="1" bottom="0.5" header="0" footer="0"/>
  <pageSetup scale="40" orientation="landscape" r:id="rId13"/>
  <headerFooter alignWithMargins="0"/>
  <rowBreaks count="2" manualBreakCount="2">
    <brk id="69" max="17" man="1"/>
    <brk id="91" max="1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syncVertical="1" syncRef="A1" transitionEvaluation="1" transitionEntry="1" codeName="Sheet15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8.9140625" style="98" customWidth="1"/>
    <col min="5" max="5" width="1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2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7" style="98" customWidth="1"/>
    <col min="19" max="19" width="6.75" style="98" customWidth="1"/>
    <col min="20" max="20" width="9.6640625" style="98" customWidth="1"/>
    <col min="21" max="21" width="0.58203125" style="98" customWidth="1"/>
    <col min="22" max="22" width="4.58203125" style="98" customWidth="1"/>
    <col min="23" max="23" width="43.33203125" style="98" customWidth="1"/>
    <col min="24" max="24" width="0.9140625" style="98" customWidth="1"/>
    <col min="25" max="25" width="10.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1.66406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15 OF "&amp;TEXT(Page_Num_2.3,"00")</f>
        <v>PAGE 15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34" t="str">
        <f>TIME</f>
        <v>6 Months Actual and 6 Months Projected with Riders</v>
      </c>
      <c r="N9" s="99"/>
      <c r="R9" s="98" t="str">
        <f>WIT</f>
        <v>B. L. Sailers</v>
      </c>
      <c r="Y9" s="102"/>
      <c r="AK9" s="190"/>
      <c r="AL9" s="99"/>
    </row>
    <row r="10" spans="1:40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Y10" s="102"/>
      <c r="AA10" s="99"/>
      <c r="AB10" s="99"/>
    </row>
    <row r="11" spans="1:40" x14ac:dyDescent="0.3">
      <c r="A11" s="101"/>
      <c r="B11" s="101"/>
      <c r="C11" s="101"/>
      <c r="D11" s="101"/>
      <c r="E11" s="101"/>
      <c r="F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S11" s="101"/>
      <c r="T11" s="101"/>
      <c r="U11" s="101"/>
      <c r="V11" s="101"/>
      <c r="W11" s="101"/>
      <c r="X11" s="101"/>
      <c r="Y11" s="102"/>
      <c r="Z11" s="101"/>
      <c r="AA11" s="101"/>
      <c r="AB11" s="101"/>
      <c r="AC11" s="101"/>
      <c r="AD11" s="101"/>
      <c r="AE11" s="101"/>
      <c r="AF11" s="101"/>
      <c r="AG11" s="191"/>
      <c r="AH11" s="101"/>
      <c r="AI11" s="101"/>
      <c r="AJ11" s="101"/>
      <c r="AK11" s="191"/>
      <c r="AL11" s="101"/>
      <c r="AM11" s="101"/>
      <c r="AN11" s="101"/>
    </row>
    <row r="12" spans="1:40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T12" s="192"/>
      <c r="AA12" s="102"/>
      <c r="AB12" s="102"/>
      <c r="AC12" s="102"/>
      <c r="AD12" s="102"/>
      <c r="AE12" s="102"/>
      <c r="AF12" s="102"/>
      <c r="AG12" s="151"/>
      <c r="AH12" s="102"/>
      <c r="AK12" s="151"/>
      <c r="AL12" s="102"/>
      <c r="AM12" s="102"/>
      <c r="AN12" s="102"/>
    </row>
    <row r="13" spans="1:40" x14ac:dyDescent="0.3">
      <c r="L13" s="102" t="s">
        <v>12</v>
      </c>
      <c r="M13" s="102"/>
      <c r="N13" s="102" t="s">
        <v>13</v>
      </c>
      <c r="O13" s="102"/>
      <c r="R13" s="102" t="s">
        <v>11</v>
      </c>
      <c r="T13" s="192"/>
      <c r="Z13" s="102"/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228"/>
      <c r="V14" s="102"/>
      <c r="Z14" s="102"/>
      <c r="AA14" s="102"/>
      <c r="AB14" s="102"/>
      <c r="AC14" s="102"/>
      <c r="AD14" s="102"/>
      <c r="AE14" s="102"/>
      <c r="AF14" s="102"/>
      <c r="AG14" s="151"/>
      <c r="AH14" s="102"/>
      <c r="AI14" s="102"/>
      <c r="AJ14" s="102"/>
      <c r="AK14" s="151"/>
      <c r="AL14" s="102"/>
      <c r="AM14" s="102"/>
      <c r="AN14" s="102"/>
    </row>
    <row r="15" spans="1:40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2" t="s">
        <v>27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228"/>
      <c r="V15" s="102"/>
      <c r="Y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T16" s="228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91"/>
      <c r="AH16" s="101"/>
      <c r="AI16" s="101"/>
      <c r="AJ16" s="101"/>
      <c r="AK16" s="191"/>
      <c r="AL16" s="101"/>
      <c r="AM16" s="101"/>
      <c r="AN16" s="101"/>
    </row>
    <row r="17" spans="1:43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312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T17" s="228"/>
      <c r="U17" s="97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3" x14ac:dyDescent="0.3">
      <c r="A18" s="98">
        <v>1</v>
      </c>
      <c r="C18" s="124" t="s">
        <v>81</v>
      </c>
      <c r="D18" s="124" t="s">
        <v>82</v>
      </c>
      <c r="E18" s="9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228"/>
      <c r="U18" s="99"/>
    </row>
    <row r="19" spans="1:43" x14ac:dyDescent="0.3">
      <c r="A19" s="98">
        <v>2</v>
      </c>
      <c r="C19" s="134"/>
      <c r="D19" s="124" t="s">
        <v>83</v>
      </c>
      <c r="E19" s="9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228"/>
      <c r="U19" s="97"/>
    </row>
    <row r="20" spans="1:43" x14ac:dyDescent="0.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228"/>
      <c r="U20" s="99"/>
    </row>
    <row r="21" spans="1:43" x14ac:dyDescent="0.3">
      <c r="A21" s="98">
        <v>3</v>
      </c>
      <c r="C21" s="124" t="s">
        <v>84</v>
      </c>
      <c r="D21" s="134"/>
      <c r="F21" s="106"/>
      <c r="G21" s="1"/>
      <c r="H21" s="1"/>
      <c r="I21" s="1"/>
      <c r="J21" s="245"/>
      <c r="K21" s="245"/>
      <c r="L21" s="106"/>
      <c r="M21" s="106"/>
      <c r="N21" s="1"/>
      <c r="O21" s="1"/>
      <c r="P21" s="1"/>
      <c r="Q21" s="1"/>
      <c r="R21" s="106"/>
      <c r="S21" s="110"/>
      <c r="V21" s="192"/>
      <c r="Y21" s="110"/>
      <c r="Z21" s="172"/>
      <c r="AA21" s="110"/>
      <c r="AB21" s="110"/>
      <c r="AC21" s="141"/>
      <c r="AD21" s="141"/>
      <c r="AE21" s="110"/>
      <c r="AF21" s="110"/>
      <c r="AI21" s="110"/>
      <c r="AJ21" s="110"/>
      <c r="AL21" s="110"/>
    </row>
    <row r="22" spans="1:43" x14ac:dyDescent="0.3">
      <c r="A22" s="98">
        <v>4</v>
      </c>
      <c r="C22" s="124" t="s">
        <v>373</v>
      </c>
      <c r="D22" s="134"/>
      <c r="F22" s="106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06"/>
      <c r="S22" s="110"/>
      <c r="V22" s="192"/>
      <c r="Y22" s="192"/>
      <c r="Z22" s="217"/>
      <c r="AA22" s="192"/>
      <c r="AB22" s="192"/>
      <c r="AC22" s="192"/>
      <c r="AD22" s="192"/>
      <c r="AE22" s="192"/>
      <c r="AF22" s="192"/>
      <c r="AI22" s="192"/>
      <c r="AJ22" s="192"/>
      <c r="AK22" s="194"/>
      <c r="AL22" s="192"/>
      <c r="AM22" s="141"/>
      <c r="AN22" s="141"/>
    </row>
    <row r="23" spans="1:43" x14ac:dyDescent="0.3"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10"/>
      <c r="V23" s="172"/>
      <c r="Y23" s="172"/>
      <c r="Z23" s="217"/>
      <c r="AA23" s="110"/>
      <c r="AB23" s="110"/>
      <c r="AC23" s="141"/>
      <c r="AD23" s="141"/>
      <c r="AE23" s="110"/>
      <c r="AF23" s="110"/>
      <c r="AI23" s="110"/>
      <c r="AJ23" s="110"/>
      <c r="AL23" s="110"/>
      <c r="AM23" s="141"/>
      <c r="AN23" s="141"/>
    </row>
    <row r="24" spans="1:43" x14ac:dyDescent="0.3">
      <c r="A24" s="98">
        <v>5</v>
      </c>
      <c r="C24" s="99" t="s">
        <v>85</v>
      </c>
      <c r="F24" s="172">
        <v>1560</v>
      </c>
      <c r="G24" s="1"/>
      <c r="H24" s="172">
        <f>'[11]Fixed SL'!$T$6</f>
        <v>1436827.8010000002</v>
      </c>
      <c r="I24" s="147"/>
      <c r="J24" s="189">
        <f>ROUND(AC62+(AC62*LT_COS_RATE),6)</f>
        <v>7.6809000000000002E-2</v>
      </c>
      <c r="K24" s="240"/>
      <c r="L24" s="106">
        <f>ROUND((H24*J24),0)</f>
        <v>110361</v>
      </c>
      <c r="M24" s="106"/>
      <c r="N24" s="175">
        <f>ROUND((L24/L$34)*100,1)</f>
        <v>96.6</v>
      </c>
      <c r="O24" s="175"/>
      <c r="P24" s="106">
        <f>ROUND($P$34/$H$34*H24,0)</f>
        <v>5011</v>
      </c>
      <c r="Q24" s="106"/>
      <c r="R24" s="106">
        <f>L24+P24</f>
        <v>115372</v>
      </c>
      <c r="S24" s="309"/>
      <c r="T24" s="1"/>
      <c r="V24" s="192"/>
      <c r="Y24" s="172"/>
      <c r="Z24" s="217"/>
      <c r="AA24" s="192"/>
      <c r="AB24" s="192"/>
      <c r="AC24" s="192"/>
      <c r="AD24" s="192"/>
      <c r="AE24" s="192"/>
      <c r="AF24" s="192"/>
      <c r="AI24" s="192"/>
      <c r="AJ24" s="192"/>
      <c r="AK24" s="194"/>
      <c r="AL24" s="192"/>
      <c r="AM24" s="141"/>
      <c r="AN24" s="141"/>
    </row>
    <row r="25" spans="1:43" x14ac:dyDescent="0.3">
      <c r="F25" s="106"/>
      <c r="G25" s="1"/>
      <c r="H25" s="106"/>
      <c r="I25" s="106"/>
      <c r="J25" s="218"/>
      <c r="K25" s="136"/>
      <c r="L25" s="106"/>
      <c r="M25" s="106"/>
      <c r="N25" s="1"/>
      <c r="O25" s="1"/>
      <c r="P25" s="106"/>
      <c r="Q25" s="106"/>
      <c r="R25" s="106"/>
      <c r="S25" s="110"/>
      <c r="T25" s="99"/>
      <c r="AA25" s="110"/>
      <c r="AB25" s="110"/>
      <c r="AC25" s="110"/>
      <c r="AD25" s="110"/>
      <c r="AI25" s="110"/>
      <c r="AJ25" s="110"/>
      <c r="AL25" s="110"/>
    </row>
    <row r="26" spans="1:43" x14ac:dyDescent="0.3">
      <c r="A26" s="98">
        <v>16</v>
      </c>
      <c r="C26" s="99"/>
      <c r="F26" s="183"/>
      <c r="G26" s="1"/>
      <c r="H26" s="183"/>
      <c r="I26" s="147"/>
      <c r="J26" s="189"/>
      <c r="K26" s="240"/>
      <c r="L26" s="117"/>
      <c r="M26" s="106"/>
      <c r="N26" s="236"/>
      <c r="O26" s="175"/>
      <c r="P26" s="117"/>
      <c r="Q26" s="106"/>
      <c r="R26" s="117"/>
      <c r="S26" s="309"/>
      <c r="T26" s="1"/>
      <c r="U26" s="97"/>
      <c r="V26" s="97"/>
      <c r="W26" s="97"/>
      <c r="X26" s="97"/>
      <c r="Y26" s="172"/>
      <c r="Z26" s="97"/>
      <c r="AA26" s="97"/>
      <c r="AB26" s="97"/>
      <c r="AC26" s="97"/>
      <c r="AD26" s="97"/>
      <c r="AE26" s="97"/>
      <c r="AF26" s="97"/>
      <c r="AG26" s="149"/>
      <c r="AH26" s="97"/>
      <c r="AI26" s="97"/>
      <c r="AJ26" s="97"/>
      <c r="AK26" s="149"/>
      <c r="AL26" s="97"/>
      <c r="AM26" s="97"/>
      <c r="AN26" s="97"/>
      <c r="AO26" s="97"/>
      <c r="AP26" s="97"/>
      <c r="AQ26" s="149"/>
    </row>
    <row r="27" spans="1:43" ht="20.100000000000001" customHeight="1" x14ac:dyDescent="0.3">
      <c r="A27" s="98">
        <v>17</v>
      </c>
      <c r="C27" s="169" t="s">
        <v>462</v>
      </c>
      <c r="F27" s="246">
        <f>F24</f>
        <v>1560</v>
      </c>
      <c r="G27" s="1"/>
      <c r="H27" s="246">
        <f>H24</f>
        <v>1436827.8010000002</v>
      </c>
      <c r="I27" s="147"/>
      <c r="J27" s="189"/>
      <c r="K27" s="240"/>
      <c r="L27" s="246">
        <f>L24</f>
        <v>110361</v>
      </c>
      <c r="M27" s="106"/>
      <c r="N27" s="193">
        <f>ROUND((L27/L$34)*100,1)</f>
        <v>96.6</v>
      </c>
      <c r="O27" s="175"/>
      <c r="P27" s="246">
        <f>P24</f>
        <v>5011</v>
      </c>
      <c r="Q27" s="106"/>
      <c r="R27" s="246">
        <f>R24</f>
        <v>115372</v>
      </c>
      <c r="S27" s="309"/>
      <c r="T27" s="1"/>
      <c r="U27" s="97"/>
      <c r="V27" s="97"/>
      <c r="W27" s="97"/>
      <c r="X27" s="97"/>
      <c r="Y27" s="311"/>
      <c r="Z27" s="97"/>
      <c r="AA27" s="97"/>
      <c r="AB27" s="97"/>
      <c r="AC27" s="97"/>
      <c r="AD27" s="97"/>
      <c r="AE27" s="97"/>
      <c r="AF27" s="97"/>
      <c r="AG27" s="149"/>
      <c r="AH27" s="97"/>
      <c r="AI27" s="97"/>
      <c r="AJ27" s="97"/>
      <c r="AK27" s="149"/>
      <c r="AL27" s="97"/>
      <c r="AM27" s="97"/>
      <c r="AN27" s="97"/>
      <c r="AO27" s="97"/>
      <c r="AP27" s="97"/>
      <c r="AQ27" s="149"/>
    </row>
    <row r="28" spans="1:43" ht="15.75" customHeight="1" x14ac:dyDescent="0.3">
      <c r="C28" s="169"/>
      <c r="F28" s="172"/>
      <c r="G28" s="1"/>
      <c r="H28" s="172"/>
      <c r="I28" s="147"/>
      <c r="J28" s="189"/>
      <c r="K28" s="240"/>
      <c r="L28" s="106"/>
      <c r="M28" s="106"/>
      <c r="N28" s="175"/>
      <c r="O28" s="175"/>
      <c r="P28" s="106"/>
      <c r="Q28" s="106"/>
      <c r="R28" s="106"/>
      <c r="S28" s="309"/>
      <c r="T28" s="1"/>
      <c r="U28" s="97"/>
      <c r="V28" s="97"/>
      <c r="W28" s="97"/>
      <c r="X28" s="97"/>
      <c r="Y28" s="311"/>
      <c r="Z28" s="97"/>
      <c r="AA28" s="97"/>
      <c r="AB28" s="97"/>
      <c r="AC28" s="97"/>
      <c r="AD28" s="97"/>
      <c r="AE28" s="97"/>
      <c r="AF28" s="97"/>
      <c r="AG28" s="149"/>
      <c r="AH28" s="97"/>
      <c r="AI28" s="97"/>
      <c r="AJ28" s="97"/>
      <c r="AK28" s="149"/>
      <c r="AL28" s="97"/>
      <c r="AM28" s="97"/>
      <c r="AN28" s="97"/>
      <c r="AO28" s="97"/>
      <c r="AP28" s="97"/>
      <c r="AQ28" s="149"/>
    </row>
    <row r="29" spans="1:43" ht="20.100000000000001" customHeight="1" x14ac:dyDescent="0.3">
      <c r="A29" s="98">
        <v>18</v>
      </c>
      <c r="C29" s="124" t="s">
        <v>474</v>
      </c>
      <c r="F29" s="106"/>
      <c r="G29" s="1"/>
      <c r="H29" s="106"/>
      <c r="I29" s="106"/>
      <c r="J29" s="196"/>
      <c r="K29" s="1"/>
      <c r="L29" s="106"/>
      <c r="M29" s="106"/>
      <c r="N29" s="175"/>
      <c r="O29" s="138"/>
      <c r="P29" s="110"/>
      <c r="Q29" s="106"/>
      <c r="R29" s="106"/>
      <c r="S29" s="309"/>
      <c r="T29" s="1"/>
      <c r="U29" s="97"/>
      <c r="V29" s="97"/>
      <c r="W29" s="97"/>
      <c r="X29" s="97"/>
      <c r="Y29" s="311"/>
      <c r="Z29" s="97"/>
      <c r="AA29" s="97"/>
      <c r="AB29" s="97"/>
      <c r="AC29" s="97"/>
      <c r="AD29" s="97"/>
      <c r="AE29" s="97"/>
      <c r="AF29" s="97"/>
      <c r="AG29" s="149"/>
      <c r="AH29" s="97"/>
      <c r="AI29" s="97"/>
      <c r="AJ29" s="97"/>
      <c r="AK29" s="149"/>
      <c r="AL29" s="97"/>
      <c r="AM29" s="97"/>
      <c r="AN29" s="97"/>
      <c r="AO29" s="97"/>
      <c r="AP29" s="97"/>
      <c r="AQ29" s="149"/>
    </row>
    <row r="30" spans="1:43" ht="20.100000000000001" customHeight="1" x14ac:dyDescent="0.3">
      <c r="A30" s="98">
        <v>19</v>
      </c>
      <c r="C30" s="176" t="str">
        <f>ESM_Name</f>
        <v>ENVIRONMENTAL SURCHARGE MECHANISM RIDER (ESM)</v>
      </c>
      <c r="F30" s="106"/>
      <c r="G30" s="1"/>
      <c r="H30" s="106"/>
      <c r="I30" s="106"/>
      <c r="J30" s="304">
        <f>PRO_ESM_NONRES</f>
        <v>5.3681872802409589E-3</v>
      </c>
      <c r="K30" s="1"/>
      <c r="L30" s="106">
        <f>ROUND((R27-(PRO_BASE_FUEL*H27)+R31)*J30,0)</f>
        <v>378</v>
      </c>
      <c r="M30" s="106"/>
      <c r="N30" s="175">
        <f>ROUND((L30/L$34)*100,1)</f>
        <v>0.3</v>
      </c>
      <c r="O30" s="138"/>
      <c r="P30" s="110"/>
      <c r="Q30" s="106"/>
      <c r="R30" s="106">
        <f>L30+P30</f>
        <v>378</v>
      </c>
      <c r="S30" s="309"/>
      <c r="T30" s="1"/>
      <c r="U30" s="97"/>
      <c r="V30" s="97"/>
      <c r="W30" s="97"/>
      <c r="X30" s="97"/>
      <c r="Y30" s="311"/>
      <c r="Z30" s="97"/>
      <c r="AA30" s="97"/>
      <c r="AB30" s="97"/>
      <c r="AC30" s="97"/>
      <c r="AD30" s="97"/>
      <c r="AE30" s="97"/>
      <c r="AF30" s="97"/>
      <c r="AG30" s="149"/>
      <c r="AH30" s="97"/>
      <c r="AI30" s="97"/>
      <c r="AJ30" s="97"/>
      <c r="AK30" s="149"/>
      <c r="AL30" s="97"/>
      <c r="AM30" s="97"/>
      <c r="AN30" s="97"/>
      <c r="AO30" s="97"/>
      <c r="AP30" s="97"/>
      <c r="AQ30" s="149"/>
    </row>
    <row r="31" spans="1:43" x14ac:dyDescent="0.3">
      <c r="A31" s="98">
        <v>20</v>
      </c>
      <c r="C31" s="176" t="str">
        <f>PSM_Name</f>
        <v>PROFIT SHARING MECHANISM (PSM)</v>
      </c>
      <c r="F31" s="106"/>
      <c r="G31" s="1"/>
      <c r="H31" s="106"/>
      <c r="I31" s="106"/>
      <c r="J31" s="218">
        <f>PRO_PSM</f>
        <v>2.4750000000000002E-3</v>
      </c>
      <c r="K31" s="1"/>
      <c r="L31" s="117">
        <f>ROUND($H$27*J31,0)</f>
        <v>3556</v>
      </c>
      <c r="M31" s="106"/>
      <c r="N31" s="156">
        <f>ROUND((L31/L$34)*100,1)</f>
        <v>3.1</v>
      </c>
      <c r="O31" s="138"/>
      <c r="P31" s="243"/>
      <c r="Q31" s="106"/>
      <c r="R31" s="117">
        <f>L31+P31</f>
        <v>3556</v>
      </c>
      <c r="S31" s="309"/>
      <c r="T31" s="1"/>
      <c r="U31" s="97"/>
      <c r="V31" s="97"/>
      <c r="W31" s="97"/>
      <c r="X31" s="97"/>
      <c r="Y31" s="311"/>
      <c r="Z31" s="97"/>
      <c r="AA31" s="97"/>
      <c r="AB31" s="97"/>
      <c r="AC31" s="97"/>
      <c r="AD31" s="97"/>
      <c r="AE31" s="97"/>
      <c r="AF31" s="97"/>
      <c r="AG31" s="149"/>
      <c r="AH31" s="97"/>
      <c r="AI31" s="97"/>
      <c r="AJ31" s="97"/>
      <c r="AK31" s="149"/>
      <c r="AL31" s="97"/>
      <c r="AM31" s="97"/>
      <c r="AN31" s="97"/>
      <c r="AO31" s="97"/>
      <c r="AP31" s="97"/>
      <c r="AQ31" s="149"/>
    </row>
    <row r="32" spans="1:43" ht="20.100000000000001" customHeight="1" x14ac:dyDescent="0.3">
      <c r="A32" s="98">
        <v>21</v>
      </c>
      <c r="C32" s="124" t="s">
        <v>461</v>
      </c>
      <c r="F32" s="117"/>
      <c r="G32" s="1"/>
      <c r="H32" s="117"/>
      <c r="I32" s="106"/>
      <c r="J32" s="1"/>
      <c r="K32" s="1"/>
      <c r="L32" s="112">
        <f>SUM(L30:L31)</f>
        <v>3934</v>
      </c>
      <c r="M32" s="106"/>
      <c r="N32" s="158">
        <f>ROUND((L32/L$34)*100,1)</f>
        <v>3.4</v>
      </c>
      <c r="O32" s="138"/>
      <c r="P32" s="261"/>
      <c r="Q32" s="106"/>
      <c r="R32" s="112">
        <f>SUM(R30:R31)</f>
        <v>3934</v>
      </c>
      <c r="S32" s="309"/>
      <c r="T32" s="1"/>
      <c r="U32" s="97"/>
      <c r="V32" s="97"/>
      <c r="W32" s="97"/>
      <c r="X32" s="97"/>
      <c r="Y32" s="311"/>
      <c r="Z32" s="97"/>
      <c r="AA32" s="97"/>
      <c r="AB32" s="97"/>
      <c r="AC32" s="97"/>
      <c r="AD32" s="97"/>
      <c r="AE32" s="97"/>
      <c r="AF32" s="97"/>
      <c r="AG32" s="149"/>
      <c r="AH32" s="97"/>
      <c r="AI32" s="97"/>
      <c r="AJ32" s="97"/>
      <c r="AK32" s="149"/>
      <c r="AL32" s="97"/>
      <c r="AM32" s="97"/>
      <c r="AN32" s="97"/>
      <c r="AO32" s="97"/>
      <c r="AP32" s="97"/>
      <c r="AQ32" s="149"/>
    </row>
    <row r="33" spans="1:76" x14ac:dyDescent="0.3">
      <c r="C33" s="99"/>
      <c r="F33" s="172"/>
      <c r="G33" s="1"/>
      <c r="H33" s="172"/>
      <c r="I33" s="147"/>
      <c r="J33" s="184"/>
      <c r="K33" s="240"/>
      <c r="L33" s="106"/>
      <c r="M33" s="106"/>
      <c r="N33" s="175"/>
      <c r="O33" s="175"/>
      <c r="P33" s="106"/>
      <c r="Q33" s="106"/>
      <c r="R33" s="106"/>
      <c r="S33" s="309"/>
      <c r="T33" s="1"/>
      <c r="U33" s="97"/>
      <c r="V33" s="97"/>
      <c r="W33" s="97"/>
      <c r="X33" s="97"/>
      <c r="Y33" s="311"/>
      <c r="Z33" s="97"/>
      <c r="AA33" s="97"/>
      <c r="AB33" s="97"/>
      <c r="AC33" s="97"/>
      <c r="AD33" s="97"/>
      <c r="AE33" s="97"/>
      <c r="AF33" s="97"/>
      <c r="AG33" s="149"/>
      <c r="AH33" s="97"/>
      <c r="AI33" s="97"/>
      <c r="AJ33" s="97"/>
      <c r="AK33" s="149"/>
      <c r="AL33" s="97"/>
      <c r="AM33" s="97"/>
      <c r="AN33" s="97"/>
      <c r="AO33" s="97"/>
      <c r="AP33" s="97"/>
      <c r="AQ33" s="149"/>
    </row>
    <row r="34" spans="1:76" ht="20.100000000000001" customHeight="1" thickBot="1" x14ac:dyDescent="0.35">
      <c r="A34" s="98">
        <v>22</v>
      </c>
      <c r="C34" s="124" t="s">
        <v>463</v>
      </c>
      <c r="F34" s="120">
        <f>F27</f>
        <v>1560</v>
      </c>
      <c r="G34" s="1"/>
      <c r="H34" s="120">
        <f>H27</f>
        <v>1436827.8010000002</v>
      </c>
      <c r="I34" s="106"/>
      <c r="J34" s="3"/>
      <c r="K34" s="1"/>
      <c r="L34" s="120">
        <f>L32+L27</f>
        <v>114295</v>
      </c>
      <c r="M34" s="106"/>
      <c r="N34" s="197">
        <v>100</v>
      </c>
      <c r="O34" s="175"/>
      <c r="P34" s="120">
        <f>ROUND(H34*CUR_FAC,0)</f>
        <v>5011</v>
      </c>
      <c r="Q34" s="147"/>
      <c r="R34" s="120">
        <f>R32+R27</f>
        <v>119306</v>
      </c>
      <c r="AO34" s="99"/>
      <c r="AP34" s="99"/>
    </row>
    <row r="35" spans="1:76" ht="16.2" thickTop="1" x14ac:dyDescent="0.3">
      <c r="C35" s="99"/>
      <c r="F35" s="106"/>
      <c r="G35" s="1"/>
      <c r="H35" s="106"/>
      <c r="I35" s="106"/>
      <c r="J35" s="3"/>
      <c r="K35" s="1"/>
      <c r="L35" s="106"/>
      <c r="M35" s="106"/>
      <c r="N35" s="175"/>
      <c r="O35" s="175"/>
      <c r="P35" s="147"/>
      <c r="Q35" s="147"/>
      <c r="R35" s="106"/>
      <c r="AO35" s="99"/>
      <c r="AP35" s="99"/>
    </row>
    <row r="36" spans="1:76" x14ac:dyDescent="0.3">
      <c r="C36" s="178" t="s">
        <v>76</v>
      </c>
      <c r="J36" s="163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149"/>
      <c r="AH36" s="97"/>
      <c r="AI36" s="97"/>
      <c r="AJ36" s="97"/>
      <c r="AK36" s="149"/>
      <c r="AL36" s="97"/>
      <c r="AM36" s="97"/>
      <c r="AN36" s="97"/>
      <c r="AO36" s="97"/>
      <c r="AP36" s="97"/>
      <c r="AQ36" s="149"/>
    </row>
    <row r="37" spans="1:76" x14ac:dyDescent="0.3">
      <c r="C37" s="178" t="str">
        <f>"(2) REFLECTS FUEL COMPONENT OF "&amp;TEXT(PRO_FAC,"$0.000000;($0.000000)")&amp;" PER KWH."</f>
        <v>(2) REFLECTS FUEL COMPONENT OF $0.003487 PER KWH.</v>
      </c>
      <c r="J37" s="163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149"/>
      <c r="AH37" s="97"/>
      <c r="AI37" s="97"/>
      <c r="AJ37" s="97"/>
      <c r="AK37" s="149"/>
      <c r="AL37" s="97"/>
      <c r="AM37" s="97"/>
      <c r="AN37" s="97"/>
      <c r="AO37" s="97"/>
      <c r="AP37" s="97"/>
      <c r="AQ37" s="149"/>
    </row>
    <row r="38" spans="1:76" x14ac:dyDescent="0.3">
      <c r="C38" s="178" t="str">
        <f>"(3) REFLECTS FUEL COST RECOVERY INCLUDED IN BASE RATES OF "&amp;TEXT(PRO_BASE_FUEL,"$0.000000;($0.000000)")&amp;"  PER KWH."</f>
        <v>(3) REFLECTS FUEL COST RECOVERY INCLUDED IN BASE RATES OF $0.033780  PER KWH.</v>
      </c>
      <c r="F38" s="110"/>
      <c r="H38" s="110"/>
      <c r="I38" s="110"/>
      <c r="J38" s="163"/>
      <c r="K38" s="198"/>
      <c r="L38" s="110"/>
      <c r="M38" s="110"/>
      <c r="N38" s="110"/>
      <c r="O38" s="110"/>
      <c r="P38" s="110"/>
      <c r="Q38" s="110"/>
      <c r="R38" s="110"/>
      <c r="AE38" s="102"/>
      <c r="AF38" s="102"/>
      <c r="AG38" s="151"/>
      <c r="AH38" s="102"/>
      <c r="AI38" s="102"/>
      <c r="AJ38" s="102"/>
      <c r="AK38" s="151"/>
      <c r="AL38" s="102"/>
      <c r="AO38" s="102"/>
      <c r="AP38" s="102"/>
      <c r="AQ38" s="151"/>
    </row>
    <row r="39" spans="1:76" x14ac:dyDescent="0.3">
      <c r="A39" s="99"/>
      <c r="J39" s="163"/>
      <c r="T39" s="97" t="str">
        <f>NAME</f>
        <v>DUKE ENERGY KENTUCKY, INC.</v>
      </c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149"/>
      <c r="AH39" s="97"/>
      <c r="AI39" s="97"/>
      <c r="AJ39" s="97"/>
      <c r="AK39" s="149"/>
      <c r="AL39" s="97"/>
      <c r="AM39" s="97"/>
      <c r="AN39" s="97"/>
      <c r="AO39" s="97"/>
      <c r="AP39" s="97"/>
      <c r="AQ39" s="149"/>
      <c r="AR39" s="97"/>
    </row>
    <row r="40" spans="1:76" x14ac:dyDescent="0.3">
      <c r="A40" s="99"/>
      <c r="F40" s="199"/>
      <c r="H40" s="110"/>
      <c r="J40" s="163"/>
      <c r="T40" s="97" t="str">
        <f>CASE_NO</f>
        <v>CASE NO.   2024-00354</v>
      </c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149"/>
      <c r="AH40" s="97"/>
      <c r="AI40" s="97"/>
      <c r="AJ40" s="97"/>
      <c r="AK40" s="149"/>
      <c r="AL40" s="97"/>
      <c r="AM40" s="97"/>
      <c r="AN40" s="97"/>
      <c r="AO40" s="97"/>
      <c r="AP40" s="97"/>
      <c r="AQ40" s="149"/>
      <c r="AR40" s="97"/>
    </row>
    <row r="41" spans="1:76" x14ac:dyDescent="0.3">
      <c r="C41" s="99"/>
      <c r="J41" s="163"/>
      <c r="T41" s="97" t="str">
        <f>TITLE</f>
        <v>ANNUALIZED BASE YEAR REVENUES AT PROPOSED VS. MOST CURRENT RATES</v>
      </c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149"/>
      <c r="AH41" s="97"/>
      <c r="AI41" s="97"/>
      <c r="AJ41" s="97"/>
      <c r="AK41" s="149"/>
      <c r="AL41" s="97"/>
      <c r="AM41" s="97"/>
      <c r="AN41" s="97"/>
      <c r="AO41" s="97"/>
      <c r="AP41" s="97"/>
      <c r="AQ41" s="149"/>
      <c r="AR41" s="97"/>
      <c r="AS41" s="110"/>
      <c r="AT41" s="110"/>
      <c r="AU41" s="141"/>
      <c r="BX41" s="220"/>
    </row>
    <row r="42" spans="1:76" x14ac:dyDescent="0.3">
      <c r="C42" s="99"/>
      <c r="F42" s="110"/>
      <c r="H42" s="110"/>
      <c r="I42" s="110"/>
      <c r="J42" s="163"/>
      <c r="L42" s="110"/>
      <c r="M42" s="110"/>
      <c r="N42" s="141"/>
      <c r="O42" s="141"/>
      <c r="P42" s="172"/>
      <c r="Q42" s="172"/>
      <c r="R42" s="110"/>
      <c r="T42" s="97" t="str">
        <f>DATE</f>
        <v>FOR THE TWELVE MONTHS ENDED February 28, 2025</v>
      </c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149"/>
      <c r="AH42" s="97"/>
      <c r="AI42" s="97"/>
      <c r="AJ42" s="97"/>
      <c r="AK42" s="149"/>
      <c r="AL42" s="97"/>
      <c r="AM42" s="97"/>
      <c r="AN42" s="97"/>
      <c r="AO42" s="97"/>
      <c r="AP42" s="97"/>
      <c r="AQ42" s="149"/>
      <c r="AR42" s="97"/>
      <c r="AS42" s="110"/>
      <c r="AT42" s="110"/>
      <c r="AU42" s="141"/>
    </row>
    <row r="43" spans="1:76" x14ac:dyDescent="0.3"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T43" s="97" t="str">
        <f>SERVICE</f>
        <v>(ELECTRIC SERVICE)</v>
      </c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149"/>
      <c r="AH43" s="97"/>
      <c r="AI43" s="97"/>
      <c r="AJ43" s="97"/>
      <c r="AK43" s="149"/>
      <c r="AL43" s="97"/>
      <c r="AM43" s="97"/>
      <c r="AN43" s="97"/>
      <c r="AO43" s="97"/>
      <c r="AP43" s="97"/>
      <c r="AQ43" s="149"/>
      <c r="AR43" s="97"/>
      <c r="AS43" s="110"/>
      <c r="AT43" s="110"/>
      <c r="AU43" s="226"/>
    </row>
    <row r="44" spans="1:76" x14ac:dyDescent="0.3">
      <c r="C44" s="99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T44" s="98" t="str">
        <f>DATA_PERIOD</f>
        <v>DATA: __X__ BASE PERIOD   ____FORECASTED PERIOD</v>
      </c>
      <c r="AO44" s="99" t="s">
        <v>157</v>
      </c>
      <c r="AQ44" s="190"/>
      <c r="AS44" s="110"/>
      <c r="AT44" s="110"/>
      <c r="AU44" s="141"/>
    </row>
    <row r="45" spans="1:76" x14ac:dyDescent="0.3">
      <c r="A45" s="99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T45" s="98" t="str">
        <f>TYPE</f>
        <v>TYPE OF FILING: _X_ ORIGINAL   ___UPDATED  ___ REVISED</v>
      </c>
      <c r="AO45" s="116" t="str">
        <f>"PAGE 15 OF "&amp;TEXT(Page_Num_2.2,"00")</f>
        <v>PAGE 15 OF 24</v>
      </c>
      <c r="AQ45" s="190"/>
      <c r="AS45" s="110"/>
      <c r="AT45" s="110"/>
      <c r="AU45" s="141"/>
    </row>
    <row r="46" spans="1:76" x14ac:dyDescent="0.3">
      <c r="C46" s="99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T46" s="99" t="s">
        <v>170</v>
      </c>
      <c r="AO46" s="99" t="s">
        <v>3</v>
      </c>
      <c r="AQ46" s="190"/>
      <c r="AS46" s="110"/>
      <c r="AT46" s="110"/>
      <c r="AU46" s="141"/>
    </row>
    <row r="47" spans="1:76" x14ac:dyDescent="0.3">
      <c r="F47" s="192"/>
      <c r="H47" s="192"/>
      <c r="I47" s="192"/>
      <c r="J47" s="217"/>
      <c r="K47" s="217"/>
      <c r="L47" s="192"/>
      <c r="M47" s="192"/>
      <c r="N47" s="192"/>
      <c r="O47" s="192"/>
      <c r="P47" s="192"/>
      <c r="Q47" s="192"/>
      <c r="R47" s="192"/>
      <c r="T47" s="134" t="str">
        <f>TIME</f>
        <v>6 Months Actual and 6 Months Projected with Riders</v>
      </c>
      <c r="AG47" s="190"/>
      <c r="AO47" s="98" t="str">
        <f>WIT</f>
        <v>B. L. Sailers</v>
      </c>
      <c r="AS47" s="110"/>
      <c r="AT47" s="110"/>
      <c r="AU47" s="141"/>
    </row>
    <row r="48" spans="1:76" x14ac:dyDescent="0.3">
      <c r="C48" s="99"/>
      <c r="F48" s="110"/>
      <c r="H48" s="110"/>
      <c r="I48" s="110"/>
      <c r="J48" s="198"/>
      <c r="K48" s="198"/>
      <c r="L48" s="110"/>
      <c r="M48" s="110"/>
      <c r="N48" s="141"/>
      <c r="O48" s="141"/>
      <c r="P48" s="110"/>
      <c r="Q48" s="110"/>
      <c r="R48" s="110"/>
      <c r="T48" s="353" t="s">
        <v>130</v>
      </c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S48" s="110"/>
      <c r="AT48" s="110"/>
      <c r="AU48" s="141"/>
    </row>
    <row r="49" spans="1:47" x14ac:dyDescent="0.3">
      <c r="A49" s="99"/>
      <c r="F49" s="110"/>
      <c r="H49" s="110"/>
      <c r="I49" s="110"/>
      <c r="J49" s="198"/>
      <c r="K49" s="198"/>
      <c r="L49" s="110"/>
      <c r="M49" s="110"/>
      <c r="N49" s="110"/>
      <c r="O49" s="110"/>
      <c r="P49" s="110"/>
      <c r="Q49" s="110"/>
      <c r="R49" s="110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0"/>
      <c r="AF49" s="100"/>
      <c r="AG49" s="150"/>
      <c r="AH49" s="100"/>
      <c r="AI49" s="100"/>
      <c r="AJ49" s="100"/>
      <c r="AK49" s="150"/>
      <c r="AL49" s="100"/>
      <c r="AM49" s="100"/>
      <c r="AN49" s="101"/>
      <c r="AO49" s="101"/>
      <c r="AP49" s="101"/>
      <c r="AQ49" s="191"/>
      <c r="AR49" s="101"/>
      <c r="AS49" s="110"/>
      <c r="AT49" s="110"/>
      <c r="AU49" s="141"/>
    </row>
    <row r="50" spans="1:47" ht="18" customHeight="1" x14ac:dyDescent="0.3">
      <c r="L50" s="110"/>
      <c r="M50" s="110"/>
      <c r="N50" s="110"/>
      <c r="O50" s="110"/>
      <c r="P50" s="110"/>
      <c r="Q50" s="110"/>
      <c r="R50" s="110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02" t="s">
        <v>8</v>
      </c>
      <c r="AF50" s="102"/>
      <c r="AG50" s="151" t="s">
        <v>7</v>
      </c>
      <c r="AH50" s="102"/>
      <c r="AI50" s="102" t="s">
        <v>9</v>
      </c>
      <c r="AJ50" s="102"/>
      <c r="AK50" s="151" t="s">
        <v>10</v>
      </c>
      <c r="AL50" s="102"/>
      <c r="AN50" s="174"/>
      <c r="AO50" s="254" t="s">
        <v>8</v>
      </c>
      <c r="AP50" s="254"/>
      <c r="AQ50" s="255" t="s">
        <v>11</v>
      </c>
      <c r="AR50" s="110"/>
      <c r="AS50" s="110"/>
      <c r="AT50" s="141"/>
    </row>
    <row r="51" spans="1:47" x14ac:dyDescent="0.3">
      <c r="H51" s="99"/>
      <c r="I51" s="99"/>
      <c r="AC51" s="102" t="s">
        <v>14</v>
      </c>
      <c r="AD51" s="102"/>
      <c r="AE51" s="102" t="s">
        <v>12</v>
      </c>
      <c r="AF51" s="102"/>
      <c r="AG51" s="151" t="s">
        <v>13</v>
      </c>
      <c r="AH51" s="102"/>
      <c r="AI51" s="102" t="s">
        <v>15</v>
      </c>
      <c r="AJ51" s="102"/>
      <c r="AK51" s="151" t="s">
        <v>16</v>
      </c>
      <c r="AL51" s="102"/>
      <c r="AO51" s="102" t="s">
        <v>11</v>
      </c>
      <c r="AP51" s="102"/>
      <c r="AQ51" s="151" t="s">
        <v>9</v>
      </c>
    </row>
    <row r="52" spans="1:47" x14ac:dyDescent="0.3">
      <c r="L52" s="99"/>
      <c r="M52" s="99"/>
      <c r="T52" s="102" t="s">
        <v>17</v>
      </c>
      <c r="V52" s="102" t="s">
        <v>18</v>
      </c>
      <c r="W52" s="102" t="s">
        <v>19</v>
      </c>
      <c r="X52" s="102"/>
      <c r="Y52" s="102" t="s">
        <v>20</v>
      </c>
      <c r="AC52" s="102" t="s">
        <v>8</v>
      </c>
      <c r="AD52" s="102"/>
      <c r="AE52" s="102" t="s">
        <v>593</v>
      </c>
      <c r="AF52" s="102"/>
      <c r="AG52" s="151" t="s">
        <v>593</v>
      </c>
      <c r="AH52" s="102"/>
      <c r="AI52" s="103" t="s">
        <v>708</v>
      </c>
      <c r="AJ52" s="102"/>
      <c r="AK52" s="152" t="s">
        <v>708</v>
      </c>
      <c r="AL52" s="102"/>
      <c r="AM52" s="102" t="s">
        <v>593</v>
      </c>
      <c r="AN52" s="102"/>
      <c r="AO52" s="102" t="s">
        <v>9</v>
      </c>
      <c r="AP52" s="102"/>
      <c r="AQ52" s="151" t="s">
        <v>21</v>
      </c>
    </row>
    <row r="53" spans="1:47" x14ac:dyDescent="0.3">
      <c r="R53" s="99"/>
      <c r="T53" s="102" t="s">
        <v>22</v>
      </c>
      <c r="V53" s="102" t="s">
        <v>23</v>
      </c>
      <c r="W53" s="102" t="s">
        <v>24</v>
      </c>
      <c r="X53" s="102"/>
      <c r="Y53" s="102" t="s">
        <v>25</v>
      </c>
      <c r="AA53" s="102" t="s">
        <v>26</v>
      </c>
      <c r="AB53" s="102"/>
      <c r="AC53" s="102" t="s">
        <v>27</v>
      </c>
      <c r="AD53" s="102"/>
      <c r="AE53" s="102" t="s">
        <v>9</v>
      </c>
      <c r="AF53" s="102"/>
      <c r="AG53" s="151" t="s">
        <v>9</v>
      </c>
      <c r="AH53" s="102"/>
      <c r="AI53" s="131" t="s">
        <v>29</v>
      </c>
      <c r="AJ53" s="131"/>
      <c r="AK53" s="165" t="s">
        <v>30</v>
      </c>
      <c r="AL53" s="102"/>
      <c r="AM53" s="102" t="s">
        <v>323</v>
      </c>
      <c r="AN53" s="102"/>
      <c r="AO53" s="131" t="s">
        <v>31</v>
      </c>
      <c r="AP53" s="131"/>
      <c r="AQ53" s="165" t="s">
        <v>32</v>
      </c>
      <c r="AU53" s="102"/>
    </row>
    <row r="54" spans="1:47" x14ac:dyDescent="0.3">
      <c r="R54" s="99"/>
      <c r="V54" s="131" t="s">
        <v>33</v>
      </c>
      <c r="W54" s="131" t="s">
        <v>34</v>
      </c>
      <c r="X54" s="131"/>
      <c r="Y54" s="131" t="s">
        <v>35</v>
      </c>
      <c r="Z54" s="134"/>
      <c r="AA54" s="131" t="s">
        <v>36</v>
      </c>
      <c r="AB54" s="131"/>
      <c r="AC54" s="131" t="s">
        <v>42</v>
      </c>
      <c r="AD54" s="131"/>
      <c r="AE54" s="131" t="s">
        <v>43</v>
      </c>
      <c r="AF54" s="131"/>
      <c r="AG54" s="165" t="s">
        <v>44</v>
      </c>
      <c r="AH54" s="131"/>
      <c r="AI54" s="131" t="s">
        <v>45</v>
      </c>
      <c r="AJ54" s="131"/>
      <c r="AK54" s="165" t="s">
        <v>46</v>
      </c>
      <c r="AL54" s="131"/>
      <c r="AM54" s="131" t="s">
        <v>40</v>
      </c>
      <c r="AN54" s="131"/>
      <c r="AO54" s="131" t="s">
        <v>47</v>
      </c>
      <c r="AP54" s="131"/>
      <c r="AQ54" s="165" t="s">
        <v>48</v>
      </c>
      <c r="AU54" s="102"/>
    </row>
    <row r="55" spans="1:47" ht="17.100000000000001" customHeight="1" x14ac:dyDescent="0.3">
      <c r="A55" s="99"/>
      <c r="R55" s="99"/>
      <c r="T55" s="174"/>
      <c r="U55" s="174"/>
      <c r="V55" s="174"/>
      <c r="W55" s="174"/>
      <c r="X55" s="174"/>
      <c r="Y55" s="174"/>
      <c r="Z55" s="174"/>
      <c r="AA55" s="258" t="s">
        <v>49</v>
      </c>
      <c r="AB55" s="258"/>
      <c r="AC55" s="257" t="s">
        <v>312</v>
      </c>
      <c r="AD55" s="258"/>
      <c r="AE55" s="258" t="s">
        <v>50</v>
      </c>
      <c r="AF55" s="258"/>
      <c r="AG55" s="259" t="s">
        <v>51</v>
      </c>
      <c r="AH55" s="258"/>
      <c r="AI55" s="258" t="s">
        <v>50</v>
      </c>
      <c r="AJ55" s="258"/>
      <c r="AK55" s="259" t="s">
        <v>51</v>
      </c>
      <c r="AL55" s="258"/>
      <c r="AM55" s="258" t="s">
        <v>50</v>
      </c>
      <c r="AN55" s="258"/>
      <c r="AO55" s="258" t="s">
        <v>50</v>
      </c>
      <c r="AP55" s="258"/>
      <c r="AQ55" s="259" t="s">
        <v>51</v>
      </c>
      <c r="AU55" s="102"/>
    </row>
    <row r="56" spans="1:47" x14ac:dyDescent="0.3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T56" s="98">
        <v>1</v>
      </c>
      <c r="V56" s="124" t="s">
        <v>81</v>
      </c>
      <c r="W56" s="124" t="s">
        <v>82</v>
      </c>
      <c r="X56" s="99"/>
      <c r="Y56" s="1"/>
      <c r="Z56" s="1"/>
      <c r="AA56" s="1"/>
      <c r="AB56" s="1"/>
      <c r="AC56" s="1"/>
      <c r="AD56" s="1"/>
      <c r="AE56" s="1"/>
      <c r="AF56" s="1"/>
      <c r="AG56" s="154"/>
      <c r="AH56" s="1"/>
      <c r="AI56" s="1"/>
      <c r="AJ56" s="1"/>
      <c r="AK56" s="154"/>
      <c r="AL56" s="1"/>
      <c r="AM56" s="1"/>
      <c r="AN56" s="1"/>
      <c r="AO56" s="1"/>
      <c r="AP56" s="1"/>
      <c r="AQ56" s="154"/>
    </row>
    <row r="57" spans="1:47" x14ac:dyDescent="0.3">
      <c r="L57" s="102"/>
      <c r="M57" s="102"/>
      <c r="N57" s="102"/>
      <c r="O57" s="102"/>
      <c r="R57" s="102"/>
      <c r="T57" s="98">
        <v>2</v>
      </c>
      <c r="V57" s="134"/>
      <c r="W57" s="124" t="s">
        <v>83</v>
      </c>
      <c r="X57" s="99"/>
      <c r="Y57" s="1"/>
      <c r="Z57" s="1"/>
      <c r="AA57" s="1"/>
      <c r="AB57" s="1"/>
      <c r="AC57" s="1"/>
      <c r="AD57" s="1"/>
      <c r="AE57" s="1"/>
      <c r="AF57" s="1"/>
      <c r="AG57" s="154"/>
      <c r="AH57" s="1"/>
      <c r="AI57" s="1"/>
      <c r="AJ57" s="1"/>
      <c r="AK57" s="154"/>
      <c r="AL57" s="1"/>
      <c r="AM57" s="1"/>
      <c r="AN57" s="1"/>
      <c r="AO57" s="1"/>
      <c r="AP57" s="1"/>
      <c r="AQ57" s="154"/>
    </row>
    <row r="58" spans="1:47" x14ac:dyDescent="0.3">
      <c r="C58" s="102"/>
      <c r="D58" s="102"/>
      <c r="E58" s="102"/>
      <c r="F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Y58" s="1"/>
      <c r="Z58" s="1"/>
      <c r="AA58" s="1"/>
      <c r="AB58" s="1"/>
      <c r="AC58" s="1"/>
      <c r="AD58" s="1"/>
      <c r="AE58" s="1"/>
      <c r="AF58" s="1"/>
      <c r="AG58" s="154"/>
      <c r="AH58" s="1"/>
      <c r="AI58" s="1"/>
      <c r="AJ58" s="1"/>
      <c r="AK58" s="154"/>
      <c r="AL58" s="1"/>
      <c r="AM58" s="1"/>
      <c r="AN58" s="1"/>
      <c r="AO58" s="1"/>
      <c r="AP58" s="1"/>
      <c r="AQ58" s="154"/>
    </row>
    <row r="59" spans="1:47" x14ac:dyDescent="0.3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T59" s="98">
        <v>3</v>
      </c>
      <c r="V59" s="124" t="s">
        <v>84</v>
      </c>
      <c r="W59" s="134"/>
      <c r="Y59" s="106"/>
      <c r="Z59" s="1"/>
      <c r="AA59" s="1"/>
      <c r="AB59" s="1"/>
      <c r="AC59" s="245"/>
      <c r="AD59" s="245"/>
      <c r="AE59" s="106"/>
      <c r="AF59" s="106"/>
      <c r="AG59" s="154"/>
      <c r="AH59" s="1"/>
      <c r="AI59" s="1"/>
      <c r="AJ59" s="1"/>
      <c r="AK59" s="154"/>
      <c r="AL59" s="106"/>
      <c r="AM59" s="1"/>
      <c r="AN59" s="1"/>
      <c r="AO59" s="106"/>
      <c r="AP59" s="106"/>
      <c r="AQ59" s="154"/>
    </row>
    <row r="60" spans="1:47" x14ac:dyDescent="0.3"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T60" s="98">
        <v>4</v>
      </c>
      <c r="V60" s="124" t="s">
        <v>373</v>
      </c>
      <c r="W60" s="134"/>
      <c r="Y60" s="106"/>
      <c r="Z60" s="1"/>
      <c r="AA60" s="1"/>
      <c r="AB60" s="1"/>
      <c r="AC60" s="1"/>
      <c r="AD60" s="1"/>
      <c r="AE60" s="1"/>
      <c r="AF60" s="1"/>
      <c r="AG60" s="154"/>
      <c r="AH60" s="1"/>
      <c r="AI60" s="1"/>
      <c r="AJ60" s="1"/>
      <c r="AK60" s="154"/>
      <c r="AL60" s="106"/>
      <c r="AM60" s="1"/>
      <c r="AN60" s="1"/>
      <c r="AO60" s="106"/>
      <c r="AP60" s="106"/>
      <c r="AQ60" s="154"/>
    </row>
    <row r="61" spans="1:47" x14ac:dyDescent="0.3">
      <c r="C61" s="99"/>
      <c r="D61" s="99"/>
      <c r="E61" s="99"/>
      <c r="Y61" s="1"/>
      <c r="Z61" s="1"/>
      <c r="AA61" s="1"/>
      <c r="AB61" s="1"/>
      <c r="AC61" s="3"/>
      <c r="AD61" s="1"/>
      <c r="AE61" s="1"/>
      <c r="AF61" s="1"/>
      <c r="AG61" s="154"/>
      <c r="AH61" s="1"/>
      <c r="AI61" s="1"/>
      <c r="AJ61" s="1"/>
      <c r="AK61" s="154"/>
      <c r="AL61" s="1"/>
      <c r="AM61" s="106"/>
      <c r="AN61" s="106"/>
      <c r="AO61" s="106"/>
      <c r="AP61" s="106"/>
      <c r="AQ61" s="154"/>
    </row>
    <row r="62" spans="1:47" x14ac:dyDescent="0.3">
      <c r="C62" s="99"/>
      <c r="T62" s="98">
        <v>5</v>
      </c>
      <c r="V62" s="99" t="s">
        <v>85</v>
      </c>
      <c r="Y62" s="172">
        <f>F24</f>
        <v>1560</v>
      </c>
      <c r="Z62" s="1"/>
      <c r="AA62" s="172">
        <f>H24</f>
        <v>1436827.8010000002</v>
      </c>
      <c r="AB62" s="310"/>
      <c r="AC62" s="184">
        <v>6.7222000000000004E-2</v>
      </c>
      <c r="AD62" s="240"/>
      <c r="AE62" s="106">
        <f>ROUND((AA62*AC62),0)</f>
        <v>96586</v>
      </c>
      <c r="AF62" s="106"/>
      <c r="AG62" s="154">
        <f>ROUND((AE62/AE$72)*100,1)</f>
        <v>96.1</v>
      </c>
      <c r="AH62" s="175"/>
      <c r="AI62" s="106">
        <f>L24-AE62</f>
        <v>13775</v>
      </c>
      <c r="AJ62" s="106"/>
      <c r="AK62" s="154">
        <f>ROUND((AI62/AE62)*100,1)</f>
        <v>14.3</v>
      </c>
      <c r="AL62" s="138"/>
      <c r="AM62" s="106">
        <f>ROUND($AM$72/$AA$72*AA62,0)</f>
        <v>5011</v>
      </c>
      <c r="AN62" s="106"/>
      <c r="AO62" s="106">
        <f>AE62+AM62</f>
        <v>101597</v>
      </c>
      <c r="AP62" s="106"/>
      <c r="AQ62" s="154">
        <f>ROUND((AI62/AO62)*100,1)</f>
        <v>13.6</v>
      </c>
      <c r="AU62" s="218"/>
    </row>
    <row r="63" spans="1:47" x14ac:dyDescent="0.3">
      <c r="Y63" s="106"/>
      <c r="Z63" s="1"/>
      <c r="AA63" s="106"/>
      <c r="AB63" s="106"/>
      <c r="AC63" s="307"/>
      <c r="AD63" s="136"/>
      <c r="AE63" s="106"/>
      <c r="AF63" s="106"/>
      <c r="AG63" s="154"/>
      <c r="AH63" s="1"/>
      <c r="AI63" s="1"/>
      <c r="AJ63" s="1"/>
      <c r="AK63" s="154"/>
      <c r="AL63" s="1"/>
      <c r="AM63" s="106"/>
      <c r="AN63" s="106"/>
      <c r="AO63" s="106"/>
      <c r="AP63" s="106"/>
      <c r="AQ63" s="154"/>
    </row>
    <row r="64" spans="1:47" x14ac:dyDescent="0.3">
      <c r="C64" s="99"/>
      <c r="F64" s="172"/>
      <c r="H64" s="172"/>
      <c r="I64" s="172"/>
      <c r="J64" s="181"/>
      <c r="K64" s="181"/>
      <c r="L64" s="110"/>
      <c r="M64" s="110"/>
      <c r="N64" s="141"/>
      <c r="O64" s="141"/>
      <c r="P64" s="110"/>
      <c r="Q64" s="110"/>
      <c r="R64" s="110"/>
      <c r="T64" s="98">
        <v>6</v>
      </c>
      <c r="V64" s="99"/>
      <c r="Y64" s="172"/>
      <c r="Z64" s="1"/>
      <c r="AA64" s="172"/>
      <c r="AB64" s="106"/>
      <c r="AC64" s="184"/>
      <c r="AD64" s="240"/>
      <c r="AE64" s="117"/>
      <c r="AF64" s="106"/>
      <c r="AG64" s="156"/>
      <c r="AH64" s="175"/>
      <c r="AI64" s="117"/>
      <c r="AJ64" s="106"/>
      <c r="AK64" s="156"/>
      <c r="AL64" s="138"/>
      <c r="AM64" s="117"/>
      <c r="AN64" s="106"/>
      <c r="AO64" s="117"/>
      <c r="AP64" s="106"/>
      <c r="AQ64" s="156"/>
      <c r="AU64" s="218"/>
    </row>
    <row r="65" spans="3:47" ht="20.100000000000001" customHeight="1" x14ac:dyDescent="0.3">
      <c r="C65" s="99"/>
      <c r="F65" s="172"/>
      <c r="H65" s="172"/>
      <c r="I65" s="172"/>
      <c r="J65" s="181"/>
      <c r="K65" s="181"/>
      <c r="L65" s="110"/>
      <c r="M65" s="110"/>
      <c r="N65" s="141"/>
      <c r="O65" s="141"/>
      <c r="P65" s="110"/>
      <c r="Q65" s="110"/>
      <c r="R65" s="110"/>
      <c r="T65" s="98">
        <v>7</v>
      </c>
      <c r="V65" s="169" t="s">
        <v>462</v>
      </c>
      <c r="Y65" s="246">
        <f>Y62</f>
        <v>1560</v>
      </c>
      <c r="Z65" s="1"/>
      <c r="AA65" s="246">
        <f>AA62</f>
        <v>1436827.8010000002</v>
      </c>
      <c r="AB65" s="106"/>
      <c r="AC65" s="184"/>
      <c r="AD65" s="240"/>
      <c r="AE65" s="246">
        <f>AE62</f>
        <v>96586</v>
      </c>
      <c r="AF65" s="106"/>
      <c r="AG65" s="158">
        <f>ROUND((AE65/AE$72)*100,1)</f>
        <v>96.1</v>
      </c>
      <c r="AH65" s="175"/>
      <c r="AI65" s="246">
        <f>AI62</f>
        <v>13775</v>
      </c>
      <c r="AJ65" s="106"/>
      <c r="AK65" s="158">
        <f>ROUND((AI65/AE65)*100,1)</f>
        <v>14.3</v>
      </c>
      <c r="AL65" s="138"/>
      <c r="AM65" s="246">
        <f>AM62</f>
        <v>5011</v>
      </c>
      <c r="AN65" s="106"/>
      <c r="AO65" s="246">
        <f>AO62</f>
        <v>101597</v>
      </c>
      <c r="AP65" s="106"/>
      <c r="AQ65" s="156">
        <f>ROUND((AI65/AO65)*100,1)</f>
        <v>13.6</v>
      </c>
      <c r="AU65" s="218"/>
    </row>
    <row r="66" spans="3:47" x14ac:dyDescent="0.3">
      <c r="C66" s="99"/>
      <c r="F66" s="172"/>
      <c r="H66" s="172"/>
      <c r="I66" s="172"/>
      <c r="J66" s="181"/>
      <c r="K66" s="181"/>
      <c r="L66" s="110"/>
      <c r="M66" s="110"/>
      <c r="N66" s="141"/>
      <c r="O66" s="141"/>
      <c r="P66" s="110"/>
      <c r="Q66" s="110"/>
      <c r="R66" s="110"/>
      <c r="V66" s="169"/>
      <c r="Y66" s="172"/>
      <c r="Z66" s="1"/>
      <c r="AA66" s="172"/>
      <c r="AB66" s="106"/>
      <c r="AC66" s="184"/>
      <c r="AD66" s="240"/>
      <c r="AE66" s="106"/>
      <c r="AF66" s="106"/>
      <c r="AG66" s="154"/>
      <c r="AH66" s="175"/>
      <c r="AI66" s="106"/>
      <c r="AJ66" s="106"/>
      <c r="AK66" s="154"/>
      <c r="AL66" s="138"/>
      <c r="AM66" s="106"/>
      <c r="AN66" s="106"/>
      <c r="AO66" s="106"/>
      <c r="AP66" s="106"/>
      <c r="AQ66" s="154"/>
      <c r="AU66" s="218"/>
    </row>
    <row r="67" spans="3:47" ht="18" customHeight="1" x14ac:dyDescent="0.3">
      <c r="C67" s="99"/>
      <c r="F67" s="172"/>
      <c r="H67" s="172"/>
      <c r="I67" s="172"/>
      <c r="J67" s="181"/>
      <c r="K67" s="181"/>
      <c r="L67" s="110"/>
      <c r="M67" s="110"/>
      <c r="N67" s="141"/>
      <c r="O67" s="141"/>
      <c r="P67" s="110"/>
      <c r="Q67" s="110"/>
      <c r="R67" s="110"/>
      <c r="T67" s="98">
        <v>8</v>
      </c>
      <c r="V67" s="124" t="s">
        <v>474</v>
      </c>
      <c r="Y67" s="106"/>
      <c r="Z67" s="1"/>
      <c r="AA67" s="106"/>
      <c r="AB67" s="106"/>
      <c r="AC67" s="184"/>
      <c r="AD67" s="240"/>
      <c r="AE67" s="106"/>
      <c r="AF67" s="106"/>
      <c r="AG67" s="154"/>
      <c r="AH67" s="175"/>
      <c r="AI67" s="106"/>
      <c r="AJ67" s="106"/>
      <c r="AK67" s="154"/>
      <c r="AL67" s="138"/>
      <c r="AM67" s="106"/>
      <c r="AN67" s="106"/>
      <c r="AO67" s="106"/>
      <c r="AP67" s="106"/>
      <c r="AQ67" s="154"/>
      <c r="AU67" s="218"/>
    </row>
    <row r="68" spans="3:47" ht="18" customHeight="1" x14ac:dyDescent="0.3">
      <c r="C68" s="99"/>
      <c r="F68" s="172"/>
      <c r="H68" s="172"/>
      <c r="I68" s="172"/>
      <c r="J68" s="181"/>
      <c r="K68" s="181"/>
      <c r="L68" s="110"/>
      <c r="M68" s="110"/>
      <c r="N68" s="141"/>
      <c r="O68" s="141"/>
      <c r="P68" s="110"/>
      <c r="Q68" s="110"/>
      <c r="R68" s="110"/>
      <c r="T68" s="98">
        <v>9</v>
      </c>
      <c r="V68" s="176" t="str">
        <f>C30</f>
        <v>ENVIRONMENTAL SURCHARGE MECHANISM RIDER (ESM)</v>
      </c>
      <c r="Y68" s="106"/>
      <c r="Z68" s="1"/>
      <c r="AA68" s="106"/>
      <c r="AB68" s="106"/>
      <c r="AC68" s="304">
        <f>CUR_ESM_NonRes</f>
        <v>6.3863133253205971E-3</v>
      </c>
      <c r="AD68" s="240"/>
      <c r="AE68" s="106">
        <f>ROUND(($AO$65-(CUR_BASE_FUEL*AA65)+AO69)*AC68,0)</f>
        <v>362</v>
      </c>
      <c r="AF68" s="106"/>
      <c r="AG68" s="154">
        <f>ROUND((AE68/AE$72)*100,1)</f>
        <v>0.4</v>
      </c>
      <c r="AH68" s="175"/>
      <c r="AI68" s="106">
        <f>L30-AE68</f>
        <v>16</v>
      </c>
      <c r="AJ68" s="106"/>
      <c r="AK68" s="154">
        <f>IF(AE68=0,0,ROUND((AI68/AE68)*100,1))</f>
        <v>4.4000000000000004</v>
      </c>
      <c r="AL68" s="138"/>
      <c r="AM68" s="106"/>
      <c r="AN68" s="106"/>
      <c r="AO68" s="106">
        <f>AE68+AM68</f>
        <v>362</v>
      </c>
      <c r="AP68" s="106"/>
      <c r="AQ68" s="154">
        <f>IF(AO68=0,0,ROUND((AI68/AO68)*100,1))</f>
        <v>4.4000000000000004</v>
      </c>
      <c r="AU68" s="218"/>
    </row>
    <row r="69" spans="3:47" x14ac:dyDescent="0.3">
      <c r="C69" s="99"/>
      <c r="F69" s="172"/>
      <c r="H69" s="172"/>
      <c r="I69" s="172"/>
      <c r="J69" s="181"/>
      <c r="K69" s="181"/>
      <c r="L69" s="110"/>
      <c r="M69" s="110"/>
      <c r="N69" s="141"/>
      <c r="O69" s="141"/>
      <c r="P69" s="110"/>
      <c r="Q69" s="110"/>
      <c r="R69" s="110"/>
      <c r="T69" s="98">
        <v>10</v>
      </c>
      <c r="V69" s="176" t="str">
        <f>C31</f>
        <v>PROFIT SHARING MECHANISM (PSM)</v>
      </c>
      <c r="Y69" s="106"/>
      <c r="Z69" s="1"/>
      <c r="AA69" s="106"/>
      <c r="AB69" s="106"/>
      <c r="AC69" s="184">
        <f>RS_PSM</f>
        <v>2.4750000000000002E-3</v>
      </c>
      <c r="AD69" s="240"/>
      <c r="AE69" s="117">
        <f>ROUND($AA$65*AC69,0)</f>
        <v>3556</v>
      </c>
      <c r="AF69" s="106"/>
      <c r="AG69" s="156">
        <f>ROUND((AE69/AE$72)*100,1)</f>
        <v>3.5</v>
      </c>
      <c r="AH69" s="175"/>
      <c r="AI69" s="117">
        <f>L31-AE69</f>
        <v>0</v>
      </c>
      <c r="AJ69" s="106"/>
      <c r="AK69" s="156">
        <f>ROUND((AI69/AE69)*100,1)</f>
        <v>0</v>
      </c>
      <c r="AL69" s="138"/>
      <c r="AM69" s="117"/>
      <c r="AN69" s="106"/>
      <c r="AO69" s="117">
        <f>AE69+AM69</f>
        <v>3556</v>
      </c>
      <c r="AP69" s="106"/>
      <c r="AQ69" s="156">
        <f>ROUND((AI69/AO69)*100,1)</f>
        <v>0</v>
      </c>
      <c r="AU69" s="218"/>
    </row>
    <row r="70" spans="3:47" ht="20.100000000000001" customHeight="1" x14ac:dyDescent="0.3">
      <c r="C70" s="99"/>
      <c r="F70" s="172"/>
      <c r="H70" s="172"/>
      <c r="I70" s="172"/>
      <c r="J70" s="181"/>
      <c r="K70" s="181"/>
      <c r="L70" s="110"/>
      <c r="M70" s="110"/>
      <c r="N70" s="141"/>
      <c r="O70" s="141"/>
      <c r="P70" s="110"/>
      <c r="Q70" s="110"/>
      <c r="R70" s="110"/>
      <c r="T70" s="98">
        <v>11</v>
      </c>
      <c r="V70" s="124" t="s">
        <v>461</v>
      </c>
      <c r="Y70" s="117"/>
      <c r="Z70" s="1"/>
      <c r="AA70" s="117"/>
      <c r="AB70" s="106"/>
      <c r="AC70" s="186"/>
      <c r="AD70" s="240"/>
      <c r="AE70" s="117">
        <f>SUM(AE68:AE69)</f>
        <v>3918</v>
      </c>
      <c r="AF70" s="106"/>
      <c r="AG70" s="158">
        <f>ROUND((AE70/AE$72)*100,1)</f>
        <v>3.9</v>
      </c>
      <c r="AH70" s="175"/>
      <c r="AI70" s="117">
        <f>SUM(AI68:AI69)</f>
        <v>16</v>
      </c>
      <c r="AJ70" s="106"/>
      <c r="AK70" s="158">
        <f>ROUND((AI70/AE70)*100,1)</f>
        <v>0.4</v>
      </c>
      <c r="AL70" s="138"/>
      <c r="AM70" s="117"/>
      <c r="AN70" s="106"/>
      <c r="AO70" s="117">
        <f>SUM(AO68:AO69)</f>
        <v>3918</v>
      </c>
      <c r="AP70" s="106"/>
      <c r="AQ70" s="156">
        <f>ROUND((AI70/AO70)*100,1)</f>
        <v>0.4</v>
      </c>
      <c r="AU70" s="218"/>
    </row>
    <row r="71" spans="3:47" x14ac:dyDescent="0.3">
      <c r="C71" s="99"/>
      <c r="F71" s="172"/>
      <c r="H71" s="172"/>
      <c r="I71" s="172"/>
      <c r="J71" s="181"/>
      <c r="K71" s="181"/>
      <c r="L71" s="110"/>
      <c r="M71" s="110"/>
      <c r="N71" s="141"/>
      <c r="O71" s="141"/>
      <c r="P71" s="110"/>
      <c r="Q71" s="110"/>
      <c r="R71" s="110"/>
      <c r="V71" s="99"/>
      <c r="Y71" s="106"/>
      <c r="Z71" s="1"/>
      <c r="AA71" s="106"/>
      <c r="AB71" s="106"/>
      <c r="AC71" s="186"/>
      <c r="AD71" s="240"/>
      <c r="AE71" s="106"/>
      <c r="AF71" s="106"/>
      <c r="AG71" s="154"/>
      <c r="AH71" s="175"/>
      <c r="AI71" s="106"/>
      <c r="AJ71" s="106"/>
      <c r="AK71" s="154"/>
      <c r="AL71" s="138"/>
      <c r="AM71" s="106"/>
      <c r="AN71" s="106"/>
      <c r="AO71" s="106"/>
      <c r="AP71" s="106"/>
      <c r="AQ71" s="154"/>
      <c r="AU71" s="218"/>
    </row>
    <row r="72" spans="3:47" ht="20.100000000000001" customHeight="1" thickBot="1" x14ac:dyDescent="0.35">
      <c r="C72" s="99"/>
      <c r="F72" s="110"/>
      <c r="H72" s="110"/>
      <c r="I72" s="110"/>
      <c r="J72" s="217"/>
      <c r="K72" s="217"/>
      <c r="L72" s="110"/>
      <c r="M72" s="110"/>
      <c r="N72" s="110"/>
      <c r="O72" s="110"/>
      <c r="P72" s="110"/>
      <c r="Q72" s="110"/>
      <c r="R72" s="110"/>
      <c r="T72" s="98">
        <v>12</v>
      </c>
      <c r="V72" s="124" t="s">
        <v>463</v>
      </c>
      <c r="Y72" s="120">
        <f>Y65</f>
        <v>1560</v>
      </c>
      <c r="Z72" s="1"/>
      <c r="AA72" s="120">
        <f>AA65</f>
        <v>1436827.8010000002</v>
      </c>
      <c r="AB72" s="106"/>
      <c r="AC72" s="3"/>
      <c r="AD72" s="1"/>
      <c r="AE72" s="120">
        <f>AE70+AE65</f>
        <v>100504</v>
      </c>
      <c r="AF72" s="106"/>
      <c r="AG72" s="162">
        <v>100</v>
      </c>
      <c r="AH72" s="175"/>
      <c r="AI72" s="120">
        <f>AI70+AI65</f>
        <v>13791</v>
      </c>
      <c r="AJ72" s="106"/>
      <c r="AK72" s="162">
        <f>ROUND((AI72/AE72)*100,1)</f>
        <v>13.7</v>
      </c>
      <c r="AL72" s="138"/>
      <c r="AM72" s="249">
        <f>ROUND(AA72*CUR_FAC,0)</f>
        <v>5011</v>
      </c>
      <c r="AN72" s="147"/>
      <c r="AO72" s="120">
        <f>AO70+AO65</f>
        <v>105515</v>
      </c>
      <c r="AP72" s="106"/>
      <c r="AQ72" s="162">
        <f>ROUND((AI72/AO72)*100,1)</f>
        <v>13.1</v>
      </c>
    </row>
    <row r="73" spans="3:47" ht="16.2" thickTop="1" x14ac:dyDescent="0.3">
      <c r="C73" s="99"/>
      <c r="F73" s="110"/>
      <c r="H73" s="110"/>
      <c r="I73" s="110"/>
      <c r="J73" s="217"/>
      <c r="K73" s="217"/>
      <c r="L73" s="110"/>
      <c r="M73" s="110"/>
      <c r="N73" s="110"/>
      <c r="O73" s="110"/>
      <c r="P73" s="110"/>
      <c r="Q73" s="110"/>
      <c r="R73" s="110"/>
      <c r="V73" s="99"/>
      <c r="Y73" s="106"/>
      <c r="Z73" s="1"/>
      <c r="AA73" s="106"/>
      <c r="AB73" s="106"/>
      <c r="AC73" s="3"/>
      <c r="AD73" s="1"/>
      <c r="AE73" s="106"/>
      <c r="AF73" s="106"/>
      <c r="AG73" s="154"/>
      <c r="AH73" s="175"/>
      <c r="AI73" s="106"/>
      <c r="AJ73" s="106"/>
      <c r="AK73" s="154"/>
      <c r="AL73" s="138"/>
      <c r="AM73" s="147"/>
      <c r="AN73" s="147"/>
      <c r="AO73" s="106"/>
      <c r="AP73" s="106"/>
      <c r="AQ73" s="154"/>
    </row>
    <row r="74" spans="3:47" x14ac:dyDescent="0.3">
      <c r="F74" s="110"/>
      <c r="H74" s="110"/>
      <c r="I74" s="110"/>
      <c r="J74" s="217"/>
      <c r="K74" s="217"/>
      <c r="L74" s="192"/>
      <c r="M74" s="192"/>
      <c r="N74" s="192"/>
      <c r="O74" s="192"/>
      <c r="P74" s="192"/>
      <c r="Q74" s="192"/>
      <c r="R74" s="192"/>
      <c r="V74" s="178" t="s">
        <v>76</v>
      </c>
      <c r="AC74" s="163"/>
    </row>
    <row r="75" spans="3:47" x14ac:dyDescent="0.3">
      <c r="F75" s="110"/>
      <c r="H75" s="110"/>
      <c r="I75" s="110"/>
      <c r="J75" s="217"/>
      <c r="K75" s="217"/>
      <c r="L75" s="192"/>
      <c r="M75" s="192"/>
      <c r="N75" s="192"/>
      <c r="O75" s="192"/>
      <c r="P75" s="192"/>
      <c r="Q75" s="192"/>
      <c r="R75" s="192"/>
      <c r="V75" s="178" t="str">
        <f>"(2) REFLECTS FUEL COMPONENT OF "&amp;TEXT(CUR_FAC,"$0.000000;($0.000000)")&amp;" PER KWH."</f>
        <v>(2) REFLECTS FUEL COMPONENT OF $0.003487 PER KWH.</v>
      </c>
      <c r="AC75" s="163"/>
    </row>
    <row r="76" spans="3:47" x14ac:dyDescent="0.3">
      <c r="C76" s="99"/>
      <c r="F76" s="110"/>
      <c r="H76" s="110"/>
      <c r="I76" s="110"/>
      <c r="J76" s="198"/>
      <c r="K76" s="198"/>
      <c r="L76" s="110"/>
      <c r="M76" s="110"/>
      <c r="N76" s="141"/>
      <c r="O76" s="141"/>
      <c r="P76" s="110"/>
      <c r="Q76" s="110"/>
      <c r="R76" s="110"/>
      <c r="V76" s="178" t="str">
        <f>"(3) REFLECTS FUEL COST RECOVERY INCLUDED IN BASE RATES OF "&amp;TEXT(CUR_BASE_FUEL,"$0.000000;($0.000000)")&amp;"  PER KWH."</f>
        <v>(3) REFLECTS FUEL COST RECOVERY INCLUDED IN BASE RATES OF $0.033780  PER KWH.</v>
      </c>
      <c r="Y76" s="110"/>
      <c r="AA76" s="110"/>
      <c r="AB76" s="110"/>
      <c r="AC76" s="163"/>
      <c r="AD76" s="198"/>
      <c r="AE76" s="110"/>
      <c r="AF76" s="110"/>
      <c r="AH76" s="110"/>
      <c r="AI76" s="110"/>
      <c r="AJ76" s="110"/>
      <c r="AL76" s="110"/>
      <c r="AM76" s="110"/>
      <c r="AN76" s="110"/>
      <c r="AO76" s="110"/>
      <c r="AP76" s="110"/>
    </row>
    <row r="77" spans="3:47" x14ac:dyDescent="0.3">
      <c r="C77" s="99"/>
      <c r="F77" s="110"/>
      <c r="H77" s="110"/>
      <c r="I77" s="110"/>
      <c r="J77" s="198"/>
      <c r="K77" s="198"/>
      <c r="L77" s="110"/>
      <c r="M77" s="110"/>
      <c r="N77" s="141"/>
      <c r="O77" s="141"/>
      <c r="P77" s="110"/>
      <c r="Q77" s="110"/>
      <c r="R77" s="110"/>
      <c r="T77" s="99"/>
      <c r="AC77" s="163"/>
    </row>
    <row r="78" spans="3:47" x14ac:dyDescent="0.3">
      <c r="C78" s="99"/>
      <c r="F78" s="110"/>
      <c r="H78" s="172"/>
      <c r="I78" s="172"/>
      <c r="J78" s="222"/>
      <c r="K78" s="222"/>
      <c r="L78" s="110"/>
      <c r="M78" s="110"/>
      <c r="N78" s="141"/>
      <c r="O78" s="141"/>
      <c r="P78" s="110"/>
      <c r="Q78" s="110"/>
      <c r="R78" s="110"/>
      <c r="AC78" s="163"/>
    </row>
    <row r="79" spans="3:47" x14ac:dyDescent="0.3">
      <c r="F79" s="192"/>
      <c r="H79" s="192"/>
      <c r="I79" s="192"/>
      <c r="J79" s="217"/>
      <c r="K79" s="217"/>
      <c r="L79" s="192"/>
      <c r="M79" s="192"/>
      <c r="N79" s="192"/>
      <c r="O79" s="192"/>
      <c r="P79" s="192"/>
      <c r="Q79" s="192"/>
      <c r="R79" s="192"/>
      <c r="V79" s="99"/>
      <c r="Y79" s="110"/>
      <c r="AA79" s="172"/>
      <c r="AB79" s="172"/>
      <c r="AC79" s="228"/>
      <c r="AD79" s="181"/>
      <c r="AE79" s="110"/>
      <c r="AF79" s="110"/>
      <c r="AH79" s="141"/>
      <c r="AI79" s="110"/>
      <c r="AJ79" s="110"/>
      <c r="AL79" s="207"/>
      <c r="AO79" s="110"/>
      <c r="AP79" s="110"/>
    </row>
    <row r="80" spans="3:47" x14ac:dyDescent="0.3">
      <c r="F80" s="192"/>
      <c r="H80" s="192"/>
      <c r="I80" s="192"/>
      <c r="J80" s="217"/>
      <c r="K80" s="217"/>
      <c r="L80" s="192"/>
      <c r="M80" s="192"/>
      <c r="N80" s="192"/>
      <c r="O80" s="192"/>
      <c r="P80" s="192"/>
      <c r="Q80" s="192"/>
      <c r="R80" s="192"/>
      <c r="S80" s="110"/>
      <c r="V80" s="99"/>
      <c r="Y80" s="172"/>
      <c r="AA80" s="172"/>
      <c r="AB80" s="172"/>
      <c r="AC80" s="228"/>
      <c r="AD80" s="227"/>
      <c r="AE80" s="110"/>
      <c r="AF80" s="110"/>
      <c r="AH80" s="141"/>
      <c r="AI80" s="110"/>
      <c r="AJ80" s="110"/>
      <c r="AL80" s="141"/>
      <c r="AM80" s="110"/>
      <c r="AN80" s="110"/>
      <c r="AO80" s="110"/>
      <c r="AP80" s="110"/>
    </row>
    <row r="81" spans="3:42" x14ac:dyDescent="0.3">
      <c r="C81" s="99"/>
      <c r="F81" s="172"/>
      <c r="H81" s="229"/>
      <c r="I81" s="229"/>
      <c r="J81" s="217"/>
      <c r="K81" s="217"/>
      <c r="L81" s="110"/>
      <c r="M81" s="110"/>
      <c r="N81" s="141"/>
      <c r="O81" s="141"/>
      <c r="P81" s="110"/>
      <c r="Q81" s="110"/>
      <c r="R81" s="110"/>
      <c r="S81" s="110"/>
      <c r="V81" s="99"/>
      <c r="Y81" s="172"/>
      <c r="AA81" s="110"/>
      <c r="AB81" s="110"/>
      <c r="AC81" s="181"/>
      <c r="AD81" s="181"/>
      <c r="AE81" s="110"/>
      <c r="AF81" s="110"/>
      <c r="AH81" s="141"/>
      <c r="AI81" s="110"/>
      <c r="AJ81" s="110"/>
      <c r="AL81" s="207"/>
      <c r="AM81" s="110"/>
      <c r="AN81" s="110"/>
      <c r="AO81" s="110"/>
      <c r="AP81" s="110"/>
    </row>
    <row r="82" spans="3:42" x14ac:dyDescent="0.3">
      <c r="V82" s="99"/>
      <c r="Y82" s="172"/>
      <c r="AA82" s="110"/>
      <c r="AB82" s="110"/>
      <c r="AC82" s="181"/>
      <c r="AD82" s="181"/>
      <c r="AE82" s="110"/>
      <c r="AF82" s="110"/>
      <c r="AH82" s="141"/>
      <c r="AI82" s="110"/>
      <c r="AJ82" s="110"/>
      <c r="AL82" s="207"/>
      <c r="AM82" s="110"/>
      <c r="AN82" s="110"/>
      <c r="AO82" s="110"/>
      <c r="AP82" s="110"/>
    </row>
    <row r="83" spans="3:42" x14ac:dyDescent="0.3">
      <c r="C83" s="99"/>
      <c r="F83" s="172"/>
      <c r="H83" s="172"/>
      <c r="I83" s="172"/>
      <c r="J83" s="181"/>
      <c r="K83" s="181"/>
      <c r="L83" s="110"/>
      <c r="M83" s="110"/>
      <c r="N83" s="141"/>
      <c r="O83" s="141"/>
      <c r="R83" s="110"/>
      <c r="V83" s="99"/>
      <c r="Y83" s="110"/>
      <c r="AA83" s="110"/>
      <c r="AB83" s="110"/>
      <c r="AC83" s="198"/>
      <c r="AD83" s="198"/>
      <c r="AE83" s="110"/>
      <c r="AF83" s="110"/>
      <c r="AH83" s="141"/>
      <c r="AI83" s="110"/>
      <c r="AJ83" s="110"/>
      <c r="AL83" s="207"/>
      <c r="AM83" s="110"/>
      <c r="AN83" s="110"/>
      <c r="AO83" s="110"/>
      <c r="AP83" s="110"/>
    </row>
    <row r="84" spans="3:42" x14ac:dyDescent="0.3">
      <c r="C84" s="99"/>
      <c r="F84" s="172"/>
      <c r="H84" s="172"/>
      <c r="I84" s="172"/>
      <c r="J84" s="181"/>
      <c r="K84" s="181"/>
      <c r="L84" s="110"/>
      <c r="M84" s="110"/>
      <c r="N84" s="141"/>
      <c r="O84" s="141"/>
      <c r="R84" s="110"/>
      <c r="V84" s="99"/>
      <c r="Y84" s="110"/>
      <c r="AA84" s="110"/>
      <c r="AB84" s="110"/>
      <c r="AC84" s="198"/>
      <c r="AD84" s="198"/>
      <c r="AE84" s="110"/>
      <c r="AF84" s="110"/>
      <c r="AH84" s="141"/>
      <c r="AI84" s="110"/>
      <c r="AJ84" s="110"/>
      <c r="AL84" s="207"/>
      <c r="AM84" s="110"/>
      <c r="AN84" s="110"/>
      <c r="AO84" s="110"/>
      <c r="AP84" s="110"/>
    </row>
    <row r="85" spans="3:42" x14ac:dyDescent="0.3">
      <c r="F85" s="192"/>
      <c r="H85" s="110"/>
      <c r="I85" s="110"/>
      <c r="J85" s="217"/>
      <c r="K85" s="217"/>
      <c r="L85" s="192"/>
      <c r="M85" s="192"/>
      <c r="N85" s="192"/>
      <c r="O85" s="192"/>
      <c r="P85" s="192"/>
      <c r="Q85" s="192"/>
      <c r="R85" s="192"/>
      <c r="V85" s="99"/>
      <c r="Y85" s="110"/>
      <c r="AA85" s="110"/>
      <c r="AB85" s="110"/>
      <c r="AC85" s="216"/>
      <c r="AD85" s="216"/>
      <c r="AE85" s="110"/>
      <c r="AF85" s="110"/>
      <c r="AH85" s="141"/>
      <c r="AI85" s="110"/>
      <c r="AJ85" s="110"/>
      <c r="AL85" s="207"/>
      <c r="AM85" s="110"/>
      <c r="AN85" s="110"/>
      <c r="AO85" s="110"/>
      <c r="AP85" s="110"/>
    </row>
    <row r="86" spans="3:42" x14ac:dyDescent="0.3">
      <c r="F86" s="192"/>
      <c r="H86" s="110"/>
      <c r="I86" s="110"/>
      <c r="J86" s="217"/>
      <c r="K86" s="217"/>
      <c r="L86" s="192"/>
      <c r="M86" s="192"/>
      <c r="N86" s="192"/>
      <c r="O86" s="192"/>
      <c r="P86" s="192"/>
      <c r="Q86" s="192"/>
      <c r="R86" s="192"/>
    </row>
    <row r="87" spans="3:42" x14ac:dyDescent="0.3">
      <c r="C87" s="99"/>
      <c r="F87" s="172"/>
      <c r="H87" s="172"/>
      <c r="I87" s="172"/>
      <c r="J87" s="227"/>
      <c r="K87" s="227"/>
      <c r="L87" s="110"/>
      <c r="M87" s="110"/>
      <c r="N87" s="141"/>
      <c r="O87" s="141"/>
      <c r="P87" s="110"/>
      <c r="Q87" s="110"/>
      <c r="R87" s="110"/>
      <c r="S87" s="110"/>
      <c r="V87" s="99"/>
      <c r="Y87" s="110"/>
      <c r="AA87" s="110"/>
      <c r="AB87" s="110"/>
      <c r="AC87" s="217"/>
      <c r="AD87" s="217"/>
      <c r="AE87" s="110"/>
      <c r="AF87" s="110"/>
      <c r="AH87" s="141"/>
      <c r="AI87" s="110"/>
      <c r="AJ87" s="110"/>
      <c r="AL87" s="141"/>
      <c r="AM87" s="110"/>
      <c r="AN87" s="110"/>
      <c r="AO87" s="110"/>
      <c r="AP87" s="110"/>
    </row>
    <row r="88" spans="3:42" x14ac:dyDescent="0.3">
      <c r="C88" s="99"/>
      <c r="F88" s="172"/>
      <c r="H88" s="172"/>
      <c r="I88" s="172"/>
      <c r="J88" s="181"/>
      <c r="K88" s="181"/>
      <c r="L88" s="110"/>
      <c r="M88" s="110"/>
      <c r="N88" s="141"/>
      <c r="O88" s="141"/>
      <c r="P88" s="110"/>
      <c r="Q88" s="110"/>
      <c r="R88" s="110"/>
      <c r="V88" s="99"/>
    </row>
    <row r="89" spans="3:42" x14ac:dyDescent="0.3">
      <c r="F89" s="110"/>
      <c r="H89" s="192"/>
      <c r="I89" s="192"/>
      <c r="J89" s="217"/>
      <c r="K89" s="217"/>
      <c r="L89" s="192"/>
      <c r="M89" s="192"/>
      <c r="N89" s="192"/>
      <c r="O89" s="192"/>
      <c r="P89" s="192"/>
      <c r="Q89" s="192"/>
      <c r="R89" s="192"/>
      <c r="V89" s="99"/>
      <c r="Y89" s="110"/>
      <c r="AA89" s="110"/>
      <c r="AB89" s="110"/>
      <c r="AE89" s="110"/>
      <c r="AF89" s="110"/>
      <c r="AH89" s="141"/>
      <c r="AI89" s="110"/>
      <c r="AJ89" s="110"/>
      <c r="AL89" s="141"/>
      <c r="AM89" s="172"/>
      <c r="AN89" s="172"/>
      <c r="AO89" s="110"/>
      <c r="AP89" s="110"/>
    </row>
    <row r="90" spans="3:42" x14ac:dyDescent="0.3">
      <c r="F90" s="110"/>
      <c r="H90" s="192"/>
      <c r="I90" s="192"/>
      <c r="J90" s="217"/>
      <c r="K90" s="217"/>
      <c r="L90" s="192"/>
      <c r="M90" s="192"/>
      <c r="N90" s="192"/>
      <c r="O90" s="192"/>
      <c r="P90" s="192"/>
      <c r="Q90" s="192"/>
      <c r="R90" s="192"/>
    </row>
    <row r="91" spans="3:42" x14ac:dyDescent="0.3">
      <c r="C91" s="99"/>
      <c r="F91" s="110"/>
      <c r="H91" s="110"/>
      <c r="I91" s="110"/>
      <c r="J91" s="217"/>
      <c r="K91" s="217"/>
      <c r="L91" s="110"/>
      <c r="M91" s="110"/>
      <c r="N91" s="110"/>
      <c r="O91" s="110"/>
      <c r="P91" s="110"/>
      <c r="Q91" s="110"/>
      <c r="R91" s="110"/>
      <c r="V91" s="99"/>
      <c r="AE91" s="110"/>
      <c r="AF91" s="110"/>
      <c r="AH91" s="110"/>
      <c r="AM91" s="110"/>
      <c r="AN91" s="110"/>
      <c r="AO91" s="110"/>
      <c r="AP91" s="110"/>
    </row>
    <row r="92" spans="3:42" x14ac:dyDescent="0.3">
      <c r="C92" s="99"/>
      <c r="F92" s="110"/>
      <c r="H92" s="172"/>
      <c r="I92" s="172"/>
      <c r="J92" s="228"/>
      <c r="K92" s="228"/>
      <c r="L92" s="110"/>
      <c r="M92" s="110"/>
      <c r="N92" s="141"/>
      <c r="O92" s="141"/>
      <c r="P92" s="110"/>
      <c r="Q92" s="110"/>
      <c r="R92" s="110"/>
      <c r="T92" s="99"/>
    </row>
    <row r="93" spans="3:42" x14ac:dyDescent="0.3">
      <c r="C93" s="99"/>
      <c r="H93" s="172"/>
      <c r="I93" s="172"/>
      <c r="J93" s="228"/>
      <c r="K93" s="228"/>
      <c r="L93" s="110"/>
      <c r="M93" s="110"/>
      <c r="N93" s="141"/>
      <c r="O93" s="141"/>
      <c r="P93" s="110"/>
      <c r="Q93" s="110"/>
      <c r="R93" s="110"/>
      <c r="T93" s="99"/>
      <c r="V93" s="172"/>
      <c r="Y93" s="172"/>
      <c r="Z93" s="227"/>
      <c r="AA93" s="110"/>
      <c r="AB93" s="110"/>
      <c r="AC93" s="141"/>
      <c r="AD93" s="141"/>
      <c r="AE93" s="110"/>
      <c r="AF93" s="110"/>
      <c r="AH93" s="141"/>
      <c r="AI93" s="110"/>
      <c r="AJ93" s="110"/>
      <c r="AL93" s="110"/>
      <c r="AM93" s="141"/>
      <c r="AN93" s="141"/>
    </row>
    <row r="94" spans="3:42" x14ac:dyDescent="0.3">
      <c r="F94" s="110"/>
      <c r="H94" s="110"/>
      <c r="I94" s="110"/>
      <c r="J94" s="217"/>
      <c r="K94" s="217"/>
      <c r="L94" s="192"/>
      <c r="M94" s="192"/>
      <c r="N94" s="192"/>
      <c r="O94" s="192"/>
      <c r="P94" s="192"/>
      <c r="Q94" s="192"/>
      <c r="R94" s="192"/>
      <c r="T94" s="99"/>
      <c r="V94" s="172"/>
      <c r="Y94" s="110"/>
      <c r="Z94" s="181"/>
      <c r="AA94" s="110"/>
      <c r="AB94" s="110"/>
      <c r="AC94" s="141"/>
      <c r="AD94" s="141"/>
      <c r="AE94" s="110"/>
      <c r="AF94" s="110"/>
      <c r="AH94" s="207"/>
      <c r="AI94" s="110"/>
      <c r="AJ94" s="110"/>
      <c r="AL94" s="110"/>
      <c r="AM94" s="141"/>
      <c r="AN94" s="141"/>
    </row>
    <row r="95" spans="3:42" x14ac:dyDescent="0.3">
      <c r="C95" s="99"/>
      <c r="F95" s="110"/>
      <c r="H95" s="110"/>
      <c r="I95" s="110"/>
      <c r="J95" s="198"/>
      <c r="K95" s="198"/>
      <c r="L95" s="110"/>
      <c r="M95" s="110"/>
      <c r="N95" s="141"/>
      <c r="O95" s="141"/>
      <c r="P95" s="110"/>
      <c r="Q95" s="110"/>
      <c r="R95" s="110"/>
      <c r="T95" s="99"/>
      <c r="V95" s="172"/>
      <c r="Y95" s="110"/>
      <c r="Z95" s="181"/>
      <c r="AA95" s="110"/>
      <c r="AB95" s="110"/>
      <c r="AC95" s="141"/>
      <c r="AD95" s="141"/>
      <c r="AE95" s="110"/>
      <c r="AF95" s="110"/>
      <c r="AH95" s="207"/>
      <c r="AI95" s="110"/>
      <c r="AJ95" s="110"/>
      <c r="AL95" s="110"/>
      <c r="AM95" s="141"/>
      <c r="AN95" s="141"/>
    </row>
    <row r="96" spans="3:42" x14ac:dyDescent="0.3">
      <c r="F96" s="110"/>
      <c r="H96" s="110"/>
      <c r="I96" s="110"/>
      <c r="J96" s="217"/>
      <c r="K96" s="217"/>
      <c r="L96" s="192"/>
      <c r="M96" s="192"/>
      <c r="N96" s="192"/>
      <c r="O96" s="192"/>
      <c r="P96" s="192"/>
      <c r="Q96" s="192"/>
      <c r="R96" s="192"/>
      <c r="V96" s="110"/>
      <c r="Y96" s="192"/>
      <c r="Z96" s="217"/>
      <c r="AA96" s="192"/>
      <c r="AB96" s="192"/>
      <c r="AC96" s="192"/>
      <c r="AD96" s="192"/>
      <c r="AE96" s="192"/>
      <c r="AF96" s="192"/>
      <c r="AI96" s="192"/>
      <c r="AJ96" s="192"/>
      <c r="AK96" s="194"/>
      <c r="AL96" s="192"/>
      <c r="AM96" s="141"/>
      <c r="AN96" s="141"/>
    </row>
    <row r="97" spans="1:40" x14ac:dyDescent="0.3">
      <c r="C97" s="99"/>
      <c r="F97" s="110"/>
      <c r="H97" s="110"/>
      <c r="I97" s="110"/>
      <c r="J97" s="198"/>
      <c r="K97" s="198"/>
      <c r="L97" s="110"/>
      <c r="M97" s="110"/>
      <c r="N97" s="141"/>
      <c r="O97" s="141"/>
      <c r="P97" s="110"/>
      <c r="Q97" s="110"/>
      <c r="R97" s="110"/>
      <c r="T97" s="99"/>
      <c r="V97" s="110"/>
      <c r="Y97" s="110"/>
      <c r="Z97" s="217"/>
      <c r="AA97" s="110"/>
      <c r="AB97" s="110"/>
      <c r="AC97" s="141"/>
      <c r="AD97" s="141"/>
      <c r="AE97" s="110"/>
      <c r="AF97" s="110"/>
      <c r="AH97" s="207"/>
      <c r="AI97" s="110"/>
      <c r="AJ97" s="110"/>
      <c r="AL97" s="110"/>
      <c r="AM97" s="141"/>
      <c r="AN97" s="141"/>
    </row>
    <row r="98" spans="1:40" x14ac:dyDescent="0.3">
      <c r="C98" s="99"/>
      <c r="F98" s="172"/>
      <c r="H98" s="172"/>
      <c r="I98" s="172"/>
      <c r="J98" s="222"/>
      <c r="K98" s="222"/>
      <c r="L98" s="110"/>
      <c r="M98" s="110"/>
      <c r="N98" s="141"/>
      <c r="O98" s="141"/>
      <c r="P98" s="110"/>
      <c r="Q98" s="110"/>
      <c r="R98" s="110"/>
      <c r="V98" s="110"/>
      <c r="Y98" s="192"/>
      <c r="Z98" s="217"/>
      <c r="AA98" s="192"/>
      <c r="AB98" s="192"/>
      <c r="AC98" s="192"/>
      <c r="AD98" s="192"/>
      <c r="AE98" s="192"/>
      <c r="AF98" s="192"/>
      <c r="AI98" s="192"/>
      <c r="AJ98" s="192"/>
      <c r="AK98" s="194"/>
      <c r="AL98" s="192"/>
      <c r="AM98" s="141"/>
      <c r="AN98" s="141"/>
    </row>
    <row r="99" spans="1:40" x14ac:dyDescent="0.3">
      <c r="F99" s="192"/>
      <c r="H99" s="192"/>
      <c r="I99" s="192"/>
      <c r="J99" s="217"/>
      <c r="K99" s="217"/>
      <c r="L99" s="192"/>
      <c r="M99" s="192"/>
      <c r="N99" s="192"/>
      <c r="O99" s="192"/>
      <c r="P99" s="192"/>
      <c r="Q99" s="192"/>
      <c r="R99" s="192"/>
      <c r="T99" s="99"/>
      <c r="V99" s="110"/>
      <c r="Y99" s="110"/>
      <c r="Z99" s="217"/>
      <c r="AA99" s="110"/>
      <c r="AB99" s="110"/>
      <c r="AC99" s="110"/>
      <c r="AD99" s="110"/>
      <c r="AE99" s="110"/>
      <c r="AF99" s="110"/>
      <c r="AH99" s="207"/>
      <c r="AI99" s="110"/>
      <c r="AJ99" s="110"/>
      <c r="AL99" s="110"/>
      <c r="AM99" s="141"/>
      <c r="AN99" s="141"/>
    </row>
    <row r="100" spans="1:40" x14ac:dyDescent="0.3">
      <c r="C100" s="99"/>
      <c r="F100" s="110"/>
      <c r="H100" s="110"/>
      <c r="I100" s="110"/>
      <c r="J100" s="217"/>
      <c r="K100" s="217"/>
      <c r="L100" s="110"/>
      <c r="M100" s="110"/>
      <c r="N100" s="141"/>
      <c r="O100" s="141"/>
      <c r="P100" s="110"/>
      <c r="Q100" s="110"/>
      <c r="R100" s="110"/>
      <c r="S100" s="110"/>
      <c r="T100" s="99"/>
      <c r="V100" s="110"/>
      <c r="Y100" s="110"/>
      <c r="Z100" s="228"/>
      <c r="AA100" s="110"/>
      <c r="AB100" s="110"/>
      <c r="AC100" s="141"/>
      <c r="AD100" s="141"/>
      <c r="AE100" s="110"/>
      <c r="AF100" s="110"/>
      <c r="AH100" s="207"/>
      <c r="AI100" s="110"/>
      <c r="AJ100" s="110"/>
      <c r="AL100" s="110"/>
      <c r="AM100" s="141"/>
      <c r="AN100" s="141"/>
    </row>
    <row r="101" spans="1:40" x14ac:dyDescent="0.3">
      <c r="F101" s="192"/>
      <c r="H101" s="192"/>
      <c r="I101" s="192"/>
      <c r="J101" s="217"/>
      <c r="K101" s="217"/>
      <c r="L101" s="192"/>
      <c r="M101" s="192"/>
      <c r="N101" s="192"/>
      <c r="O101" s="192"/>
      <c r="P101" s="192"/>
      <c r="Q101" s="192"/>
      <c r="R101" s="192"/>
      <c r="S101" s="110"/>
      <c r="T101" s="99"/>
      <c r="Y101" s="110"/>
      <c r="Z101" s="228"/>
      <c r="AA101" s="110"/>
      <c r="AB101" s="110"/>
      <c r="AC101" s="141"/>
      <c r="AD101" s="141"/>
      <c r="AE101" s="110"/>
      <c r="AF101" s="110"/>
      <c r="AH101" s="207"/>
      <c r="AI101" s="110"/>
      <c r="AJ101" s="110"/>
      <c r="AL101" s="110"/>
      <c r="AM101" s="141"/>
      <c r="AN101" s="141"/>
    </row>
    <row r="102" spans="1:40" x14ac:dyDescent="0.3">
      <c r="C102" s="99"/>
      <c r="V102" s="110"/>
      <c r="Y102" s="110"/>
      <c r="Z102" s="217"/>
      <c r="AA102" s="192"/>
      <c r="AB102" s="192"/>
      <c r="AC102" s="192"/>
      <c r="AD102" s="192"/>
      <c r="AE102" s="192"/>
      <c r="AF102" s="192"/>
      <c r="AI102" s="192"/>
      <c r="AJ102" s="192"/>
      <c r="AK102" s="194"/>
      <c r="AL102" s="192"/>
      <c r="AM102" s="141"/>
      <c r="AN102" s="141"/>
    </row>
    <row r="103" spans="1:40" x14ac:dyDescent="0.3">
      <c r="C103" s="99"/>
      <c r="F103" s="110"/>
      <c r="H103" s="110"/>
      <c r="I103" s="110"/>
      <c r="L103" s="110"/>
      <c r="M103" s="110"/>
      <c r="N103" s="141"/>
      <c r="O103" s="141"/>
      <c r="P103" s="172"/>
      <c r="Q103" s="172"/>
      <c r="R103" s="110"/>
      <c r="T103" s="99"/>
      <c r="V103" s="110"/>
      <c r="Y103" s="110"/>
      <c r="Z103" s="198"/>
      <c r="AA103" s="110"/>
      <c r="AB103" s="110"/>
      <c r="AC103" s="141"/>
      <c r="AD103" s="141"/>
      <c r="AE103" s="110"/>
      <c r="AF103" s="110"/>
      <c r="AH103" s="207"/>
      <c r="AI103" s="110"/>
      <c r="AJ103" s="110"/>
      <c r="AL103" s="110"/>
      <c r="AM103" s="141"/>
      <c r="AN103" s="141"/>
    </row>
    <row r="104" spans="1:40" x14ac:dyDescent="0.3">
      <c r="F104" s="192"/>
      <c r="H104" s="192"/>
      <c r="I104" s="192"/>
      <c r="J104" s="217"/>
      <c r="K104" s="217"/>
      <c r="L104" s="192"/>
      <c r="M104" s="192"/>
      <c r="N104" s="192"/>
      <c r="O104" s="192"/>
      <c r="P104" s="192"/>
      <c r="Q104" s="192"/>
      <c r="R104" s="192"/>
      <c r="V104" s="110"/>
      <c r="Y104" s="110"/>
      <c r="Z104" s="217"/>
      <c r="AA104" s="192"/>
      <c r="AB104" s="192"/>
      <c r="AC104" s="192"/>
      <c r="AD104" s="192"/>
      <c r="AE104" s="192"/>
      <c r="AF104" s="192"/>
      <c r="AI104" s="192"/>
      <c r="AJ104" s="192"/>
      <c r="AK104" s="194"/>
      <c r="AL104" s="192"/>
      <c r="AM104" s="141"/>
      <c r="AN104" s="141"/>
    </row>
    <row r="105" spans="1:40" x14ac:dyDescent="0.3">
      <c r="T105" s="99"/>
      <c r="V105" s="110"/>
      <c r="Y105" s="110"/>
      <c r="Z105" s="198"/>
      <c r="AA105" s="110"/>
      <c r="AB105" s="110"/>
      <c r="AC105" s="141"/>
      <c r="AD105" s="141"/>
      <c r="AE105" s="110"/>
      <c r="AF105" s="110"/>
      <c r="AH105" s="207"/>
      <c r="AI105" s="110"/>
      <c r="AJ105" s="110"/>
      <c r="AL105" s="110"/>
      <c r="AM105" s="141"/>
      <c r="AN105" s="141"/>
    </row>
    <row r="106" spans="1:40" x14ac:dyDescent="0.3">
      <c r="C106" s="99"/>
      <c r="L106" s="110"/>
      <c r="M106" s="110"/>
      <c r="N106" s="110"/>
      <c r="O106" s="110"/>
      <c r="P106" s="110"/>
      <c r="Q106" s="110"/>
      <c r="R106" s="110"/>
      <c r="S106" s="110"/>
      <c r="T106" s="99"/>
      <c r="V106" s="172"/>
      <c r="Y106" s="110"/>
      <c r="Z106" s="222"/>
      <c r="AA106" s="110"/>
      <c r="AB106" s="110"/>
      <c r="AC106" s="141"/>
      <c r="AD106" s="141"/>
      <c r="AE106" s="110"/>
      <c r="AF106" s="110"/>
      <c r="AH106" s="207"/>
      <c r="AI106" s="110"/>
      <c r="AJ106" s="110"/>
      <c r="AL106" s="110"/>
      <c r="AM106" s="141"/>
      <c r="AN106" s="141"/>
    </row>
    <row r="107" spans="1:40" x14ac:dyDescent="0.3">
      <c r="A107" s="99"/>
      <c r="V107" s="192"/>
      <c r="Y107" s="192"/>
      <c r="Z107" s="217"/>
      <c r="AA107" s="192"/>
      <c r="AB107" s="192"/>
      <c r="AC107" s="192"/>
      <c r="AD107" s="192"/>
      <c r="AE107" s="192"/>
      <c r="AF107" s="192"/>
      <c r="AI107" s="192"/>
      <c r="AJ107" s="192"/>
      <c r="AK107" s="194"/>
      <c r="AL107" s="192"/>
      <c r="AM107" s="141"/>
      <c r="AN107" s="141"/>
    </row>
    <row r="108" spans="1:40" x14ac:dyDescent="0.3">
      <c r="T108" s="99"/>
      <c r="V108" s="110"/>
      <c r="Y108" s="110"/>
      <c r="Z108" s="217"/>
      <c r="AA108" s="110"/>
      <c r="AB108" s="110"/>
      <c r="AC108" s="141"/>
      <c r="AD108" s="141"/>
      <c r="AE108" s="110"/>
      <c r="AF108" s="110"/>
      <c r="AH108" s="141"/>
      <c r="AI108" s="110"/>
      <c r="AJ108" s="110"/>
      <c r="AL108" s="110"/>
      <c r="AM108" s="141"/>
      <c r="AN108" s="141"/>
    </row>
    <row r="109" spans="1:40" x14ac:dyDescent="0.3">
      <c r="H109" s="99"/>
      <c r="I109" s="99"/>
      <c r="V109" s="192"/>
      <c r="Y109" s="192"/>
      <c r="Z109" s="217"/>
      <c r="AA109" s="192"/>
      <c r="AB109" s="192"/>
      <c r="AC109" s="192"/>
      <c r="AD109" s="192"/>
      <c r="AE109" s="192"/>
      <c r="AF109" s="192"/>
      <c r="AI109" s="192"/>
      <c r="AJ109" s="192"/>
      <c r="AK109" s="194"/>
      <c r="AL109" s="192"/>
      <c r="AM109" s="141"/>
      <c r="AN109" s="141"/>
    </row>
    <row r="110" spans="1:40" x14ac:dyDescent="0.3">
      <c r="T110" s="99"/>
    </row>
    <row r="111" spans="1:40" x14ac:dyDescent="0.3">
      <c r="L111" s="99"/>
      <c r="M111" s="99"/>
      <c r="AA111" s="99"/>
      <c r="AB111" s="99"/>
    </row>
    <row r="112" spans="1:40" x14ac:dyDescent="0.3">
      <c r="R112" s="99"/>
      <c r="AK112" s="190"/>
      <c r="AL112" s="99"/>
    </row>
    <row r="113" spans="1:40" x14ac:dyDescent="0.3">
      <c r="R113" s="99"/>
      <c r="AK113" s="190"/>
      <c r="AL113" s="99"/>
    </row>
    <row r="114" spans="1:40" x14ac:dyDescent="0.3">
      <c r="A114" s="99"/>
      <c r="R114" s="99"/>
      <c r="AK114" s="190"/>
      <c r="AL114" s="99"/>
    </row>
    <row r="115" spans="1:40" x14ac:dyDescent="0.3">
      <c r="L115" s="99"/>
      <c r="M115" s="99"/>
      <c r="AA115" s="99"/>
      <c r="AB115" s="99"/>
    </row>
    <row r="116" spans="1:40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91"/>
      <c r="AH116" s="101"/>
      <c r="AI116" s="101"/>
      <c r="AJ116" s="101"/>
      <c r="AK116" s="191"/>
      <c r="AL116" s="101"/>
      <c r="AM116" s="101"/>
      <c r="AN116" s="101"/>
    </row>
    <row r="117" spans="1:40" x14ac:dyDescent="0.3">
      <c r="L117" s="102"/>
      <c r="M117" s="102"/>
      <c r="N117" s="102"/>
      <c r="O117" s="102"/>
      <c r="R117" s="102"/>
      <c r="AA117" s="102"/>
      <c r="AB117" s="102"/>
      <c r="AC117" s="102"/>
      <c r="AD117" s="102"/>
      <c r="AE117" s="102"/>
      <c r="AF117" s="102"/>
      <c r="AG117" s="151"/>
      <c r="AH117" s="102"/>
      <c r="AK117" s="151"/>
      <c r="AL117" s="102"/>
      <c r="AM117" s="102"/>
      <c r="AN117" s="102"/>
    </row>
    <row r="118" spans="1:40" x14ac:dyDescent="0.3">
      <c r="L118" s="102"/>
      <c r="M118" s="102"/>
      <c r="N118" s="102"/>
      <c r="O118" s="102"/>
      <c r="R118" s="102"/>
      <c r="Z118" s="102"/>
      <c r="AA118" s="102"/>
      <c r="AB118" s="102"/>
      <c r="AC118" s="102"/>
      <c r="AD118" s="102"/>
      <c r="AE118" s="102"/>
      <c r="AF118" s="102"/>
      <c r="AG118" s="151"/>
      <c r="AH118" s="102"/>
      <c r="AK118" s="151"/>
      <c r="AL118" s="102"/>
      <c r="AM118" s="102"/>
      <c r="AN118" s="102"/>
    </row>
    <row r="119" spans="1:40" x14ac:dyDescent="0.3">
      <c r="A119" s="102"/>
      <c r="C119" s="102"/>
      <c r="D119" s="102"/>
      <c r="E119" s="102"/>
      <c r="F119" s="102"/>
      <c r="J119" s="102"/>
      <c r="K119" s="102"/>
      <c r="L119" s="102"/>
      <c r="M119" s="102"/>
      <c r="N119" s="102"/>
      <c r="O119" s="102"/>
      <c r="P119" s="102"/>
      <c r="Q119" s="102"/>
      <c r="R119" s="102"/>
      <c r="T119" s="102"/>
      <c r="U119" s="102"/>
      <c r="V119" s="102"/>
      <c r="Z119" s="102"/>
      <c r="AA119" s="102"/>
      <c r="AB119" s="102"/>
      <c r="AC119" s="102"/>
      <c r="AD119" s="102"/>
      <c r="AE119" s="102"/>
      <c r="AF119" s="102"/>
      <c r="AG119" s="151"/>
      <c r="AH119" s="102"/>
      <c r="AI119" s="102"/>
      <c r="AJ119" s="102"/>
      <c r="AK119" s="151"/>
      <c r="AL119" s="102"/>
      <c r="AM119" s="102"/>
      <c r="AN119" s="102"/>
    </row>
    <row r="120" spans="1:40" x14ac:dyDescent="0.3">
      <c r="A120" s="102"/>
      <c r="C120" s="102"/>
      <c r="D120" s="102"/>
      <c r="E120" s="102"/>
      <c r="F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T120" s="102"/>
      <c r="U120" s="102"/>
      <c r="V120" s="102"/>
      <c r="Y120" s="102"/>
      <c r="Z120" s="102"/>
      <c r="AA120" s="102"/>
      <c r="AB120" s="102"/>
      <c r="AC120" s="102"/>
      <c r="AD120" s="102"/>
      <c r="AE120" s="102"/>
      <c r="AF120" s="102"/>
      <c r="AG120" s="151"/>
      <c r="AH120" s="102"/>
      <c r="AI120" s="102"/>
      <c r="AJ120" s="102"/>
      <c r="AK120" s="151"/>
      <c r="AL120" s="102"/>
      <c r="AM120" s="102"/>
      <c r="AN120" s="102"/>
    </row>
    <row r="121" spans="1:40" x14ac:dyDescent="0.3">
      <c r="C121" s="102"/>
      <c r="D121" s="102"/>
      <c r="E121" s="102"/>
      <c r="F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T121" s="102"/>
      <c r="U121" s="102"/>
      <c r="V121" s="102"/>
      <c r="Y121" s="102"/>
      <c r="Z121" s="102"/>
      <c r="AA121" s="102"/>
      <c r="AB121" s="102"/>
      <c r="AC121" s="102"/>
      <c r="AD121" s="102"/>
      <c r="AE121" s="102"/>
      <c r="AF121" s="102"/>
      <c r="AG121" s="151"/>
      <c r="AH121" s="102"/>
      <c r="AI121" s="102"/>
      <c r="AJ121" s="102"/>
      <c r="AK121" s="151"/>
      <c r="AL121" s="102"/>
      <c r="AM121" s="102"/>
      <c r="AN121" s="102"/>
    </row>
    <row r="122" spans="1:40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91"/>
      <c r="AH122" s="101"/>
      <c r="AI122" s="101"/>
      <c r="AJ122" s="101"/>
      <c r="AK122" s="191"/>
      <c r="AL122" s="101"/>
      <c r="AM122" s="101"/>
      <c r="AN122" s="101"/>
    </row>
    <row r="123" spans="1:40" x14ac:dyDescent="0.3"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Y123" s="102"/>
      <c r="Z123" s="102"/>
      <c r="AA123" s="102"/>
      <c r="AB123" s="102"/>
      <c r="AC123" s="102"/>
      <c r="AD123" s="102"/>
      <c r="AE123" s="102"/>
      <c r="AF123" s="102"/>
      <c r="AG123" s="151"/>
      <c r="AH123" s="102"/>
      <c r="AI123" s="102"/>
      <c r="AJ123" s="102"/>
      <c r="AK123" s="151"/>
      <c r="AL123" s="102"/>
      <c r="AM123" s="102"/>
      <c r="AN123" s="102"/>
    </row>
    <row r="124" spans="1:40" x14ac:dyDescent="0.3">
      <c r="C124" s="99"/>
      <c r="D124" s="99"/>
      <c r="E124" s="99"/>
      <c r="T124" s="99"/>
      <c r="U124" s="99"/>
    </row>
    <row r="125" spans="1:40" x14ac:dyDescent="0.3">
      <c r="D125" s="99"/>
      <c r="E125" s="99"/>
      <c r="U125" s="99"/>
    </row>
    <row r="127" spans="1:40" x14ac:dyDescent="0.3">
      <c r="C127" s="99"/>
      <c r="F127" s="172"/>
      <c r="H127" s="172"/>
      <c r="I127" s="172"/>
      <c r="J127" s="181"/>
      <c r="K127" s="181"/>
      <c r="L127" s="110"/>
      <c r="M127" s="110"/>
      <c r="N127" s="141"/>
      <c r="O127" s="141"/>
      <c r="R127" s="110"/>
      <c r="T127" s="99"/>
      <c r="V127" s="110"/>
      <c r="Y127" s="172"/>
      <c r="Z127" s="181"/>
      <c r="AA127" s="110"/>
      <c r="AB127" s="110"/>
      <c r="AC127" s="141"/>
      <c r="AD127" s="141"/>
      <c r="AE127" s="110"/>
      <c r="AF127" s="110"/>
      <c r="AG127" s="224"/>
      <c r="AH127" s="225"/>
      <c r="AL127" s="110"/>
      <c r="AM127" s="226"/>
      <c r="AN127" s="226"/>
    </row>
    <row r="128" spans="1:40" x14ac:dyDescent="0.3">
      <c r="C128" s="99"/>
      <c r="F128" s="172"/>
      <c r="H128" s="172"/>
      <c r="I128" s="172"/>
      <c r="J128" s="181"/>
      <c r="K128" s="181"/>
      <c r="L128" s="110"/>
      <c r="M128" s="110"/>
      <c r="N128" s="141"/>
      <c r="O128" s="141"/>
      <c r="R128" s="110"/>
      <c r="T128" s="99"/>
      <c r="V128" s="110"/>
      <c r="Y128" s="172"/>
      <c r="Z128" s="181"/>
      <c r="AA128" s="110"/>
      <c r="AB128" s="110"/>
      <c r="AC128" s="141"/>
      <c r="AD128" s="141"/>
      <c r="AE128" s="110"/>
      <c r="AF128" s="110"/>
      <c r="AH128" s="207"/>
      <c r="AL128" s="110"/>
      <c r="AM128" s="141"/>
      <c r="AN128" s="141"/>
    </row>
    <row r="129" spans="3:40" x14ac:dyDescent="0.3">
      <c r="F129" s="192"/>
      <c r="H129" s="110"/>
      <c r="I129" s="110"/>
      <c r="J129" s="217"/>
      <c r="K129" s="217"/>
      <c r="L129" s="192"/>
      <c r="M129" s="192"/>
      <c r="N129" s="192"/>
      <c r="O129" s="192"/>
      <c r="P129" s="192"/>
      <c r="Q129" s="192"/>
      <c r="R129" s="192"/>
      <c r="V129" s="192"/>
      <c r="Y129" s="110"/>
      <c r="Z129" s="217"/>
      <c r="AA129" s="192"/>
      <c r="AB129" s="192"/>
      <c r="AC129" s="192"/>
      <c r="AD129" s="192"/>
      <c r="AE129" s="192"/>
      <c r="AF129" s="192"/>
      <c r="AI129" s="192"/>
      <c r="AJ129" s="192"/>
      <c r="AK129" s="194"/>
      <c r="AL129" s="192"/>
      <c r="AM129" s="141"/>
      <c r="AN129" s="141"/>
    </row>
    <row r="130" spans="3:40" x14ac:dyDescent="0.3">
      <c r="C130" s="99"/>
      <c r="F130" s="110"/>
      <c r="H130" s="110"/>
      <c r="I130" s="110"/>
      <c r="J130" s="217"/>
      <c r="K130" s="217"/>
      <c r="L130" s="110"/>
      <c r="M130" s="110"/>
      <c r="N130" s="141"/>
      <c r="O130" s="141"/>
      <c r="P130" s="110"/>
      <c r="Q130" s="110"/>
      <c r="R130" s="110"/>
      <c r="T130" s="99"/>
      <c r="V130" s="110"/>
      <c r="Y130" s="110"/>
      <c r="Z130" s="198"/>
      <c r="AA130" s="110"/>
      <c r="AB130" s="110"/>
      <c r="AC130" s="141"/>
      <c r="AD130" s="141"/>
      <c r="AE130" s="110"/>
      <c r="AF130" s="110"/>
      <c r="AH130" s="207"/>
      <c r="AI130" s="110"/>
      <c r="AJ130" s="110"/>
      <c r="AL130" s="110"/>
      <c r="AM130" s="141"/>
      <c r="AN130" s="141"/>
    </row>
    <row r="131" spans="3:40" x14ac:dyDescent="0.3">
      <c r="F131" s="192"/>
      <c r="H131" s="110"/>
      <c r="I131" s="110"/>
      <c r="J131" s="217"/>
      <c r="K131" s="217"/>
      <c r="L131" s="192"/>
      <c r="M131" s="192"/>
      <c r="N131" s="192"/>
      <c r="O131" s="192"/>
      <c r="P131" s="192"/>
      <c r="Q131" s="192"/>
      <c r="R131" s="192"/>
      <c r="V131" s="192"/>
      <c r="Y131" s="110"/>
      <c r="Z131" s="217"/>
      <c r="AA131" s="192"/>
      <c r="AB131" s="192"/>
      <c r="AC131" s="192"/>
      <c r="AD131" s="192"/>
      <c r="AE131" s="192"/>
      <c r="AF131" s="192"/>
      <c r="AI131" s="192"/>
      <c r="AJ131" s="192"/>
      <c r="AK131" s="194"/>
      <c r="AL131" s="192"/>
      <c r="AM131" s="141"/>
      <c r="AN131" s="141"/>
    </row>
    <row r="132" spans="3:40" x14ac:dyDescent="0.3">
      <c r="F132" s="110"/>
      <c r="H132" s="110"/>
      <c r="I132" s="110"/>
      <c r="J132" s="217"/>
      <c r="K132" s="217"/>
      <c r="L132" s="110"/>
      <c r="M132" s="110"/>
      <c r="N132" s="141"/>
      <c r="O132" s="141"/>
      <c r="P132" s="110"/>
      <c r="Q132" s="110"/>
      <c r="R132" s="110"/>
      <c r="V132" s="110"/>
      <c r="Y132" s="110"/>
      <c r="Z132" s="198"/>
      <c r="AA132" s="110"/>
      <c r="AB132" s="110"/>
      <c r="AC132" s="141"/>
      <c r="AD132" s="141"/>
      <c r="AE132" s="110"/>
      <c r="AF132" s="110"/>
      <c r="AH132" s="207"/>
      <c r="AI132" s="110"/>
      <c r="AJ132" s="110"/>
      <c r="AL132" s="110"/>
      <c r="AM132" s="141"/>
      <c r="AN132" s="141"/>
    </row>
    <row r="133" spans="3:40" x14ac:dyDescent="0.3">
      <c r="C133" s="99"/>
      <c r="F133" s="172"/>
      <c r="H133" s="172"/>
      <c r="I133" s="172"/>
      <c r="J133" s="181"/>
      <c r="K133" s="181"/>
      <c r="L133" s="110"/>
      <c r="M133" s="110"/>
      <c r="N133" s="141"/>
      <c r="O133" s="141"/>
      <c r="P133" s="110"/>
      <c r="Q133" s="110"/>
      <c r="R133" s="110"/>
      <c r="T133" s="99"/>
      <c r="V133" s="172"/>
      <c r="Y133" s="110"/>
      <c r="Z133" s="181"/>
      <c r="AA133" s="110"/>
      <c r="AB133" s="110"/>
      <c r="AC133" s="141"/>
      <c r="AD133" s="141"/>
      <c r="AE133" s="110"/>
      <c r="AF133" s="110"/>
      <c r="AG133" s="224"/>
      <c r="AH133" s="225"/>
      <c r="AI133" s="110"/>
      <c r="AJ133" s="110"/>
      <c r="AL133" s="110"/>
      <c r="AM133" s="226"/>
      <c r="AN133" s="226"/>
    </row>
    <row r="134" spans="3:40" x14ac:dyDescent="0.3">
      <c r="C134" s="99"/>
      <c r="F134" s="172"/>
      <c r="H134" s="172"/>
      <c r="I134" s="172"/>
      <c r="J134" s="181"/>
      <c r="K134" s="181"/>
      <c r="L134" s="110"/>
      <c r="M134" s="110"/>
      <c r="N134" s="141"/>
      <c r="O134" s="141"/>
      <c r="P134" s="110"/>
      <c r="Q134" s="110"/>
      <c r="R134" s="110"/>
      <c r="T134" s="99"/>
      <c r="V134" s="172"/>
      <c r="Y134" s="110"/>
      <c r="Z134" s="181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F135" s="110"/>
      <c r="H135" s="192"/>
      <c r="I135" s="192"/>
      <c r="J135" s="217"/>
      <c r="K135" s="217"/>
      <c r="L135" s="192"/>
      <c r="M135" s="192"/>
      <c r="N135" s="192"/>
      <c r="O135" s="192"/>
      <c r="P135" s="192"/>
      <c r="Q135" s="192"/>
      <c r="R135" s="192"/>
      <c r="V135" s="110"/>
      <c r="Y135" s="192"/>
      <c r="Z135" s="217"/>
      <c r="AA135" s="192"/>
      <c r="AB135" s="192"/>
      <c r="AC135" s="192"/>
      <c r="AD135" s="192"/>
      <c r="AE135" s="192"/>
      <c r="AF135" s="192"/>
      <c r="AI135" s="192"/>
      <c r="AJ135" s="192"/>
      <c r="AK135" s="194"/>
      <c r="AL135" s="192"/>
      <c r="AM135" s="141"/>
      <c r="AN135" s="141"/>
    </row>
    <row r="136" spans="3:40" x14ac:dyDescent="0.3">
      <c r="C136" s="99"/>
      <c r="F136" s="110"/>
      <c r="H136" s="110"/>
      <c r="I136" s="110"/>
      <c r="J136" s="217"/>
      <c r="K136" s="217"/>
      <c r="L136" s="110"/>
      <c r="M136" s="110"/>
      <c r="N136" s="141"/>
      <c r="O136" s="141"/>
      <c r="P136" s="110"/>
      <c r="Q136" s="110"/>
      <c r="R136" s="110"/>
      <c r="T136" s="99"/>
      <c r="V136" s="110"/>
      <c r="Y136" s="110"/>
      <c r="Z136" s="217"/>
      <c r="AA136" s="110"/>
      <c r="AB136" s="110"/>
      <c r="AC136" s="141"/>
      <c r="AD136" s="141"/>
      <c r="AE136" s="110"/>
      <c r="AF136" s="110"/>
      <c r="AH136" s="207"/>
      <c r="AI136" s="110"/>
      <c r="AJ136" s="110"/>
      <c r="AL136" s="110"/>
      <c r="AM136" s="141"/>
      <c r="AN136" s="141"/>
    </row>
    <row r="137" spans="3:40" x14ac:dyDescent="0.3">
      <c r="F137" s="110"/>
      <c r="H137" s="192"/>
      <c r="I137" s="192"/>
      <c r="J137" s="217"/>
      <c r="K137" s="217"/>
      <c r="L137" s="192"/>
      <c r="M137" s="192"/>
      <c r="N137" s="192"/>
      <c r="O137" s="192"/>
      <c r="P137" s="192"/>
      <c r="Q137" s="192"/>
      <c r="R137" s="192"/>
      <c r="V137" s="110"/>
      <c r="Y137" s="192"/>
      <c r="Z137" s="217"/>
      <c r="AA137" s="192"/>
      <c r="AB137" s="192"/>
      <c r="AC137" s="192"/>
      <c r="AD137" s="192"/>
      <c r="AE137" s="192"/>
      <c r="AF137" s="192"/>
      <c r="AI137" s="192"/>
      <c r="AJ137" s="192"/>
      <c r="AK137" s="194"/>
      <c r="AL137" s="192"/>
      <c r="AM137" s="141"/>
      <c r="AN137" s="141"/>
    </row>
    <row r="138" spans="3:40" x14ac:dyDescent="0.3">
      <c r="F138" s="110"/>
      <c r="H138" s="110"/>
      <c r="I138" s="110"/>
      <c r="J138" s="217"/>
      <c r="K138" s="217"/>
      <c r="L138" s="110"/>
      <c r="M138" s="110"/>
      <c r="N138" s="110"/>
      <c r="O138" s="110"/>
      <c r="P138" s="110"/>
      <c r="Q138" s="110"/>
      <c r="R138" s="110"/>
      <c r="V138" s="110"/>
      <c r="Y138" s="110"/>
      <c r="Z138" s="217"/>
      <c r="AA138" s="110"/>
      <c r="AB138" s="110"/>
      <c r="AC138" s="110"/>
      <c r="AD138" s="110"/>
      <c r="AE138" s="110"/>
      <c r="AF138" s="110"/>
      <c r="AH138" s="207"/>
      <c r="AI138" s="110"/>
      <c r="AJ138" s="110"/>
      <c r="AL138" s="110"/>
      <c r="AM138" s="141"/>
      <c r="AN138" s="141"/>
    </row>
    <row r="139" spans="3:40" x14ac:dyDescent="0.3">
      <c r="C139" s="99"/>
      <c r="F139" s="172"/>
      <c r="H139" s="172"/>
      <c r="I139" s="172"/>
      <c r="J139" s="222"/>
      <c r="K139" s="222"/>
      <c r="L139" s="110"/>
      <c r="M139" s="110"/>
      <c r="N139" s="141"/>
      <c r="O139" s="141"/>
      <c r="P139" s="172"/>
      <c r="Q139" s="172"/>
      <c r="R139" s="110"/>
      <c r="T139" s="99"/>
      <c r="V139" s="172"/>
      <c r="Y139" s="172"/>
      <c r="Z139" s="227"/>
      <c r="AA139" s="110"/>
      <c r="AB139" s="110"/>
      <c r="AC139" s="141"/>
      <c r="AD139" s="141"/>
      <c r="AE139" s="110"/>
      <c r="AF139" s="110"/>
      <c r="AH139" s="207"/>
      <c r="AI139" s="172"/>
      <c r="AJ139" s="172"/>
      <c r="AL139" s="110"/>
      <c r="AM139" s="141"/>
      <c r="AN139" s="141"/>
    </row>
    <row r="140" spans="3:40" x14ac:dyDescent="0.3">
      <c r="C140" s="99"/>
      <c r="F140" s="172"/>
      <c r="H140" s="172"/>
      <c r="I140" s="172"/>
      <c r="J140" s="222"/>
      <c r="K140" s="222"/>
      <c r="L140" s="110"/>
      <c r="M140" s="110"/>
      <c r="N140" s="141"/>
      <c r="O140" s="141"/>
      <c r="P140" s="172"/>
      <c r="Q140" s="172"/>
      <c r="R140" s="110"/>
      <c r="T140" s="99"/>
      <c r="V140" s="172"/>
      <c r="Y140" s="110"/>
      <c r="Z140" s="216"/>
      <c r="AA140" s="110"/>
      <c r="AB140" s="110"/>
      <c r="AC140" s="141"/>
      <c r="AD140" s="141"/>
      <c r="AE140" s="110"/>
      <c r="AF140" s="110"/>
      <c r="AH140" s="207"/>
      <c r="AI140" s="172"/>
      <c r="AJ140" s="172"/>
      <c r="AL140" s="110"/>
      <c r="AM140" s="141"/>
      <c r="AN140" s="141"/>
    </row>
    <row r="141" spans="3:40" x14ac:dyDescent="0.3">
      <c r="C141" s="99"/>
      <c r="F141" s="172"/>
      <c r="H141" s="172"/>
      <c r="I141" s="172"/>
      <c r="J141" s="222"/>
      <c r="K141" s="222"/>
      <c r="L141" s="110"/>
      <c r="M141" s="110"/>
      <c r="N141" s="141"/>
      <c r="O141" s="141"/>
      <c r="P141" s="172"/>
      <c r="Q141" s="172"/>
      <c r="R141" s="110"/>
      <c r="T141" s="99"/>
      <c r="V141" s="172"/>
      <c r="Y141" s="110"/>
      <c r="Z141" s="216"/>
      <c r="AA141" s="110"/>
      <c r="AB141" s="110"/>
      <c r="AC141" s="141"/>
      <c r="AD141" s="141"/>
      <c r="AE141" s="110"/>
      <c r="AF141" s="110"/>
      <c r="AH141" s="207"/>
      <c r="AI141" s="172"/>
      <c r="AJ141" s="172"/>
      <c r="AL141" s="110"/>
      <c r="AM141" s="141"/>
      <c r="AN141" s="141"/>
    </row>
    <row r="142" spans="3:40" x14ac:dyDescent="0.3">
      <c r="F142" s="192"/>
      <c r="H142" s="192"/>
      <c r="I142" s="192"/>
      <c r="J142" s="217"/>
      <c r="K142" s="217"/>
      <c r="L142" s="192"/>
      <c r="M142" s="192"/>
      <c r="N142" s="192"/>
      <c r="O142" s="192"/>
      <c r="P142" s="192"/>
      <c r="Q142" s="192"/>
      <c r="R142" s="192"/>
      <c r="V142" s="192"/>
      <c r="Y142" s="192"/>
      <c r="Z142" s="217"/>
      <c r="AA142" s="192"/>
      <c r="AB142" s="192"/>
      <c r="AC142" s="192"/>
      <c r="AD142" s="192"/>
      <c r="AE142" s="192"/>
      <c r="AF142" s="192"/>
      <c r="AI142" s="192"/>
      <c r="AJ142" s="192"/>
      <c r="AK142" s="194"/>
      <c r="AL142" s="192"/>
      <c r="AM142" s="141"/>
      <c r="AN142" s="141"/>
    </row>
    <row r="143" spans="3:40" x14ac:dyDescent="0.3">
      <c r="C143" s="99"/>
      <c r="F143" s="110"/>
      <c r="H143" s="110"/>
      <c r="I143" s="110"/>
      <c r="J143" s="198"/>
      <c r="K143" s="198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198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F144" s="192"/>
      <c r="H144" s="192"/>
      <c r="I144" s="192"/>
      <c r="J144" s="217"/>
      <c r="K144" s="217"/>
      <c r="L144" s="192"/>
      <c r="M144" s="192"/>
      <c r="N144" s="192"/>
      <c r="O144" s="192"/>
      <c r="P144" s="192"/>
      <c r="Q144" s="192"/>
      <c r="R144" s="192"/>
      <c r="V144" s="192"/>
      <c r="Y144" s="192"/>
      <c r="Z144" s="217"/>
      <c r="AA144" s="192"/>
      <c r="AB144" s="192"/>
      <c r="AC144" s="192"/>
      <c r="AD144" s="192"/>
      <c r="AE144" s="192"/>
      <c r="AF144" s="192"/>
      <c r="AI144" s="192"/>
      <c r="AJ144" s="192"/>
      <c r="AK144" s="194"/>
      <c r="AL144" s="192"/>
      <c r="AM144" s="141"/>
      <c r="AN144" s="141"/>
    </row>
    <row r="145" spans="1:40" x14ac:dyDescent="0.3">
      <c r="C145" s="99"/>
      <c r="F145" s="110"/>
      <c r="H145" s="110"/>
      <c r="I145" s="110"/>
      <c r="J145" s="198"/>
      <c r="K145" s="198"/>
      <c r="L145" s="110"/>
      <c r="M145" s="110"/>
      <c r="N145" s="141"/>
      <c r="O145" s="141"/>
      <c r="P145" s="110"/>
      <c r="Q145" s="110"/>
      <c r="R145" s="110"/>
      <c r="T145" s="99"/>
      <c r="V145" s="110"/>
      <c r="Y145" s="110"/>
      <c r="Z145" s="198"/>
      <c r="AA145" s="110"/>
      <c r="AB145" s="110"/>
      <c r="AC145" s="141"/>
      <c r="AD145" s="141"/>
      <c r="AE145" s="110"/>
      <c r="AF145" s="110"/>
      <c r="AH145" s="207"/>
      <c r="AI145" s="110"/>
      <c r="AJ145" s="110"/>
      <c r="AL145" s="110"/>
      <c r="AM145" s="141"/>
      <c r="AN145" s="141"/>
    </row>
    <row r="146" spans="1:40" x14ac:dyDescent="0.3">
      <c r="C146" s="99"/>
      <c r="F146" s="110"/>
      <c r="H146" s="110"/>
      <c r="I146" s="110"/>
      <c r="J146" s="198"/>
      <c r="K146" s="198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19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1:40" x14ac:dyDescent="0.3">
      <c r="F147" s="192"/>
      <c r="H147" s="192"/>
      <c r="I147" s="192"/>
      <c r="J147" s="217"/>
      <c r="K147" s="217"/>
      <c r="L147" s="192"/>
      <c r="M147" s="192"/>
      <c r="N147" s="192"/>
      <c r="O147" s="192"/>
      <c r="P147" s="192"/>
      <c r="Q147" s="192"/>
      <c r="R147" s="192"/>
      <c r="V147" s="192"/>
      <c r="Y147" s="192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10"/>
      <c r="AN147" s="110"/>
    </row>
    <row r="148" spans="1:40" x14ac:dyDescent="0.3">
      <c r="F148" s="110"/>
      <c r="H148" s="110"/>
      <c r="I148" s="110"/>
      <c r="J148" s="198"/>
      <c r="K148" s="198"/>
      <c r="L148" s="110"/>
      <c r="M148" s="110"/>
      <c r="N148" s="110"/>
      <c r="O148" s="110"/>
      <c r="P148" s="110"/>
      <c r="Q148" s="110"/>
      <c r="R148" s="110"/>
      <c r="V148" s="110"/>
      <c r="Y148" s="110"/>
      <c r="Z148" s="198"/>
      <c r="AA148" s="110"/>
      <c r="AB148" s="110"/>
      <c r="AC148" s="110"/>
      <c r="AD148" s="110"/>
    </row>
    <row r="149" spans="1:40" x14ac:dyDescent="0.3">
      <c r="C149" s="99"/>
      <c r="F149" s="110"/>
      <c r="H149" s="110"/>
      <c r="I149" s="110"/>
      <c r="J149" s="198"/>
      <c r="K149" s="198"/>
      <c r="L149" s="110"/>
      <c r="M149" s="110"/>
      <c r="N149" s="110"/>
      <c r="O149" s="110"/>
      <c r="P149" s="110"/>
      <c r="Q149" s="110"/>
      <c r="R149" s="110"/>
      <c r="T149" s="99"/>
      <c r="V149" s="110"/>
      <c r="Y149" s="110"/>
      <c r="Z149" s="198"/>
      <c r="AA149" s="110"/>
      <c r="AB149" s="110"/>
      <c r="AC149" s="110"/>
      <c r="AD149" s="110"/>
    </row>
    <row r="150" spans="1:40" x14ac:dyDescent="0.3">
      <c r="A150" s="99"/>
    </row>
    <row r="152" spans="1:40" x14ac:dyDescent="0.3">
      <c r="H152" s="99"/>
      <c r="I152" s="99"/>
      <c r="Y152" s="99"/>
    </row>
    <row r="154" spans="1:40" x14ac:dyDescent="0.3">
      <c r="L154" s="99"/>
      <c r="M154" s="99"/>
      <c r="AA154" s="99"/>
      <c r="AB154" s="99"/>
    </row>
    <row r="155" spans="1:40" x14ac:dyDescent="0.3">
      <c r="R155" s="99"/>
      <c r="AK155" s="190"/>
      <c r="AL155" s="99"/>
    </row>
    <row r="156" spans="1:40" x14ac:dyDescent="0.3">
      <c r="R156" s="99"/>
      <c r="AK156" s="190"/>
      <c r="AL156" s="99"/>
    </row>
    <row r="157" spans="1:40" x14ac:dyDescent="0.3">
      <c r="A157" s="99"/>
      <c r="R157" s="99"/>
      <c r="AK157" s="190"/>
      <c r="AL157" s="99"/>
    </row>
    <row r="158" spans="1:40" x14ac:dyDescent="0.3">
      <c r="L158" s="99"/>
      <c r="M158" s="99"/>
      <c r="AA158" s="99"/>
      <c r="AB158" s="99"/>
    </row>
    <row r="159" spans="1:40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91"/>
      <c r="AH159" s="101"/>
      <c r="AI159" s="101"/>
      <c r="AJ159" s="101"/>
      <c r="AK159" s="191"/>
      <c r="AL159" s="101"/>
      <c r="AM159" s="101"/>
      <c r="AN159" s="101"/>
    </row>
    <row r="160" spans="1:40" x14ac:dyDescent="0.3">
      <c r="L160" s="102"/>
      <c r="M160" s="102"/>
      <c r="N160" s="102"/>
      <c r="O160" s="102"/>
      <c r="R160" s="102"/>
      <c r="AA160" s="102"/>
      <c r="AB160" s="102"/>
      <c r="AC160" s="102"/>
      <c r="AD160" s="102"/>
      <c r="AE160" s="102"/>
      <c r="AF160" s="102"/>
      <c r="AG160" s="151"/>
      <c r="AH160" s="102"/>
      <c r="AK160" s="151"/>
      <c r="AL160" s="102"/>
      <c r="AM160" s="102"/>
      <c r="AN160" s="102"/>
    </row>
    <row r="161" spans="1:40" x14ac:dyDescent="0.3">
      <c r="L161" s="102"/>
      <c r="M161" s="102"/>
      <c r="N161" s="102"/>
      <c r="O161" s="102"/>
      <c r="R161" s="102"/>
      <c r="Z161" s="102"/>
      <c r="AA161" s="102"/>
      <c r="AB161" s="102"/>
      <c r="AC161" s="102"/>
      <c r="AD161" s="102"/>
      <c r="AE161" s="102"/>
      <c r="AF161" s="102"/>
      <c r="AG161" s="151"/>
      <c r="AH161" s="102"/>
      <c r="AK161" s="151"/>
      <c r="AL161" s="102"/>
      <c r="AM161" s="102"/>
      <c r="AN161" s="102"/>
    </row>
    <row r="162" spans="1:40" x14ac:dyDescent="0.3">
      <c r="A162" s="102"/>
      <c r="C162" s="102"/>
      <c r="D162" s="102"/>
      <c r="E162" s="102"/>
      <c r="F162" s="102"/>
      <c r="J162" s="102"/>
      <c r="K162" s="102"/>
      <c r="L162" s="102"/>
      <c r="M162" s="102"/>
      <c r="N162" s="102"/>
      <c r="O162" s="102"/>
      <c r="P162" s="102"/>
      <c r="Q162" s="102"/>
      <c r="R162" s="102"/>
      <c r="T162" s="102"/>
      <c r="U162" s="102"/>
      <c r="V162" s="102"/>
      <c r="Z162" s="102"/>
      <c r="AA162" s="102"/>
      <c r="AB162" s="102"/>
      <c r="AC162" s="102"/>
      <c r="AD162" s="102"/>
      <c r="AE162" s="102"/>
      <c r="AF162" s="102"/>
      <c r="AG162" s="151"/>
      <c r="AH162" s="102"/>
      <c r="AI162" s="102"/>
      <c r="AJ162" s="102"/>
      <c r="AK162" s="151"/>
      <c r="AL162" s="102"/>
      <c r="AM162" s="102"/>
      <c r="AN162" s="102"/>
    </row>
    <row r="163" spans="1:40" x14ac:dyDescent="0.3">
      <c r="A163" s="102"/>
      <c r="C163" s="102"/>
      <c r="D163" s="102"/>
      <c r="E163" s="102"/>
      <c r="F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T163" s="102"/>
      <c r="U163" s="102"/>
      <c r="V163" s="102"/>
      <c r="Y163" s="102"/>
      <c r="Z163" s="102"/>
      <c r="AA163" s="102"/>
      <c r="AB163" s="102"/>
      <c r="AC163" s="102"/>
      <c r="AD163" s="102"/>
      <c r="AE163" s="102"/>
      <c r="AF163" s="102"/>
      <c r="AG163" s="151"/>
      <c r="AH163" s="102"/>
      <c r="AI163" s="102"/>
      <c r="AJ163" s="102"/>
      <c r="AK163" s="151"/>
      <c r="AL163" s="102"/>
      <c r="AM163" s="102"/>
      <c r="AN163" s="102"/>
    </row>
    <row r="164" spans="1:40" x14ac:dyDescent="0.3">
      <c r="C164" s="102"/>
      <c r="D164" s="102"/>
      <c r="E164" s="102"/>
      <c r="F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T164" s="102"/>
      <c r="U164" s="102"/>
      <c r="V164" s="102"/>
      <c r="Y164" s="102"/>
      <c r="Z164" s="102"/>
      <c r="AA164" s="102"/>
      <c r="AB164" s="102"/>
      <c r="AC164" s="102"/>
      <c r="AD164" s="102"/>
      <c r="AE164" s="102"/>
      <c r="AF164" s="102"/>
      <c r="AG164" s="151"/>
      <c r="AH164" s="102"/>
      <c r="AI164" s="102"/>
      <c r="AJ164" s="102"/>
      <c r="AK164" s="151"/>
      <c r="AL164" s="102"/>
      <c r="AM164" s="102"/>
      <c r="AN164" s="102"/>
    </row>
    <row r="165" spans="1:40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91"/>
      <c r="AH165" s="101"/>
      <c r="AI165" s="101"/>
      <c r="AJ165" s="101"/>
      <c r="AK165" s="191"/>
      <c r="AL165" s="101"/>
      <c r="AM165" s="101"/>
      <c r="AN165" s="101"/>
    </row>
    <row r="166" spans="1:40" x14ac:dyDescent="0.3"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Y166" s="102"/>
      <c r="Z166" s="102"/>
      <c r="AA166" s="102"/>
      <c r="AB166" s="102"/>
      <c r="AC166" s="102"/>
      <c r="AD166" s="102"/>
      <c r="AE166" s="102"/>
      <c r="AF166" s="102"/>
      <c r="AG166" s="151"/>
      <c r="AH166" s="102"/>
      <c r="AI166" s="102"/>
      <c r="AJ166" s="102"/>
      <c r="AK166" s="151"/>
      <c r="AL166" s="102"/>
      <c r="AM166" s="102"/>
      <c r="AN166" s="102"/>
    </row>
    <row r="167" spans="1:40" x14ac:dyDescent="0.3">
      <c r="C167" s="99"/>
      <c r="D167" s="99"/>
      <c r="E167" s="99"/>
      <c r="T167" s="99"/>
      <c r="U167" s="99"/>
    </row>
    <row r="169" spans="1:40" x14ac:dyDescent="0.3">
      <c r="C169" s="99"/>
      <c r="F169" s="172"/>
      <c r="H169" s="220"/>
      <c r="I169" s="220"/>
      <c r="J169" s="181"/>
      <c r="K169" s="181"/>
      <c r="L169" s="110"/>
      <c r="M169" s="110"/>
      <c r="R169" s="110"/>
      <c r="T169" s="99"/>
      <c r="V169" s="110"/>
      <c r="Z169" s="181"/>
      <c r="AA169" s="110"/>
      <c r="AB169" s="110"/>
      <c r="AE169" s="110"/>
      <c r="AF169" s="110"/>
      <c r="AG169" s="224"/>
      <c r="AH169" s="225"/>
      <c r="AI169" s="110"/>
      <c r="AJ169" s="110"/>
      <c r="AL169" s="110"/>
      <c r="AM169" s="226"/>
      <c r="AN169" s="226"/>
    </row>
    <row r="170" spans="1:40" x14ac:dyDescent="0.3">
      <c r="F170" s="172"/>
      <c r="H170" s="220"/>
      <c r="I170" s="220"/>
      <c r="J170" s="220"/>
      <c r="K170" s="220"/>
      <c r="R170" s="110"/>
      <c r="V170" s="110"/>
      <c r="Z170" s="220"/>
    </row>
    <row r="171" spans="1:40" x14ac:dyDescent="0.3">
      <c r="C171" s="99"/>
      <c r="F171" s="172"/>
      <c r="H171" s="172"/>
      <c r="I171" s="172"/>
      <c r="J171" s="222"/>
      <c r="K171" s="222"/>
      <c r="L171" s="110"/>
      <c r="M171" s="110"/>
      <c r="N171" s="141"/>
      <c r="O171" s="141"/>
      <c r="P171" s="172"/>
      <c r="Q171" s="172"/>
      <c r="R171" s="110"/>
      <c r="T171" s="99"/>
      <c r="V171" s="110"/>
      <c r="Y171" s="110"/>
      <c r="Z171" s="216"/>
      <c r="AA171" s="110"/>
      <c r="AB171" s="110"/>
      <c r="AC171" s="141"/>
      <c r="AD171" s="141"/>
      <c r="AE171" s="110"/>
      <c r="AF171" s="110"/>
      <c r="AH171" s="207"/>
      <c r="AI171" s="172"/>
      <c r="AJ171" s="172"/>
      <c r="AL171" s="110"/>
      <c r="AM171" s="141"/>
      <c r="AN171" s="141"/>
    </row>
    <row r="172" spans="1:40" x14ac:dyDescent="0.3">
      <c r="F172" s="192"/>
      <c r="H172" s="192"/>
      <c r="I172" s="192"/>
      <c r="J172" s="217"/>
      <c r="K172" s="217"/>
      <c r="L172" s="192"/>
      <c r="M172" s="192"/>
      <c r="N172" s="192"/>
      <c r="O172" s="192"/>
      <c r="P172" s="192"/>
      <c r="Q172" s="192"/>
      <c r="R172" s="192"/>
      <c r="V172" s="192"/>
      <c r="Y172" s="192"/>
      <c r="Z172" s="217"/>
      <c r="AA172" s="192"/>
      <c r="AB172" s="192"/>
      <c r="AC172" s="192"/>
      <c r="AD172" s="192"/>
      <c r="AE172" s="192"/>
      <c r="AF172" s="192"/>
      <c r="AI172" s="192"/>
      <c r="AJ172" s="192"/>
      <c r="AK172" s="194"/>
      <c r="AL172" s="192"/>
    </row>
    <row r="173" spans="1:40" x14ac:dyDescent="0.3">
      <c r="D173" s="99"/>
      <c r="E173" s="99"/>
      <c r="F173" s="110"/>
      <c r="H173" s="110"/>
      <c r="I173" s="110"/>
      <c r="J173" s="198"/>
      <c r="K173" s="198"/>
      <c r="L173" s="110"/>
      <c r="M173" s="110"/>
      <c r="N173" s="141"/>
      <c r="O173" s="141"/>
      <c r="P173" s="110"/>
      <c r="Q173" s="110"/>
      <c r="R173" s="110"/>
      <c r="U173" s="99"/>
      <c r="V173" s="110"/>
      <c r="Y173" s="110"/>
      <c r="Z173" s="198"/>
      <c r="AA173" s="110"/>
      <c r="AB173" s="110"/>
      <c r="AC173" s="141"/>
      <c r="AD173" s="141"/>
      <c r="AE173" s="110"/>
      <c r="AF173" s="110"/>
      <c r="AH173" s="207"/>
      <c r="AI173" s="110"/>
      <c r="AJ173" s="110"/>
      <c r="AL173" s="110"/>
      <c r="AM173" s="141"/>
      <c r="AN173" s="141"/>
    </row>
    <row r="174" spans="1:40" x14ac:dyDescent="0.3">
      <c r="F174" s="192"/>
      <c r="H174" s="192"/>
      <c r="I174" s="192"/>
      <c r="J174" s="217"/>
      <c r="K174" s="217"/>
      <c r="L174" s="192"/>
      <c r="M174" s="192"/>
      <c r="N174" s="192"/>
      <c r="O174" s="192"/>
      <c r="P174" s="192"/>
      <c r="Q174" s="192"/>
      <c r="R174" s="192"/>
      <c r="V174" s="192"/>
      <c r="Y174" s="192"/>
      <c r="Z174" s="217"/>
      <c r="AA174" s="192"/>
      <c r="AB174" s="192"/>
      <c r="AC174" s="192"/>
      <c r="AD174" s="192"/>
      <c r="AE174" s="192"/>
      <c r="AF174" s="192"/>
      <c r="AI174" s="192"/>
      <c r="AJ174" s="192"/>
      <c r="AK174" s="194"/>
      <c r="AL174" s="192"/>
    </row>
    <row r="175" spans="1:40" x14ac:dyDescent="0.3">
      <c r="R175" s="110"/>
    </row>
    <row r="176" spans="1:40" x14ac:dyDescent="0.3">
      <c r="R176" s="110"/>
    </row>
    <row r="177" spans="1:40" x14ac:dyDescent="0.3">
      <c r="R177" s="110"/>
    </row>
    <row r="178" spans="1:40" x14ac:dyDescent="0.3">
      <c r="C178" s="99"/>
      <c r="D178" s="99"/>
      <c r="E178" s="99"/>
      <c r="H178" s="110"/>
      <c r="I178" s="110"/>
      <c r="J178" s="198"/>
      <c r="K178" s="198"/>
      <c r="L178" s="110"/>
      <c r="M178" s="110"/>
      <c r="N178" s="141"/>
      <c r="O178" s="141"/>
      <c r="P178" s="110"/>
      <c r="Q178" s="110"/>
      <c r="R178" s="110"/>
      <c r="T178" s="99"/>
      <c r="U178" s="99"/>
      <c r="Y178" s="110"/>
      <c r="Z178" s="198"/>
      <c r="AA178" s="110"/>
      <c r="AB178" s="110"/>
      <c r="AC178" s="141"/>
      <c r="AD178" s="141"/>
    </row>
    <row r="179" spans="1:40" x14ac:dyDescent="0.3">
      <c r="H179" s="110"/>
      <c r="I179" s="110"/>
      <c r="J179" s="198"/>
      <c r="K179" s="198"/>
      <c r="L179" s="110"/>
      <c r="M179" s="110"/>
      <c r="N179" s="141"/>
      <c r="O179" s="141"/>
      <c r="P179" s="110"/>
      <c r="Q179" s="110"/>
      <c r="R179" s="110"/>
      <c r="Y179" s="110"/>
      <c r="Z179" s="198"/>
      <c r="AA179" s="110"/>
      <c r="AB179" s="110"/>
      <c r="AC179" s="141"/>
      <c r="AD179" s="141"/>
    </row>
    <row r="180" spans="1:40" x14ac:dyDescent="0.3">
      <c r="C180" s="99"/>
      <c r="F180" s="172"/>
      <c r="H180" s="172"/>
      <c r="I180" s="172"/>
      <c r="J180" s="208"/>
      <c r="K180" s="208"/>
      <c r="L180" s="172"/>
      <c r="M180" s="172"/>
      <c r="N180" s="141"/>
      <c r="O180" s="141"/>
      <c r="P180" s="110"/>
      <c r="Q180" s="110"/>
      <c r="R180" s="110"/>
      <c r="T180" s="99"/>
      <c r="V180" s="110"/>
      <c r="Y180" s="110"/>
      <c r="Z180" s="208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1:40" x14ac:dyDescent="0.3">
      <c r="F181" s="172"/>
      <c r="H181" s="220"/>
      <c r="I181" s="220"/>
      <c r="J181" s="220"/>
      <c r="K181" s="220"/>
      <c r="R181" s="110"/>
      <c r="V181" s="110"/>
      <c r="Z181" s="220"/>
    </row>
    <row r="182" spans="1:40" x14ac:dyDescent="0.3">
      <c r="C182" s="99"/>
      <c r="F182" s="172"/>
      <c r="H182" s="172"/>
      <c r="I182" s="172"/>
      <c r="J182" s="181"/>
      <c r="K182" s="181"/>
      <c r="L182" s="110"/>
      <c r="M182" s="110"/>
      <c r="N182" s="141"/>
      <c r="O182" s="141"/>
      <c r="P182" s="110"/>
      <c r="Q182" s="110"/>
      <c r="R182" s="110"/>
      <c r="T182" s="99"/>
      <c r="V182" s="110"/>
      <c r="Y182" s="110"/>
      <c r="Z182" s="181"/>
      <c r="AA182" s="110"/>
      <c r="AB182" s="110"/>
      <c r="AC182" s="141"/>
      <c r="AD182" s="141"/>
      <c r="AE182" s="110"/>
      <c r="AF182" s="110"/>
      <c r="AH182" s="207"/>
      <c r="AI182" s="110"/>
      <c r="AJ182" s="110"/>
      <c r="AL182" s="110"/>
      <c r="AM182" s="141"/>
      <c r="AN182" s="141"/>
    </row>
    <row r="183" spans="1:40" x14ac:dyDescent="0.3">
      <c r="F183" s="172"/>
      <c r="H183" s="220"/>
      <c r="I183" s="220"/>
      <c r="J183" s="220"/>
      <c r="K183" s="220"/>
      <c r="R183" s="110"/>
      <c r="V183" s="110"/>
      <c r="Z183" s="220"/>
    </row>
    <row r="184" spans="1:40" x14ac:dyDescent="0.3">
      <c r="C184" s="99"/>
      <c r="F184" s="172"/>
      <c r="H184" s="172"/>
      <c r="I184" s="172"/>
      <c r="J184" s="222"/>
      <c r="K184" s="222"/>
      <c r="L184" s="110"/>
      <c r="M184" s="110"/>
      <c r="N184" s="141"/>
      <c r="O184" s="141"/>
      <c r="P184" s="110"/>
      <c r="Q184" s="110"/>
      <c r="R184" s="110"/>
      <c r="T184" s="99"/>
      <c r="V184" s="110"/>
      <c r="Y184" s="110"/>
      <c r="Z184" s="216"/>
      <c r="AA184" s="110"/>
      <c r="AB184" s="110"/>
      <c r="AC184" s="141"/>
      <c r="AD184" s="141"/>
      <c r="AE184" s="110"/>
      <c r="AF184" s="110"/>
      <c r="AH184" s="207"/>
      <c r="AI184" s="110"/>
      <c r="AJ184" s="110"/>
      <c r="AL184" s="110"/>
      <c r="AM184" s="141"/>
      <c r="AN184" s="141"/>
    </row>
    <row r="185" spans="1:40" x14ac:dyDescent="0.3">
      <c r="F185" s="192"/>
      <c r="H185" s="192"/>
      <c r="I185" s="192"/>
      <c r="J185" s="217"/>
      <c r="K185" s="217"/>
      <c r="L185" s="192"/>
      <c r="M185" s="192"/>
      <c r="N185" s="192"/>
      <c r="O185" s="192"/>
      <c r="P185" s="192"/>
      <c r="Q185" s="192"/>
      <c r="R185" s="192"/>
      <c r="S185" s="110"/>
      <c r="V185" s="192"/>
      <c r="Y185" s="192"/>
      <c r="Z185" s="217"/>
      <c r="AA185" s="192"/>
      <c r="AB185" s="192"/>
      <c r="AC185" s="192"/>
      <c r="AD185" s="192"/>
      <c r="AE185" s="192"/>
      <c r="AF185" s="192"/>
      <c r="AI185" s="192"/>
      <c r="AJ185" s="192"/>
      <c r="AK185" s="194"/>
      <c r="AL185" s="192"/>
    </row>
    <row r="186" spans="1:40" x14ac:dyDescent="0.3">
      <c r="D186" s="99"/>
      <c r="E186" s="99"/>
      <c r="F186" s="110"/>
      <c r="H186" s="110"/>
      <c r="I186" s="110"/>
      <c r="J186" s="198"/>
      <c r="K186" s="198"/>
      <c r="L186" s="110"/>
      <c r="M186" s="110"/>
      <c r="N186" s="141"/>
      <c r="O186" s="141"/>
      <c r="P186" s="172"/>
      <c r="Q186" s="172"/>
      <c r="R186" s="110"/>
      <c r="S186" s="110"/>
      <c r="U186" s="99"/>
      <c r="V186" s="110"/>
      <c r="Y186" s="110"/>
      <c r="Z186" s="198"/>
      <c r="AA186" s="110"/>
      <c r="AB186" s="110"/>
      <c r="AC186" s="141"/>
      <c r="AD186" s="141"/>
      <c r="AE186" s="110"/>
      <c r="AF186" s="110"/>
      <c r="AH186" s="207"/>
      <c r="AI186" s="172"/>
      <c r="AJ186" s="172"/>
      <c r="AL186" s="110"/>
      <c r="AM186" s="141"/>
      <c r="AN186" s="141"/>
    </row>
    <row r="187" spans="1:40" x14ac:dyDescent="0.3">
      <c r="F187" s="192"/>
      <c r="H187" s="192"/>
      <c r="I187" s="192"/>
      <c r="J187" s="217"/>
      <c r="K187" s="217"/>
      <c r="L187" s="192"/>
      <c r="M187" s="192"/>
      <c r="N187" s="192"/>
      <c r="O187" s="192"/>
      <c r="P187" s="192"/>
      <c r="Q187" s="192"/>
      <c r="R187" s="192"/>
      <c r="S187" s="110"/>
      <c r="V187" s="192"/>
      <c r="Y187" s="192"/>
      <c r="Z187" s="217"/>
      <c r="AA187" s="192"/>
      <c r="AB187" s="192"/>
      <c r="AC187" s="192"/>
      <c r="AD187" s="192"/>
      <c r="AE187" s="192"/>
      <c r="AF187" s="192"/>
      <c r="AI187" s="192"/>
      <c r="AJ187" s="192"/>
      <c r="AK187" s="194"/>
      <c r="AL187" s="192"/>
    </row>
    <row r="188" spans="1:40" x14ac:dyDescent="0.3">
      <c r="R188" s="110"/>
    </row>
    <row r="189" spans="1:40" x14ac:dyDescent="0.3">
      <c r="F189" s="110"/>
      <c r="H189" s="110"/>
      <c r="I189" s="110"/>
      <c r="J189" s="198"/>
      <c r="K189" s="198"/>
      <c r="L189" s="110"/>
      <c r="M189" s="110"/>
      <c r="N189" s="110"/>
      <c r="O189" s="110"/>
      <c r="P189" s="110"/>
      <c r="Q189" s="110"/>
      <c r="R189" s="110"/>
      <c r="V189" s="110"/>
      <c r="Y189" s="110"/>
      <c r="Z189" s="198"/>
      <c r="AA189" s="110"/>
      <c r="AB189" s="110"/>
      <c r="AC189" s="110"/>
      <c r="AD189" s="110"/>
    </row>
    <row r="190" spans="1:40" x14ac:dyDescent="0.3">
      <c r="C190" s="99"/>
      <c r="F190" s="110"/>
      <c r="H190" s="110"/>
      <c r="I190" s="110"/>
      <c r="J190" s="198"/>
      <c r="K190" s="198"/>
      <c r="L190" s="110"/>
      <c r="M190" s="110"/>
      <c r="N190" s="110"/>
      <c r="O190" s="110"/>
      <c r="P190" s="110"/>
      <c r="Q190" s="110"/>
      <c r="R190" s="110"/>
      <c r="T190" s="99"/>
      <c r="V190" s="110"/>
      <c r="Y190" s="110"/>
      <c r="Z190" s="198"/>
      <c r="AA190" s="110"/>
      <c r="AB190" s="110"/>
      <c r="AC190" s="110"/>
      <c r="AD190" s="110"/>
    </row>
    <row r="191" spans="1:40" x14ac:dyDescent="0.3">
      <c r="C191" s="99"/>
      <c r="T191" s="99"/>
    </row>
    <row r="192" spans="1:40" x14ac:dyDescent="0.3">
      <c r="A192" s="99"/>
    </row>
    <row r="195" spans="1:40" x14ac:dyDescent="0.3">
      <c r="H195" s="99"/>
      <c r="I195" s="99"/>
      <c r="Y195" s="99"/>
    </row>
    <row r="197" spans="1:40" x14ac:dyDescent="0.3">
      <c r="L197" s="99"/>
      <c r="M197" s="99"/>
      <c r="AA197" s="99"/>
      <c r="AB197" s="99"/>
    </row>
    <row r="198" spans="1:40" x14ac:dyDescent="0.3">
      <c r="R198" s="99"/>
      <c r="AK198" s="190"/>
      <c r="AL198" s="99"/>
    </row>
    <row r="199" spans="1:40" x14ac:dyDescent="0.3">
      <c r="R199" s="99"/>
      <c r="AK199" s="190"/>
      <c r="AL199" s="99"/>
    </row>
    <row r="200" spans="1:40" x14ac:dyDescent="0.3">
      <c r="A200" s="99"/>
      <c r="R200" s="99"/>
      <c r="AK200" s="190"/>
      <c r="AL200" s="99"/>
    </row>
    <row r="201" spans="1:40" x14ac:dyDescent="0.3">
      <c r="L201" s="99"/>
      <c r="M201" s="99"/>
      <c r="AA201" s="99"/>
      <c r="AB201" s="99"/>
    </row>
    <row r="202" spans="1:40" x14ac:dyDescent="0.3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91"/>
      <c r="AH202" s="101"/>
      <c r="AI202" s="101"/>
      <c r="AJ202" s="101"/>
      <c r="AK202" s="191"/>
      <c r="AL202" s="101"/>
      <c r="AM202" s="101"/>
      <c r="AN202" s="101"/>
    </row>
    <row r="203" spans="1:40" x14ac:dyDescent="0.3">
      <c r="L203" s="102"/>
      <c r="M203" s="102"/>
      <c r="N203" s="102"/>
      <c r="O203" s="102"/>
      <c r="R203" s="102"/>
      <c r="AA203" s="102"/>
      <c r="AB203" s="102"/>
      <c r="AC203" s="102"/>
      <c r="AD203" s="102"/>
      <c r="AE203" s="102"/>
      <c r="AF203" s="102"/>
      <c r="AG203" s="151"/>
      <c r="AH203" s="102"/>
      <c r="AK203" s="151"/>
      <c r="AL203" s="102"/>
      <c r="AM203" s="102"/>
      <c r="AN203" s="102"/>
    </row>
    <row r="204" spans="1:40" x14ac:dyDescent="0.3">
      <c r="L204" s="102"/>
      <c r="M204" s="102"/>
      <c r="N204" s="102"/>
      <c r="O204" s="102"/>
      <c r="R204" s="102"/>
      <c r="Z204" s="102"/>
      <c r="AA204" s="102"/>
      <c r="AB204" s="102"/>
      <c r="AC204" s="102"/>
      <c r="AD204" s="102"/>
      <c r="AE204" s="102"/>
      <c r="AF204" s="102"/>
      <c r="AG204" s="151"/>
      <c r="AH204" s="102"/>
      <c r="AK204" s="151"/>
      <c r="AL204" s="102"/>
      <c r="AM204" s="102"/>
      <c r="AN204" s="102"/>
    </row>
    <row r="205" spans="1:40" x14ac:dyDescent="0.3">
      <c r="A205" s="102"/>
      <c r="C205" s="102"/>
      <c r="D205" s="102"/>
      <c r="E205" s="102"/>
      <c r="F205" s="102"/>
      <c r="J205" s="102"/>
      <c r="K205" s="102"/>
      <c r="L205" s="102"/>
      <c r="M205" s="102"/>
      <c r="N205" s="102"/>
      <c r="O205" s="102"/>
      <c r="P205" s="102"/>
      <c r="Q205" s="102"/>
      <c r="R205" s="102"/>
      <c r="T205" s="102"/>
      <c r="U205" s="102"/>
      <c r="V205" s="102"/>
      <c r="Z205" s="102"/>
      <c r="AA205" s="102"/>
      <c r="AB205" s="102"/>
      <c r="AC205" s="102"/>
      <c r="AD205" s="102"/>
      <c r="AE205" s="102"/>
      <c r="AF205" s="102"/>
      <c r="AG205" s="151"/>
      <c r="AH205" s="102"/>
      <c r="AI205" s="102"/>
      <c r="AJ205" s="102"/>
      <c r="AK205" s="151"/>
      <c r="AL205" s="102"/>
      <c r="AM205" s="102"/>
      <c r="AN205" s="102"/>
    </row>
    <row r="206" spans="1:40" x14ac:dyDescent="0.3">
      <c r="A206" s="102"/>
      <c r="C206" s="102"/>
      <c r="D206" s="102"/>
      <c r="E206" s="102"/>
      <c r="F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T206" s="102"/>
      <c r="U206" s="102"/>
      <c r="V206" s="102"/>
      <c r="Y206" s="102"/>
      <c r="Z206" s="102"/>
      <c r="AA206" s="102"/>
      <c r="AB206" s="102"/>
      <c r="AC206" s="102"/>
      <c r="AD206" s="102"/>
      <c r="AE206" s="102"/>
      <c r="AF206" s="102"/>
      <c r="AG206" s="151"/>
      <c r="AH206" s="102"/>
      <c r="AI206" s="102"/>
      <c r="AJ206" s="102"/>
      <c r="AK206" s="151"/>
      <c r="AL206" s="102"/>
      <c r="AM206" s="102"/>
      <c r="AN206" s="102"/>
    </row>
    <row r="207" spans="1:40" x14ac:dyDescent="0.3">
      <c r="C207" s="102"/>
      <c r="D207" s="102"/>
      <c r="E207" s="102"/>
      <c r="F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T207" s="102"/>
      <c r="U207" s="102"/>
      <c r="V207" s="102"/>
      <c r="Y207" s="102"/>
      <c r="Z207" s="102"/>
      <c r="AA207" s="102"/>
      <c r="AB207" s="102"/>
      <c r="AC207" s="102"/>
      <c r="AD207" s="102"/>
      <c r="AE207" s="102"/>
      <c r="AF207" s="102"/>
      <c r="AG207" s="151"/>
      <c r="AH207" s="102"/>
      <c r="AI207" s="102"/>
      <c r="AJ207" s="102"/>
      <c r="AK207" s="151"/>
      <c r="AL207" s="102"/>
      <c r="AM207" s="102"/>
      <c r="AN207" s="102"/>
    </row>
    <row r="208" spans="1:40" x14ac:dyDescent="0.3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91"/>
      <c r="AH208" s="101"/>
      <c r="AI208" s="101"/>
      <c r="AJ208" s="101"/>
      <c r="AK208" s="191"/>
      <c r="AL208" s="101"/>
      <c r="AM208" s="101"/>
      <c r="AN208" s="101"/>
    </row>
    <row r="209" spans="3:40" x14ac:dyDescent="0.3"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Y209" s="102"/>
      <c r="Z209" s="102"/>
      <c r="AA209" s="102"/>
      <c r="AB209" s="102"/>
      <c r="AC209" s="102"/>
      <c r="AD209" s="102"/>
      <c r="AE209" s="102"/>
      <c r="AF209" s="102"/>
      <c r="AG209" s="151"/>
      <c r="AH209" s="102"/>
      <c r="AI209" s="102"/>
      <c r="AJ209" s="102"/>
      <c r="AK209" s="151"/>
      <c r="AL209" s="102"/>
      <c r="AM209" s="102"/>
      <c r="AN209" s="102"/>
    </row>
    <row r="210" spans="3:40" x14ac:dyDescent="0.3">
      <c r="C210" s="99"/>
      <c r="D210" s="99"/>
      <c r="E210" s="99"/>
      <c r="T210" s="99"/>
      <c r="U210" s="99"/>
    </row>
    <row r="211" spans="3:40" x14ac:dyDescent="0.3">
      <c r="D211" s="99"/>
      <c r="E211" s="99"/>
      <c r="U211" s="99"/>
    </row>
    <row r="213" spans="3:40" x14ac:dyDescent="0.3">
      <c r="C213" s="99"/>
      <c r="F213" s="110"/>
      <c r="J213" s="209"/>
      <c r="K213" s="209"/>
      <c r="L213" s="110"/>
      <c r="M213" s="110"/>
      <c r="R213" s="110"/>
      <c r="T213" s="99"/>
      <c r="V213" s="110"/>
      <c r="Z213" s="209"/>
      <c r="AA213" s="110"/>
      <c r="AB213" s="110"/>
      <c r="AL213" s="110"/>
    </row>
    <row r="214" spans="3:40" x14ac:dyDescent="0.3">
      <c r="F214" s="110"/>
      <c r="R214" s="110"/>
      <c r="V214" s="110"/>
      <c r="AL214" s="110"/>
    </row>
    <row r="215" spans="3:40" x14ac:dyDescent="0.3">
      <c r="C215" s="99"/>
      <c r="F215" s="172"/>
      <c r="H215" s="172"/>
      <c r="I215" s="172"/>
      <c r="J215" s="181"/>
      <c r="K215" s="181"/>
      <c r="L215" s="110"/>
      <c r="M215" s="110"/>
      <c r="N215" s="141"/>
      <c r="O215" s="141"/>
      <c r="P215" s="110"/>
      <c r="Q215" s="110"/>
      <c r="R215" s="110"/>
      <c r="T215" s="99"/>
      <c r="V215" s="110"/>
      <c r="Y215" s="110"/>
      <c r="Z215" s="181"/>
      <c r="AA215" s="110"/>
      <c r="AB215" s="110"/>
      <c r="AC215" s="141"/>
      <c r="AD215" s="141"/>
      <c r="AE215" s="110"/>
      <c r="AF215" s="110"/>
      <c r="AH215" s="207"/>
      <c r="AI215" s="110"/>
      <c r="AJ215" s="110"/>
      <c r="AL215" s="110"/>
      <c r="AM215" s="141"/>
      <c r="AN215" s="141"/>
    </row>
    <row r="216" spans="3:40" x14ac:dyDescent="0.3">
      <c r="C216" s="99"/>
      <c r="F216" s="172"/>
      <c r="H216" s="220"/>
      <c r="I216" s="220"/>
      <c r="J216" s="181"/>
      <c r="K216" s="181"/>
      <c r="L216" s="110"/>
      <c r="M216" s="110"/>
      <c r="N216" s="141"/>
      <c r="O216" s="141"/>
      <c r="P216" s="110"/>
      <c r="Q216" s="110"/>
      <c r="R216" s="110"/>
      <c r="T216" s="99"/>
      <c r="V216" s="110"/>
      <c r="Y216" s="110"/>
      <c r="Z216" s="181"/>
      <c r="AA216" s="110"/>
      <c r="AB216" s="110"/>
      <c r="AC216" s="141"/>
      <c r="AD216" s="141"/>
      <c r="AE216" s="110"/>
      <c r="AF216" s="110"/>
      <c r="AH216" s="207"/>
      <c r="AI216" s="110"/>
      <c r="AJ216" s="110"/>
      <c r="AL216" s="110"/>
      <c r="AM216" s="141"/>
      <c r="AN216" s="141"/>
    </row>
    <row r="217" spans="3:40" x14ac:dyDescent="0.3">
      <c r="F217" s="192"/>
      <c r="H217" s="110"/>
      <c r="I217" s="110"/>
      <c r="J217" s="217"/>
      <c r="K217" s="217"/>
      <c r="L217" s="192"/>
      <c r="M217" s="192"/>
      <c r="N217" s="192"/>
      <c r="O217" s="192"/>
      <c r="P217" s="192"/>
      <c r="Q217" s="192"/>
      <c r="R217" s="192"/>
      <c r="V217" s="192"/>
      <c r="Y217" s="110"/>
      <c r="Z217" s="217"/>
      <c r="AA217" s="192"/>
      <c r="AB217" s="192"/>
      <c r="AC217" s="192"/>
      <c r="AD217" s="192"/>
      <c r="AE217" s="192"/>
      <c r="AF217" s="192"/>
      <c r="AI217" s="192"/>
      <c r="AJ217" s="192"/>
      <c r="AK217" s="194"/>
      <c r="AL217" s="192"/>
    </row>
    <row r="218" spans="3:40" x14ac:dyDescent="0.3">
      <c r="C218" s="99"/>
      <c r="F218" s="110"/>
      <c r="H218" s="110"/>
      <c r="I218" s="110"/>
      <c r="J218" s="198"/>
      <c r="K218" s="198"/>
      <c r="L218" s="110"/>
      <c r="M218" s="110"/>
      <c r="N218" s="141"/>
      <c r="O218" s="141"/>
      <c r="P218" s="110"/>
      <c r="Q218" s="110"/>
      <c r="R218" s="110"/>
      <c r="T218" s="99"/>
      <c r="V218" s="110"/>
      <c r="Y218" s="110"/>
      <c r="Z218" s="198"/>
      <c r="AA218" s="110"/>
      <c r="AB218" s="110"/>
      <c r="AC218" s="141"/>
      <c r="AD218" s="141"/>
      <c r="AE218" s="110"/>
      <c r="AF218" s="110"/>
      <c r="AH218" s="207"/>
      <c r="AI218" s="110"/>
      <c r="AJ218" s="110"/>
      <c r="AL218" s="110"/>
      <c r="AM218" s="141"/>
      <c r="AN218" s="141"/>
    </row>
    <row r="219" spans="3:40" x14ac:dyDescent="0.3">
      <c r="F219" s="192"/>
      <c r="H219" s="110"/>
      <c r="I219" s="110"/>
      <c r="J219" s="217"/>
      <c r="K219" s="217"/>
      <c r="L219" s="192"/>
      <c r="M219" s="192"/>
      <c r="N219" s="192"/>
      <c r="O219" s="192"/>
      <c r="P219" s="192"/>
      <c r="Q219" s="192"/>
      <c r="R219" s="192"/>
      <c r="V219" s="192"/>
      <c r="Y219" s="110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</row>
    <row r="220" spans="3:40" x14ac:dyDescent="0.3">
      <c r="F220" s="110"/>
      <c r="R220" s="110"/>
      <c r="V220" s="110"/>
      <c r="AL220" s="110"/>
    </row>
    <row r="221" spans="3:40" x14ac:dyDescent="0.3">
      <c r="C221" s="99"/>
      <c r="F221" s="110"/>
      <c r="R221" s="110"/>
      <c r="T221" s="99"/>
      <c r="V221" s="110"/>
      <c r="AL221" s="110"/>
    </row>
    <row r="222" spans="3:40" x14ac:dyDescent="0.3">
      <c r="F222" s="110"/>
      <c r="R222" s="110"/>
      <c r="V222" s="110"/>
      <c r="AL222" s="110"/>
    </row>
    <row r="223" spans="3:40" x14ac:dyDescent="0.3">
      <c r="C223" s="99"/>
      <c r="F223" s="110"/>
      <c r="H223" s="172"/>
      <c r="I223" s="172"/>
      <c r="J223" s="222"/>
      <c r="K223" s="222"/>
      <c r="L223" s="110"/>
      <c r="M223" s="110"/>
      <c r="N223" s="141"/>
      <c r="O223" s="141"/>
      <c r="P223" s="172"/>
      <c r="Q223" s="172"/>
      <c r="R223" s="110"/>
      <c r="T223" s="99"/>
      <c r="V223" s="110"/>
      <c r="Y223" s="110"/>
      <c r="Z223" s="216"/>
      <c r="AA223" s="110"/>
      <c r="AB223" s="110"/>
      <c r="AC223" s="141"/>
      <c r="AD223" s="141"/>
      <c r="AE223" s="110"/>
      <c r="AF223" s="110"/>
      <c r="AH223" s="207"/>
      <c r="AI223" s="172"/>
      <c r="AJ223" s="172"/>
      <c r="AL223" s="110"/>
      <c r="AM223" s="141"/>
      <c r="AN223" s="141"/>
    </row>
    <row r="224" spans="3:40" x14ac:dyDescent="0.3">
      <c r="H224" s="192"/>
      <c r="I224" s="192"/>
      <c r="J224" s="217"/>
      <c r="K224" s="217"/>
      <c r="L224" s="192"/>
      <c r="M224" s="192"/>
      <c r="N224" s="192"/>
      <c r="O224" s="192"/>
      <c r="P224" s="192"/>
      <c r="Q224" s="192"/>
      <c r="R224" s="192"/>
      <c r="V224" s="192"/>
      <c r="Y224" s="192"/>
      <c r="Z224" s="217"/>
      <c r="AA224" s="192"/>
      <c r="AB224" s="192"/>
      <c r="AC224" s="192"/>
      <c r="AD224" s="192"/>
      <c r="AE224" s="192"/>
      <c r="AF224" s="192"/>
      <c r="AI224" s="192"/>
      <c r="AJ224" s="192"/>
      <c r="AK224" s="194"/>
      <c r="AL224" s="192"/>
    </row>
    <row r="225" spans="1:40" x14ac:dyDescent="0.3">
      <c r="F225" s="192"/>
    </row>
    <row r="226" spans="1:40" x14ac:dyDescent="0.3">
      <c r="C226" s="99"/>
      <c r="F226" s="110"/>
      <c r="H226" s="110"/>
      <c r="I226" s="110"/>
      <c r="J226" s="209"/>
      <c r="K226" s="209"/>
      <c r="L226" s="110"/>
      <c r="M226" s="110"/>
      <c r="N226" s="141"/>
      <c r="O226" s="141"/>
      <c r="P226" s="110"/>
      <c r="Q226" s="110"/>
      <c r="R226" s="110"/>
      <c r="T226" s="99"/>
      <c r="V226" s="110"/>
      <c r="Y226" s="110"/>
      <c r="Z226" s="209"/>
      <c r="AA226" s="110"/>
      <c r="AB226" s="110"/>
      <c r="AC226" s="141"/>
      <c r="AD226" s="141"/>
      <c r="AE226" s="110"/>
      <c r="AF226" s="110"/>
      <c r="AH226" s="207"/>
      <c r="AI226" s="110"/>
      <c r="AJ226" s="110"/>
      <c r="AL226" s="110"/>
      <c r="AM226" s="141"/>
      <c r="AN226" s="141"/>
    </row>
    <row r="227" spans="1:40" x14ac:dyDescent="0.3">
      <c r="F227" s="192"/>
      <c r="H227" s="192"/>
      <c r="I227" s="192"/>
      <c r="J227" s="217"/>
      <c r="K227" s="217"/>
      <c r="L227" s="192"/>
      <c r="M227" s="192"/>
      <c r="N227" s="192"/>
      <c r="O227" s="192"/>
      <c r="P227" s="192"/>
      <c r="Q227" s="192"/>
      <c r="R227" s="192"/>
      <c r="V227" s="192"/>
      <c r="Y227" s="192"/>
      <c r="Z227" s="217"/>
      <c r="AA227" s="192"/>
      <c r="AB227" s="192"/>
      <c r="AC227" s="192"/>
      <c r="AD227" s="192"/>
      <c r="AE227" s="192"/>
      <c r="AF227" s="192"/>
      <c r="AI227" s="192"/>
      <c r="AJ227" s="192"/>
      <c r="AK227" s="194"/>
      <c r="AL227" s="192"/>
    </row>
    <row r="228" spans="1:40" x14ac:dyDescent="0.3">
      <c r="R228" s="110"/>
      <c r="AH228" s="110"/>
    </row>
    <row r="229" spans="1:40" x14ac:dyDescent="0.3">
      <c r="F229" s="110"/>
      <c r="H229" s="110"/>
      <c r="I229" s="110"/>
      <c r="J229" s="198"/>
      <c r="K229" s="198"/>
      <c r="L229" s="110"/>
      <c r="M229" s="110"/>
      <c r="N229" s="110"/>
      <c r="O229" s="110"/>
      <c r="P229" s="110"/>
      <c r="Q229" s="110"/>
      <c r="R229" s="110"/>
      <c r="V229" s="110"/>
      <c r="Y229" s="110"/>
      <c r="Z229" s="198"/>
      <c r="AA229" s="110"/>
      <c r="AB229" s="110"/>
      <c r="AC229" s="110"/>
      <c r="AD229" s="110"/>
      <c r="AE229" s="110"/>
      <c r="AF229" s="110"/>
      <c r="AH229" s="110"/>
    </row>
    <row r="230" spans="1:40" x14ac:dyDescent="0.3">
      <c r="C230" s="99"/>
      <c r="F230" s="110"/>
      <c r="H230" s="110"/>
      <c r="I230" s="110"/>
      <c r="J230" s="198"/>
      <c r="K230" s="198"/>
      <c r="L230" s="110"/>
      <c r="M230" s="110"/>
      <c r="N230" s="110"/>
      <c r="O230" s="110"/>
      <c r="P230" s="110"/>
      <c r="Q230" s="110"/>
      <c r="R230" s="110"/>
      <c r="T230" s="99"/>
      <c r="V230" s="110"/>
      <c r="Y230" s="110"/>
      <c r="Z230" s="198"/>
      <c r="AA230" s="110"/>
      <c r="AB230" s="110"/>
      <c r="AC230" s="110"/>
      <c r="AD230" s="110"/>
      <c r="AE230" s="110"/>
      <c r="AF230" s="110"/>
      <c r="AH230" s="110"/>
    </row>
    <row r="231" spans="1:40" x14ac:dyDescent="0.3">
      <c r="A231" s="99"/>
    </row>
    <row r="234" spans="1:40" x14ac:dyDescent="0.3">
      <c r="H234" s="99"/>
      <c r="I234" s="99"/>
      <c r="Y234" s="99"/>
    </row>
    <row r="236" spans="1:40" x14ac:dyDescent="0.3">
      <c r="L236" s="99"/>
      <c r="M236" s="99"/>
      <c r="AA236" s="99"/>
      <c r="AB236" s="99"/>
    </row>
    <row r="237" spans="1:40" x14ac:dyDescent="0.3">
      <c r="R237" s="99"/>
      <c r="AK237" s="190"/>
      <c r="AL237" s="99"/>
    </row>
    <row r="238" spans="1:40" x14ac:dyDescent="0.3">
      <c r="R238" s="99"/>
      <c r="AK238" s="190"/>
      <c r="AL238" s="99"/>
    </row>
    <row r="239" spans="1:40" x14ac:dyDescent="0.3">
      <c r="A239" s="99"/>
      <c r="R239" s="99"/>
      <c r="AK239" s="190"/>
      <c r="AL239" s="99"/>
    </row>
    <row r="240" spans="1:40" x14ac:dyDescent="0.3">
      <c r="L240" s="99"/>
      <c r="M240" s="99"/>
      <c r="AA240" s="99"/>
      <c r="AB240" s="99"/>
    </row>
    <row r="241" spans="1:40" x14ac:dyDescent="0.3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91"/>
      <c r="AH241" s="101"/>
      <c r="AI241" s="101"/>
      <c r="AJ241" s="101"/>
      <c r="AK241" s="191"/>
      <c r="AL241" s="101"/>
      <c r="AM241" s="101"/>
      <c r="AN241" s="101"/>
    </row>
    <row r="242" spans="1:40" x14ac:dyDescent="0.3">
      <c r="L242" s="102"/>
      <c r="M242" s="102"/>
      <c r="N242" s="102"/>
      <c r="O242" s="102"/>
      <c r="R242" s="102"/>
      <c r="AA242" s="102"/>
      <c r="AB242" s="102"/>
      <c r="AC242" s="102"/>
      <c r="AD242" s="102"/>
      <c r="AE242" s="102"/>
      <c r="AF242" s="102"/>
      <c r="AG242" s="151"/>
      <c r="AH242" s="102"/>
      <c r="AK242" s="151"/>
      <c r="AL242" s="102"/>
      <c r="AM242" s="102"/>
      <c r="AN242" s="102"/>
    </row>
    <row r="243" spans="1:40" x14ac:dyDescent="0.3">
      <c r="L243" s="102"/>
      <c r="M243" s="102"/>
      <c r="N243" s="102"/>
      <c r="O243" s="102"/>
      <c r="R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K243" s="151"/>
      <c r="AL243" s="102"/>
      <c r="AM243" s="102"/>
      <c r="AN243" s="102"/>
    </row>
    <row r="244" spans="1:40" x14ac:dyDescent="0.3">
      <c r="A244" s="102"/>
      <c r="C244" s="102"/>
      <c r="D244" s="102"/>
      <c r="E244" s="102"/>
      <c r="F244" s="102"/>
      <c r="J244" s="102"/>
      <c r="K244" s="102"/>
      <c r="L244" s="102"/>
      <c r="M244" s="102"/>
      <c r="N244" s="102"/>
      <c r="O244" s="102"/>
      <c r="P244" s="102"/>
      <c r="Q244" s="102"/>
      <c r="R244" s="102"/>
      <c r="T244" s="102"/>
      <c r="U244" s="102"/>
      <c r="V244" s="102"/>
      <c r="Z244" s="102"/>
      <c r="AA244" s="102"/>
      <c r="AB244" s="102"/>
      <c r="AC244" s="102"/>
      <c r="AD244" s="102"/>
      <c r="AE244" s="102"/>
      <c r="AF244" s="102"/>
      <c r="AG244" s="151"/>
      <c r="AH244" s="102"/>
      <c r="AI244" s="102"/>
      <c r="AJ244" s="102"/>
      <c r="AK244" s="151"/>
      <c r="AL244" s="102"/>
      <c r="AM244" s="102"/>
      <c r="AN244" s="102"/>
    </row>
    <row r="245" spans="1:40" x14ac:dyDescent="0.3">
      <c r="A245" s="102"/>
      <c r="C245" s="102"/>
      <c r="D245" s="102"/>
      <c r="E245" s="102"/>
      <c r="F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T245" s="102"/>
      <c r="U245" s="102"/>
      <c r="V245" s="102"/>
      <c r="Y245" s="102"/>
      <c r="Z245" s="102"/>
      <c r="AA245" s="102"/>
      <c r="AB245" s="102"/>
      <c r="AC245" s="102"/>
      <c r="AD245" s="102"/>
      <c r="AE245" s="102"/>
      <c r="AF245" s="102"/>
      <c r="AG245" s="151"/>
      <c r="AH245" s="102"/>
      <c r="AI245" s="102"/>
      <c r="AJ245" s="102"/>
      <c r="AK245" s="151"/>
      <c r="AL245" s="102"/>
      <c r="AM245" s="102"/>
      <c r="AN245" s="102"/>
    </row>
    <row r="246" spans="1:40" x14ac:dyDescent="0.3">
      <c r="C246" s="102"/>
      <c r="D246" s="102"/>
      <c r="E246" s="102"/>
      <c r="F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T246" s="102"/>
      <c r="U246" s="102"/>
      <c r="V246" s="102"/>
      <c r="Y246" s="102"/>
      <c r="Z246" s="102"/>
      <c r="AA246" s="102"/>
      <c r="AB246" s="102"/>
      <c r="AC246" s="102"/>
      <c r="AD246" s="102"/>
      <c r="AE246" s="102"/>
      <c r="AF246" s="102"/>
      <c r="AG246" s="151"/>
      <c r="AH246" s="102"/>
      <c r="AI246" s="102"/>
      <c r="AJ246" s="102"/>
      <c r="AK246" s="151"/>
      <c r="AL246" s="102"/>
      <c r="AM246" s="102"/>
      <c r="AN246" s="102"/>
    </row>
    <row r="247" spans="1:40" x14ac:dyDescent="0.3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91"/>
      <c r="AH247" s="101"/>
      <c r="AI247" s="101"/>
      <c r="AJ247" s="101"/>
      <c r="AK247" s="191"/>
      <c r="AL247" s="101"/>
      <c r="AM247" s="101"/>
      <c r="AN247" s="101"/>
    </row>
    <row r="248" spans="1:40" x14ac:dyDescent="0.3"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Y248" s="102"/>
      <c r="Z248" s="102"/>
      <c r="AA248" s="102"/>
      <c r="AB248" s="102"/>
      <c r="AC248" s="102"/>
      <c r="AD248" s="102"/>
      <c r="AE248" s="102"/>
      <c r="AF248" s="102"/>
      <c r="AG248" s="151"/>
      <c r="AH248" s="102"/>
      <c r="AI248" s="102"/>
      <c r="AJ248" s="102"/>
      <c r="AK248" s="151"/>
      <c r="AL248" s="102"/>
      <c r="AM248" s="102"/>
      <c r="AN248" s="102"/>
    </row>
    <row r="249" spans="1:40" x14ac:dyDescent="0.3">
      <c r="C249" s="99"/>
      <c r="D249" s="99"/>
      <c r="E249" s="99"/>
      <c r="T249" s="99"/>
      <c r="U249" s="99"/>
    </row>
    <row r="250" spans="1:40" x14ac:dyDescent="0.3">
      <c r="C250" s="99"/>
      <c r="T250" s="99"/>
    </row>
    <row r="252" spans="1:40" x14ac:dyDescent="0.3">
      <c r="C252" s="99"/>
      <c r="F252" s="172"/>
      <c r="H252" s="172"/>
      <c r="I252" s="172"/>
      <c r="J252" s="181"/>
      <c r="K252" s="181"/>
      <c r="L252" s="110"/>
      <c r="M252" s="110"/>
      <c r="N252" s="141"/>
      <c r="O252" s="141"/>
      <c r="R252" s="110"/>
      <c r="T252" s="99"/>
      <c r="V252" s="110"/>
      <c r="Y252" s="172"/>
      <c r="Z252" s="181"/>
      <c r="AA252" s="110"/>
      <c r="AB252" s="110"/>
      <c r="AC252" s="141"/>
      <c r="AD252" s="141"/>
      <c r="AE252" s="110"/>
      <c r="AF252" s="110"/>
      <c r="AH252" s="207"/>
      <c r="AL252" s="110"/>
      <c r="AM252" s="141"/>
      <c r="AN252" s="141"/>
    </row>
    <row r="253" spans="1:40" x14ac:dyDescent="0.3">
      <c r="F253" s="192"/>
      <c r="H253" s="110"/>
      <c r="I253" s="110"/>
      <c r="J253" s="217"/>
      <c r="K253" s="217"/>
      <c r="L253" s="192"/>
      <c r="M253" s="192"/>
      <c r="N253" s="192"/>
      <c r="O253" s="192"/>
      <c r="P253" s="192"/>
      <c r="Q253" s="192"/>
      <c r="R253" s="192"/>
      <c r="V253" s="192"/>
      <c r="Y253" s="110"/>
      <c r="Z253" s="217"/>
      <c r="AA253" s="192"/>
      <c r="AB253" s="192"/>
      <c r="AC253" s="192"/>
      <c r="AD253" s="192"/>
      <c r="AE253" s="192"/>
      <c r="AF253" s="192"/>
      <c r="AI253" s="192"/>
      <c r="AJ253" s="192"/>
      <c r="AK253" s="194"/>
      <c r="AL253" s="192"/>
      <c r="AM253" s="141"/>
      <c r="AN253" s="141"/>
    </row>
    <row r="254" spans="1:40" x14ac:dyDescent="0.3">
      <c r="C254" s="99"/>
      <c r="F254" s="172"/>
      <c r="H254" s="172"/>
      <c r="I254" s="172"/>
      <c r="J254" s="227"/>
      <c r="K254" s="227"/>
      <c r="L254" s="110"/>
      <c r="M254" s="110"/>
      <c r="N254" s="141"/>
      <c r="O254" s="141"/>
      <c r="P254" s="110"/>
      <c r="Q254" s="110"/>
      <c r="R254" s="110"/>
      <c r="S254" s="110"/>
      <c r="T254" s="99"/>
      <c r="V254" s="172"/>
      <c r="Y254" s="172"/>
      <c r="Z254" s="227"/>
      <c r="AA254" s="110"/>
      <c r="AB254" s="110"/>
      <c r="AC254" s="141"/>
      <c r="AD254" s="141"/>
      <c r="AE254" s="110"/>
      <c r="AF254" s="110"/>
      <c r="AH254" s="141"/>
      <c r="AI254" s="110"/>
      <c r="AJ254" s="110"/>
      <c r="AL254" s="110"/>
      <c r="AM254" s="141"/>
      <c r="AN254" s="141"/>
    </row>
    <row r="255" spans="1:40" x14ac:dyDescent="0.3">
      <c r="C255" s="99"/>
      <c r="F255" s="172"/>
      <c r="H255" s="172"/>
      <c r="I255" s="172"/>
      <c r="J255" s="181"/>
      <c r="K255" s="181"/>
      <c r="L255" s="110"/>
      <c r="M255" s="110"/>
      <c r="N255" s="141"/>
      <c r="O255" s="141"/>
      <c r="P255" s="110"/>
      <c r="Q255" s="110"/>
      <c r="R255" s="110"/>
      <c r="T255" s="99"/>
      <c r="V255" s="172"/>
      <c r="Y255" s="110"/>
      <c r="Z255" s="181"/>
      <c r="AA255" s="110"/>
      <c r="AB255" s="110"/>
      <c r="AC255" s="141"/>
      <c r="AD255" s="141"/>
      <c r="AE255" s="110"/>
      <c r="AF255" s="110"/>
      <c r="AH255" s="207"/>
      <c r="AI255" s="110"/>
      <c r="AJ255" s="110"/>
      <c r="AL255" s="110"/>
      <c r="AM255" s="141"/>
      <c r="AN255" s="141"/>
    </row>
    <row r="256" spans="1:40" x14ac:dyDescent="0.3">
      <c r="C256" s="99"/>
      <c r="F256" s="172"/>
      <c r="H256" s="172"/>
      <c r="I256" s="172"/>
      <c r="J256" s="181"/>
      <c r="K256" s="181"/>
      <c r="L256" s="110"/>
      <c r="M256" s="110"/>
      <c r="N256" s="141"/>
      <c r="O256" s="141"/>
      <c r="P256" s="110"/>
      <c r="Q256" s="110"/>
      <c r="R256" s="110"/>
      <c r="T256" s="99"/>
      <c r="V256" s="172"/>
      <c r="Y256" s="110"/>
      <c r="Z256" s="181"/>
      <c r="AA256" s="110"/>
      <c r="AB256" s="110"/>
      <c r="AC256" s="141"/>
      <c r="AD256" s="141"/>
      <c r="AE256" s="110"/>
      <c r="AF256" s="110"/>
      <c r="AH256" s="207"/>
      <c r="AI256" s="110"/>
      <c r="AJ256" s="110"/>
      <c r="AL256" s="110"/>
      <c r="AM256" s="141"/>
      <c r="AN256" s="141"/>
    </row>
    <row r="257" spans="3:40" x14ac:dyDescent="0.3">
      <c r="F257" s="192"/>
      <c r="H257" s="192"/>
      <c r="I257" s="192"/>
      <c r="J257" s="217"/>
      <c r="K257" s="217"/>
      <c r="L257" s="192"/>
      <c r="M257" s="192"/>
      <c r="N257" s="192"/>
      <c r="O257" s="192"/>
      <c r="P257" s="192"/>
      <c r="Q257" s="192"/>
      <c r="R257" s="192"/>
      <c r="V257" s="192"/>
      <c r="Y257" s="192"/>
      <c r="Z257" s="217"/>
      <c r="AA257" s="192"/>
      <c r="AB257" s="192"/>
      <c r="AC257" s="192"/>
      <c r="AD257" s="192"/>
      <c r="AE257" s="192"/>
      <c r="AF257" s="192"/>
      <c r="AI257" s="192"/>
      <c r="AJ257" s="192"/>
      <c r="AK257" s="194"/>
      <c r="AL257" s="192"/>
      <c r="AM257" s="141"/>
      <c r="AN257" s="141"/>
    </row>
    <row r="258" spans="3:40" x14ac:dyDescent="0.3">
      <c r="C258" s="99"/>
      <c r="F258" s="110"/>
      <c r="H258" s="110"/>
      <c r="I258" s="110"/>
      <c r="J258" s="198"/>
      <c r="K258" s="198"/>
      <c r="L258" s="110"/>
      <c r="M258" s="110"/>
      <c r="N258" s="141"/>
      <c r="O258" s="141"/>
      <c r="P258" s="110"/>
      <c r="Q258" s="110"/>
      <c r="R258" s="110"/>
      <c r="T258" s="99"/>
      <c r="V258" s="110"/>
      <c r="Y258" s="110"/>
      <c r="Z258" s="198"/>
      <c r="AA258" s="110"/>
      <c r="AB258" s="110"/>
      <c r="AC258" s="141"/>
      <c r="AD258" s="141"/>
      <c r="AE258" s="110"/>
      <c r="AF258" s="110"/>
      <c r="AH258" s="207"/>
      <c r="AI258" s="110"/>
      <c r="AJ258" s="110"/>
      <c r="AL258" s="110"/>
      <c r="AM258" s="141"/>
      <c r="AN258" s="141"/>
    </row>
    <row r="259" spans="3:40" x14ac:dyDescent="0.3">
      <c r="F259" s="192"/>
      <c r="H259" s="192"/>
      <c r="I259" s="192"/>
      <c r="J259" s="217"/>
      <c r="K259" s="217"/>
      <c r="L259" s="192"/>
      <c r="M259" s="192"/>
      <c r="N259" s="192"/>
      <c r="O259" s="192"/>
      <c r="P259" s="192"/>
      <c r="Q259" s="192"/>
      <c r="R259" s="192"/>
      <c r="V259" s="192"/>
      <c r="Y259" s="192"/>
      <c r="Z259" s="217"/>
      <c r="AA259" s="192"/>
      <c r="AB259" s="192"/>
      <c r="AC259" s="192"/>
      <c r="AD259" s="192"/>
      <c r="AE259" s="192"/>
      <c r="AF259" s="192"/>
      <c r="AI259" s="192"/>
      <c r="AJ259" s="192"/>
      <c r="AK259" s="194"/>
      <c r="AL259" s="192"/>
      <c r="AM259" s="141"/>
      <c r="AN259" s="141"/>
    </row>
    <row r="260" spans="3:40" x14ac:dyDescent="0.3">
      <c r="C260" s="99"/>
      <c r="F260" s="110"/>
      <c r="H260" s="110"/>
      <c r="I260" s="110"/>
      <c r="J260" s="198"/>
      <c r="K260" s="198"/>
      <c r="L260" s="110"/>
      <c r="M260" s="110"/>
      <c r="N260" s="141"/>
      <c r="O260" s="141"/>
      <c r="P260" s="110"/>
      <c r="Q260" s="110"/>
      <c r="R260" s="110"/>
      <c r="T260" s="99"/>
      <c r="V260" s="110"/>
      <c r="Y260" s="110"/>
      <c r="Z260" s="198"/>
      <c r="AA260" s="110"/>
      <c r="AB260" s="110"/>
      <c r="AC260" s="141"/>
      <c r="AD260" s="141"/>
      <c r="AE260" s="110"/>
      <c r="AF260" s="110"/>
      <c r="AH260" s="207"/>
      <c r="AI260" s="110"/>
      <c r="AJ260" s="110"/>
      <c r="AL260" s="110"/>
      <c r="AM260" s="141"/>
      <c r="AN260" s="141"/>
    </row>
    <row r="261" spans="3:40" x14ac:dyDescent="0.3">
      <c r="C261" s="99"/>
      <c r="F261" s="110"/>
      <c r="H261" s="172"/>
      <c r="I261" s="172"/>
      <c r="J261" s="222"/>
      <c r="K261" s="222"/>
      <c r="L261" s="110"/>
      <c r="M261" s="110"/>
      <c r="N261" s="141"/>
      <c r="O261" s="141"/>
      <c r="P261" s="110"/>
      <c r="Q261" s="110"/>
      <c r="R261" s="110"/>
      <c r="T261" s="99"/>
      <c r="V261" s="110"/>
      <c r="Y261" s="110"/>
      <c r="Z261" s="216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3:40" x14ac:dyDescent="0.3"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  <c r="AM262" s="141"/>
      <c r="AN262" s="141"/>
    </row>
    <row r="263" spans="3:40" x14ac:dyDescent="0.3">
      <c r="F263" s="192"/>
    </row>
    <row r="264" spans="3:40" x14ac:dyDescent="0.3">
      <c r="C264" s="99"/>
      <c r="F264" s="110"/>
      <c r="H264" s="110"/>
      <c r="I264" s="110"/>
      <c r="J264" s="217"/>
      <c r="K264" s="217"/>
      <c r="L264" s="110"/>
      <c r="M264" s="110"/>
      <c r="N264" s="141"/>
      <c r="O264" s="141"/>
      <c r="P264" s="110"/>
      <c r="Q264" s="110"/>
      <c r="R264" s="110"/>
      <c r="S264" s="110"/>
      <c r="T264" s="99"/>
      <c r="V264" s="110"/>
      <c r="Y264" s="110"/>
      <c r="Z264" s="217"/>
      <c r="AA264" s="110"/>
      <c r="AB264" s="110"/>
      <c r="AC264" s="141"/>
      <c r="AD264" s="141"/>
      <c r="AE264" s="110"/>
      <c r="AF264" s="110"/>
      <c r="AH264" s="141"/>
      <c r="AI264" s="110"/>
      <c r="AJ264" s="110"/>
      <c r="AL264" s="110"/>
      <c r="AM264" s="141"/>
      <c r="AN264" s="141"/>
    </row>
    <row r="265" spans="3:40" x14ac:dyDescent="0.3">
      <c r="F265" s="192"/>
      <c r="H265" s="192"/>
      <c r="I265" s="192"/>
      <c r="J265" s="217"/>
      <c r="K265" s="217"/>
      <c r="L265" s="192"/>
      <c r="M265" s="192"/>
      <c r="N265" s="192"/>
      <c r="O265" s="192"/>
      <c r="P265" s="192"/>
      <c r="Q265" s="192"/>
      <c r="R265" s="192"/>
      <c r="S265" s="110"/>
      <c r="V265" s="192"/>
      <c r="Y265" s="192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  <c r="AM265" s="141"/>
      <c r="AN265" s="141"/>
    </row>
    <row r="266" spans="3:40" x14ac:dyDescent="0.3">
      <c r="C266" s="99"/>
      <c r="H266" s="172"/>
      <c r="I266" s="172"/>
      <c r="J266" s="217"/>
      <c r="K266" s="217"/>
      <c r="L266" s="110"/>
      <c r="M266" s="110"/>
      <c r="N266" s="141"/>
      <c r="O266" s="141"/>
      <c r="P266" s="110"/>
      <c r="Q266" s="110"/>
      <c r="R266" s="110"/>
      <c r="S266" s="110"/>
      <c r="T266" s="99"/>
      <c r="V266" s="172"/>
      <c r="Y266" s="172"/>
      <c r="Z266" s="217"/>
      <c r="AA266" s="110"/>
      <c r="AB266" s="110"/>
      <c r="AC266" s="141"/>
      <c r="AD266" s="141"/>
      <c r="AE266" s="110"/>
      <c r="AF266" s="110"/>
      <c r="AI266" s="110"/>
      <c r="AJ266" s="110"/>
      <c r="AL266" s="110"/>
      <c r="AM266" s="141"/>
      <c r="AN266" s="141"/>
    </row>
    <row r="267" spans="3:40" x14ac:dyDescent="0.3">
      <c r="F267" s="172"/>
    </row>
    <row r="268" spans="3:40" x14ac:dyDescent="0.3">
      <c r="C268" s="99"/>
      <c r="F268" s="172"/>
      <c r="H268" s="172"/>
      <c r="I268" s="172"/>
      <c r="J268" s="181"/>
      <c r="K268" s="181"/>
      <c r="L268" s="110"/>
      <c r="M268" s="110"/>
      <c r="N268" s="141"/>
      <c r="O268" s="141"/>
      <c r="R268" s="110"/>
      <c r="T268" s="99"/>
      <c r="V268" s="110"/>
      <c r="Y268" s="172"/>
      <c r="Z268" s="181"/>
      <c r="AA268" s="110"/>
      <c r="AB268" s="110"/>
      <c r="AC268" s="141"/>
      <c r="AD268" s="141"/>
      <c r="AE268" s="110"/>
      <c r="AF268" s="110"/>
      <c r="AH268" s="207"/>
      <c r="AL268" s="110"/>
      <c r="AM268" s="141"/>
      <c r="AN268" s="141"/>
    </row>
    <row r="269" spans="3:40" x14ac:dyDescent="0.3">
      <c r="F269" s="192"/>
      <c r="H269" s="110"/>
      <c r="I269" s="110"/>
      <c r="J269" s="217"/>
      <c r="K269" s="217"/>
      <c r="L269" s="192"/>
      <c r="M269" s="192"/>
      <c r="N269" s="192"/>
      <c r="O269" s="192"/>
      <c r="P269" s="192"/>
      <c r="Q269" s="192"/>
      <c r="R269" s="192"/>
      <c r="V269" s="192"/>
      <c r="Y269" s="110"/>
      <c r="Z269" s="217"/>
      <c r="AA269" s="192"/>
      <c r="AB269" s="192"/>
      <c r="AC269" s="192"/>
      <c r="AD269" s="192"/>
      <c r="AE269" s="192"/>
      <c r="AF269" s="192"/>
      <c r="AI269" s="192"/>
      <c r="AJ269" s="192"/>
      <c r="AK269" s="194"/>
      <c r="AL269" s="192"/>
      <c r="AM269" s="141"/>
      <c r="AN269" s="141"/>
    </row>
    <row r="270" spans="3:40" x14ac:dyDescent="0.3">
      <c r="C270" s="99"/>
      <c r="F270" s="172"/>
      <c r="H270" s="172"/>
      <c r="I270" s="172"/>
      <c r="J270" s="227"/>
      <c r="K270" s="227"/>
      <c r="L270" s="110"/>
      <c r="M270" s="110"/>
      <c r="N270" s="141"/>
      <c r="O270" s="141"/>
      <c r="P270" s="110"/>
      <c r="Q270" s="110"/>
      <c r="R270" s="110"/>
      <c r="S270" s="110"/>
      <c r="T270" s="99"/>
      <c r="V270" s="172"/>
      <c r="Y270" s="172"/>
      <c r="Z270" s="227"/>
      <c r="AA270" s="110"/>
      <c r="AB270" s="110"/>
      <c r="AC270" s="141"/>
      <c r="AD270" s="141"/>
      <c r="AE270" s="110"/>
      <c r="AF270" s="110"/>
      <c r="AH270" s="141"/>
      <c r="AI270" s="110"/>
      <c r="AJ270" s="110"/>
      <c r="AL270" s="110"/>
      <c r="AM270" s="141"/>
      <c r="AN270" s="141"/>
    </row>
    <row r="271" spans="3:40" x14ac:dyDescent="0.3">
      <c r="C271" s="99"/>
      <c r="F271" s="172"/>
      <c r="H271" s="172"/>
      <c r="I271" s="172"/>
      <c r="J271" s="181"/>
      <c r="K271" s="181"/>
      <c r="L271" s="110"/>
      <c r="M271" s="110"/>
      <c r="N271" s="141"/>
      <c r="O271" s="141"/>
      <c r="P271" s="110"/>
      <c r="Q271" s="110"/>
      <c r="R271" s="110"/>
      <c r="T271" s="99"/>
      <c r="V271" s="172"/>
      <c r="Y271" s="110"/>
      <c r="Z271" s="181"/>
      <c r="AA271" s="110"/>
      <c r="AB271" s="110"/>
      <c r="AC271" s="141"/>
      <c r="AD271" s="141"/>
      <c r="AE271" s="110"/>
      <c r="AF271" s="110"/>
      <c r="AH271" s="207"/>
      <c r="AI271" s="110"/>
      <c r="AJ271" s="110"/>
      <c r="AL271" s="110"/>
      <c r="AM271" s="141"/>
      <c r="AN271" s="141"/>
    </row>
    <row r="272" spans="3:40" x14ac:dyDescent="0.3">
      <c r="C272" s="99"/>
      <c r="F272" s="172"/>
      <c r="H272" s="172"/>
      <c r="I272" s="172"/>
      <c r="J272" s="181"/>
      <c r="K272" s="181"/>
      <c r="L272" s="110"/>
      <c r="M272" s="110"/>
      <c r="N272" s="141"/>
      <c r="O272" s="141"/>
      <c r="P272" s="110"/>
      <c r="Q272" s="110"/>
      <c r="R272" s="110"/>
      <c r="T272" s="99"/>
      <c r="V272" s="172"/>
      <c r="Y272" s="110"/>
      <c r="Z272" s="181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1:40" x14ac:dyDescent="0.3">
      <c r="F273" s="192"/>
      <c r="H273" s="192"/>
      <c r="I273" s="192"/>
      <c r="J273" s="217"/>
      <c r="K273" s="217"/>
      <c r="L273" s="192"/>
      <c r="M273" s="192"/>
      <c r="N273" s="192"/>
      <c r="O273" s="192"/>
      <c r="P273" s="192"/>
      <c r="Q273" s="192"/>
      <c r="R273" s="192"/>
      <c r="V273" s="192"/>
      <c r="Y273" s="192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  <c r="AM273" s="141"/>
      <c r="AN273" s="141"/>
    </row>
    <row r="274" spans="1:40" x14ac:dyDescent="0.3">
      <c r="C274" s="99"/>
      <c r="F274" s="110"/>
      <c r="H274" s="110"/>
      <c r="I274" s="110"/>
      <c r="J274" s="198"/>
      <c r="K274" s="198"/>
      <c r="L274" s="110"/>
      <c r="M274" s="110"/>
      <c r="N274" s="141"/>
      <c r="O274" s="141"/>
      <c r="P274" s="110"/>
      <c r="Q274" s="110"/>
      <c r="R274" s="110"/>
      <c r="T274" s="99"/>
      <c r="V274" s="110"/>
      <c r="Y274" s="110"/>
      <c r="Z274" s="198"/>
      <c r="AA274" s="110"/>
      <c r="AB274" s="110"/>
      <c r="AC274" s="141"/>
      <c r="AD274" s="141"/>
      <c r="AE274" s="110"/>
      <c r="AF274" s="110"/>
      <c r="AH274" s="207"/>
      <c r="AI274" s="110"/>
      <c r="AJ274" s="110"/>
      <c r="AL274" s="110"/>
      <c r="AM274" s="141"/>
      <c r="AN274" s="141"/>
    </row>
    <row r="275" spans="1:40" x14ac:dyDescent="0.3">
      <c r="F275" s="192"/>
      <c r="H275" s="192"/>
      <c r="I275" s="192"/>
      <c r="J275" s="217"/>
      <c r="K275" s="217"/>
      <c r="L275" s="192"/>
      <c r="M275" s="192"/>
      <c r="N275" s="192"/>
      <c r="O275" s="192"/>
      <c r="P275" s="192"/>
      <c r="Q275" s="192"/>
      <c r="R275" s="192"/>
      <c r="V275" s="192"/>
      <c r="Y275" s="192"/>
      <c r="Z275" s="217"/>
      <c r="AA275" s="192"/>
      <c r="AB275" s="192"/>
      <c r="AC275" s="192"/>
      <c r="AD275" s="192"/>
      <c r="AE275" s="192"/>
      <c r="AF275" s="192"/>
      <c r="AI275" s="192"/>
      <c r="AJ275" s="192"/>
      <c r="AK275" s="194"/>
      <c r="AL275" s="192"/>
      <c r="AM275" s="141"/>
      <c r="AN275" s="141"/>
    </row>
    <row r="276" spans="1:40" x14ac:dyDescent="0.3">
      <c r="C276" s="99"/>
      <c r="F276" s="110"/>
      <c r="H276" s="110"/>
      <c r="I276" s="110"/>
      <c r="J276" s="198"/>
      <c r="K276" s="198"/>
      <c r="L276" s="110"/>
      <c r="M276" s="110"/>
      <c r="N276" s="141"/>
      <c r="O276" s="141"/>
      <c r="P276" s="110"/>
      <c r="Q276" s="110"/>
      <c r="R276" s="110"/>
      <c r="T276" s="99"/>
      <c r="V276" s="110"/>
      <c r="Y276" s="110"/>
      <c r="Z276" s="198"/>
      <c r="AA276" s="110"/>
      <c r="AB276" s="110"/>
      <c r="AC276" s="141"/>
      <c r="AD276" s="141"/>
      <c r="AE276" s="110"/>
      <c r="AF276" s="110"/>
      <c r="AH276" s="207"/>
      <c r="AI276" s="110"/>
      <c r="AJ276" s="110"/>
      <c r="AL276" s="110"/>
      <c r="AM276" s="141"/>
      <c r="AN276" s="141"/>
    </row>
    <row r="277" spans="1:40" x14ac:dyDescent="0.3">
      <c r="C277" s="99"/>
      <c r="F277" s="110"/>
      <c r="H277" s="172"/>
      <c r="I277" s="172"/>
      <c r="J277" s="222"/>
      <c r="K277" s="222"/>
      <c r="L277" s="110"/>
      <c r="M277" s="110"/>
      <c r="N277" s="141"/>
      <c r="O277" s="141"/>
      <c r="P277" s="110"/>
      <c r="Q277" s="110"/>
      <c r="R277" s="110"/>
      <c r="T277" s="99"/>
      <c r="V277" s="110"/>
      <c r="Y277" s="110"/>
      <c r="Z277" s="216"/>
      <c r="AA277" s="110"/>
      <c r="AB277" s="110"/>
      <c r="AC277" s="141"/>
      <c r="AD277" s="141"/>
      <c r="AE277" s="110"/>
      <c r="AF277" s="110"/>
      <c r="AH277" s="207"/>
      <c r="AI277" s="110"/>
      <c r="AJ277" s="110"/>
      <c r="AL277" s="110"/>
      <c r="AM277" s="141"/>
      <c r="AN277" s="141"/>
    </row>
    <row r="278" spans="1:40" x14ac:dyDescent="0.3">
      <c r="H278" s="192"/>
      <c r="I278" s="192"/>
      <c r="J278" s="217"/>
      <c r="K278" s="217"/>
      <c r="L278" s="192"/>
      <c r="M278" s="192"/>
      <c r="N278" s="192"/>
      <c r="O278" s="192"/>
      <c r="P278" s="192"/>
      <c r="Q278" s="192"/>
      <c r="R278" s="192"/>
      <c r="V278" s="192"/>
      <c r="Y278" s="192"/>
      <c r="Z278" s="217"/>
      <c r="AA278" s="192"/>
      <c r="AB278" s="192"/>
      <c r="AC278" s="192"/>
      <c r="AD278" s="192"/>
      <c r="AE278" s="192"/>
      <c r="AF278" s="192"/>
      <c r="AI278" s="192"/>
      <c r="AJ278" s="192"/>
      <c r="AK278" s="194"/>
      <c r="AL278" s="192"/>
      <c r="AM278" s="141"/>
      <c r="AN278" s="141"/>
    </row>
    <row r="279" spans="1:40" x14ac:dyDescent="0.3">
      <c r="F279" s="192"/>
    </row>
    <row r="280" spans="1:40" x14ac:dyDescent="0.3">
      <c r="C280" s="99"/>
      <c r="F280" s="110"/>
      <c r="H280" s="110"/>
      <c r="I280" s="110"/>
      <c r="J280" s="217"/>
      <c r="K280" s="217"/>
      <c r="L280" s="110"/>
      <c r="M280" s="110"/>
      <c r="N280" s="141"/>
      <c r="O280" s="141"/>
      <c r="P280" s="110"/>
      <c r="Q280" s="110"/>
      <c r="R280" s="110"/>
      <c r="S280" s="110"/>
      <c r="T280" s="99"/>
      <c r="V280" s="110"/>
      <c r="Y280" s="110"/>
      <c r="Z280" s="217"/>
      <c r="AA280" s="110"/>
      <c r="AB280" s="110"/>
      <c r="AC280" s="141"/>
      <c r="AD280" s="141"/>
      <c r="AE280" s="110"/>
      <c r="AF280" s="110"/>
      <c r="AH280" s="141"/>
      <c r="AI280" s="110"/>
      <c r="AJ280" s="110"/>
      <c r="AL280" s="110"/>
      <c r="AM280" s="141"/>
      <c r="AN280" s="141"/>
    </row>
    <row r="281" spans="1:40" x14ac:dyDescent="0.3">
      <c r="F281" s="192"/>
      <c r="H281" s="192"/>
      <c r="I281" s="192"/>
      <c r="J281" s="217"/>
      <c r="K281" s="217"/>
      <c r="L281" s="192"/>
      <c r="M281" s="192"/>
      <c r="N281" s="192"/>
      <c r="O281" s="192"/>
      <c r="P281" s="192"/>
      <c r="Q281" s="192"/>
      <c r="R281" s="192"/>
      <c r="S281" s="110"/>
      <c r="V281" s="192"/>
      <c r="Y281" s="192"/>
      <c r="Z281" s="217"/>
      <c r="AA281" s="192"/>
      <c r="AB281" s="192"/>
      <c r="AC281" s="192"/>
      <c r="AD281" s="192"/>
      <c r="AE281" s="192"/>
      <c r="AF281" s="192"/>
      <c r="AI281" s="192"/>
      <c r="AJ281" s="192"/>
      <c r="AK281" s="194"/>
      <c r="AL281" s="192"/>
      <c r="AM281" s="141"/>
      <c r="AN281" s="141"/>
    </row>
    <row r="282" spans="1:40" x14ac:dyDescent="0.3">
      <c r="C282" s="99"/>
      <c r="T282" s="99"/>
    </row>
    <row r="283" spans="1:40" x14ac:dyDescent="0.3">
      <c r="C283" s="99"/>
      <c r="F283" s="110"/>
      <c r="H283" s="110"/>
      <c r="I283" s="110"/>
      <c r="L283" s="110"/>
      <c r="M283" s="110"/>
      <c r="N283" s="141"/>
      <c r="O283" s="141"/>
      <c r="P283" s="172"/>
      <c r="Q283" s="172"/>
      <c r="R283" s="110"/>
      <c r="T283" s="99"/>
      <c r="V283" s="110"/>
      <c r="Y283" s="110"/>
      <c r="AA283" s="110"/>
      <c r="AB283" s="110"/>
      <c r="AC283" s="141"/>
      <c r="AD283" s="141"/>
      <c r="AE283" s="110"/>
      <c r="AF283" s="110"/>
      <c r="AH283" s="141"/>
      <c r="AI283" s="172"/>
      <c r="AJ283" s="172"/>
      <c r="AL283" s="110"/>
      <c r="AM283" s="141"/>
      <c r="AN283" s="141"/>
    </row>
    <row r="284" spans="1:40" x14ac:dyDescent="0.3">
      <c r="H284" s="192"/>
      <c r="I284" s="192"/>
      <c r="J284" s="217"/>
      <c r="K284" s="217"/>
      <c r="L284" s="192"/>
      <c r="M284" s="192"/>
      <c r="N284" s="192"/>
      <c r="O284" s="192"/>
      <c r="P284" s="192"/>
      <c r="Q284" s="192"/>
      <c r="R284" s="192"/>
      <c r="V284" s="192"/>
      <c r="Y284" s="192"/>
      <c r="Z284" s="217"/>
      <c r="AA284" s="192"/>
      <c r="AB284" s="192"/>
      <c r="AC284" s="192"/>
      <c r="AD284" s="192"/>
      <c r="AE284" s="192"/>
      <c r="AF284" s="192"/>
      <c r="AI284" s="192"/>
      <c r="AJ284" s="192"/>
      <c r="AK284" s="194"/>
      <c r="AL284" s="192"/>
    </row>
    <row r="285" spans="1:40" x14ac:dyDescent="0.3">
      <c r="F285" s="192"/>
    </row>
    <row r="286" spans="1:40" x14ac:dyDescent="0.3">
      <c r="C286" s="99"/>
      <c r="L286" s="110"/>
      <c r="M286" s="110"/>
      <c r="N286" s="110"/>
      <c r="O286" s="110"/>
      <c r="P286" s="110"/>
      <c r="Q286" s="110"/>
      <c r="R286" s="110"/>
      <c r="S286" s="110"/>
      <c r="T286" s="99"/>
      <c r="AA286" s="110"/>
      <c r="AB286" s="110"/>
      <c r="AC286" s="110"/>
      <c r="AD286" s="110"/>
      <c r="AI286" s="110"/>
      <c r="AJ286" s="110"/>
      <c r="AL286" s="110"/>
    </row>
    <row r="287" spans="1:40" x14ac:dyDescent="0.3">
      <c r="A287" s="99"/>
    </row>
    <row r="289" spans="1:40" x14ac:dyDescent="0.3">
      <c r="H289" s="99"/>
      <c r="I289" s="99"/>
      <c r="Y289" s="99"/>
    </row>
    <row r="291" spans="1:40" x14ac:dyDescent="0.3">
      <c r="L291" s="99"/>
      <c r="M291" s="99"/>
      <c r="AA291" s="99"/>
      <c r="AB291" s="99"/>
    </row>
    <row r="292" spans="1:40" x14ac:dyDescent="0.3">
      <c r="R292" s="99"/>
      <c r="AK292" s="190"/>
      <c r="AL292" s="99"/>
    </row>
    <row r="293" spans="1:40" x14ac:dyDescent="0.3">
      <c r="R293" s="99"/>
      <c r="AK293" s="190"/>
      <c r="AL293" s="99"/>
    </row>
    <row r="294" spans="1:40" x14ac:dyDescent="0.3">
      <c r="A294" s="99"/>
      <c r="R294" s="99"/>
      <c r="AK294" s="190"/>
      <c r="AL294" s="99"/>
    </row>
    <row r="295" spans="1:40" x14ac:dyDescent="0.3">
      <c r="L295" s="99"/>
      <c r="M295" s="99"/>
      <c r="AA295" s="99"/>
      <c r="AB295" s="99"/>
    </row>
    <row r="296" spans="1:40" x14ac:dyDescent="0.3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91"/>
      <c r="AH296" s="101"/>
      <c r="AI296" s="101"/>
      <c r="AJ296" s="101"/>
      <c r="AK296" s="191"/>
      <c r="AL296" s="101"/>
      <c r="AM296" s="101"/>
      <c r="AN296" s="101"/>
    </row>
    <row r="297" spans="1:40" x14ac:dyDescent="0.3">
      <c r="L297" s="102"/>
      <c r="M297" s="102"/>
      <c r="N297" s="102"/>
      <c r="O297" s="102"/>
      <c r="R297" s="102"/>
      <c r="AA297" s="102"/>
      <c r="AB297" s="102"/>
      <c r="AC297" s="102"/>
      <c r="AD297" s="102"/>
      <c r="AE297" s="102"/>
      <c r="AF297" s="102"/>
      <c r="AG297" s="151"/>
      <c r="AH297" s="102"/>
      <c r="AK297" s="151"/>
      <c r="AL297" s="102"/>
      <c r="AM297" s="102"/>
      <c r="AN297" s="102"/>
    </row>
    <row r="298" spans="1:40" x14ac:dyDescent="0.3">
      <c r="L298" s="102"/>
      <c r="M298" s="102"/>
      <c r="N298" s="102"/>
      <c r="O298" s="102"/>
      <c r="R298" s="102"/>
      <c r="Z298" s="102"/>
      <c r="AA298" s="102"/>
      <c r="AB298" s="102"/>
      <c r="AC298" s="102"/>
      <c r="AD298" s="102"/>
      <c r="AE298" s="102"/>
      <c r="AF298" s="102"/>
      <c r="AG298" s="151"/>
      <c r="AH298" s="102"/>
      <c r="AK298" s="151"/>
      <c r="AL298" s="102"/>
      <c r="AM298" s="102"/>
      <c r="AN298" s="102"/>
    </row>
    <row r="299" spans="1:40" x14ac:dyDescent="0.3">
      <c r="A299" s="102"/>
      <c r="C299" s="102"/>
      <c r="D299" s="102"/>
      <c r="E299" s="102"/>
      <c r="F299" s="102"/>
      <c r="J299" s="102"/>
      <c r="K299" s="102"/>
      <c r="L299" s="102"/>
      <c r="M299" s="102"/>
      <c r="N299" s="102"/>
      <c r="O299" s="102"/>
      <c r="P299" s="102"/>
      <c r="Q299" s="102"/>
      <c r="R299" s="102"/>
      <c r="T299" s="102"/>
      <c r="U299" s="102"/>
      <c r="V299" s="102"/>
      <c r="Z299" s="102"/>
      <c r="AA299" s="102"/>
      <c r="AB299" s="102"/>
      <c r="AC299" s="102"/>
      <c r="AD299" s="102"/>
      <c r="AE299" s="102"/>
      <c r="AF299" s="102"/>
      <c r="AG299" s="151"/>
      <c r="AH299" s="102"/>
      <c r="AI299" s="102"/>
      <c r="AJ299" s="102"/>
      <c r="AK299" s="151"/>
      <c r="AL299" s="102"/>
      <c r="AM299" s="102"/>
      <c r="AN299" s="102"/>
    </row>
    <row r="300" spans="1:40" x14ac:dyDescent="0.3">
      <c r="A300" s="102"/>
      <c r="C300" s="102"/>
      <c r="D300" s="102"/>
      <c r="E300" s="102"/>
      <c r="F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T300" s="102"/>
      <c r="U300" s="102"/>
      <c r="V300" s="102"/>
      <c r="Y300" s="102"/>
      <c r="Z300" s="102"/>
      <c r="AA300" s="102"/>
      <c r="AB300" s="102"/>
      <c r="AC300" s="102"/>
      <c r="AD300" s="102"/>
      <c r="AE300" s="102"/>
      <c r="AF300" s="102"/>
      <c r="AG300" s="151"/>
      <c r="AH300" s="102"/>
      <c r="AI300" s="102"/>
      <c r="AJ300" s="102"/>
      <c r="AK300" s="151"/>
      <c r="AL300" s="102"/>
      <c r="AM300" s="102"/>
      <c r="AN300" s="102"/>
    </row>
    <row r="301" spans="1:40" x14ac:dyDescent="0.3">
      <c r="C301" s="102"/>
      <c r="D301" s="102"/>
      <c r="E301" s="102"/>
      <c r="F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T301" s="102"/>
      <c r="U301" s="102"/>
      <c r="V301" s="102"/>
      <c r="Y301" s="102"/>
      <c r="Z301" s="102"/>
      <c r="AA301" s="102"/>
      <c r="AB301" s="102"/>
      <c r="AC301" s="102"/>
      <c r="AD301" s="102"/>
      <c r="AE301" s="102"/>
      <c r="AF301" s="102"/>
      <c r="AG301" s="151"/>
      <c r="AH301" s="102"/>
      <c r="AI301" s="102"/>
      <c r="AJ301" s="102"/>
      <c r="AK301" s="151"/>
      <c r="AL301" s="102"/>
      <c r="AM301" s="102"/>
      <c r="AN301" s="102"/>
    </row>
    <row r="302" spans="1:40" x14ac:dyDescent="0.3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91"/>
      <c r="AH302" s="101"/>
      <c r="AI302" s="101"/>
      <c r="AJ302" s="101"/>
      <c r="AK302" s="191"/>
      <c r="AL302" s="101"/>
      <c r="AM302" s="101"/>
      <c r="AN302" s="101"/>
    </row>
    <row r="303" spans="1:40" x14ac:dyDescent="0.3"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Y303" s="102"/>
      <c r="Z303" s="102"/>
      <c r="AA303" s="102"/>
      <c r="AB303" s="102"/>
      <c r="AC303" s="102"/>
      <c r="AD303" s="102"/>
      <c r="AE303" s="102"/>
      <c r="AF303" s="102"/>
      <c r="AG303" s="151"/>
      <c r="AH303" s="102"/>
      <c r="AI303" s="102"/>
      <c r="AJ303" s="102"/>
      <c r="AK303" s="151"/>
      <c r="AL303" s="102"/>
      <c r="AM303" s="102"/>
      <c r="AN303" s="102"/>
    </row>
    <row r="304" spans="1:40" x14ac:dyDescent="0.3">
      <c r="C304" s="99"/>
      <c r="D304" s="99"/>
      <c r="E304" s="99"/>
      <c r="T304" s="99"/>
      <c r="U304" s="99"/>
    </row>
    <row r="305" spans="3:40" x14ac:dyDescent="0.3">
      <c r="D305" s="99"/>
      <c r="E305" s="99"/>
      <c r="U305" s="99"/>
    </row>
    <row r="307" spans="3:40" x14ac:dyDescent="0.3">
      <c r="C307" s="99"/>
      <c r="T307" s="99"/>
    </row>
    <row r="308" spans="3:40" x14ac:dyDescent="0.3">
      <c r="C308" s="99"/>
      <c r="F308" s="172"/>
      <c r="H308" s="172"/>
      <c r="I308" s="172"/>
      <c r="J308" s="228"/>
      <c r="K308" s="228"/>
      <c r="L308" s="110"/>
      <c r="M308" s="110"/>
      <c r="N308" s="141"/>
      <c r="O308" s="141"/>
      <c r="P308" s="110"/>
      <c r="Q308" s="110"/>
      <c r="R308" s="110"/>
      <c r="T308" s="99"/>
      <c r="V308" s="172"/>
      <c r="W308" s="110"/>
      <c r="X308" s="110"/>
      <c r="Y308" s="172"/>
      <c r="Z308" s="22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3:40" x14ac:dyDescent="0.3">
      <c r="C309" s="99"/>
      <c r="F309" s="110"/>
      <c r="H309" s="110"/>
      <c r="I309" s="110"/>
      <c r="J309" s="217"/>
      <c r="K309" s="217"/>
      <c r="L309" s="110"/>
      <c r="M309" s="110"/>
      <c r="N309" s="141"/>
      <c r="O309" s="141"/>
      <c r="P309" s="110"/>
      <c r="Q309" s="110"/>
      <c r="R309" s="110"/>
      <c r="T309" s="99"/>
      <c r="V309" s="172"/>
      <c r="W309" s="110"/>
      <c r="X309" s="110"/>
      <c r="Y309" s="172"/>
      <c r="Z309" s="217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C310" s="99"/>
      <c r="F310" s="172"/>
      <c r="H310" s="172"/>
      <c r="I310" s="172"/>
      <c r="J310" s="228"/>
      <c r="K310" s="228"/>
      <c r="L310" s="110"/>
      <c r="M310" s="110"/>
      <c r="N310" s="141"/>
      <c r="O310" s="141"/>
      <c r="P310" s="110"/>
      <c r="Q310" s="110"/>
      <c r="R310" s="110"/>
      <c r="T310" s="99"/>
      <c r="V310" s="172"/>
      <c r="W310" s="110"/>
      <c r="X310" s="110"/>
      <c r="Y310" s="172"/>
      <c r="Z310" s="228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C311" s="99"/>
      <c r="F311" s="172"/>
      <c r="H311" s="172"/>
      <c r="I311" s="172"/>
      <c r="J311" s="228"/>
      <c r="K311" s="228"/>
      <c r="L311" s="110"/>
      <c r="M311" s="110"/>
      <c r="N311" s="141"/>
      <c r="O311" s="141"/>
      <c r="P311" s="110"/>
      <c r="Q311" s="110"/>
      <c r="R311" s="110"/>
      <c r="T311" s="99"/>
      <c r="V311" s="172"/>
      <c r="W311" s="110"/>
      <c r="X311" s="110"/>
      <c r="Y311" s="172"/>
      <c r="Z311" s="228"/>
      <c r="AA311" s="110"/>
      <c r="AB311" s="110"/>
      <c r="AC311" s="141"/>
      <c r="AD311" s="141"/>
      <c r="AE311" s="110"/>
      <c r="AF311" s="110"/>
      <c r="AH311" s="207"/>
      <c r="AI311" s="110"/>
      <c r="AJ311" s="110"/>
      <c r="AL311" s="110"/>
      <c r="AM311" s="141"/>
      <c r="AN311" s="141"/>
    </row>
    <row r="312" spans="3:40" x14ac:dyDescent="0.3">
      <c r="C312" s="99"/>
      <c r="F312" s="172"/>
      <c r="H312" s="172"/>
      <c r="I312" s="172"/>
      <c r="J312" s="228"/>
      <c r="K312" s="228"/>
      <c r="L312" s="110"/>
      <c r="M312" s="110"/>
      <c r="N312" s="141"/>
      <c r="O312" s="141"/>
      <c r="P312" s="110"/>
      <c r="Q312" s="110"/>
      <c r="R312" s="110"/>
      <c r="T312" s="99"/>
      <c r="V312" s="172"/>
      <c r="W312" s="110"/>
      <c r="X312" s="110"/>
      <c r="Y312" s="172"/>
      <c r="Z312" s="228"/>
      <c r="AA312" s="110"/>
      <c r="AB312" s="110"/>
      <c r="AC312" s="141"/>
      <c r="AD312" s="141"/>
      <c r="AE312" s="110"/>
      <c r="AF312" s="110"/>
      <c r="AH312" s="207"/>
      <c r="AI312" s="110"/>
      <c r="AJ312" s="110"/>
      <c r="AL312" s="110"/>
      <c r="AM312" s="141"/>
      <c r="AN312" s="141"/>
    </row>
    <row r="313" spans="3:40" x14ac:dyDescent="0.3">
      <c r="C313" s="99"/>
      <c r="F313" s="110"/>
      <c r="H313" s="110"/>
      <c r="I313" s="110"/>
      <c r="J313" s="228"/>
      <c r="K313" s="228"/>
      <c r="L313" s="110"/>
      <c r="M313" s="110"/>
      <c r="N313" s="141"/>
      <c r="O313" s="141"/>
      <c r="P313" s="110"/>
      <c r="Q313" s="110"/>
      <c r="R313" s="110"/>
      <c r="T313" s="99"/>
      <c r="V313" s="172"/>
      <c r="W313" s="110"/>
      <c r="X313" s="110"/>
      <c r="Y313" s="172"/>
      <c r="Z313" s="228"/>
      <c r="AA313" s="110"/>
      <c r="AB313" s="110"/>
      <c r="AC313" s="141"/>
      <c r="AD313" s="141"/>
      <c r="AE313" s="110"/>
      <c r="AF313" s="110"/>
      <c r="AH313" s="207"/>
      <c r="AI313" s="110"/>
      <c r="AJ313" s="110"/>
      <c r="AL313" s="110"/>
      <c r="AM313" s="141"/>
      <c r="AN313" s="141"/>
    </row>
    <row r="314" spans="3:40" x14ac:dyDescent="0.3">
      <c r="C314" s="99"/>
      <c r="F314" s="110"/>
      <c r="H314" s="110"/>
      <c r="I314" s="110"/>
      <c r="J314" s="228"/>
      <c r="K314" s="228"/>
      <c r="L314" s="110"/>
      <c r="M314" s="110"/>
      <c r="N314" s="141"/>
      <c r="O314" s="141"/>
      <c r="P314" s="110"/>
      <c r="Q314" s="110"/>
      <c r="R314" s="110"/>
      <c r="T314" s="99"/>
      <c r="V314" s="172"/>
      <c r="W314" s="110"/>
      <c r="X314" s="110"/>
      <c r="Y314" s="172"/>
      <c r="Z314" s="228"/>
      <c r="AA314" s="110"/>
      <c r="AB314" s="110"/>
      <c r="AC314" s="141"/>
      <c r="AD314" s="141"/>
      <c r="AE314" s="110"/>
      <c r="AF314" s="110"/>
      <c r="AH314" s="207"/>
      <c r="AI314" s="110"/>
      <c r="AJ314" s="110"/>
      <c r="AL314" s="110"/>
      <c r="AM314" s="141"/>
      <c r="AN314" s="141"/>
    </row>
    <row r="315" spans="3:40" x14ac:dyDescent="0.3">
      <c r="F315" s="210"/>
      <c r="H315" s="230"/>
      <c r="I315" s="230"/>
      <c r="J315" s="228"/>
      <c r="K315" s="228"/>
      <c r="L315" s="210"/>
      <c r="M315" s="210"/>
      <c r="N315" s="192"/>
      <c r="O315" s="192"/>
      <c r="P315" s="210"/>
      <c r="Q315" s="210"/>
      <c r="R315" s="210"/>
      <c r="V315" s="210"/>
      <c r="W315" s="110"/>
      <c r="X315" s="110"/>
      <c r="Y315" s="210"/>
      <c r="Z315" s="228"/>
      <c r="AA315" s="210"/>
      <c r="AB315" s="210"/>
      <c r="AC315" s="211"/>
      <c r="AD315" s="211"/>
      <c r="AE315" s="210"/>
      <c r="AF315" s="210"/>
      <c r="AH315" s="207"/>
      <c r="AI315" s="210"/>
      <c r="AJ315" s="210"/>
      <c r="AK315" s="191"/>
      <c r="AL315" s="210"/>
      <c r="AM315" s="141"/>
      <c r="AN315" s="141"/>
    </row>
    <row r="316" spans="3:40" x14ac:dyDescent="0.3">
      <c r="C316" s="99"/>
      <c r="F316" s="110"/>
      <c r="H316" s="110"/>
      <c r="I316" s="110"/>
      <c r="J316" s="228"/>
      <c r="K316" s="228"/>
      <c r="L316" s="110"/>
      <c r="M316" s="110"/>
      <c r="N316" s="207"/>
      <c r="O316" s="207"/>
      <c r="P316" s="110"/>
      <c r="Q316" s="110"/>
      <c r="R316" s="110"/>
      <c r="T316" s="102"/>
      <c r="V316" s="110"/>
      <c r="W316" s="110"/>
      <c r="X316" s="110"/>
      <c r="Y316" s="110"/>
      <c r="Z316" s="228"/>
      <c r="AA316" s="110"/>
      <c r="AB316" s="110"/>
      <c r="AC316" s="207"/>
      <c r="AD316" s="207"/>
      <c r="AE316" s="110"/>
      <c r="AF316" s="110"/>
      <c r="AH316" s="207"/>
      <c r="AI316" s="110"/>
      <c r="AJ316" s="110"/>
      <c r="AL316" s="110"/>
      <c r="AM316" s="141"/>
      <c r="AN316" s="141"/>
    </row>
    <row r="317" spans="3:40" x14ac:dyDescent="0.3">
      <c r="F317" s="101"/>
      <c r="H317" s="101"/>
      <c r="I317" s="101"/>
      <c r="L317" s="101"/>
      <c r="M317" s="101"/>
      <c r="N317" s="211"/>
      <c r="O317" s="211"/>
      <c r="P317" s="210"/>
      <c r="Q317" s="210"/>
      <c r="R317" s="210"/>
      <c r="V317" s="210"/>
      <c r="Y317" s="210"/>
      <c r="Z317" s="217"/>
      <c r="AA317" s="210"/>
      <c r="AB317" s="210"/>
      <c r="AC317" s="210"/>
      <c r="AD317" s="210"/>
      <c r="AE317" s="210"/>
      <c r="AF317" s="210"/>
      <c r="AI317" s="210"/>
      <c r="AJ317" s="210"/>
      <c r="AK317" s="191"/>
      <c r="AL317" s="210"/>
      <c r="AM317" s="211"/>
      <c r="AN317" s="211"/>
    </row>
    <row r="322" spans="1:40" x14ac:dyDescent="0.3">
      <c r="N322" s="110"/>
      <c r="O322" s="110"/>
      <c r="P322" s="110"/>
      <c r="Q322" s="110"/>
      <c r="R322" s="110"/>
      <c r="V322" s="110"/>
      <c r="Y322" s="110"/>
      <c r="Z322" s="198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1:40" x14ac:dyDescent="0.3">
      <c r="C323" s="99"/>
      <c r="D323" s="99"/>
      <c r="E323" s="99"/>
      <c r="J323" s="163"/>
      <c r="K323" s="163"/>
      <c r="T323" s="99"/>
      <c r="U323" s="99"/>
      <c r="Z323" s="163"/>
      <c r="AE323" s="110"/>
      <c r="AF323" s="110"/>
      <c r="AI323" s="110"/>
      <c r="AJ323" s="110"/>
      <c r="AL323" s="110"/>
      <c r="AM323" s="141"/>
      <c r="AN323" s="141"/>
    </row>
    <row r="324" spans="1:40" x14ac:dyDescent="0.3">
      <c r="D324" s="99"/>
      <c r="E324" s="99"/>
      <c r="F324" s="110"/>
      <c r="H324" s="110"/>
      <c r="I324" s="110"/>
      <c r="J324" s="228"/>
      <c r="K324" s="228"/>
      <c r="L324" s="110"/>
      <c r="M324" s="110"/>
      <c r="N324" s="141"/>
      <c r="O324" s="141"/>
      <c r="P324" s="110"/>
      <c r="Q324" s="110"/>
      <c r="R324" s="110"/>
      <c r="U324" s="99"/>
      <c r="V324" s="110"/>
      <c r="Y324" s="110"/>
      <c r="Z324" s="228"/>
      <c r="AA324" s="110"/>
      <c r="AB324" s="110"/>
      <c r="AC324" s="141"/>
      <c r="AD324" s="141"/>
      <c r="AE324" s="110"/>
      <c r="AF324" s="110"/>
      <c r="AH324" s="207"/>
      <c r="AI324" s="110"/>
      <c r="AJ324" s="110"/>
      <c r="AL324" s="110"/>
      <c r="AM324" s="141"/>
      <c r="AN324" s="141"/>
    </row>
    <row r="325" spans="1:40" x14ac:dyDescent="0.3">
      <c r="F325" s="110"/>
      <c r="H325" s="110"/>
      <c r="I325" s="110"/>
      <c r="J325" s="217"/>
      <c r="K325" s="217"/>
      <c r="L325" s="110"/>
      <c r="M325" s="110"/>
      <c r="N325" s="110"/>
      <c r="O325" s="110"/>
      <c r="P325" s="110"/>
      <c r="Q325" s="110"/>
      <c r="R325" s="110"/>
      <c r="V325" s="110"/>
      <c r="Y325" s="110"/>
      <c r="Z325" s="217"/>
      <c r="AA325" s="110"/>
      <c r="AB325" s="110"/>
      <c r="AC325" s="110"/>
      <c r="AD325" s="110"/>
      <c r="AE325" s="110"/>
      <c r="AF325" s="110"/>
      <c r="AH325" s="207"/>
      <c r="AI325" s="172"/>
      <c r="AJ325" s="172"/>
      <c r="AL325" s="110"/>
      <c r="AM325" s="141"/>
      <c r="AN325" s="141"/>
    </row>
    <row r="326" spans="1:40" x14ac:dyDescent="0.3">
      <c r="C326" s="99"/>
      <c r="F326" s="172"/>
      <c r="H326" s="172"/>
      <c r="I326" s="172"/>
      <c r="J326" s="216"/>
      <c r="K326" s="216"/>
      <c r="L326" s="110"/>
      <c r="M326" s="110"/>
      <c r="N326" s="141"/>
      <c r="O326" s="141"/>
      <c r="P326" s="110"/>
      <c r="Q326" s="110"/>
      <c r="R326" s="110"/>
      <c r="T326" s="99"/>
      <c r="V326" s="172"/>
      <c r="Y326" s="172"/>
      <c r="Z326" s="216"/>
      <c r="AA326" s="110"/>
      <c r="AB326" s="110"/>
      <c r="AC326" s="141"/>
      <c r="AD326" s="141"/>
      <c r="AE326" s="110"/>
      <c r="AF326" s="110"/>
      <c r="AH326" s="207"/>
      <c r="AI326" s="110"/>
      <c r="AJ326" s="110"/>
      <c r="AL326" s="110"/>
      <c r="AM326" s="141"/>
      <c r="AN326" s="141"/>
    </row>
    <row r="327" spans="1:40" x14ac:dyDescent="0.3">
      <c r="F327" s="101"/>
      <c r="H327" s="101"/>
      <c r="I327" s="101"/>
      <c r="L327" s="101"/>
      <c r="M327" s="101"/>
      <c r="N327" s="101"/>
      <c r="O327" s="101"/>
      <c r="P327" s="101"/>
      <c r="Q327" s="101"/>
      <c r="R327" s="101"/>
      <c r="V327" s="101"/>
      <c r="Y327" s="101"/>
      <c r="AA327" s="101"/>
      <c r="AB327" s="101"/>
      <c r="AC327" s="101"/>
      <c r="AD327" s="101"/>
      <c r="AE327" s="101"/>
      <c r="AF327" s="101"/>
      <c r="AG327" s="191"/>
      <c r="AH327" s="101"/>
      <c r="AI327" s="101"/>
      <c r="AJ327" s="101"/>
      <c r="AK327" s="191"/>
      <c r="AL327" s="101"/>
      <c r="AM327" s="101"/>
      <c r="AN327" s="101"/>
    </row>
    <row r="328" spans="1:40" x14ac:dyDescent="0.3">
      <c r="C328" s="102"/>
      <c r="F328" s="172"/>
      <c r="H328" s="172"/>
      <c r="I328" s="172"/>
      <c r="J328" s="181"/>
      <c r="K328" s="181"/>
      <c r="L328" s="172"/>
      <c r="M328" s="172"/>
      <c r="N328" s="141"/>
      <c r="O328" s="141"/>
      <c r="P328" s="172"/>
      <c r="Q328" s="172"/>
      <c r="R328" s="172"/>
      <c r="T328" s="102"/>
      <c r="V328" s="110"/>
      <c r="Y328" s="110"/>
      <c r="Z328" s="198"/>
      <c r="AA328" s="110"/>
      <c r="AB328" s="110"/>
      <c r="AC328" s="141"/>
      <c r="AD328" s="141"/>
      <c r="AH328" s="207"/>
      <c r="AI328" s="110"/>
      <c r="AJ328" s="110"/>
      <c r="AL328" s="110"/>
      <c r="AM328" s="141"/>
      <c r="AN328" s="141"/>
    </row>
    <row r="329" spans="1:40" x14ac:dyDescent="0.3">
      <c r="F329" s="210"/>
      <c r="H329" s="210"/>
      <c r="I329" s="210"/>
      <c r="J329" s="217"/>
      <c r="K329" s="217"/>
      <c r="L329" s="210"/>
      <c r="M329" s="210"/>
      <c r="N329" s="210"/>
      <c r="O329" s="210"/>
      <c r="P329" s="210"/>
      <c r="Q329" s="210"/>
      <c r="R329" s="210"/>
      <c r="V329" s="101"/>
      <c r="Y329" s="101"/>
      <c r="AA329" s="101"/>
      <c r="AB329" s="101"/>
      <c r="AC329" s="101"/>
      <c r="AD329" s="101"/>
      <c r="AE329" s="101"/>
      <c r="AF329" s="101"/>
      <c r="AG329" s="191"/>
      <c r="AH329" s="101"/>
      <c r="AI329" s="101"/>
      <c r="AJ329" s="101"/>
      <c r="AK329" s="191"/>
      <c r="AL329" s="101"/>
      <c r="AM329" s="101"/>
      <c r="AN329" s="101"/>
    </row>
    <row r="330" spans="1:40" x14ac:dyDescent="0.3">
      <c r="F330" s="172"/>
      <c r="H330" s="172"/>
      <c r="I330" s="172"/>
      <c r="J330" s="227"/>
      <c r="K330" s="227"/>
      <c r="L330" s="110"/>
      <c r="M330" s="110"/>
      <c r="N330" s="141"/>
      <c r="O330" s="141"/>
      <c r="P330" s="110"/>
      <c r="Q330" s="110"/>
      <c r="R330" s="110"/>
    </row>
    <row r="331" spans="1:40" x14ac:dyDescent="0.3">
      <c r="A331" s="99"/>
      <c r="F331" s="172"/>
      <c r="H331" s="172"/>
      <c r="I331" s="172"/>
      <c r="J331" s="181"/>
      <c r="K331" s="181"/>
      <c r="L331" s="110"/>
      <c r="M331" s="110"/>
      <c r="N331" s="141"/>
      <c r="O331" s="141"/>
      <c r="P331" s="110"/>
      <c r="Q331" s="110"/>
      <c r="R331" s="110"/>
    </row>
    <row r="332" spans="1:40" x14ac:dyDescent="0.3">
      <c r="F332" s="172"/>
      <c r="H332" s="172"/>
      <c r="I332" s="172"/>
      <c r="J332" s="181"/>
      <c r="K332" s="181"/>
      <c r="L332" s="110"/>
      <c r="M332" s="110"/>
      <c r="N332" s="141"/>
      <c r="O332" s="141"/>
      <c r="P332" s="110"/>
      <c r="Q332" s="110"/>
      <c r="R332" s="110"/>
    </row>
    <row r="333" spans="1:40" x14ac:dyDescent="0.3">
      <c r="A333" s="99"/>
    </row>
    <row r="336" spans="1:40" x14ac:dyDescent="0.3">
      <c r="H336" s="99"/>
      <c r="I336" s="99"/>
      <c r="Y336" s="99"/>
    </row>
    <row r="338" spans="1:40" x14ac:dyDescent="0.3">
      <c r="L338" s="99"/>
      <c r="M338" s="99"/>
      <c r="AA338" s="99"/>
      <c r="AB338" s="99"/>
    </row>
    <row r="339" spans="1:40" x14ac:dyDescent="0.3">
      <c r="R339" s="99"/>
      <c r="AK339" s="190"/>
      <c r="AL339" s="99"/>
    </row>
    <row r="340" spans="1:40" x14ac:dyDescent="0.3">
      <c r="R340" s="99"/>
      <c r="AK340" s="190"/>
      <c r="AL340" s="99"/>
    </row>
    <row r="341" spans="1:40" x14ac:dyDescent="0.3">
      <c r="A341" s="99"/>
      <c r="R341" s="99"/>
      <c r="AK341" s="190"/>
      <c r="AL341" s="99"/>
    </row>
    <row r="342" spans="1:40" x14ac:dyDescent="0.3">
      <c r="L342" s="99"/>
      <c r="M342" s="99"/>
      <c r="AA342" s="99"/>
      <c r="AB342" s="99"/>
    </row>
    <row r="343" spans="1:40" x14ac:dyDescent="0.3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91"/>
      <c r="AH343" s="101"/>
      <c r="AI343" s="101"/>
      <c r="AJ343" s="101"/>
      <c r="AK343" s="191"/>
      <c r="AL343" s="101"/>
      <c r="AM343" s="101"/>
      <c r="AN343" s="101"/>
    </row>
    <row r="344" spans="1:40" x14ac:dyDescent="0.3">
      <c r="L344" s="102"/>
      <c r="M344" s="102"/>
      <c r="N344" s="102"/>
      <c r="O344" s="102"/>
      <c r="R344" s="102"/>
      <c r="AA344" s="102"/>
      <c r="AB344" s="102"/>
      <c r="AC344" s="102"/>
      <c r="AD344" s="102"/>
      <c r="AE344" s="102"/>
      <c r="AF344" s="102"/>
      <c r="AG344" s="151"/>
      <c r="AH344" s="102"/>
      <c r="AK344" s="151"/>
      <c r="AL344" s="102"/>
      <c r="AM344" s="102"/>
      <c r="AN344" s="102"/>
    </row>
    <row r="345" spans="1:40" x14ac:dyDescent="0.3">
      <c r="L345" s="102"/>
      <c r="M345" s="102"/>
      <c r="N345" s="102"/>
      <c r="O345" s="102"/>
      <c r="R345" s="102"/>
      <c r="Z345" s="102"/>
      <c r="AA345" s="102"/>
      <c r="AB345" s="102"/>
      <c r="AC345" s="102"/>
      <c r="AD345" s="102"/>
      <c r="AE345" s="102"/>
      <c r="AF345" s="102"/>
      <c r="AG345" s="151"/>
      <c r="AH345" s="102"/>
      <c r="AK345" s="151"/>
      <c r="AL345" s="102"/>
      <c r="AM345" s="102"/>
      <c r="AN345" s="102"/>
    </row>
    <row r="346" spans="1:40" x14ac:dyDescent="0.3">
      <c r="A346" s="102"/>
      <c r="C346" s="102"/>
      <c r="D346" s="102"/>
      <c r="E346" s="102"/>
      <c r="F346" s="102"/>
      <c r="J346" s="102"/>
      <c r="K346" s="102"/>
      <c r="L346" s="102"/>
      <c r="M346" s="102"/>
      <c r="N346" s="102"/>
      <c r="O346" s="102"/>
      <c r="P346" s="102"/>
      <c r="Q346" s="102"/>
      <c r="R346" s="102"/>
      <c r="T346" s="102"/>
      <c r="U346" s="102"/>
      <c r="V346" s="102"/>
      <c r="Z346" s="102"/>
      <c r="AA346" s="102"/>
      <c r="AB346" s="102"/>
      <c r="AC346" s="102"/>
      <c r="AD346" s="102"/>
      <c r="AE346" s="102"/>
      <c r="AF346" s="102"/>
      <c r="AG346" s="151"/>
      <c r="AH346" s="102"/>
      <c r="AI346" s="102"/>
      <c r="AJ346" s="102"/>
      <c r="AK346" s="151"/>
      <c r="AL346" s="102"/>
      <c r="AM346" s="102"/>
      <c r="AN346" s="102"/>
    </row>
    <row r="347" spans="1:40" x14ac:dyDescent="0.3">
      <c r="A347" s="102"/>
      <c r="C347" s="102"/>
      <c r="D347" s="102"/>
      <c r="E347" s="102"/>
      <c r="F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T347" s="102"/>
      <c r="U347" s="102"/>
      <c r="V347" s="102"/>
      <c r="Y347" s="102"/>
      <c r="Z347" s="102"/>
      <c r="AA347" s="102"/>
      <c r="AB347" s="102"/>
      <c r="AC347" s="102"/>
      <c r="AD347" s="102"/>
      <c r="AE347" s="102"/>
      <c r="AF347" s="102"/>
      <c r="AG347" s="151"/>
      <c r="AH347" s="102"/>
      <c r="AI347" s="102"/>
      <c r="AJ347" s="102"/>
      <c r="AK347" s="151"/>
      <c r="AL347" s="102"/>
      <c r="AM347" s="102"/>
      <c r="AN347" s="102"/>
    </row>
    <row r="348" spans="1:40" x14ac:dyDescent="0.3">
      <c r="C348" s="102"/>
      <c r="D348" s="102"/>
      <c r="E348" s="102"/>
      <c r="F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T348" s="102"/>
      <c r="U348" s="102"/>
      <c r="V348" s="102"/>
      <c r="Y348" s="102"/>
      <c r="Z348" s="102"/>
      <c r="AA348" s="102"/>
      <c r="AB348" s="102"/>
      <c r="AC348" s="102"/>
      <c r="AD348" s="102"/>
      <c r="AE348" s="102"/>
      <c r="AF348" s="102"/>
      <c r="AG348" s="151"/>
      <c r="AH348" s="102"/>
      <c r="AI348" s="102"/>
      <c r="AJ348" s="102"/>
      <c r="AK348" s="151"/>
      <c r="AL348" s="102"/>
      <c r="AM348" s="102"/>
      <c r="AN348" s="102"/>
    </row>
    <row r="349" spans="1:40" x14ac:dyDescent="0.3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91"/>
      <c r="AH349" s="101"/>
      <c r="AI349" s="101"/>
      <c r="AJ349" s="101"/>
      <c r="AK349" s="191"/>
      <c r="AL349" s="101"/>
      <c r="AM349" s="101"/>
      <c r="AN349" s="101"/>
    </row>
    <row r="350" spans="1:40" x14ac:dyDescent="0.3"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Y350" s="102"/>
      <c r="Z350" s="102"/>
      <c r="AA350" s="102"/>
      <c r="AB350" s="102"/>
      <c r="AC350" s="102"/>
      <c r="AD350" s="102"/>
      <c r="AE350" s="102"/>
      <c r="AF350" s="102"/>
      <c r="AG350" s="151"/>
      <c r="AH350" s="102"/>
      <c r="AI350" s="102"/>
      <c r="AJ350" s="102"/>
      <c r="AK350" s="151"/>
      <c r="AL350" s="102"/>
      <c r="AM350" s="102"/>
      <c r="AN350" s="102"/>
    </row>
    <row r="351" spans="1:40" x14ac:dyDescent="0.3">
      <c r="C351" s="99"/>
      <c r="D351" s="99"/>
      <c r="E351" s="99"/>
      <c r="T351" s="99"/>
      <c r="U351" s="99"/>
    </row>
    <row r="353" spans="3:40" x14ac:dyDescent="0.3">
      <c r="C353" s="99"/>
      <c r="T353" s="99"/>
    </row>
    <row r="354" spans="3:40" x14ac:dyDescent="0.3">
      <c r="C354" s="99"/>
      <c r="F354" s="172"/>
      <c r="H354" s="172"/>
      <c r="I354" s="172"/>
      <c r="J354" s="217"/>
      <c r="K354" s="217"/>
      <c r="L354" s="110"/>
      <c r="M354" s="110"/>
      <c r="N354" s="141"/>
      <c r="O354" s="141"/>
      <c r="P354" s="110"/>
      <c r="Q354" s="110"/>
      <c r="R354" s="110"/>
      <c r="T354" s="99"/>
      <c r="V354" s="172"/>
      <c r="Y354" s="172"/>
      <c r="Z354" s="217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T355" s="99"/>
    </row>
    <row r="356" spans="3:40" x14ac:dyDescent="0.3">
      <c r="C356" s="99"/>
      <c r="F356" s="172"/>
      <c r="H356" s="172"/>
      <c r="I356" s="172"/>
      <c r="J356" s="228"/>
      <c r="K356" s="228"/>
      <c r="L356" s="110"/>
      <c r="M356" s="110"/>
      <c r="N356" s="141"/>
      <c r="O356" s="141"/>
      <c r="P356" s="110"/>
      <c r="Q356" s="110"/>
      <c r="R356" s="110"/>
      <c r="T356" s="99"/>
      <c r="V356" s="110"/>
      <c r="Y356" s="110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10"/>
      <c r="Y357" s="110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J360" s="163"/>
      <c r="K360" s="163"/>
      <c r="T360" s="99"/>
      <c r="Z360" s="163"/>
    </row>
    <row r="361" spans="3:40" x14ac:dyDescent="0.3">
      <c r="C361" s="99"/>
      <c r="F361" s="172"/>
      <c r="H361" s="172"/>
      <c r="I361" s="172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10"/>
      <c r="Y361" s="110"/>
      <c r="Z361" s="228"/>
      <c r="AA361" s="110"/>
      <c r="AB361" s="110"/>
      <c r="AC361" s="141"/>
      <c r="AD361" s="141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C363" s="99"/>
      <c r="F363" s="172"/>
      <c r="H363" s="172"/>
      <c r="I363" s="172"/>
      <c r="J363" s="228"/>
      <c r="K363" s="228"/>
      <c r="L363" s="110"/>
      <c r="M363" s="110"/>
      <c r="N363" s="141"/>
      <c r="O363" s="141"/>
      <c r="P363" s="110"/>
      <c r="Q363" s="110"/>
      <c r="R363" s="110"/>
      <c r="T363" s="99"/>
      <c r="V363" s="110"/>
      <c r="Y363" s="110"/>
      <c r="Z363" s="228"/>
      <c r="AA363" s="110"/>
      <c r="AB363" s="110"/>
      <c r="AC363" s="141"/>
      <c r="AD363" s="141"/>
      <c r="AE363" s="110"/>
      <c r="AF363" s="110"/>
      <c r="AH363" s="207"/>
      <c r="AI363" s="110"/>
      <c r="AJ363" s="110"/>
      <c r="AL363" s="110"/>
      <c r="AM363" s="141"/>
      <c r="AN363" s="141"/>
    </row>
    <row r="364" spans="3:40" x14ac:dyDescent="0.3">
      <c r="C364" s="99"/>
      <c r="J364" s="163"/>
      <c r="K364" s="163"/>
      <c r="T364" s="99"/>
      <c r="Z364" s="163"/>
    </row>
    <row r="365" spans="3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Y365" s="110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3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Y366" s="110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3:40" x14ac:dyDescent="0.3">
      <c r="C367" s="99"/>
      <c r="J367" s="163"/>
      <c r="K367" s="163"/>
      <c r="T367" s="99"/>
      <c r="Z367" s="163"/>
    </row>
    <row r="368" spans="3:40" x14ac:dyDescent="0.3">
      <c r="C368" s="99"/>
      <c r="F368" s="172"/>
      <c r="H368" s="172"/>
      <c r="I368" s="172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10"/>
      <c r="Y368" s="110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Y369" s="110"/>
      <c r="Z369" s="228"/>
      <c r="AA369" s="110"/>
      <c r="AB369" s="110"/>
      <c r="AC369" s="141"/>
      <c r="AD369" s="141"/>
      <c r="AE369" s="110"/>
      <c r="AF369" s="110"/>
      <c r="AH369" s="207"/>
      <c r="AI369" s="110"/>
      <c r="AJ369" s="110"/>
      <c r="AL369" s="110"/>
      <c r="AM369" s="141"/>
      <c r="AN369" s="141"/>
    </row>
    <row r="370" spans="3:40" x14ac:dyDescent="0.3">
      <c r="C370" s="99"/>
      <c r="F370" s="172"/>
      <c r="H370" s="172"/>
      <c r="I370" s="172"/>
      <c r="J370" s="228"/>
      <c r="K370" s="228"/>
      <c r="L370" s="110"/>
      <c r="M370" s="110"/>
      <c r="N370" s="141"/>
      <c r="O370" s="141"/>
      <c r="P370" s="110"/>
      <c r="Q370" s="110"/>
      <c r="R370" s="110"/>
      <c r="T370" s="99"/>
      <c r="V370" s="110"/>
      <c r="Y370" s="110"/>
      <c r="Z370" s="22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3:40" x14ac:dyDescent="0.3">
      <c r="F371" s="192"/>
      <c r="H371" s="192"/>
      <c r="I371" s="192"/>
      <c r="J371" s="228"/>
      <c r="K371" s="228"/>
      <c r="L371" s="192"/>
      <c r="M371" s="192"/>
      <c r="N371" s="192"/>
      <c r="O371" s="192"/>
      <c r="P371" s="192"/>
      <c r="Q371" s="192"/>
      <c r="R371" s="192"/>
      <c r="V371" s="192"/>
      <c r="Y371" s="192"/>
      <c r="Z371" s="228"/>
      <c r="AA371" s="192"/>
      <c r="AB371" s="192"/>
      <c r="AC371" s="192"/>
      <c r="AD371" s="192"/>
      <c r="AE371" s="192"/>
      <c r="AF371" s="192"/>
      <c r="AI371" s="192"/>
      <c r="AJ371" s="192"/>
      <c r="AK371" s="194"/>
      <c r="AL371" s="192"/>
    </row>
    <row r="372" spans="3:40" x14ac:dyDescent="0.3">
      <c r="C372" s="102"/>
      <c r="F372" s="110"/>
      <c r="H372" s="110"/>
      <c r="I372" s="110"/>
      <c r="J372" s="163"/>
      <c r="K372" s="163"/>
      <c r="L372" s="110"/>
      <c r="M372" s="110"/>
      <c r="N372" s="207"/>
      <c r="O372" s="207"/>
      <c r="P372" s="110"/>
      <c r="Q372" s="110"/>
      <c r="R372" s="110"/>
      <c r="T372" s="102"/>
      <c r="V372" s="110"/>
      <c r="Y372" s="110"/>
      <c r="Z372" s="163"/>
      <c r="AA372" s="110"/>
      <c r="AB372" s="110"/>
      <c r="AC372" s="110"/>
      <c r="AD372" s="110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F373" s="192"/>
      <c r="H373" s="192"/>
      <c r="I373" s="192"/>
      <c r="J373" s="228"/>
      <c r="K373" s="228"/>
      <c r="L373" s="192"/>
      <c r="M373" s="192"/>
      <c r="N373" s="192"/>
      <c r="O373" s="192"/>
      <c r="P373" s="192"/>
      <c r="Q373" s="192"/>
      <c r="R373" s="192"/>
      <c r="V373" s="192"/>
      <c r="Y373" s="192"/>
      <c r="Z373" s="228"/>
      <c r="AA373" s="192"/>
      <c r="AB373" s="192"/>
      <c r="AC373" s="192"/>
      <c r="AD373" s="192"/>
      <c r="AE373" s="192"/>
      <c r="AF373" s="192"/>
      <c r="AI373" s="192"/>
      <c r="AJ373" s="192"/>
      <c r="AK373" s="194"/>
      <c r="AL373" s="192"/>
    </row>
    <row r="374" spans="3:40" x14ac:dyDescent="0.3">
      <c r="C374" s="99"/>
      <c r="J374" s="163"/>
      <c r="K374" s="163"/>
      <c r="T374" s="99"/>
      <c r="Z374" s="163"/>
    </row>
    <row r="375" spans="3:40" x14ac:dyDescent="0.3">
      <c r="C375" s="99"/>
      <c r="J375" s="163"/>
      <c r="K375" s="163"/>
      <c r="T375" s="99"/>
      <c r="Z375" s="163"/>
    </row>
    <row r="376" spans="3:40" x14ac:dyDescent="0.3">
      <c r="C376" s="99"/>
      <c r="F376" s="172"/>
      <c r="H376" s="172"/>
      <c r="I376" s="172"/>
      <c r="J376" s="228"/>
      <c r="K376" s="228"/>
      <c r="L376" s="110"/>
      <c r="M376" s="110"/>
      <c r="N376" s="141"/>
      <c r="O376" s="141"/>
      <c r="P376" s="110"/>
      <c r="Q376" s="110"/>
      <c r="R376" s="110"/>
      <c r="T376" s="99"/>
      <c r="V376" s="110"/>
      <c r="Y376" s="110"/>
      <c r="Z376" s="22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F377" s="172"/>
      <c r="H377" s="172"/>
      <c r="I377" s="172"/>
      <c r="J377" s="228"/>
      <c r="K377" s="228"/>
      <c r="L377" s="110"/>
      <c r="M377" s="110"/>
      <c r="N377" s="141"/>
      <c r="O377" s="141"/>
      <c r="P377" s="110"/>
      <c r="Q377" s="110"/>
      <c r="R377" s="110"/>
      <c r="T377" s="99"/>
      <c r="V377" s="110"/>
      <c r="Y377" s="110"/>
      <c r="Z377" s="228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C378" s="99"/>
      <c r="F378" s="172"/>
      <c r="H378" s="172"/>
      <c r="I378" s="172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C379" s="99"/>
      <c r="F379" s="172"/>
      <c r="H379" s="172"/>
      <c r="I379" s="172"/>
      <c r="J379" s="228"/>
      <c r="K379" s="228"/>
      <c r="L379" s="110"/>
      <c r="M379" s="110"/>
      <c r="N379" s="141"/>
      <c r="O379" s="141"/>
      <c r="P379" s="110"/>
      <c r="Q379" s="110"/>
      <c r="R379" s="110"/>
      <c r="T379" s="99"/>
      <c r="V379" s="110"/>
      <c r="Y379" s="110"/>
      <c r="Z379" s="228"/>
      <c r="AA379" s="110"/>
      <c r="AB379" s="110"/>
      <c r="AC379" s="141"/>
      <c r="AD379" s="141"/>
      <c r="AE379" s="110"/>
      <c r="AF379" s="110"/>
      <c r="AH379" s="207"/>
      <c r="AI379" s="110"/>
      <c r="AJ379" s="110"/>
      <c r="AL379" s="110"/>
      <c r="AM379" s="141"/>
      <c r="AN379" s="141"/>
    </row>
    <row r="380" spans="3:40" x14ac:dyDescent="0.3">
      <c r="C380" s="99"/>
      <c r="F380" s="172"/>
      <c r="H380" s="172"/>
      <c r="I380" s="172"/>
      <c r="J380" s="228"/>
      <c r="K380" s="228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Z380" s="228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228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Y382" s="110"/>
      <c r="Z382" s="228"/>
      <c r="AA382" s="110"/>
      <c r="AB382" s="110"/>
      <c r="AC382" s="141"/>
      <c r="AD382" s="141"/>
      <c r="AE382" s="110"/>
      <c r="AF382" s="110"/>
      <c r="AH382" s="207"/>
      <c r="AI382" s="110"/>
      <c r="AJ382" s="110"/>
      <c r="AL382" s="110"/>
      <c r="AM382" s="141"/>
      <c r="AN382" s="141"/>
    </row>
    <row r="383" spans="3:40" x14ac:dyDescent="0.3">
      <c r="C383" s="99"/>
      <c r="J383" s="163"/>
      <c r="K383" s="163"/>
      <c r="T383" s="99"/>
      <c r="Z383" s="163"/>
    </row>
    <row r="384" spans="3:40" x14ac:dyDescent="0.3">
      <c r="C384" s="99"/>
      <c r="F384" s="172"/>
      <c r="H384" s="172"/>
      <c r="I384" s="172"/>
      <c r="J384" s="228"/>
      <c r="K384" s="228"/>
      <c r="L384" s="110"/>
      <c r="M384" s="110"/>
      <c r="N384" s="141"/>
      <c r="O384" s="141"/>
      <c r="P384" s="110"/>
      <c r="Q384" s="110"/>
      <c r="R384" s="110"/>
      <c r="T384" s="99"/>
      <c r="V384" s="110"/>
      <c r="Y384" s="110"/>
      <c r="Z384" s="228"/>
      <c r="AA384" s="110"/>
      <c r="AB384" s="110"/>
      <c r="AC384" s="141"/>
      <c r="AD384" s="141"/>
      <c r="AE384" s="110"/>
      <c r="AF384" s="110"/>
      <c r="AH384" s="207"/>
      <c r="AI384" s="110"/>
      <c r="AJ384" s="110"/>
      <c r="AL384" s="110"/>
      <c r="AM384" s="141"/>
      <c r="AN384" s="141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10"/>
      <c r="Y385" s="110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72"/>
      <c r="H386" s="172"/>
      <c r="I386" s="172"/>
      <c r="J386" s="228"/>
      <c r="K386" s="228"/>
      <c r="L386" s="110"/>
      <c r="M386" s="110"/>
      <c r="N386" s="141"/>
      <c r="O386" s="141"/>
      <c r="P386" s="110"/>
      <c r="Q386" s="110"/>
      <c r="R386" s="110"/>
      <c r="T386" s="99"/>
      <c r="V386" s="110"/>
      <c r="Y386" s="110"/>
      <c r="Z386" s="228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F387" s="172"/>
      <c r="H387" s="172"/>
      <c r="I387" s="172"/>
      <c r="J387" s="228"/>
      <c r="K387" s="228"/>
      <c r="L387" s="110"/>
      <c r="M387" s="110"/>
      <c r="N387" s="141"/>
      <c r="O387" s="141"/>
      <c r="P387" s="110"/>
      <c r="Q387" s="110"/>
      <c r="R387" s="110"/>
      <c r="T387" s="99"/>
      <c r="V387" s="110"/>
      <c r="Y387" s="110"/>
      <c r="Z387" s="228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3:40" x14ac:dyDescent="0.3">
      <c r="C388" s="99"/>
      <c r="J388" s="163"/>
      <c r="K388" s="163"/>
      <c r="T388" s="99"/>
      <c r="Z388" s="163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10"/>
      <c r="Y389" s="110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C390" s="99"/>
      <c r="F390" s="172"/>
      <c r="H390" s="172"/>
      <c r="I390" s="172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10"/>
      <c r="Y390" s="110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72"/>
      <c r="H391" s="172"/>
      <c r="I391" s="172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10"/>
      <c r="Y391" s="110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C392" s="99"/>
      <c r="F392" s="172"/>
      <c r="H392" s="172"/>
      <c r="I392" s="172"/>
      <c r="J392" s="228"/>
      <c r="K392" s="228"/>
      <c r="L392" s="110"/>
      <c r="M392" s="110"/>
      <c r="N392" s="141"/>
      <c r="O392" s="141"/>
      <c r="P392" s="110"/>
      <c r="Q392" s="110"/>
      <c r="R392" s="110"/>
      <c r="T392" s="99"/>
      <c r="V392" s="110"/>
      <c r="Y392" s="110"/>
      <c r="Z392" s="228"/>
      <c r="AA392" s="110"/>
      <c r="AB392" s="110"/>
      <c r="AC392" s="141"/>
      <c r="AD392" s="141"/>
      <c r="AE392" s="110"/>
      <c r="AF392" s="110"/>
      <c r="AH392" s="207"/>
      <c r="AI392" s="110"/>
      <c r="AJ392" s="110"/>
      <c r="AL392" s="110"/>
      <c r="AM392" s="141"/>
      <c r="AN392" s="141"/>
    </row>
    <row r="393" spans="3:40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Y393" s="110"/>
      <c r="Z393" s="228"/>
      <c r="AA393" s="110"/>
      <c r="AB393" s="110"/>
      <c r="AC393" s="141"/>
      <c r="AD393" s="141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F394" s="192"/>
      <c r="H394" s="192"/>
      <c r="I394" s="192"/>
      <c r="J394" s="217"/>
      <c r="K394" s="217"/>
      <c r="L394" s="192"/>
      <c r="M394" s="192"/>
      <c r="N394" s="192"/>
      <c r="O394" s="192"/>
      <c r="P394" s="192"/>
      <c r="Q394" s="192"/>
      <c r="R394" s="192"/>
      <c r="V394" s="192"/>
      <c r="Y394" s="192"/>
      <c r="Z394" s="228"/>
      <c r="AA394" s="192"/>
      <c r="AB394" s="192"/>
      <c r="AC394" s="192"/>
      <c r="AD394" s="192"/>
      <c r="AE394" s="192"/>
      <c r="AF394" s="192"/>
      <c r="AI394" s="192"/>
      <c r="AJ394" s="192"/>
      <c r="AK394" s="194"/>
      <c r="AL394" s="192"/>
    </row>
    <row r="395" spans="3:40" x14ac:dyDescent="0.3">
      <c r="C395" s="99"/>
      <c r="F395" s="110"/>
      <c r="H395" s="110"/>
      <c r="I395" s="110"/>
      <c r="L395" s="110"/>
      <c r="M395" s="110"/>
      <c r="N395" s="207"/>
      <c r="O395" s="207"/>
      <c r="P395" s="110"/>
      <c r="Q395" s="110"/>
      <c r="R395" s="110"/>
      <c r="T395" s="99"/>
      <c r="V395" s="110"/>
      <c r="Y395" s="110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F396" s="192"/>
      <c r="H396" s="192"/>
      <c r="I396" s="192"/>
      <c r="J396" s="217"/>
      <c r="K396" s="217"/>
      <c r="L396" s="192"/>
      <c r="M396" s="192"/>
      <c r="N396" s="192"/>
      <c r="O396" s="192"/>
      <c r="P396" s="192"/>
      <c r="Q396" s="192"/>
      <c r="R396" s="192"/>
      <c r="V396" s="192"/>
      <c r="Y396" s="192"/>
      <c r="Z396" s="217"/>
      <c r="AA396" s="192"/>
      <c r="AB396" s="192"/>
      <c r="AC396" s="192"/>
      <c r="AD396" s="192"/>
      <c r="AE396" s="192"/>
      <c r="AF396" s="192"/>
      <c r="AI396" s="192"/>
      <c r="AJ396" s="192"/>
      <c r="AK396" s="194"/>
      <c r="AL396" s="192"/>
    </row>
    <row r="397" spans="3:40" x14ac:dyDescent="0.3">
      <c r="C397" s="99"/>
      <c r="T397" s="99"/>
    </row>
    <row r="398" spans="3:40" x14ac:dyDescent="0.3">
      <c r="C398" s="99"/>
      <c r="F398" s="172"/>
      <c r="H398" s="172"/>
      <c r="I398" s="172"/>
      <c r="J398" s="181"/>
      <c r="K398" s="181"/>
      <c r="L398" s="110"/>
      <c r="M398" s="110"/>
      <c r="N398" s="141"/>
      <c r="O398" s="141"/>
      <c r="P398" s="110"/>
      <c r="Q398" s="110"/>
      <c r="R398" s="110"/>
      <c r="T398" s="99"/>
      <c r="V398" s="110"/>
      <c r="Y398" s="110"/>
      <c r="Z398" s="181"/>
      <c r="AA398" s="110"/>
      <c r="AB398" s="110"/>
      <c r="AC398" s="141"/>
      <c r="AD398" s="141"/>
      <c r="AE398" s="110"/>
      <c r="AF398" s="110"/>
      <c r="AH398" s="207"/>
      <c r="AI398" s="110"/>
      <c r="AJ398" s="110"/>
      <c r="AL398" s="110"/>
      <c r="AM398" s="141"/>
      <c r="AN398" s="141"/>
    </row>
    <row r="399" spans="3:40" x14ac:dyDescent="0.3">
      <c r="C399" s="99"/>
      <c r="F399" s="172"/>
      <c r="H399" s="172"/>
      <c r="I399" s="172"/>
      <c r="J399" s="181"/>
      <c r="K399" s="181"/>
      <c r="L399" s="110"/>
      <c r="M399" s="110"/>
      <c r="N399" s="141"/>
      <c r="O399" s="141"/>
      <c r="P399" s="110"/>
      <c r="Q399" s="110"/>
      <c r="R399" s="110"/>
      <c r="T399" s="99"/>
      <c r="V399" s="110"/>
      <c r="Y399" s="110"/>
      <c r="Z399" s="181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3:40" x14ac:dyDescent="0.3">
      <c r="F400" s="192"/>
      <c r="H400" s="110"/>
      <c r="I400" s="110"/>
      <c r="J400" s="217"/>
      <c r="K400" s="217"/>
      <c r="L400" s="192"/>
      <c r="M400" s="192"/>
      <c r="N400" s="192"/>
      <c r="O400" s="192"/>
      <c r="P400" s="192"/>
      <c r="Q400" s="192"/>
      <c r="R400" s="192"/>
      <c r="V400" s="192"/>
      <c r="Y400" s="110"/>
      <c r="Z400" s="217"/>
      <c r="AA400" s="192"/>
      <c r="AB400" s="192"/>
      <c r="AC400" s="192"/>
      <c r="AD400" s="192"/>
      <c r="AE400" s="192"/>
      <c r="AF400" s="192"/>
      <c r="AI400" s="192"/>
      <c r="AJ400" s="192"/>
      <c r="AK400" s="194"/>
      <c r="AL400" s="192"/>
    </row>
    <row r="401" spans="1:40" x14ac:dyDescent="0.3">
      <c r="F401" s="110"/>
      <c r="H401" s="110"/>
      <c r="I401" s="110"/>
      <c r="J401" s="217"/>
      <c r="K401" s="217"/>
      <c r="L401" s="110"/>
      <c r="M401" s="110"/>
      <c r="N401" s="110"/>
      <c r="O401" s="110"/>
      <c r="P401" s="110"/>
      <c r="Q401" s="110"/>
      <c r="R401" s="110"/>
      <c r="V401" s="110"/>
      <c r="Y401" s="110"/>
      <c r="Z401" s="217"/>
      <c r="AA401" s="110"/>
      <c r="AB401" s="110"/>
      <c r="AC401" s="110"/>
      <c r="AD401" s="110"/>
      <c r="AE401" s="110"/>
      <c r="AF401" s="110"/>
      <c r="AI401" s="110"/>
      <c r="AJ401" s="110"/>
      <c r="AL401" s="110"/>
    </row>
    <row r="402" spans="1:40" x14ac:dyDescent="0.3">
      <c r="C402" s="99"/>
      <c r="F402" s="110"/>
      <c r="H402" s="110"/>
      <c r="I402" s="110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AA402" s="110"/>
      <c r="AB402" s="110"/>
      <c r="AC402" s="141"/>
      <c r="AD402" s="141"/>
      <c r="AE402" s="110"/>
      <c r="AF402" s="110"/>
      <c r="AH402" s="207"/>
      <c r="AI402" s="172"/>
      <c r="AJ402" s="172"/>
      <c r="AL402" s="110"/>
      <c r="AM402" s="141"/>
      <c r="AN402" s="141"/>
    </row>
    <row r="403" spans="1:40" x14ac:dyDescent="0.3">
      <c r="H403" s="192"/>
      <c r="I403" s="192"/>
      <c r="J403" s="217"/>
      <c r="K403" s="217"/>
      <c r="L403" s="192"/>
      <c r="M403" s="192"/>
      <c r="N403" s="192"/>
      <c r="O403" s="192"/>
      <c r="P403" s="192"/>
      <c r="Q403" s="192"/>
      <c r="R403" s="192"/>
      <c r="V403" s="192"/>
      <c r="Y403" s="192"/>
      <c r="Z403" s="217"/>
      <c r="AA403" s="192"/>
      <c r="AB403" s="192"/>
      <c r="AC403" s="192"/>
      <c r="AD403" s="192"/>
      <c r="AE403" s="192"/>
      <c r="AF403" s="192"/>
      <c r="AI403" s="192"/>
      <c r="AJ403" s="192"/>
      <c r="AK403" s="194"/>
      <c r="AL403" s="192"/>
    </row>
    <row r="404" spans="1:40" x14ac:dyDescent="0.3">
      <c r="F404" s="192"/>
    </row>
    <row r="405" spans="1:40" x14ac:dyDescent="0.3">
      <c r="A405" s="99"/>
      <c r="T405" s="99"/>
    </row>
    <row r="406" spans="1:40" x14ac:dyDescent="0.3">
      <c r="A406" s="99"/>
      <c r="T406" s="99"/>
    </row>
    <row r="407" spans="1:40" x14ac:dyDescent="0.3">
      <c r="A407" s="99"/>
      <c r="T407" s="99"/>
    </row>
    <row r="408" spans="1:40" x14ac:dyDescent="0.3">
      <c r="A408" s="99"/>
      <c r="T408" s="99"/>
    </row>
    <row r="409" spans="1:40" x14ac:dyDescent="0.3">
      <c r="A409" s="99"/>
      <c r="T409" s="99"/>
    </row>
    <row r="410" spans="1:40" x14ac:dyDescent="0.3">
      <c r="A410" s="99"/>
      <c r="T410" s="99"/>
    </row>
    <row r="411" spans="1:40" x14ac:dyDescent="0.3">
      <c r="A411" s="99"/>
      <c r="T411" s="99"/>
    </row>
    <row r="412" spans="1:40" x14ac:dyDescent="0.3">
      <c r="A412" s="99"/>
      <c r="T412" s="99"/>
    </row>
    <row r="413" spans="1:40" x14ac:dyDescent="0.3">
      <c r="A413" s="99"/>
      <c r="T413" s="99"/>
    </row>
    <row r="415" spans="1:40" x14ac:dyDescent="0.3">
      <c r="A415" s="99"/>
    </row>
    <row r="417" spans="1:40" x14ac:dyDescent="0.3">
      <c r="H417" s="99"/>
      <c r="I417" s="99"/>
      <c r="Y417" s="99"/>
    </row>
    <row r="419" spans="1:40" x14ac:dyDescent="0.3">
      <c r="L419" s="99"/>
      <c r="M419" s="99"/>
      <c r="AA419" s="99"/>
      <c r="AB419" s="99"/>
    </row>
    <row r="420" spans="1:40" x14ac:dyDescent="0.3">
      <c r="R420" s="99"/>
      <c r="AK420" s="190"/>
      <c r="AL420" s="99"/>
    </row>
    <row r="421" spans="1:40" x14ac:dyDescent="0.3">
      <c r="R421" s="99"/>
      <c r="AK421" s="190"/>
      <c r="AL421" s="99"/>
    </row>
    <row r="422" spans="1:40" x14ac:dyDescent="0.3">
      <c r="A422" s="99"/>
      <c r="R422" s="99"/>
      <c r="AK422" s="190"/>
      <c r="AL422" s="99"/>
    </row>
    <row r="423" spans="1:40" x14ac:dyDescent="0.3">
      <c r="L423" s="99"/>
      <c r="M423" s="99"/>
      <c r="AA423" s="99"/>
      <c r="AB423" s="99"/>
    </row>
    <row r="424" spans="1:40" x14ac:dyDescent="0.3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91"/>
      <c r="AH424" s="101"/>
      <c r="AI424" s="101"/>
      <c r="AJ424" s="101"/>
      <c r="AK424" s="191"/>
      <c r="AL424" s="101"/>
      <c r="AM424" s="101"/>
      <c r="AN424" s="101"/>
    </row>
    <row r="425" spans="1:40" x14ac:dyDescent="0.3">
      <c r="L425" s="102"/>
      <c r="M425" s="102"/>
      <c r="N425" s="102"/>
      <c r="O425" s="102"/>
      <c r="R425" s="102"/>
      <c r="AA425" s="102"/>
      <c r="AB425" s="102"/>
      <c r="AC425" s="102"/>
      <c r="AD425" s="102"/>
      <c r="AE425" s="102"/>
      <c r="AF425" s="102"/>
      <c r="AG425" s="151"/>
      <c r="AH425" s="102"/>
      <c r="AK425" s="151"/>
      <c r="AL425" s="102"/>
      <c r="AM425" s="102"/>
      <c r="AN425" s="102"/>
    </row>
    <row r="426" spans="1:40" x14ac:dyDescent="0.3">
      <c r="L426" s="102"/>
      <c r="M426" s="102"/>
      <c r="N426" s="102"/>
      <c r="O426" s="102"/>
      <c r="R426" s="102"/>
      <c r="Z426" s="102"/>
      <c r="AA426" s="102"/>
      <c r="AB426" s="102"/>
      <c r="AC426" s="102"/>
      <c r="AD426" s="102"/>
      <c r="AE426" s="102"/>
      <c r="AF426" s="102"/>
      <c r="AG426" s="151"/>
      <c r="AH426" s="102"/>
      <c r="AK426" s="151"/>
      <c r="AL426" s="102"/>
      <c r="AM426" s="102"/>
      <c r="AN426" s="102"/>
    </row>
    <row r="427" spans="1:40" x14ac:dyDescent="0.3">
      <c r="A427" s="102"/>
      <c r="C427" s="102"/>
      <c r="D427" s="102"/>
      <c r="E427" s="102"/>
      <c r="F427" s="102"/>
      <c r="J427" s="102"/>
      <c r="K427" s="102"/>
      <c r="L427" s="102"/>
      <c r="M427" s="102"/>
      <c r="N427" s="102"/>
      <c r="O427" s="102"/>
      <c r="P427" s="102"/>
      <c r="Q427" s="102"/>
      <c r="R427" s="102"/>
      <c r="T427" s="102"/>
      <c r="U427" s="102"/>
      <c r="V427" s="102"/>
      <c r="Z427" s="102"/>
      <c r="AA427" s="102"/>
      <c r="AB427" s="102"/>
      <c r="AC427" s="102"/>
      <c r="AD427" s="102"/>
      <c r="AE427" s="102"/>
      <c r="AF427" s="102"/>
      <c r="AG427" s="151"/>
      <c r="AH427" s="102"/>
      <c r="AI427" s="102"/>
      <c r="AJ427" s="102"/>
      <c r="AK427" s="151"/>
      <c r="AL427" s="102"/>
      <c r="AM427" s="102"/>
      <c r="AN427" s="102"/>
    </row>
    <row r="428" spans="1:40" x14ac:dyDescent="0.3">
      <c r="A428" s="102"/>
      <c r="C428" s="102"/>
      <c r="D428" s="102"/>
      <c r="E428" s="102"/>
      <c r="F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T428" s="102"/>
      <c r="U428" s="102"/>
      <c r="V428" s="102"/>
      <c r="Y428" s="102"/>
      <c r="Z428" s="102"/>
      <c r="AA428" s="102"/>
      <c r="AB428" s="102"/>
      <c r="AC428" s="102"/>
      <c r="AD428" s="102"/>
      <c r="AE428" s="102"/>
      <c r="AF428" s="102"/>
      <c r="AG428" s="151"/>
      <c r="AH428" s="102"/>
      <c r="AI428" s="102"/>
      <c r="AJ428" s="102"/>
      <c r="AK428" s="151"/>
      <c r="AL428" s="102"/>
      <c r="AM428" s="102"/>
      <c r="AN428" s="102"/>
    </row>
    <row r="429" spans="1:40" x14ac:dyDescent="0.3">
      <c r="C429" s="102"/>
      <c r="D429" s="102"/>
      <c r="E429" s="102"/>
      <c r="F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T429" s="102"/>
      <c r="U429" s="102"/>
      <c r="V429" s="102"/>
      <c r="Y429" s="102"/>
      <c r="Z429" s="102"/>
      <c r="AA429" s="102"/>
      <c r="AB429" s="102"/>
      <c r="AC429" s="102"/>
      <c r="AD429" s="102"/>
      <c r="AE429" s="102"/>
      <c r="AF429" s="102"/>
      <c r="AG429" s="151"/>
      <c r="AH429" s="102"/>
      <c r="AI429" s="102"/>
      <c r="AJ429" s="102"/>
      <c r="AK429" s="151"/>
      <c r="AL429" s="102"/>
      <c r="AM429" s="102"/>
      <c r="AN429" s="102"/>
    </row>
    <row r="430" spans="1:40" x14ac:dyDescent="0.3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91"/>
      <c r="AH430" s="101"/>
      <c r="AI430" s="101"/>
      <c r="AJ430" s="101"/>
      <c r="AK430" s="191"/>
      <c r="AL430" s="101"/>
      <c r="AM430" s="101"/>
      <c r="AN430" s="101"/>
    </row>
    <row r="431" spans="1:40" x14ac:dyDescent="0.3"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Y431" s="102"/>
      <c r="Z431" s="102"/>
      <c r="AA431" s="102"/>
      <c r="AB431" s="102"/>
      <c r="AC431" s="102"/>
      <c r="AD431" s="102"/>
      <c r="AE431" s="102"/>
      <c r="AF431" s="102"/>
      <c r="AG431" s="151"/>
      <c r="AH431" s="102"/>
      <c r="AI431" s="102"/>
      <c r="AJ431" s="102"/>
      <c r="AK431" s="151"/>
      <c r="AL431" s="102"/>
      <c r="AM431" s="102"/>
      <c r="AN431" s="102"/>
    </row>
    <row r="432" spans="1:40" x14ac:dyDescent="0.3">
      <c r="C432" s="99"/>
      <c r="D432" s="99"/>
      <c r="E432" s="99"/>
      <c r="T432" s="99"/>
      <c r="U432" s="99"/>
    </row>
    <row r="433" spans="3:40" x14ac:dyDescent="0.3">
      <c r="D433" s="99"/>
      <c r="E433" s="99"/>
      <c r="U433" s="99"/>
    </row>
    <row r="435" spans="3:40" x14ac:dyDescent="0.3">
      <c r="C435" s="99"/>
      <c r="F435" s="110"/>
      <c r="J435" s="209"/>
      <c r="K435" s="209"/>
      <c r="L435" s="110"/>
      <c r="M435" s="110"/>
      <c r="R435" s="110"/>
      <c r="T435" s="99"/>
      <c r="V435" s="110"/>
      <c r="Z435" s="209"/>
      <c r="AA435" s="110"/>
      <c r="AB435" s="110"/>
      <c r="AH435" s="110"/>
      <c r="AL435" s="110"/>
    </row>
    <row r="436" spans="3:40" x14ac:dyDescent="0.3">
      <c r="C436" s="99"/>
      <c r="F436" s="110"/>
      <c r="R436" s="110"/>
      <c r="T436" s="99"/>
      <c r="V436" s="110"/>
      <c r="AH436" s="110"/>
      <c r="AL436" s="110"/>
    </row>
    <row r="437" spans="3:40" x14ac:dyDescent="0.3">
      <c r="AI437" s="110"/>
      <c r="AJ437" s="110"/>
      <c r="AL437" s="110"/>
      <c r="AM437" s="141"/>
      <c r="AN437" s="141"/>
    </row>
    <row r="438" spans="3:40" x14ac:dyDescent="0.3">
      <c r="C438" s="99"/>
      <c r="F438" s="172"/>
      <c r="H438" s="172"/>
      <c r="I438" s="172"/>
      <c r="J438" s="227"/>
      <c r="K438" s="227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7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F439" s="110"/>
      <c r="H439" s="110"/>
      <c r="I439" s="110"/>
      <c r="J439" s="198"/>
      <c r="K439" s="198"/>
      <c r="L439" s="110"/>
      <c r="M439" s="110"/>
      <c r="P439" s="110"/>
      <c r="Q439" s="110"/>
      <c r="R439" s="110"/>
      <c r="V439" s="110"/>
      <c r="Y439" s="110"/>
      <c r="Z439" s="198"/>
      <c r="AA439" s="110"/>
      <c r="AB439" s="110"/>
      <c r="AI439" s="110"/>
      <c r="AJ439" s="110"/>
      <c r="AL439" s="110"/>
      <c r="AM439" s="141"/>
      <c r="AN439" s="141"/>
    </row>
    <row r="440" spans="3:40" x14ac:dyDescent="0.3">
      <c r="F440" s="110"/>
      <c r="R440" s="110"/>
      <c r="V440" s="110"/>
      <c r="AL440" s="110"/>
      <c r="AM440" s="141"/>
      <c r="AN440" s="141"/>
    </row>
    <row r="441" spans="3:40" x14ac:dyDescent="0.3">
      <c r="C441" s="99"/>
      <c r="F441" s="110"/>
      <c r="J441" s="209"/>
      <c r="K441" s="209"/>
      <c r="L441" s="110"/>
      <c r="M441" s="110"/>
      <c r="N441" s="141"/>
      <c r="O441" s="141"/>
      <c r="R441" s="110"/>
      <c r="T441" s="99"/>
      <c r="V441" s="110"/>
      <c r="Z441" s="209"/>
      <c r="AA441" s="110"/>
      <c r="AB441" s="110"/>
      <c r="AC441" s="141"/>
      <c r="AD441" s="141"/>
      <c r="AL441" s="110"/>
      <c r="AM441" s="141"/>
      <c r="AN441" s="141"/>
    </row>
    <row r="442" spans="3:40" x14ac:dyDescent="0.3">
      <c r="C442" s="99"/>
      <c r="F442" s="110"/>
      <c r="H442" s="110"/>
      <c r="I442" s="110"/>
      <c r="J442" s="209"/>
      <c r="K442" s="209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09"/>
      <c r="AA442" s="110"/>
      <c r="AB442" s="110"/>
      <c r="AC442" s="141"/>
      <c r="AD442" s="141"/>
      <c r="AI442" s="110"/>
      <c r="AJ442" s="110"/>
      <c r="AL442" s="110"/>
      <c r="AM442" s="141"/>
      <c r="AN442" s="141"/>
    </row>
    <row r="443" spans="3:40" x14ac:dyDescent="0.3">
      <c r="C443" s="99"/>
      <c r="T443" s="99"/>
      <c r="AM443" s="141"/>
      <c r="AN443" s="141"/>
    </row>
    <row r="444" spans="3:40" x14ac:dyDescent="0.3">
      <c r="C444" s="99"/>
      <c r="T444" s="99"/>
      <c r="AM444" s="141"/>
      <c r="AN444" s="141"/>
    </row>
    <row r="445" spans="3:40" x14ac:dyDescent="0.3">
      <c r="AM445" s="141"/>
      <c r="AN445" s="141"/>
    </row>
    <row r="446" spans="3:40" x14ac:dyDescent="0.3">
      <c r="C446" s="99"/>
      <c r="F446" s="172"/>
      <c r="H446" s="172"/>
      <c r="I446" s="172"/>
      <c r="J446" s="227"/>
      <c r="K446" s="227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7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F447" s="192"/>
      <c r="H447" s="192"/>
      <c r="I447" s="192"/>
      <c r="J447" s="217"/>
      <c r="K447" s="217"/>
      <c r="L447" s="192"/>
      <c r="M447" s="192"/>
      <c r="N447" s="192"/>
      <c r="O447" s="192"/>
      <c r="P447" s="192"/>
      <c r="Q447" s="192"/>
      <c r="R447" s="192"/>
      <c r="V447" s="192"/>
      <c r="Y447" s="192"/>
      <c r="Z447" s="217"/>
      <c r="AA447" s="192"/>
      <c r="AB447" s="192"/>
      <c r="AC447" s="192"/>
      <c r="AD447" s="192"/>
      <c r="AE447" s="192"/>
      <c r="AF447" s="192"/>
      <c r="AI447" s="192"/>
      <c r="AJ447" s="192"/>
      <c r="AK447" s="194"/>
      <c r="AL447" s="192"/>
      <c r="AM447" s="141"/>
      <c r="AN447" s="141"/>
    </row>
    <row r="448" spans="3:40" x14ac:dyDescent="0.3">
      <c r="H448" s="110"/>
      <c r="I448" s="110"/>
      <c r="Y448" s="110"/>
      <c r="AM448" s="141"/>
      <c r="AN448" s="141"/>
    </row>
    <row r="449" spans="1:40" x14ac:dyDescent="0.3">
      <c r="C449" s="99"/>
      <c r="F449" s="110"/>
      <c r="H449" s="110"/>
      <c r="I449" s="110"/>
      <c r="L449" s="110"/>
      <c r="M449" s="110"/>
      <c r="N449" s="141"/>
      <c r="O449" s="141"/>
      <c r="P449" s="172"/>
      <c r="Q449" s="172"/>
      <c r="R449" s="110"/>
      <c r="T449" s="99"/>
      <c r="V449" s="110"/>
      <c r="Y449" s="110"/>
      <c r="AA449" s="110"/>
      <c r="AB449" s="110"/>
      <c r="AC449" s="141"/>
      <c r="AD449" s="141"/>
      <c r="AE449" s="110"/>
      <c r="AF449" s="110"/>
      <c r="AH449" s="207"/>
      <c r="AI449" s="172"/>
      <c r="AJ449" s="172"/>
      <c r="AL449" s="110"/>
      <c r="AM449" s="141"/>
      <c r="AN449" s="141"/>
    </row>
    <row r="450" spans="1:40" x14ac:dyDescent="0.3">
      <c r="H450" s="192"/>
      <c r="I450" s="192"/>
      <c r="J450" s="217"/>
      <c r="K450" s="217"/>
      <c r="L450" s="192"/>
      <c r="M450" s="192"/>
      <c r="N450" s="192"/>
      <c r="O450" s="192"/>
      <c r="P450" s="192"/>
      <c r="Q450" s="192"/>
      <c r="R450" s="192"/>
      <c r="V450" s="192"/>
      <c r="Y450" s="192"/>
      <c r="Z450" s="217"/>
      <c r="AA450" s="192"/>
      <c r="AB450" s="192"/>
      <c r="AC450" s="192"/>
      <c r="AD450" s="192"/>
      <c r="AE450" s="192"/>
      <c r="AF450" s="192"/>
      <c r="AI450" s="192"/>
      <c r="AJ450" s="192"/>
      <c r="AK450" s="194"/>
      <c r="AL450" s="192"/>
      <c r="AM450" s="141"/>
      <c r="AN450" s="141"/>
    </row>
    <row r="451" spans="1:40" x14ac:dyDescent="0.3">
      <c r="F451" s="192"/>
    </row>
    <row r="452" spans="1:40" x14ac:dyDescent="0.3">
      <c r="F452" s="110"/>
      <c r="H452" s="110"/>
      <c r="I452" s="110"/>
      <c r="J452" s="198"/>
      <c r="K452" s="198"/>
      <c r="L452" s="110"/>
      <c r="M452" s="110"/>
      <c r="N452" s="110"/>
      <c r="O452" s="110"/>
      <c r="P452" s="110"/>
      <c r="Q452" s="110"/>
      <c r="R452" s="110"/>
      <c r="V452" s="110"/>
      <c r="Y452" s="110"/>
      <c r="Z452" s="198"/>
      <c r="AA452" s="110"/>
      <c r="AB452" s="110"/>
      <c r="AC452" s="110"/>
      <c r="AD452" s="110"/>
      <c r="AE452" s="110"/>
      <c r="AF452" s="110"/>
      <c r="AH452" s="110"/>
      <c r="AI452" s="110"/>
      <c r="AJ452" s="110"/>
      <c r="AL452" s="110"/>
    </row>
    <row r="453" spans="1:40" x14ac:dyDescent="0.3">
      <c r="A453" s="99"/>
    </row>
    <row r="455" spans="1:40" x14ac:dyDescent="0.3">
      <c r="H455" s="99"/>
      <c r="I455" s="99"/>
      <c r="Y455" s="99"/>
    </row>
    <row r="457" spans="1:40" x14ac:dyDescent="0.3">
      <c r="L457" s="99"/>
      <c r="M457" s="99"/>
      <c r="AA457" s="99"/>
      <c r="AB457" s="99"/>
    </row>
    <row r="458" spans="1:40" x14ac:dyDescent="0.3">
      <c r="R458" s="99"/>
      <c r="AK458" s="190"/>
      <c r="AL458" s="99"/>
    </row>
    <row r="459" spans="1:40" x14ac:dyDescent="0.3">
      <c r="R459" s="99"/>
      <c r="AK459" s="190"/>
      <c r="AL459" s="99"/>
    </row>
    <row r="460" spans="1:40" x14ac:dyDescent="0.3">
      <c r="A460" s="99"/>
      <c r="R460" s="99"/>
      <c r="AK460" s="190"/>
      <c r="AL460" s="99"/>
    </row>
    <row r="461" spans="1:40" x14ac:dyDescent="0.3">
      <c r="L461" s="99"/>
      <c r="M461" s="99"/>
      <c r="AA461" s="99"/>
      <c r="AB461" s="99"/>
    </row>
    <row r="462" spans="1:40" x14ac:dyDescent="0.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91"/>
      <c r="AH462" s="101"/>
      <c r="AI462" s="101"/>
      <c r="AJ462" s="101"/>
      <c r="AK462" s="191"/>
      <c r="AL462" s="101"/>
      <c r="AM462" s="101"/>
      <c r="AN462" s="101"/>
    </row>
    <row r="463" spans="1:40" x14ac:dyDescent="0.3">
      <c r="L463" s="102"/>
      <c r="M463" s="102"/>
      <c r="N463" s="102"/>
      <c r="O463" s="102"/>
      <c r="R463" s="102"/>
      <c r="AA463" s="102"/>
      <c r="AB463" s="102"/>
      <c r="AC463" s="102"/>
      <c r="AD463" s="102"/>
      <c r="AE463" s="102"/>
      <c r="AF463" s="102"/>
      <c r="AG463" s="151"/>
      <c r="AH463" s="102"/>
      <c r="AK463" s="151"/>
      <c r="AL463" s="102"/>
      <c r="AM463" s="102"/>
      <c r="AN463" s="102"/>
    </row>
    <row r="464" spans="1:40" x14ac:dyDescent="0.3">
      <c r="L464" s="102"/>
      <c r="M464" s="102"/>
      <c r="N464" s="102"/>
      <c r="O464" s="102"/>
      <c r="R464" s="102"/>
      <c r="Z464" s="102"/>
      <c r="AA464" s="102"/>
      <c r="AB464" s="102"/>
      <c r="AC464" s="102"/>
      <c r="AD464" s="102"/>
      <c r="AE464" s="102"/>
      <c r="AF464" s="102"/>
      <c r="AG464" s="151"/>
      <c r="AH464" s="102"/>
      <c r="AK464" s="151"/>
      <c r="AL464" s="102"/>
      <c r="AM464" s="102"/>
      <c r="AN464" s="102"/>
    </row>
    <row r="465" spans="1:40" x14ac:dyDescent="0.3">
      <c r="A465" s="102"/>
      <c r="C465" s="102"/>
      <c r="D465" s="102"/>
      <c r="E465" s="102"/>
      <c r="F465" s="102"/>
      <c r="J465" s="102"/>
      <c r="K465" s="102"/>
      <c r="L465" s="102"/>
      <c r="M465" s="102"/>
      <c r="N465" s="102"/>
      <c r="O465" s="102"/>
      <c r="P465" s="102"/>
      <c r="Q465" s="102"/>
      <c r="R465" s="102"/>
      <c r="T465" s="102"/>
      <c r="U465" s="102"/>
      <c r="V465" s="102"/>
      <c r="Z465" s="102"/>
      <c r="AA465" s="102"/>
      <c r="AB465" s="102"/>
      <c r="AC465" s="102"/>
      <c r="AD465" s="102"/>
      <c r="AE465" s="102"/>
      <c r="AF465" s="102"/>
      <c r="AG465" s="151"/>
      <c r="AH465" s="102"/>
      <c r="AI465" s="102"/>
      <c r="AJ465" s="102"/>
      <c r="AK465" s="151"/>
      <c r="AL465" s="102"/>
      <c r="AM465" s="102"/>
      <c r="AN465" s="102"/>
    </row>
    <row r="466" spans="1:40" x14ac:dyDescent="0.3">
      <c r="A466" s="102"/>
      <c r="C466" s="102"/>
      <c r="D466" s="102"/>
      <c r="E466" s="102"/>
      <c r="F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T466" s="102"/>
      <c r="U466" s="102"/>
      <c r="V466" s="102"/>
      <c r="Y466" s="102"/>
      <c r="Z466" s="102"/>
      <c r="AA466" s="102"/>
      <c r="AB466" s="102"/>
      <c r="AC466" s="102"/>
      <c r="AD466" s="102"/>
      <c r="AE466" s="102"/>
      <c r="AF466" s="102"/>
      <c r="AG466" s="151"/>
      <c r="AH466" s="102"/>
      <c r="AI466" s="102"/>
      <c r="AJ466" s="102"/>
      <c r="AK466" s="151"/>
      <c r="AL466" s="102"/>
      <c r="AM466" s="102"/>
      <c r="AN466" s="102"/>
    </row>
    <row r="467" spans="1:40" x14ac:dyDescent="0.3">
      <c r="C467" s="102"/>
      <c r="D467" s="102"/>
      <c r="E467" s="102"/>
      <c r="F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T467" s="102"/>
      <c r="U467" s="102"/>
      <c r="V467" s="102"/>
      <c r="Y467" s="102"/>
      <c r="Z467" s="102"/>
      <c r="AA467" s="102"/>
      <c r="AB467" s="102"/>
      <c r="AC467" s="102"/>
      <c r="AD467" s="102"/>
      <c r="AE467" s="102"/>
      <c r="AF467" s="102"/>
      <c r="AG467" s="151"/>
      <c r="AH467" s="102"/>
      <c r="AI467" s="102"/>
      <c r="AJ467" s="102"/>
      <c r="AK467" s="151"/>
      <c r="AL467" s="102"/>
      <c r="AM467" s="102"/>
      <c r="AN467" s="102"/>
    </row>
    <row r="468" spans="1:40" x14ac:dyDescent="0.3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91"/>
      <c r="AH468" s="101"/>
      <c r="AI468" s="101"/>
      <c r="AJ468" s="101"/>
      <c r="AK468" s="191"/>
      <c r="AL468" s="101"/>
      <c r="AM468" s="101"/>
      <c r="AN468" s="101"/>
    </row>
    <row r="469" spans="1:40" x14ac:dyDescent="0.3"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Y469" s="102"/>
      <c r="Z469" s="102"/>
      <c r="AA469" s="102"/>
      <c r="AB469" s="102"/>
      <c r="AC469" s="102"/>
      <c r="AD469" s="102"/>
      <c r="AE469" s="102"/>
      <c r="AF469" s="102"/>
      <c r="AG469" s="151"/>
      <c r="AH469" s="102"/>
      <c r="AI469" s="102"/>
      <c r="AJ469" s="102"/>
      <c r="AK469" s="151"/>
      <c r="AL469" s="102"/>
      <c r="AM469" s="102"/>
      <c r="AN469" s="102"/>
    </row>
    <row r="470" spans="1:40" x14ac:dyDescent="0.3">
      <c r="C470" s="99"/>
      <c r="D470" s="99"/>
      <c r="E470" s="99"/>
      <c r="T470" s="99"/>
      <c r="U470" s="99"/>
      <c r="V470" s="110"/>
      <c r="W470" s="110"/>
      <c r="X470" s="110"/>
      <c r="Y470" s="110"/>
      <c r="Z470" s="227"/>
    </row>
    <row r="472" spans="1:40" x14ac:dyDescent="0.3">
      <c r="C472" s="99"/>
      <c r="T472" s="99"/>
      <c r="V472" s="110"/>
      <c r="W472" s="110"/>
      <c r="X472" s="110"/>
      <c r="Y472" s="110"/>
      <c r="Z472" s="227"/>
    </row>
    <row r="473" spans="1:40" x14ac:dyDescent="0.3">
      <c r="C473" s="99"/>
      <c r="F473" s="172"/>
      <c r="H473" s="172"/>
      <c r="I473" s="172"/>
      <c r="J473" s="228"/>
      <c r="K473" s="228"/>
      <c r="L473" s="110"/>
      <c r="M473" s="110"/>
      <c r="N473" s="141"/>
      <c r="O473" s="141"/>
      <c r="P473" s="110"/>
      <c r="Q473" s="110"/>
      <c r="R473" s="110"/>
      <c r="T473" s="99"/>
      <c r="V473" s="110"/>
      <c r="W473" s="110"/>
      <c r="X473" s="110"/>
      <c r="Y473" s="110"/>
      <c r="Z473" s="228"/>
      <c r="AA473" s="110"/>
      <c r="AB473" s="110"/>
      <c r="AC473" s="141"/>
      <c r="AD473" s="141"/>
      <c r="AE473" s="110"/>
      <c r="AF473" s="110"/>
      <c r="AH473" s="207"/>
      <c r="AI473" s="110"/>
      <c r="AJ473" s="110"/>
      <c r="AL473" s="110"/>
      <c r="AM473" s="141"/>
      <c r="AN473" s="141"/>
    </row>
    <row r="474" spans="1:40" x14ac:dyDescent="0.3">
      <c r="C474" s="99"/>
      <c r="F474" s="172"/>
      <c r="H474" s="172"/>
      <c r="I474" s="172"/>
      <c r="J474" s="228"/>
      <c r="K474" s="228"/>
      <c r="L474" s="110"/>
      <c r="M474" s="110"/>
      <c r="N474" s="141"/>
      <c r="O474" s="141"/>
      <c r="P474" s="110"/>
      <c r="Q474" s="110"/>
      <c r="R474" s="110"/>
      <c r="T474" s="99"/>
      <c r="V474" s="110"/>
      <c r="W474" s="110"/>
      <c r="X474" s="110"/>
      <c r="Y474" s="110"/>
      <c r="Z474" s="228"/>
      <c r="AA474" s="110"/>
      <c r="AB474" s="110"/>
      <c r="AC474" s="141"/>
      <c r="AD474" s="141"/>
      <c r="AE474" s="110"/>
      <c r="AF474" s="110"/>
      <c r="AH474" s="207"/>
      <c r="AI474" s="110"/>
      <c r="AJ474" s="110"/>
      <c r="AL474" s="110"/>
      <c r="AM474" s="141"/>
      <c r="AN474" s="141"/>
    </row>
    <row r="475" spans="1:40" x14ac:dyDescent="0.3">
      <c r="C475" s="99"/>
      <c r="F475" s="172"/>
      <c r="H475" s="172"/>
      <c r="I475" s="172"/>
      <c r="J475" s="228"/>
      <c r="K475" s="228"/>
      <c r="L475" s="110"/>
      <c r="M475" s="110"/>
      <c r="N475" s="141"/>
      <c r="O475" s="141"/>
      <c r="P475" s="110"/>
      <c r="Q475" s="110"/>
      <c r="R475" s="110"/>
      <c r="T475" s="99"/>
      <c r="V475" s="110"/>
      <c r="W475" s="110"/>
      <c r="X475" s="110"/>
      <c r="Y475" s="110"/>
      <c r="Z475" s="228"/>
      <c r="AA475" s="110"/>
      <c r="AB475" s="110"/>
      <c r="AC475" s="141"/>
      <c r="AD475" s="141"/>
      <c r="AE475" s="110"/>
      <c r="AF475" s="110"/>
      <c r="AH475" s="207"/>
      <c r="AI475" s="110"/>
      <c r="AJ475" s="110"/>
      <c r="AL475" s="110"/>
      <c r="AM475" s="141"/>
      <c r="AN475" s="141"/>
    </row>
    <row r="476" spans="1:40" x14ac:dyDescent="0.3">
      <c r="C476" s="99"/>
      <c r="F476" s="172"/>
      <c r="H476" s="172"/>
      <c r="I476" s="172"/>
      <c r="J476" s="228"/>
      <c r="K476" s="228"/>
      <c r="L476" s="110"/>
      <c r="M476" s="110"/>
      <c r="N476" s="141"/>
      <c r="O476" s="141"/>
      <c r="P476" s="110"/>
      <c r="Q476" s="110"/>
      <c r="R476" s="110"/>
      <c r="T476" s="99"/>
      <c r="V476" s="110"/>
      <c r="W476" s="110"/>
      <c r="X476" s="110"/>
      <c r="Y476" s="110"/>
      <c r="Z476" s="228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141"/>
      <c r="AN476" s="141"/>
    </row>
    <row r="477" spans="1:40" x14ac:dyDescent="0.3">
      <c r="J477" s="163"/>
      <c r="K477" s="163"/>
      <c r="V477" s="110"/>
      <c r="W477" s="110"/>
      <c r="X477" s="110"/>
      <c r="Y477" s="110"/>
      <c r="Z477" s="228"/>
    </row>
    <row r="478" spans="1:40" x14ac:dyDescent="0.3">
      <c r="C478" s="99"/>
      <c r="F478" s="172"/>
      <c r="H478" s="172"/>
      <c r="I478" s="172"/>
      <c r="J478" s="228"/>
      <c r="K478" s="228"/>
      <c r="L478" s="110"/>
      <c r="M478" s="110"/>
      <c r="N478" s="141"/>
      <c r="O478" s="141"/>
      <c r="P478" s="110"/>
      <c r="Q478" s="110"/>
      <c r="R478" s="110"/>
      <c r="T478" s="99"/>
      <c r="V478" s="110"/>
      <c r="W478" s="110"/>
      <c r="X478" s="110"/>
      <c r="Y478" s="110"/>
      <c r="Z478" s="228"/>
      <c r="AA478" s="110"/>
      <c r="AB478" s="110"/>
      <c r="AC478" s="141"/>
      <c r="AD478" s="141"/>
      <c r="AE478" s="110"/>
      <c r="AF478" s="110"/>
      <c r="AH478" s="207"/>
      <c r="AI478" s="110"/>
      <c r="AJ478" s="110"/>
      <c r="AL478" s="110"/>
      <c r="AM478" s="207"/>
      <c r="AN478" s="207"/>
    </row>
    <row r="479" spans="1:40" x14ac:dyDescent="0.3">
      <c r="C479" s="99"/>
      <c r="J479" s="163"/>
      <c r="K479" s="163"/>
      <c r="T479" s="99"/>
      <c r="V479" s="110"/>
      <c r="W479" s="110"/>
      <c r="X479" s="110"/>
      <c r="Y479" s="110"/>
      <c r="Z479" s="228"/>
    </row>
    <row r="480" spans="1:40" x14ac:dyDescent="0.3">
      <c r="C480" s="99"/>
      <c r="F480" s="172"/>
      <c r="H480" s="172"/>
      <c r="I480" s="172"/>
      <c r="J480" s="228"/>
      <c r="K480" s="228"/>
      <c r="L480" s="110"/>
      <c r="M480" s="110"/>
      <c r="N480" s="141"/>
      <c r="O480" s="141"/>
      <c r="P480" s="110"/>
      <c r="Q480" s="110"/>
      <c r="R480" s="110"/>
      <c r="T480" s="99"/>
      <c r="V480" s="110"/>
      <c r="W480" s="110"/>
      <c r="X480" s="110"/>
      <c r="Y480" s="110"/>
      <c r="Z480" s="228"/>
      <c r="AA480" s="110"/>
      <c r="AB480" s="110"/>
      <c r="AC480" s="141"/>
      <c r="AD480" s="141"/>
      <c r="AE480" s="110"/>
      <c r="AF480" s="110"/>
      <c r="AH480" s="207"/>
      <c r="AI480" s="110"/>
      <c r="AJ480" s="110"/>
      <c r="AL480" s="110"/>
      <c r="AM480" s="207"/>
      <c r="AN480" s="207"/>
    </row>
    <row r="481" spans="1:40" x14ac:dyDescent="0.3">
      <c r="J481" s="163"/>
      <c r="K481" s="163"/>
      <c r="Z481" s="163"/>
    </row>
    <row r="482" spans="1:40" x14ac:dyDescent="0.3">
      <c r="C482" s="99"/>
      <c r="J482" s="163"/>
      <c r="K482" s="163"/>
      <c r="T482" s="99"/>
      <c r="V482" s="110"/>
      <c r="W482" s="110"/>
      <c r="X482" s="110"/>
      <c r="Y482" s="110"/>
      <c r="Z482" s="228"/>
    </row>
    <row r="483" spans="1:40" x14ac:dyDescent="0.3">
      <c r="C483" s="99"/>
      <c r="F483" s="172"/>
      <c r="H483" s="172"/>
      <c r="I483" s="172"/>
      <c r="J483" s="228"/>
      <c r="K483" s="228"/>
      <c r="L483" s="110"/>
      <c r="M483" s="110"/>
      <c r="N483" s="141"/>
      <c r="O483" s="141"/>
      <c r="P483" s="110"/>
      <c r="Q483" s="110"/>
      <c r="R483" s="110"/>
      <c r="T483" s="99"/>
      <c r="V483" s="110"/>
      <c r="W483" s="110"/>
      <c r="X483" s="110"/>
      <c r="Y483" s="110"/>
      <c r="Z483" s="228"/>
      <c r="AA483" s="110"/>
      <c r="AB483" s="110"/>
      <c r="AC483" s="141"/>
      <c r="AD483" s="141"/>
      <c r="AE483" s="110"/>
      <c r="AF483" s="110"/>
      <c r="AH483" s="207"/>
      <c r="AI483" s="110"/>
      <c r="AJ483" s="110"/>
      <c r="AL483" s="110"/>
      <c r="AM483" s="207"/>
      <c r="AN483" s="207"/>
    </row>
    <row r="484" spans="1:40" x14ac:dyDescent="0.3">
      <c r="C484" s="99"/>
      <c r="F484" s="172"/>
      <c r="H484" s="172"/>
      <c r="I484" s="172"/>
      <c r="J484" s="228"/>
      <c r="K484" s="228"/>
      <c r="L484" s="110"/>
      <c r="M484" s="110"/>
      <c r="N484" s="141"/>
      <c r="O484" s="141"/>
      <c r="P484" s="110"/>
      <c r="Q484" s="110"/>
      <c r="R484" s="110"/>
      <c r="T484" s="99"/>
      <c r="V484" s="110"/>
      <c r="W484" s="110"/>
      <c r="X484" s="110"/>
      <c r="Y484" s="110"/>
      <c r="Z484" s="228"/>
      <c r="AA484" s="110"/>
      <c r="AB484" s="110"/>
      <c r="AC484" s="141"/>
      <c r="AD484" s="141"/>
      <c r="AE484" s="110"/>
      <c r="AF484" s="110"/>
      <c r="AH484" s="207"/>
      <c r="AI484" s="110"/>
      <c r="AJ484" s="110"/>
      <c r="AL484" s="110"/>
      <c r="AM484" s="207"/>
      <c r="AN484" s="207"/>
    </row>
    <row r="485" spans="1:40" x14ac:dyDescent="0.3">
      <c r="F485" s="192"/>
      <c r="H485" s="192"/>
      <c r="I485" s="192"/>
      <c r="J485" s="228"/>
      <c r="K485" s="228"/>
      <c r="L485" s="192"/>
      <c r="M485" s="192"/>
      <c r="N485" s="192"/>
      <c r="O485" s="192"/>
      <c r="P485" s="192"/>
      <c r="Q485" s="192"/>
      <c r="R485" s="192"/>
      <c r="V485" s="192"/>
      <c r="Y485" s="192"/>
      <c r="Z485" s="217"/>
      <c r="AA485" s="192"/>
      <c r="AB485" s="192"/>
      <c r="AC485" s="192"/>
      <c r="AD485" s="192"/>
      <c r="AE485" s="192"/>
      <c r="AF485" s="192"/>
      <c r="AI485" s="192"/>
      <c r="AJ485" s="192"/>
      <c r="AK485" s="194"/>
      <c r="AL485" s="192"/>
    </row>
    <row r="486" spans="1:40" x14ac:dyDescent="0.3">
      <c r="C486" s="99"/>
      <c r="F486" s="110"/>
      <c r="H486" s="110"/>
      <c r="I486" s="110"/>
      <c r="L486" s="110"/>
      <c r="M486" s="110"/>
      <c r="N486" s="141"/>
      <c r="O486" s="141"/>
      <c r="P486" s="172"/>
      <c r="Q486" s="172"/>
      <c r="R486" s="110"/>
      <c r="T486" s="99"/>
      <c r="V486" s="110"/>
      <c r="W486" s="110"/>
      <c r="X486" s="110"/>
      <c r="Y486" s="110"/>
      <c r="Z486" s="227"/>
      <c r="AA486" s="110"/>
      <c r="AB486" s="110"/>
      <c r="AC486" s="141"/>
      <c r="AD486" s="141"/>
      <c r="AE486" s="110"/>
      <c r="AF486" s="110"/>
      <c r="AH486" s="207"/>
      <c r="AI486" s="172"/>
      <c r="AJ486" s="172"/>
      <c r="AL486" s="110"/>
      <c r="AM486" s="207"/>
      <c r="AN486" s="207"/>
    </row>
    <row r="487" spans="1:40" x14ac:dyDescent="0.3">
      <c r="H487" s="192"/>
      <c r="I487" s="192"/>
      <c r="J487" s="217"/>
      <c r="K487" s="217"/>
      <c r="L487" s="192"/>
      <c r="M487" s="192"/>
      <c r="N487" s="192"/>
      <c r="O487" s="192"/>
      <c r="P487" s="192"/>
      <c r="Q487" s="192"/>
      <c r="R487" s="192"/>
      <c r="V487" s="192"/>
      <c r="Y487" s="192"/>
      <c r="Z487" s="217"/>
      <c r="AA487" s="192"/>
      <c r="AB487" s="192"/>
      <c r="AC487" s="192"/>
      <c r="AD487" s="192"/>
      <c r="AE487" s="192"/>
      <c r="AF487" s="192"/>
      <c r="AI487" s="192"/>
      <c r="AJ487" s="192"/>
      <c r="AK487" s="194"/>
      <c r="AL487" s="192"/>
    </row>
    <row r="488" spans="1:40" x14ac:dyDescent="0.3">
      <c r="F488" s="192"/>
    </row>
    <row r="490" spans="1:40" x14ac:dyDescent="0.3">
      <c r="A490" s="99"/>
    </row>
    <row r="492" spans="1:40" x14ac:dyDescent="0.3">
      <c r="H492" s="99"/>
      <c r="I492" s="99"/>
      <c r="Y492" s="99"/>
    </row>
    <row r="494" spans="1:40" x14ac:dyDescent="0.3">
      <c r="L494" s="99"/>
      <c r="M494" s="99"/>
      <c r="AA494" s="99"/>
      <c r="AB494" s="99"/>
    </row>
    <row r="495" spans="1:40" x14ac:dyDescent="0.3">
      <c r="R495" s="99"/>
      <c r="AK495" s="190"/>
      <c r="AL495" s="99"/>
    </row>
    <row r="496" spans="1:40" x14ac:dyDescent="0.3">
      <c r="R496" s="99"/>
      <c r="AK496" s="190"/>
      <c r="AL496" s="99"/>
    </row>
    <row r="497" spans="1:40" x14ac:dyDescent="0.3">
      <c r="A497" s="99"/>
      <c r="R497" s="99"/>
      <c r="AK497" s="190"/>
      <c r="AL497" s="99"/>
    </row>
    <row r="498" spans="1:40" x14ac:dyDescent="0.3">
      <c r="L498" s="99"/>
      <c r="M498" s="99"/>
      <c r="AA498" s="99"/>
      <c r="AB498" s="99"/>
    </row>
    <row r="499" spans="1:40" x14ac:dyDescent="0.3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91"/>
      <c r="AH499" s="101"/>
      <c r="AI499" s="101"/>
      <c r="AJ499" s="101"/>
      <c r="AK499" s="191"/>
      <c r="AL499" s="101"/>
      <c r="AM499" s="101"/>
      <c r="AN499" s="101"/>
    </row>
    <row r="500" spans="1:40" x14ac:dyDescent="0.3">
      <c r="L500" s="102"/>
      <c r="M500" s="102"/>
      <c r="N500" s="102"/>
      <c r="O500" s="102"/>
      <c r="R500" s="102"/>
      <c r="AA500" s="102"/>
      <c r="AB500" s="102"/>
      <c r="AC500" s="102"/>
      <c r="AD500" s="102"/>
      <c r="AE500" s="102"/>
      <c r="AF500" s="102"/>
      <c r="AG500" s="151"/>
      <c r="AH500" s="102"/>
      <c r="AK500" s="151"/>
      <c r="AL500" s="102"/>
      <c r="AM500" s="102"/>
      <c r="AN500" s="102"/>
    </row>
    <row r="501" spans="1:40" x14ac:dyDescent="0.3">
      <c r="L501" s="102"/>
      <c r="M501" s="102"/>
      <c r="N501" s="102"/>
      <c r="O501" s="102"/>
      <c r="R501" s="102"/>
      <c r="Z501" s="102"/>
      <c r="AA501" s="102"/>
      <c r="AB501" s="102"/>
      <c r="AC501" s="102"/>
      <c r="AD501" s="102"/>
      <c r="AE501" s="102"/>
      <c r="AF501" s="102"/>
      <c r="AG501" s="151"/>
      <c r="AH501" s="102"/>
      <c r="AK501" s="151"/>
      <c r="AL501" s="102"/>
      <c r="AM501" s="102"/>
      <c r="AN501" s="102"/>
    </row>
    <row r="502" spans="1:40" x14ac:dyDescent="0.3">
      <c r="A502" s="102"/>
      <c r="C502" s="102"/>
      <c r="D502" s="102"/>
      <c r="E502" s="102"/>
      <c r="F502" s="102"/>
      <c r="J502" s="102"/>
      <c r="K502" s="102"/>
      <c r="L502" s="102"/>
      <c r="M502" s="102"/>
      <c r="N502" s="102"/>
      <c r="O502" s="102"/>
      <c r="P502" s="102"/>
      <c r="Q502" s="102"/>
      <c r="R502" s="102"/>
      <c r="T502" s="102"/>
      <c r="U502" s="102"/>
      <c r="V502" s="102"/>
      <c r="Z502" s="102"/>
      <c r="AA502" s="102"/>
      <c r="AB502" s="102"/>
      <c r="AC502" s="102"/>
      <c r="AD502" s="102"/>
      <c r="AE502" s="102"/>
      <c r="AF502" s="102"/>
      <c r="AG502" s="151"/>
      <c r="AH502" s="102"/>
      <c r="AI502" s="102"/>
      <c r="AJ502" s="102"/>
      <c r="AK502" s="151"/>
      <c r="AL502" s="102"/>
      <c r="AM502" s="102"/>
      <c r="AN502" s="102"/>
    </row>
    <row r="503" spans="1:40" x14ac:dyDescent="0.3">
      <c r="A503" s="102"/>
      <c r="C503" s="102"/>
      <c r="D503" s="102"/>
      <c r="E503" s="102"/>
      <c r="F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T503" s="102"/>
      <c r="U503" s="102"/>
      <c r="V503" s="102"/>
      <c r="Y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I503" s="102"/>
      <c r="AJ503" s="102"/>
      <c r="AK503" s="151"/>
      <c r="AL503" s="102"/>
      <c r="AM503" s="102"/>
      <c r="AN503" s="102"/>
    </row>
    <row r="504" spans="1:40" x14ac:dyDescent="0.3">
      <c r="C504" s="102"/>
      <c r="D504" s="102"/>
      <c r="E504" s="102"/>
      <c r="F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T504" s="102"/>
      <c r="U504" s="102"/>
      <c r="V504" s="102"/>
      <c r="Y504" s="102"/>
      <c r="Z504" s="102"/>
      <c r="AA504" s="102"/>
      <c r="AB504" s="102"/>
      <c r="AC504" s="102"/>
      <c r="AD504" s="102"/>
      <c r="AE504" s="102"/>
      <c r="AF504" s="102"/>
      <c r="AG504" s="151"/>
      <c r="AH504" s="102"/>
      <c r="AI504" s="102"/>
      <c r="AJ504" s="102"/>
      <c r="AK504" s="151"/>
      <c r="AL504" s="102"/>
      <c r="AM504" s="102"/>
      <c r="AN504" s="102"/>
    </row>
    <row r="505" spans="1:40" x14ac:dyDescent="0.3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91"/>
      <c r="AH505" s="101"/>
      <c r="AI505" s="101"/>
      <c r="AJ505" s="101"/>
      <c r="AK505" s="191"/>
      <c r="AL505" s="101"/>
      <c r="AM505" s="101"/>
      <c r="AN505" s="101"/>
    </row>
    <row r="506" spans="1:40" x14ac:dyDescent="0.3"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Y506" s="102"/>
      <c r="Z506" s="102"/>
      <c r="AA506" s="102"/>
      <c r="AB506" s="102"/>
      <c r="AC506" s="102"/>
      <c r="AD506" s="102"/>
      <c r="AE506" s="102"/>
      <c r="AF506" s="102"/>
      <c r="AG506" s="151"/>
      <c r="AH506" s="102"/>
      <c r="AI506" s="102"/>
      <c r="AJ506" s="102"/>
      <c r="AK506" s="151"/>
      <c r="AL506" s="102"/>
      <c r="AM506" s="102"/>
      <c r="AN506" s="102"/>
    </row>
    <row r="507" spans="1:40" x14ac:dyDescent="0.3">
      <c r="C507" s="99"/>
      <c r="D507" s="99"/>
      <c r="E507" s="99"/>
      <c r="T507" s="99"/>
      <c r="U507" s="99"/>
    </row>
    <row r="509" spans="1:40" x14ac:dyDescent="0.3">
      <c r="C509" s="99"/>
      <c r="T509" s="99"/>
    </row>
    <row r="510" spans="1:40" x14ac:dyDescent="0.3">
      <c r="C510" s="99"/>
      <c r="T510" s="99"/>
    </row>
    <row r="511" spans="1:40" x14ac:dyDescent="0.3">
      <c r="C511" s="99"/>
      <c r="F511" s="172"/>
      <c r="H511" s="172"/>
      <c r="I511" s="172"/>
      <c r="J511" s="228"/>
      <c r="K511" s="228"/>
      <c r="L511" s="110"/>
      <c r="M511" s="110"/>
      <c r="N511" s="141"/>
      <c r="O511" s="141"/>
      <c r="P511" s="110"/>
      <c r="Q511" s="110"/>
      <c r="R511" s="110"/>
      <c r="T511" s="99"/>
      <c r="V511" s="110"/>
      <c r="W511" s="110"/>
      <c r="X511" s="110"/>
      <c r="Y511" s="110"/>
      <c r="Z511" s="228"/>
      <c r="AA511" s="110"/>
      <c r="AB511" s="110"/>
      <c r="AC511" s="141"/>
      <c r="AD511" s="141"/>
      <c r="AE511" s="110"/>
      <c r="AF511" s="110"/>
      <c r="AH511" s="207"/>
      <c r="AI511" s="110"/>
      <c r="AJ511" s="110"/>
      <c r="AL511" s="110"/>
      <c r="AM511" s="207"/>
      <c r="AN511" s="207"/>
    </row>
    <row r="512" spans="1:40" x14ac:dyDescent="0.3">
      <c r="C512" s="99"/>
      <c r="F512" s="110"/>
      <c r="H512" s="110"/>
      <c r="I512" s="110"/>
      <c r="J512" s="163"/>
      <c r="K512" s="163"/>
      <c r="L512" s="110"/>
      <c r="M512" s="110"/>
      <c r="N512" s="141"/>
      <c r="O512" s="141"/>
      <c r="P512" s="110"/>
      <c r="Q512" s="110"/>
      <c r="R512" s="110"/>
      <c r="T512" s="99"/>
      <c r="V512" s="110"/>
      <c r="W512" s="110"/>
      <c r="X512" s="110"/>
      <c r="Y512" s="110"/>
      <c r="Z512" s="163"/>
      <c r="AA512" s="110"/>
      <c r="AB512" s="110"/>
      <c r="AC512" s="141"/>
      <c r="AD512" s="141"/>
      <c r="AE512" s="110"/>
      <c r="AF512" s="110"/>
      <c r="AH512" s="207"/>
      <c r="AI512" s="110"/>
      <c r="AJ512" s="110"/>
      <c r="AL512" s="110"/>
      <c r="AM512" s="207"/>
      <c r="AN512" s="207"/>
    </row>
    <row r="513" spans="3:40" x14ac:dyDescent="0.3">
      <c r="C513" s="99"/>
      <c r="F513" s="110"/>
      <c r="H513" s="110"/>
      <c r="I513" s="110"/>
      <c r="J513" s="163"/>
      <c r="K513" s="163"/>
      <c r="L513" s="110"/>
      <c r="M513" s="110"/>
      <c r="N513" s="141"/>
      <c r="O513" s="141"/>
      <c r="P513" s="110"/>
      <c r="Q513" s="110"/>
      <c r="R513" s="110"/>
      <c r="T513" s="99"/>
      <c r="V513" s="110"/>
      <c r="W513" s="110"/>
      <c r="X513" s="110"/>
      <c r="Y513" s="110"/>
      <c r="Z513" s="163"/>
      <c r="AA513" s="110"/>
      <c r="AB513" s="110"/>
      <c r="AC513" s="141"/>
      <c r="AD513" s="141"/>
      <c r="AE513" s="110"/>
      <c r="AF513" s="110"/>
      <c r="AH513" s="207"/>
      <c r="AI513" s="110"/>
      <c r="AJ513" s="110"/>
      <c r="AL513" s="110"/>
      <c r="AM513" s="207"/>
      <c r="AN513" s="207"/>
    </row>
    <row r="514" spans="3:40" x14ac:dyDescent="0.3">
      <c r="C514" s="99"/>
      <c r="F514" s="110"/>
      <c r="H514" s="110"/>
      <c r="I514" s="110"/>
      <c r="J514" s="163"/>
      <c r="K514" s="163"/>
      <c r="T514" s="99"/>
      <c r="V514" s="110"/>
      <c r="Z514" s="163"/>
    </row>
    <row r="515" spans="3:40" x14ac:dyDescent="0.3">
      <c r="C515" s="99"/>
      <c r="F515" s="172"/>
      <c r="H515" s="172"/>
      <c r="I515" s="172"/>
      <c r="J515" s="228"/>
      <c r="K515" s="228"/>
      <c r="L515" s="110"/>
      <c r="M515" s="110"/>
      <c r="N515" s="141"/>
      <c r="O515" s="141"/>
      <c r="P515" s="110"/>
      <c r="Q515" s="110"/>
      <c r="R515" s="110"/>
      <c r="T515" s="99"/>
      <c r="V515" s="110"/>
      <c r="W515" s="110"/>
      <c r="X515" s="110"/>
      <c r="Y515" s="110"/>
      <c r="Z515" s="228"/>
      <c r="AA515" s="110"/>
      <c r="AB515" s="110"/>
      <c r="AC515" s="141"/>
      <c r="AD515" s="141"/>
      <c r="AE515" s="110"/>
      <c r="AF515" s="110"/>
      <c r="AH515" s="207"/>
      <c r="AI515" s="110"/>
      <c r="AJ515" s="110"/>
      <c r="AL515" s="110"/>
      <c r="AM515" s="207"/>
      <c r="AN515" s="207"/>
    </row>
    <row r="516" spans="3:40" x14ac:dyDescent="0.3">
      <c r="C516" s="99"/>
      <c r="F516" s="110"/>
      <c r="H516" s="110"/>
      <c r="I516" s="110"/>
      <c r="J516" s="163"/>
      <c r="K516" s="163"/>
      <c r="T516" s="99"/>
      <c r="V516" s="110"/>
      <c r="W516" s="110"/>
      <c r="X516" s="110"/>
      <c r="Y516" s="110"/>
      <c r="Z516" s="163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3:40" x14ac:dyDescent="0.3">
      <c r="C517" s="99"/>
      <c r="F517" s="172"/>
      <c r="H517" s="172"/>
      <c r="I517" s="172"/>
      <c r="J517" s="228"/>
      <c r="K517" s="228"/>
      <c r="L517" s="110"/>
      <c r="M517" s="110"/>
      <c r="N517" s="141"/>
      <c r="O517" s="141"/>
      <c r="P517" s="110"/>
      <c r="Q517" s="110"/>
      <c r="R517" s="110"/>
      <c r="T517" s="99"/>
      <c r="V517" s="110"/>
      <c r="W517" s="110"/>
      <c r="X517" s="110"/>
      <c r="Y517" s="110"/>
      <c r="Z517" s="228"/>
      <c r="AA517" s="110"/>
      <c r="AB517" s="110"/>
      <c r="AC517" s="141"/>
      <c r="AD517" s="141"/>
      <c r="AE517" s="110"/>
      <c r="AF517" s="110"/>
      <c r="AH517" s="207"/>
      <c r="AI517" s="110"/>
      <c r="AJ517" s="110"/>
      <c r="AL517" s="110"/>
      <c r="AM517" s="207"/>
      <c r="AN517" s="207"/>
    </row>
    <row r="518" spans="3:40" x14ac:dyDescent="0.3">
      <c r="C518" s="99"/>
      <c r="F518" s="110"/>
      <c r="H518" s="110"/>
      <c r="I518" s="110"/>
      <c r="J518" s="163"/>
      <c r="K518" s="163"/>
      <c r="L518" s="110"/>
      <c r="M518" s="110"/>
      <c r="N518" s="141"/>
      <c r="O518" s="141"/>
      <c r="P518" s="110"/>
      <c r="Q518" s="110"/>
      <c r="R518" s="110"/>
      <c r="T518" s="99"/>
      <c r="V518" s="110"/>
      <c r="W518" s="110"/>
      <c r="X518" s="110"/>
      <c r="Y518" s="110"/>
      <c r="Z518" s="163"/>
      <c r="AA518" s="110"/>
      <c r="AB518" s="110"/>
      <c r="AC518" s="141"/>
      <c r="AD518" s="141"/>
      <c r="AE518" s="110"/>
      <c r="AF518" s="110"/>
      <c r="AH518" s="207"/>
      <c r="AI518" s="110"/>
      <c r="AJ518" s="110"/>
      <c r="AL518" s="110"/>
      <c r="AM518" s="207"/>
      <c r="AN518" s="207"/>
    </row>
    <row r="519" spans="3:40" x14ac:dyDescent="0.3">
      <c r="F519" s="110"/>
      <c r="H519" s="110"/>
      <c r="I519" s="110"/>
      <c r="J519" s="163"/>
      <c r="K519" s="163"/>
      <c r="Z519" s="163"/>
    </row>
    <row r="520" spans="3:40" x14ac:dyDescent="0.3">
      <c r="C520" s="99"/>
      <c r="F520" s="110"/>
      <c r="H520" s="172"/>
      <c r="I520" s="172"/>
      <c r="J520" s="228"/>
      <c r="K520" s="228"/>
      <c r="L520" s="110"/>
      <c r="M520" s="110"/>
      <c r="N520" s="141"/>
      <c r="O520" s="141"/>
      <c r="P520" s="110"/>
      <c r="Q520" s="110"/>
      <c r="R520" s="110"/>
      <c r="T520" s="99"/>
      <c r="V520" s="110"/>
      <c r="W520" s="110"/>
      <c r="X520" s="110"/>
      <c r="Y520" s="110"/>
      <c r="Z520" s="228"/>
      <c r="AA520" s="110"/>
      <c r="AB520" s="110"/>
      <c r="AC520" s="141"/>
      <c r="AD520" s="141"/>
      <c r="AE520" s="110"/>
      <c r="AF520" s="110"/>
      <c r="AH520" s="207"/>
      <c r="AI520" s="110"/>
      <c r="AJ520" s="110"/>
      <c r="AL520" s="110"/>
      <c r="AM520" s="207"/>
      <c r="AN520" s="207"/>
    </row>
    <row r="521" spans="3:40" x14ac:dyDescent="0.3">
      <c r="F521" s="192"/>
      <c r="H521" s="192"/>
      <c r="I521" s="192"/>
      <c r="J521" s="228"/>
      <c r="K521" s="228"/>
      <c r="L521" s="192"/>
      <c r="M521" s="192"/>
      <c r="N521" s="192"/>
      <c r="O521" s="192"/>
      <c r="P521" s="192"/>
      <c r="Q521" s="192"/>
      <c r="R521" s="192"/>
      <c r="V521" s="192"/>
      <c r="Y521" s="192"/>
      <c r="Z521" s="228"/>
      <c r="AA521" s="192"/>
      <c r="AB521" s="192"/>
      <c r="AC521" s="192"/>
      <c r="AD521" s="192"/>
      <c r="AE521" s="192"/>
      <c r="AF521" s="192"/>
      <c r="AI521" s="192"/>
      <c r="AJ521" s="192"/>
      <c r="AK521" s="194"/>
      <c r="AL521" s="192"/>
    </row>
    <row r="522" spans="3:40" x14ac:dyDescent="0.3">
      <c r="C522" s="99"/>
      <c r="F522" s="110"/>
      <c r="H522" s="110"/>
      <c r="I522" s="110"/>
      <c r="J522" s="163"/>
      <c r="K522" s="163"/>
      <c r="L522" s="110"/>
      <c r="M522" s="110"/>
      <c r="P522" s="110"/>
      <c r="Q522" s="110"/>
      <c r="R522" s="110"/>
      <c r="T522" s="99"/>
      <c r="V522" s="110"/>
      <c r="Y522" s="110"/>
      <c r="Z522" s="163"/>
      <c r="AA522" s="110"/>
      <c r="AB522" s="110"/>
      <c r="AC522" s="207"/>
      <c r="AD522" s="207"/>
      <c r="AE522" s="110"/>
      <c r="AF522" s="110"/>
      <c r="AH522" s="207"/>
      <c r="AI522" s="110"/>
      <c r="AJ522" s="110"/>
      <c r="AL522" s="110"/>
      <c r="AM522" s="207"/>
      <c r="AN522" s="207"/>
    </row>
    <row r="523" spans="3:40" x14ac:dyDescent="0.3">
      <c r="F523" s="192"/>
      <c r="H523" s="192"/>
      <c r="I523" s="192"/>
      <c r="J523" s="228"/>
      <c r="K523" s="228"/>
      <c r="L523" s="192"/>
      <c r="M523" s="192"/>
      <c r="N523" s="192"/>
      <c r="O523" s="192"/>
      <c r="P523" s="192"/>
      <c r="Q523" s="192"/>
      <c r="R523" s="192"/>
      <c r="V523" s="192"/>
      <c r="Y523" s="192"/>
      <c r="Z523" s="228"/>
      <c r="AA523" s="192"/>
      <c r="AB523" s="192"/>
      <c r="AC523" s="192"/>
      <c r="AD523" s="192"/>
      <c r="AE523" s="192"/>
      <c r="AF523" s="192"/>
      <c r="AI523" s="192"/>
      <c r="AJ523" s="192"/>
      <c r="AK523" s="194"/>
      <c r="AL523" s="192"/>
    </row>
    <row r="524" spans="3:40" x14ac:dyDescent="0.3">
      <c r="J524" s="163"/>
      <c r="K524" s="163"/>
      <c r="Z524" s="163"/>
    </row>
    <row r="525" spans="3:40" x14ac:dyDescent="0.3">
      <c r="C525" s="99"/>
      <c r="J525" s="163"/>
      <c r="K525" s="163"/>
      <c r="T525" s="99"/>
      <c r="Z525" s="163"/>
    </row>
    <row r="526" spans="3:40" x14ac:dyDescent="0.3">
      <c r="C526" s="99"/>
      <c r="J526" s="163"/>
      <c r="K526" s="163"/>
      <c r="T526" s="99"/>
      <c r="Z526" s="163"/>
    </row>
    <row r="527" spans="3:40" x14ac:dyDescent="0.3">
      <c r="C527" s="99"/>
      <c r="F527" s="172"/>
      <c r="H527" s="172"/>
      <c r="I527" s="172"/>
      <c r="J527" s="228"/>
      <c r="K527" s="228"/>
      <c r="L527" s="110"/>
      <c r="M527" s="110"/>
      <c r="N527" s="141"/>
      <c r="O527" s="141"/>
      <c r="P527" s="110"/>
      <c r="Q527" s="110"/>
      <c r="R527" s="110"/>
      <c r="T527" s="99"/>
      <c r="V527" s="110"/>
      <c r="W527" s="110"/>
      <c r="X527" s="110"/>
      <c r="Y527" s="110"/>
      <c r="Z527" s="228"/>
      <c r="AA527" s="110"/>
      <c r="AB527" s="110"/>
      <c r="AC527" s="141"/>
      <c r="AD527" s="141"/>
      <c r="AE527" s="110"/>
      <c r="AF527" s="110"/>
      <c r="AH527" s="207"/>
      <c r="AI527" s="110"/>
      <c r="AJ527" s="110"/>
      <c r="AL527" s="110"/>
      <c r="AM527" s="207"/>
      <c r="AN527" s="207"/>
    </row>
    <row r="528" spans="3:40" x14ac:dyDescent="0.3">
      <c r="C528" s="99"/>
      <c r="J528" s="163"/>
      <c r="K528" s="163"/>
      <c r="T528" s="99"/>
      <c r="Z528" s="163"/>
    </row>
    <row r="529" spans="1:40" x14ac:dyDescent="0.3">
      <c r="C529" s="99"/>
      <c r="F529" s="172"/>
      <c r="H529" s="172"/>
      <c r="I529" s="172"/>
      <c r="J529" s="228"/>
      <c r="K529" s="228"/>
      <c r="L529" s="110"/>
      <c r="M529" s="110"/>
      <c r="N529" s="141"/>
      <c r="O529" s="141"/>
      <c r="P529" s="110"/>
      <c r="Q529" s="110"/>
      <c r="R529" s="110"/>
      <c r="T529" s="99"/>
      <c r="V529" s="110"/>
      <c r="W529" s="110"/>
      <c r="X529" s="110"/>
      <c r="Y529" s="110"/>
      <c r="Z529" s="228"/>
      <c r="AA529" s="110"/>
      <c r="AB529" s="110"/>
      <c r="AC529" s="141"/>
      <c r="AD529" s="141"/>
      <c r="AE529" s="110"/>
      <c r="AF529" s="110"/>
      <c r="AH529" s="207"/>
      <c r="AI529" s="110"/>
      <c r="AJ529" s="110"/>
      <c r="AL529" s="110"/>
      <c r="AM529" s="207"/>
      <c r="AN529" s="207"/>
    </row>
    <row r="530" spans="1:40" x14ac:dyDescent="0.3">
      <c r="F530" s="192"/>
      <c r="H530" s="192"/>
      <c r="I530" s="192"/>
      <c r="J530" s="228"/>
      <c r="K530" s="228"/>
      <c r="L530" s="192"/>
      <c r="M530" s="192"/>
      <c r="N530" s="192"/>
      <c r="O530" s="192"/>
      <c r="P530" s="192"/>
      <c r="Q530" s="192"/>
      <c r="R530" s="192"/>
      <c r="V530" s="192"/>
      <c r="Y530" s="192"/>
      <c r="Z530" s="228"/>
      <c r="AA530" s="192"/>
      <c r="AB530" s="192"/>
      <c r="AC530" s="192"/>
      <c r="AD530" s="192"/>
      <c r="AE530" s="192"/>
      <c r="AF530" s="192"/>
      <c r="AI530" s="192"/>
      <c r="AJ530" s="192"/>
      <c r="AK530" s="194"/>
      <c r="AL530" s="192"/>
    </row>
    <row r="531" spans="1:40" x14ac:dyDescent="0.3">
      <c r="C531" s="99"/>
      <c r="F531" s="110"/>
      <c r="H531" s="110"/>
      <c r="I531" s="110"/>
      <c r="J531" s="163"/>
      <c r="K531" s="163"/>
      <c r="L531" s="110"/>
      <c r="M531" s="110"/>
      <c r="N531" s="207"/>
      <c r="O531" s="207"/>
      <c r="P531" s="110"/>
      <c r="Q531" s="110"/>
      <c r="R531" s="110"/>
      <c r="T531" s="99"/>
      <c r="V531" s="110"/>
      <c r="Y531" s="110"/>
      <c r="Z531" s="163"/>
      <c r="AA531" s="110"/>
      <c r="AB531" s="110"/>
      <c r="AC531" s="207"/>
      <c r="AD531" s="207"/>
      <c r="AE531" s="110"/>
      <c r="AF531" s="110"/>
      <c r="AH531" s="207"/>
      <c r="AI531" s="110"/>
      <c r="AJ531" s="110"/>
      <c r="AL531" s="110"/>
      <c r="AM531" s="207"/>
      <c r="AN531" s="207"/>
    </row>
    <row r="532" spans="1:40" x14ac:dyDescent="0.3">
      <c r="F532" s="192"/>
      <c r="H532" s="192"/>
      <c r="I532" s="192"/>
      <c r="J532" s="228"/>
      <c r="K532" s="228"/>
      <c r="L532" s="192"/>
      <c r="M532" s="192"/>
      <c r="N532" s="192"/>
      <c r="O532" s="192"/>
      <c r="P532" s="192"/>
      <c r="Q532" s="192"/>
      <c r="R532" s="192"/>
      <c r="V532" s="192"/>
      <c r="Y532" s="192"/>
      <c r="Z532" s="217"/>
      <c r="AA532" s="192"/>
      <c r="AB532" s="192"/>
      <c r="AC532" s="192"/>
      <c r="AD532" s="192"/>
      <c r="AE532" s="192"/>
      <c r="AF532" s="192"/>
      <c r="AI532" s="192"/>
      <c r="AJ532" s="192"/>
      <c r="AK532" s="194"/>
      <c r="AL532" s="192"/>
    </row>
    <row r="533" spans="1:40" x14ac:dyDescent="0.3">
      <c r="J533" s="163"/>
      <c r="K533" s="163"/>
    </row>
    <row r="534" spans="1:40" x14ac:dyDescent="0.3">
      <c r="C534" s="99"/>
      <c r="F534" s="110"/>
      <c r="H534" s="110"/>
      <c r="I534" s="110"/>
      <c r="J534" s="163"/>
      <c r="K534" s="163"/>
      <c r="L534" s="110"/>
      <c r="M534" s="110"/>
      <c r="N534" s="141"/>
      <c r="O534" s="141"/>
      <c r="P534" s="172"/>
      <c r="Q534" s="172"/>
      <c r="R534" s="110"/>
      <c r="T534" s="99"/>
      <c r="V534" s="110"/>
      <c r="Y534" s="110"/>
      <c r="AA534" s="110"/>
      <c r="AB534" s="110"/>
      <c r="AC534" s="207"/>
      <c r="AD534" s="207"/>
      <c r="AE534" s="110"/>
      <c r="AF534" s="110"/>
      <c r="AH534" s="207"/>
      <c r="AI534" s="172"/>
      <c r="AJ534" s="172"/>
      <c r="AL534" s="110"/>
      <c r="AM534" s="207"/>
      <c r="AN534" s="207"/>
    </row>
    <row r="535" spans="1:40" x14ac:dyDescent="0.3">
      <c r="H535" s="192"/>
      <c r="I535" s="192"/>
      <c r="J535" s="228"/>
      <c r="K535" s="228"/>
      <c r="L535" s="192"/>
      <c r="M535" s="192"/>
      <c r="N535" s="192"/>
      <c r="O535" s="192"/>
      <c r="P535" s="192"/>
      <c r="Q535" s="192"/>
      <c r="R535" s="192"/>
      <c r="V535" s="192"/>
      <c r="Y535" s="192"/>
      <c r="Z535" s="217"/>
      <c r="AA535" s="192"/>
      <c r="AB535" s="192"/>
      <c r="AC535" s="192"/>
      <c r="AD535" s="192"/>
      <c r="AE535" s="192"/>
      <c r="AF535" s="192"/>
      <c r="AI535" s="192"/>
      <c r="AJ535" s="192"/>
      <c r="AK535" s="194"/>
      <c r="AL535" s="192"/>
    </row>
    <row r="536" spans="1:40" x14ac:dyDescent="0.3">
      <c r="F536" s="192"/>
    </row>
    <row r="538" spans="1:40" x14ac:dyDescent="0.3">
      <c r="A538" s="99"/>
    </row>
    <row r="540" spans="1:40" x14ac:dyDescent="0.3">
      <c r="H540" s="99"/>
      <c r="I540" s="99"/>
      <c r="Y540" s="99"/>
    </row>
    <row r="542" spans="1:40" x14ac:dyDescent="0.3">
      <c r="L542" s="99"/>
      <c r="M542" s="99"/>
      <c r="AA542" s="99"/>
      <c r="AB542" s="99"/>
    </row>
    <row r="543" spans="1:40" x14ac:dyDescent="0.3">
      <c r="R543" s="99"/>
      <c r="AK543" s="190"/>
      <c r="AL543" s="99"/>
    </row>
    <row r="544" spans="1:40" x14ac:dyDescent="0.3">
      <c r="R544" s="99"/>
      <c r="AK544" s="190"/>
      <c r="AL544" s="99"/>
    </row>
    <row r="545" spans="1:40" x14ac:dyDescent="0.3">
      <c r="A545" s="99"/>
      <c r="R545" s="99"/>
      <c r="AK545" s="190"/>
      <c r="AL545" s="99"/>
    </row>
    <row r="546" spans="1:40" x14ac:dyDescent="0.3">
      <c r="L546" s="99"/>
      <c r="M546" s="99"/>
      <c r="AA546" s="99"/>
      <c r="AB546" s="99"/>
    </row>
    <row r="547" spans="1:40" x14ac:dyDescent="0.3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91"/>
      <c r="AH547" s="101"/>
      <c r="AI547" s="101"/>
      <c r="AJ547" s="101"/>
      <c r="AK547" s="191"/>
      <c r="AL547" s="101"/>
      <c r="AM547" s="101"/>
      <c r="AN547" s="101"/>
    </row>
    <row r="548" spans="1:40" x14ac:dyDescent="0.3">
      <c r="L548" s="102"/>
      <c r="M548" s="102"/>
      <c r="N548" s="102"/>
      <c r="O548" s="102"/>
      <c r="R548" s="102"/>
      <c r="AA548" s="102"/>
      <c r="AB548" s="102"/>
      <c r="AC548" s="102"/>
      <c r="AD548" s="102"/>
      <c r="AE548" s="102"/>
      <c r="AF548" s="102"/>
      <c r="AG548" s="151"/>
      <c r="AH548" s="102"/>
      <c r="AK548" s="151"/>
      <c r="AL548" s="102"/>
      <c r="AM548" s="102"/>
      <c r="AN548" s="102"/>
    </row>
    <row r="549" spans="1:40" x14ac:dyDescent="0.3">
      <c r="L549" s="102"/>
      <c r="M549" s="102"/>
      <c r="N549" s="102"/>
      <c r="O549" s="102"/>
      <c r="R549" s="102"/>
      <c r="Z549" s="102"/>
      <c r="AA549" s="102"/>
      <c r="AB549" s="102"/>
      <c r="AC549" s="102"/>
      <c r="AD549" s="102"/>
      <c r="AE549" s="102"/>
      <c r="AF549" s="102"/>
      <c r="AG549" s="151"/>
      <c r="AH549" s="102"/>
      <c r="AK549" s="151"/>
      <c r="AL549" s="102"/>
      <c r="AM549" s="102"/>
      <c r="AN549" s="102"/>
    </row>
    <row r="550" spans="1:40" x14ac:dyDescent="0.3">
      <c r="A550" s="102"/>
      <c r="C550" s="102"/>
      <c r="D550" s="102"/>
      <c r="E550" s="102"/>
      <c r="F550" s="102"/>
      <c r="J550" s="102"/>
      <c r="K550" s="102"/>
      <c r="L550" s="102"/>
      <c r="M550" s="102"/>
      <c r="N550" s="102"/>
      <c r="O550" s="102"/>
      <c r="P550" s="102"/>
      <c r="Q550" s="102"/>
      <c r="R550" s="102"/>
      <c r="T550" s="102"/>
      <c r="U550" s="102"/>
      <c r="V550" s="102"/>
      <c r="Z550" s="102"/>
      <c r="AA550" s="102"/>
      <c r="AB550" s="102"/>
      <c r="AC550" s="102"/>
      <c r="AD550" s="102"/>
      <c r="AE550" s="102"/>
      <c r="AF550" s="102"/>
      <c r="AG550" s="151"/>
      <c r="AH550" s="102"/>
      <c r="AI550" s="102"/>
      <c r="AJ550" s="102"/>
      <c r="AK550" s="151"/>
      <c r="AL550" s="102"/>
      <c r="AM550" s="102"/>
      <c r="AN550" s="102"/>
    </row>
    <row r="551" spans="1:40" x14ac:dyDescent="0.3">
      <c r="A551" s="102"/>
      <c r="C551" s="102"/>
      <c r="D551" s="102"/>
      <c r="E551" s="102"/>
      <c r="F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T551" s="102"/>
      <c r="U551" s="102"/>
      <c r="V551" s="102"/>
      <c r="Y551" s="102"/>
      <c r="Z551" s="102"/>
      <c r="AA551" s="102"/>
      <c r="AB551" s="102"/>
      <c r="AC551" s="102"/>
      <c r="AD551" s="102"/>
      <c r="AE551" s="102"/>
      <c r="AF551" s="102"/>
      <c r="AG551" s="151"/>
      <c r="AH551" s="102"/>
      <c r="AI551" s="102"/>
      <c r="AJ551" s="102"/>
      <c r="AK551" s="151"/>
      <c r="AL551" s="102"/>
      <c r="AM551" s="102"/>
      <c r="AN551" s="102"/>
    </row>
    <row r="552" spans="1:40" x14ac:dyDescent="0.3">
      <c r="C552" s="102"/>
      <c r="D552" s="102"/>
      <c r="E552" s="102"/>
      <c r="F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T552" s="102"/>
      <c r="U552" s="102"/>
      <c r="V552" s="102"/>
      <c r="Y552" s="102"/>
      <c r="Z552" s="102"/>
      <c r="AA552" s="102"/>
      <c r="AB552" s="102"/>
      <c r="AC552" s="102"/>
      <c r="AD552" s="102"/>
      <c r="AE552" s="102"/>
      <c r="AF552" s="102"/>
      <c r="AG552" s="151"/>
      <c r="AH552" s="102"/>
      <c r="AI552" s="102"/>
      <c r="AJ552" s="102"/>
      <c r="AK552" s="151"/>
      <c r="AL552" s="102"/>
      <c r="AM552" s="102"/>
      <c r="AN552" s="102"/>
    </row>
    <row r="553" spans="1:40" x14ac:dyDescent="0.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91"/>
      <c r="AH553" s="101"/>
      <c r="AI553" s="101"/>
      <c r="AJ553" s="101"/>
      <c r="AK553" s="191"/>
      <c r="AL553" s="101"/>
      <c r="AM553" s="101"/>
      <c r="AN553" s="101"/>
    </row>
    <row r="554" spans="1:40" x14ac:dyDescent="0.3"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Y554" s="102"/>
      <c r="Z554" s="102"/>
      <c r="AA554" s="102"/>
      <c r="AB554" s="102"/>
      <c r="AC554" s="102"/>
      <c r="AD554" s="102"/>
      <c r="AE554" s="102"/>
      <c r="AF554" s="102"/>
      <c r="AG554" s="151"/>
      <c r="AH554" s="102"/>
      <c r="AI554" s="102"/>
      <c r="AJ554" s="102"/>
      <c r="AK554" s="151"/>
      <c r="AL554" s="102"/>
      <c r="AM554" s="102"/>
      <c r="AN554" s="102"/>
    </row>
    <row r="555" spans="1:40" x14ac:dyDescent="0.3">
      <c r="C555" s="99"/>
      <c r="D555" s="99"/>
      <c r="E555" s="99"/>
      <c r="T555" s="99"/>
      <c r="U555" s="99"/>
    </row>
    <row r="557" spans="1:40" x14ac:dyDescent="0.3">
      <c r="C557" s="99"/>
      <c r="D557" s="99"/>
      <c r="E557" s="99"/>
      <c r="T557" s="99"/>
      <c r="U557" s="99"/>
    </row>
    <row r="558" spans="1:40" x14ac:dyDescent="0.3">
      <c r="C558" s="99"/>
      <c r="T558" s="99"/>
    </row>
    <row r="559" spans="1:40" x14ac:dyDescent="0.3">
      <c r="C559" s="99"/>
      <c r="T559" s="99"/>
    </row>
    <row r="560" spans="1:40" x14ac:dyDescent="0.3">
      <c r="C560" s="99"/>
      <c r="H560" s="172"/>
      <c r="I560" s="172"/>
      <c r="J560" s="228"/>
      <c r="K560" s="228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228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141"/>
      <c r="AN560" s="141"/>
    </row>
    <row r="561" spans="3:40" x14ac:dyDescent="0.3">
      <c r="C561" s="99"/>
      <c r="F561" s="172"/>
      <c r="J561" s="163"/>
      <c r="K561" s="163"/>
      <c r="T561" s="99"/>
      <c r="V561" s="110"/>
      <c r="W561" s="110"/>
      <c r="X561" s="110"/>
      <c r="Y561" s="110"/>
      <c r="Z561" s="228"/>
    </row>
    <row r="562" spans="3:40" x14ac:dyDescent="0.3">
      <c r="C562" s="99"/>
      <c r="H562" s="172"/>
      <c r="I562" s="172"/>
      <c r="J562" s="228"/>
      <c r="K562" s="228"/>
      <c r="L562" s="110"/>
      <c r="M562" s="110"/>
      <c r="N562" s="141"/>
      <c r="O562" s="141"/>
      <c r="P562" s="110"/>
      <c r="Q562" s="110"/>
      <c r="R562" s="110"/>
      <c r="T562" s="99"/>
      <c r="V562" s="110"/>
      <c r="W562" s="110"/>
      <c r="X562" s="110"/>
      <c r="Y562" s="110"/>
      <c r="Z562" s="228"/>
      <c r="AA562" s="110"/>
      <c r="AB562" s="110"/>
      <c r="AC562" s="141"/>
      <c r="AD562" s="141"/>
      <c r="AE562" s="110"/>
      <c r="AF562" s="110"/>
      <c r="AH562" s="207"/>
      <c r="AI562" s="110"/>
      <c r="AJ562" s="110"/>
      <c r="AL562" s="110"/>
      <c r="AM562" s="141"/>
      <c r="AN562" s="141"/>
    </row>
    <row r="563" spans="3:40" x14ac:dyDescent="0.3">
      <c r="C563" s="99"/>
      <c r="F563" s="172"/>
      <c r="J563" s="163"/>
      <c r="K563" s="163"/>
      <c r="T563" s="99"/>
      <c r="V563" s="110"/>
      <c r="W563" s="110"/>
      <c r="X563" s="110"/>
      <c r="Y563" s="110"/>
      <c r="Z563" s="228"/>
    </row>
    <row r="564" spans="3:40" x14ac:dyDescent="0.3">
      <c r="C564" s="99"/>
      <c r="H564" s="172"/>
      <c r="I564" s="172"/>
      <c r="J564" s="228"/>
      <c r="K564" s="228"/>
      <c r="L564" s="110"/>
      <c r="M564" s="110"/>
      <c r="N564" s="141"/>
      <c r="O564" s="141"/>
      <c r="P564" s="110"/>
      <c r="Q564" s="110"/>
      <c r="R564" s="110"/>
      <c r="T564" s="99"/>
      <c r="V564" s="110"/>
      <c r="W564" s="110"/>
      <c r="X564" s="110"/>
      <c r="Y564" s="110"/>
      <c r="Z564" s="228"/>
      <c r="AA564" s="110"/>
      <c r="AB564" s="110"/>
      <c r="AC564" s="141"/>
      <c r="AD564" s="141"/>
      <c r="AE564" s="110"/>
      <c r="AF564" s="110"/>
      <c r="AH564" s="207"/>
      <c r="AI564" s="110"/>
      <c r="AJ564" s="110"/>
      <c r="AL564" s="110"/>
      <c r="AM564" s="141"/>
      <c r="AN564" s="141"/>
    </row>
    <row r="565" spans="3:40" x14ac:dyDescent="0.3">
      <c r="C565" s="99"/>
      <c r="F565" s="172"/>
      <c r="J565" s="163"/>
      <c r="K565" s="163"/>
      <c r="T565" s="99"/>
      <c r="V565" s="110"/>
      <c r="W565" s="110"/>
      <c r="X565" s="110"/>
      <c r="Y565" s="110"/>
      <c r="Z565" s="228"/>
    </row>
    <row r="566" spans="3:40" x14ac:dyDescent="0.3">
      <c r="C566" s="99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228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141"/>
      <c r="AN566" s="141"/>
    </row>
    <row r="567" spans="3:40" x14ac:dyDescent="0.3">
      <c r="C567" s="99"/>
      <c r="F567" s="172"/>
      <c r="J567" s="163"/>
      <c r="K567" s="163"/>
      <c r="T567" s="99"/>
      <c r="V567" s="110"/>
      <c r="W567" s="110"/>
      <c r="X567" s="110"/>
      <c r="Y567" s="110"/>
      <c r="Z567" s="228"/>
    </row>
    <row r="568" spans="3:40" x14ac:dyDescent="0.3">
      <c r="C568" s="99"/>
      <c r="H568" s="172"/>
      <c r="I568" s="172"/>
      <c r="J568" s="228"/>
      <c r="K568" s="228"/>
      <c r="L568" s="110"/>
      <c r="M568" s="110"/>
      <c r="N568" s="141"/>
      <c r="O568" s="141"/>
      <c r="P568" s="110"/>
      <c r="Q568" s="110"/>
      <c r="R568" s="110"/>
      <c r="T568" s="99"/>
      <c r="V568" s="110"/>
      <c r="W568" s="110"/>
      <c r="X568" s="110"/>
      <c r="Y568" s="110"/>
      <c r="Z568" s="228"/>
      <c r="AA568" s="110"/>
      <c r="AB568" s="110"/>
      <c r="AC568" s="141"/>
      <c r="AD568" s="141"/>
      <c r="AE568" s="110"/>
      <c r="AF568" s="110"/>
      <c r="AH568" s="207"/>
      <c r="AI568" s="110"/>
      <c r="AJ568" s="110"/>
      <c r="AL568" s="110"/>
      <c r="AM568" s="141"/>
      <c r="AN568" s="141"/>
    </row>
    <row r="569" spans="3:40" x14ac:dyDescent="0.3">
      <c r="C569" s="99"/>
      <c r="F569" s="172"/>
      <c r="J569" s="163"/>
      <c r="K569" s="163"/>
      <c r="T569" s="99"/>
      <c r="V569" s="110"/>
      <c r="W569" s="110"/>
      <c r="X569" s="110"/>
      <c r="Y569" s="110"/>
      <c r="Z569" s="228"/>
    </row>
    <row r="570" spans="3:40" x14ac:dyDescent="0.3">
      <c r="C570" s="99"/>
      <c r="H570" s="172"/>
      <c r="I570" s="172"/>
      <c r="J570" s="228"/>
      <c r="K570" s="228"/>
      <c r="L570" s="110"/>
      <c r="M570" s="110"/>
      <c r="N570" s="141"/>
      <c r="O570" s="141"/>
      <c r="P570" s="110"/>
      <c r="Q570" s="110"/>
      <c r="R570" s="110"/>
      <c r="T570" s="99"/>
      <c r="V570" s="110"/>
      <c r="W570" s="110"/>
      <c r="X570" s="110"/>
      <c r="Y570" s="110"/>
      <c r="Z570" s="228"/>
      <c r="AA570" s="110"/>
      <c r="AB570" s="110"/>
      <c r="AC570" s="141"/>
      <c r="AD570" s="141"/>
      <c r="AE570" s="110"/>
      <c r="AF570" s="110"/>
      <c r="AH570" s="207"/>
      <c r="AI570" s="110"/>
      <c r="AJ570" s="110"/>
      <c r="AL570" s="110"/>
      <c r="AM570" s="141"/>
      <c r="AN570" s="141"/>
    </row>
    <row r="571" spans="3:40" x14ac:dyDescent="0.3">
      <c r="F571" s="172"/>
      <c r="H571" s="192"/>
      <c r="I571" s="192"/>
      <c r="J571" s="228"/>
      <c r="K571" s="228"/>
      <c r="L571" s="192"/>
      <c r="M571" s="192"/>
      <c r="N571" s="192"/>
      <c r="O571" s="192"/>
      <c r="P571" s="192"/>
      <c r="Q571" s="192"/>
      <c r="R571" s="192"/>
      <c r="V571" s="192"/>
      <c r="Y571" s="192"/>
      <c r="Z571" s="228"/>
      <c r="AA571" s="192"/>
      <c r="AB571" s="192"/>
      <c r="AC571" s="192"/>
      <c r="AD571" s="192"/>
      <c r="AE571" s="192"/>
      <c r="AF571" s="192"/>
      <c r="AI571" s="192"/>
      <c r="AJ571" s="192"/>
      <c r="AK571" s="194"/>
      <c r="AL571" s="192"/>
      <c r="AM571" s="141"/>
      <c r="AN571" s="141"/>
    </row>
    <row r="572" spans="3:40" x14ac:dyDescent="0.3">
      <c r="C572" s="99"/>
      <c r="F572" s="192"/>
      <c r="H572" s="110"/>
      <c r="I572" s="110"/>
      <c r="J572" s="163"/>
      <c r="K572" s="163"/>
      <c r="L572" s="110"/>
      <c r="M572" s="110"/>
      <c r="N572" s="141"/>
      <c r="O572" s="141"/>
      <c r="P572" s="172"/>
      <c r="Q572" s="172"/>
      <c r="R572" s="110"/>
      <c r="T572" s="99"/>
      <c r="V572" s="110"/>
      <c r="W572" s="110"/>
      <c r="X572" s="110"/>
      <c r="Y572" s="110"/>
      <c r="Z572" s="228"/>
      <c r="AA572" s="110"/>
      <c r="AB572" s="110"/>
      <c r="AC572" s="141"/>
      <c r="AD572" s="141"/>
      <c r="AE572" s="110"/>
      <c r="AF572" s="110"/>
      <c r="AH572" s="207"/>
      <c r="AI572" s="172"/>
      <c r="AJ572" s="172"/>
      <c r="AL572" s="110"/>
      <c r="AM572" s="141"/>
      <c r="AN572" s="141"/>
    </row>
    <row r="573" spans="3:40" x14ac:dyDescent="0.3">
      <c r="F573" s="110"/>
      <c r="H573" s="192"/>
      <c r="I573" s="192"/>
      <c r="J573" s="228"/>
      <c r="K573" s="228"/>
      <c r="L573" s="192"/>
      <c r="M573" s="192"/>
      <c r="N573" s="192"/>
      <c r="O573" s="192"/>
      <c r="P573" s="192"/>
      <c r="Q573" s="192"/>
      <c r="R573" s="192"/>
      <c r="V573" s="192"/>
      <c r="Y573" s="192"/>
      <c r="Z573" s="228"/>
      <c r="AA573" s="192"/>
      <c r="AB573" s="192"/>
      <c r="AC573" s="192"/>
      <c r="AD573" s="192"/>
      <c r="AE573" s="192"/>
      <c r="AF573" s="192"/>
      <c r="AI573" s="192"/>
      <c r="AJ573" s="192"/>
      <c r="AK573" s="194"/>
      <c r="AL573" s="192"/>
    </row>
    <row r="574" spans="3:40" x14ac:dyDescent="0.3">
      <c r="C574" s="99"/>
      <c r="D574" s="99"/>
      <c r="E574" s="99"/>
      <c r="F574" s="192"/>
      <c r="J574" s="163"/>
      <c r="K574" s="163"/>
      <c r="T574" s="99"/>
      <c r="U574" s="99"/>
      <c r="V574" s="110"/>
      <c r="W574" s="110"/>
      <c r="X574" s="110"/>
      <c r="Y574" s="110"/>
      <c r="Z574" s="228"/>
    </row>
    <row r="575" spans="3:40" x14ac:dyDescent="0.3">
      <c r="C575" s="99"/>
      <c r="J575" s="163"/>
      <c r="K575" s="163"/>
      <c r="T575" s="99"/>
      <c r="V575" s="110"/>
      <c r="W575" s="110"/>
      <c r="X575" s="110"/>
      <c r="Y575" s="110"/>
      <c r="Z575" s="228"/>
    </row>
    <row r="576" spans="3:40" x14ac:dyDescent="0.3">
      <c r="C576" s="99"/>
      <c r="J576" s="163"/>
      <c r="K576" s="163"/>
      <c r="T576" s="99"/>
      <c r="V576" s="110"/>
      <c r="W576" s="110"/>
      <c r="X576" s="110"/>
      <c r="Y576" s="110"/>
      <c r="Z576" s="228"/>
    </row>
    <row r="577" spans="3:40" x14ac:dyDescent="0.3">
      <c r="C577" s="99"/>
      <c r="H577" s="172"/>
      <c r="I577" s="172"/>
      <c r="J577" s="228"/>
      <c r="K577" s="228"/>
      <c r="L577" s="110"/>
      <c r="M577" s="110"/>
      <c r="N577" s="141"/>
      <c r="O577" s="141"/>
      <c r="P577" s="110"/>
      <c r="Q577" s="110"/>
      <c r="R577" s="110"/>
      <c r="T577" s="99"/>
      <c r="V577" s="110"/>
      <c r="W577" s="110"/>
      <c r="X577" s="110"/>
      <c r="Y577" s="110"/>
      <c r="Z577" s="228"/>
      <c r="AA577" s="110"/>
      <c r="AB577" s="110"/>
      <c r="AC577" s="141"/>
      <c r="AD577" s="141"/>
      <c r="AE577" s="110"/>
      <c r="AF577" s="110"/>
      <c r="AH577" s="207"/>
      <c r="AI577" s="110"/>
      <c r="AJ577" s="110"/>
      <c r="AL577" s="110"/>
      <c r="AM577" s="141"/>
      <c r="AN577" s="141"/>
    </row>
    <row r="578" spans="3:40" x14ac:dyDescent="0.3">
      <c r="C578" s="99"/>
      <c r="F578" s="172"/>
      <c r="J578" s="163"/>
      <c r="K578" s="163"/>
      <c r="T578" s="99"/>
      <c r="V578" s="110"/>
      <c r="W578" s="110"/>
      <c r="X578" s="110"/>
      <c r="Y578" s="110"/>
      <c r="Z578" s="228"/>
    </row>
    <row r="579" spans="3:40" x14ac:dyDescent="0.3">
      <c r="C579" s="99"/>
      <c r="H579" s="172"/>
      <c r="I579" s="172"/>
      <c r="J579" s="228"/>
      <c r="K579" s="228"/>
      <c r="L579" s="110"/>
      <c r="M579" s="110"/>
      <c r="N579" s="141"/>
      <c r="O579" s="141"/>
      <c r="P579" s="110"/>
      <c r="Q579" s="110"/>
      <c r="R579" s="110"/>
      <c r="T579" s="99"/>
      <c r="V579" s="110"/>
      <c r="W579" s="110"/>
      <c r="X579" s="110"/>
      <c r="Y579" s="110"/>
      <c r="Z579" s="228"/>
      <c r="AA579" s="110"/>
      <c r="AB579" s="110"/>
      <c r="AC579" s="141"/>
      <c r="AD579" s="141"/>
      <c r="AE579" s="110"/>
      <c r="AF579" s="110"/>
      <c r="AH579" s="207"/>
      <c r="AI579" s="110"/>
      <c r="AJ579" s="110"/>
      <c r="AL579" s="110"/>
      <c r="AM579" s="141"/>
      <c r="AN579" s="141"/>
    </row>
    <row r="580" spans="3:40" x14ac:dyDescent="0.3">
      <c r="F580" s="172"/>
      <c r="H580" s="192"/>
      <c r="I580" s="192"/>
      <c r="J580" s="228"/>
      <c r="K580" s="228"/>
      <c r="L580" s="192"/>
      <c r="M580" s="192"/>
      <c r="N580" s="192"/>
      <c r="O580" s="192"/>
      <c r="P580" s="192"/>
      <c r="Q580" s="192"/>
      <c r="R580" s="192"/>
      <c r="V580" s="192"/>
      <c r="Y580" s="192"/>
      <c r="Z580" s="217"/>
      <c r="AA580" s="192"/>
      <c r="AB580" s="192"/>
      <c r="AC580" s="192"/>
      <c r="AD580" s="192"/>
      <c r="AE580" s="192"/>
      <c r="AF580" s="192"/>
      <c r="AI580" s="192"/>
      <c r="AJ580" s="192"/>
      <c r="AK580" s="194"/>
      <c r="AL580" s="192"/>
    </row>
    <row r="581" spans="3:40" x14ac:dyDescent="0.3">
      <c r="C581" s="99"/>
      <c r="F581" s="192"/>
      <c r="H581" s="110"/>
      <c r="I581" s="110"/>
      <c r="L581" s="110"/>
      <c r="M581" s="110"/>
      <c r="N581" s="141"/>
      <c r="O581" s="141"/>
      <c r="P581" s="172"/>
      <c r="Q581" s="172"/>
      <c r="R581" s="110"/>
      <c r="T581" s="99"/>
      <c r="V581" s="110"/>
      <c r="W581" s="110"/>
      <c r="X581" s="110"/>
      <c r="Y581" s="110"/>
      <c r="Z581" s="227"/>
      <c r="AA581" s="110"/>
      <c r="AB581" s="110"/>
      <c r="AC581" s="141"/>
      <c r="AD581" s="141"/>
      <c r="AE581" s="110"/>
      <c r="AF581" s="110"/>
      <c r="AH581" s="207"/>
      <c r="AI581" s="172"/>
      <c r="AJ581" s="172"/>
      <c r="AL581" s="110"/>
      <c r="AM581" s="141"/>
      <c r="AN581" s="141"/>
    </row>
    <row r="582" spans="3:40" x14ac:dyDescent="0.3">
      <c r="F582" s="110"/>
      <c r="H582" s="192"/>
      <c r="I582" s="192"/>
      <c r="J582" s="217"/>
      <c r="K582" s="217"/>
      <c r="L582" s="192"/>
      <c r="M582" s="192"/>
      <c r="N582" s="192"/>
      <c r="O582" s="192"/>
      <c r="P582" s="192"/>
      <c r="Q582" s="192"/>
      <c r="R582" s="192"/>
      <c r="V582" s="192"/>
      <c r="Y582" s="192"/>
      <c r="Z582" s="217"/>
      <c r="AA582" s="192"/>
      <c r="AB582" s="192"/>
      <c r="AC582" s="192"/>
      <c r="AD582" s="192"/>
      <c r="AE582" s="192"/>
      <c r="AF582" s="192"/>
      <c r="AI582" s="192"/>
      <c r="AJ582" s="192"/>
      <c r="AK582" s="194"/>
      <c r="AL582" s="192"/>
    </row>
    <row r="583" spans="3:40" x14ac:dyDescent="0.3">
      <c r="C583" s="99"/>
      <c r="D583" s="99"/>
      <c r="E583" s="99"/>
      <c r="F583" s="192"/>
      <c r="T583" s="99"/>
      <c r="U583" s="99"/>
      <c r="V583" s="110"/>
      <c r="W583" s="110"/>
      <c r="X583" s="110"/>
      <c r="Y583" s="110"/>
      <c r="Z583" s="227"/>
    </row>
    <row r="584" spans="3:40" x14ac:dyDescent="0.3">
      <c r="C584" s="99"/>
      <c r="T584" s="99"/>
      <c r="V584" s="110"/>
      <c r="W584" s="110"/>
      <c r="X584" s="110"/>
      <c r="Y584" s="110"/>
      <c r="Z584" s="227"/>
    </row>
    <row r="585" spans="3:40" x14ac:dyDescent="0.3">
      <c r="C585" s="99"/>
      <c r="H585" s="172"/>
      <c r="I585" s="172"/>
      <c r="J585" s="227"/>
      <c r="K585" s="227"/>
      <c r="L585" s="110"/>
      <c r="M585" s="110"/>
      <c r="N585" s="141"/>
      <c r="O585" s="141"/>
      <c r="P585" s="110"/>
      <c r="Q585" s="110"/>
      <c r="R585" s="110"/>
      <c r="T585" s="99"/>
      <c r="V585" s="110"/>
      <c r="W585" s="110"/>
      <c r="X585" s="110"/>
      <c r="Y585" s="110"/>
      <c r="Z585" s="227"/>
      <c r="AA585" s="110"/>
      <c r="AB585" s="110"/>
      <c r="AC585" s="141"/>
      <c r="AD585" s="141"/>
      <c r="AE585" s="110"/>
      <c r="AF585" s="110"/>
      <c r="AH585" s="207"/>
      <c r="AI585" s="110"/>
      <c r="AJ585" s="110"/>
      <c r="AL585" s="110"/>
      <c r="AM585" s="141"/>
      <c r="AN585" s="141"/>
    </row>
    <row r="586" spans="3:40" x14ac:dyDescent="0.3">
      <c r="C586" s="99"/>
      <c r="F586" s="172"/>
      <c r="T586" s="99"/>
      <c r="V586" s="110"/>
      <c r="W586" s="110"/>
      <c r="X586" s="110"/>
      <c r="Y586" s="110"/>
      <c r="Z586" s="227"/>
    </row>
    <row r="587" spans="3:40" x14ac:dyDescent="0.3">
      <c r="C587" s="99"/>
      <c r="H587" s="172"/>
      <c r="I587" s="172"/>
      <c r="J587" s="227"/>
      <c r="K587" s="227"/>
      <c r="L587" s="110"/>
      <c r="M587" s="110"/>
      <c r="N587" s="141"/>
      <c r="O587" s="141"/>
      <c r="P587" s="110"/>
      <c r="Q587" s="110"/>
      <c r="R587" s="110"/>
      <c r="T587" s="99"/>
      <c r="V587" s="110"/>
      <c r="W587" s="110"/>
      <c r="X587" s="110"/>
      <c r="Y587" s="110"/>
      <c r="Z587" s="227"/>
      <c r="AA587" s="110"/>
      <c r="AB587" s="110"/>
      <c r="AC587" s="141"/>
      <c r="AD587" s="141"/>
      <c r="AE587" s="110"/>
      <c r="AF587" s="110"/>
      <c r="AH587" s="207"/>
      <c r="AI587" s="110"/>
      <c r="AJ587" s="110"/>
      <c r="AL587" s="110"/>
      <c r="AM587" s="141"/>
      <c r="AN587" s="141"/>
    </row>
    <row r="588" spans="3:40" x14ac:dyDescent="0.3">
      <c r="C588" s="99"/>
      <c r="F588" s="172"/>
      <c r="T588" s="99"/>
      <c r="V588" s="110"/>
      <c r="W588" s="110"/>
      <c r="X588" s="110"/>
      <c r="Y588" s="110"/>
      <c r="Z588" s="227"/>
    </row>
    <row r="589" spans="3:40" x14ac:dyDescent="0.3">
      <c r="C589" s="99"/>
      <c r="H589" s="172"/>
      <c r="I589" s="172"/>
      <c r="J589" s="227"/>
      <c r="K589" s="227"/>
      <c r="L589" s="110"/>
      <c r="M589" s="110"/>
      <c r="N589" s="141"/>
      <c r="O589" s="141"/>
      <c r="P589" s="110"/>
      <c r="Q589" s="110"/>
      <c r="R589" s="110"/>
      <c r="T589" s="99"/>
      <c r="V589" s="110"/>
      <c r="W589" s="110"/>
      <c r="X589" s="110"/>
      <c r="Y589" s="110"/>
      <c r="Z589" s="227"/>
      <c r="AA589" s="110"/>
      <c r="AB589" s="110"/>
      <c r="AC589" s="141"/>
      <c r="AD589" s="141"/>
      <c r="AE589" s="110"/>
      <c r="AF589" s="110"/>
      <c r="AH589" s="207"/>
      <c r="AI589" s="110"/>
      <c r="AJ589" s="110"/>
      <c r="AL589" s="110"/>
      <c r="AM589" s="141"/>
      <c r="AN589" s="141"/>
    </row>
    <row r="590" spans="3:40" x14ac:dyDescent="0.3">
      <c r="C590" s="99"/>
      <c r="F590" s="172"/>
      <c r="T590" s="99"/>
      <c r="V590" s="110"/>
      <c r="W590" s="110"/>
      <c r="X590" s="110"/>
      <c r="Y590" s="110"/>
      <c r="Z590" s="227"/>
    </row>
    <row r="591" spans="3:40" x14ac:dyDescent="0.3">
      <c r="C591" s="99"/>
      <c r="H591" s="172"/>
      <c r="I591" s="172"/>
      <c r="J591" s="227"/>
      <c r="K591" s="227"/>
      <c r="L591" s="110"/>
      <c r="M591" s="110"/>
      <c r="N591" s="141"/>
      <c r="O591" s="141"/>
      <c r="P591" s="110"/>
      <c r="Q591" s="110"/>
      <c r="R591" s="110"/>
      <c r="T591" s="99"/>
      <c r="V591" s="110"/>
      <c r="W591" s="110"/>
      <c r="X591" s="110"/>
      <c r="Y591" s="110"/>
      <c r="Z591" s="227"/>
      <c r="AA591" s="110"/>
      <c r="AB591" s="110"/>
      <c r="AC591" s="141"/>
      <c r="AD591" s="141"/>
      <c r="AE591" s="110"/>
      <c r="AF591" s="110"/>
      <c r="AH591" s="207"/>
      <c r="AI591" s="110"/>
      <c r="AJ591" s="110"/>
      <c r="AL591" s="110"/>
      <c r="AM591" s="141"/>
      <c r="AN591" s="141"/>
    </row>
    <row r="592" spans="3:40" x14ac:dyDescent="0.3">
      <c r="F592" s="172"/>
      <c r="H592" s="192"/>
      <c r="I592" s="192"/>
      <c r="J592" s="217"/>
      <c r="K592" s="217"/>
      <c r="L592" s="192"/>
      <c r="M592" s="192"/>
      <c r="N592" s="192"/>
      <c r="O592" s="192"/>
      <c r="P592" s="192"/>
      <c r="Q592" s="192"/>
      <c r="R592" s="192"/>
      <c r="V592" s="192"/>
      <c r="Y592" s="192"/>
      <c r="Z592" s="217"/>
      <c r="AA592" s="192"/>
      <c r="AB592" s="192"/>
      <c r="AC592" s="192"/>
      <c r="AD592" s="192"/>
      <c r="AE592" s="192"/>
      <c r="AF592" s="192"/>
      <c r="AI592" s="192"/>
      <c r="AJ592" s="192"/>
      <c r="AK592" s="194"/>
      <c r="AL592" s="192"/>
    </row>
    <row r="593" spans="1:40" x14ac:dyDescent="0.3">
      <c r="C593" s="99"/>
      <c r="F593" s="192"/>
      <c r="H593" s="110"/>
      <c r="I593" s="110"/>
      <c r="L593" s="110"/>
      <c r="M593" s="110"/>
      <c r="N593" s="141"/>
      <c r="O593" s="141"/>
      <c r="P593" s="172"/>
      <c r="Q593" s="172"/>
      <c r="R593" s="110"/>
      <c r="T593" s="99"/>
      <c r="V593" s="110"/>
      <c r="W593" s="110"/>
      <c r="X593" s="110"/>
      <c r="Y593" s="110"/>
      <c r="Z593" s="227"/>
      <c r="AA593" s="110"/>
      <c r="AB593" s="110"/>
      <c r="AC593" s="141"/>
      <c r="AD593" s="141"/>
      <c r="AE593" s="110"/>
      <c r="AF593" s="110"/>
      <c r="AH593" s="207"/>
      <c r="AI593" s="172"/>
      <c r="AJ593" s="172"/>
      <c r="AL593" s="110"/>
      <c r="AM593" s="141"/>
      <c r="AN593" s="141"/>
    </row>
    <row r="594" spans="1:40" x14ac:dyDescent="0.3">
      <c r="F594" s="110"/>
      <c r="H594" s="192"/>
      <c r="I594" s="192"/>
      <c r="J594" s="217"/>
      <c r="K594" s="217"/>
      <c r="L594" s="192"/>
      <c r="M594" s="192"/>
      <c r="N594" s="192"/>
      <c r="O594" s="192"/>
      <c r="P594" s="192"/>
      <c r="Q594" s="192"/>
      <c r="R594" s="192"/>
      <c r="V594" s="192"/>
      <c r="Y594" s="192"/>
      <c r="Z594" s="217"/>
      <c r="AA594" s="192"/>
      <c r="AB594" s="192"/>
      <c r="AC594" s="192"/>
      <c r="AD594" s="192"/>
      <c r="AE594" s="192"/>
      <c r="AF594" s="192"/>
      <c r="AI594" s="192"/>
      <c r="AJ594" s="192"/>
      <c r="AK594" s="194"/>
      <c r="AL594" s="192"/>
    </row>
    <row r="595" spans="1:40" x14ac:dyDescent="0.3">
      <c r="C595" s="99"/>
      <c r="F595" s="192"/>
      <c r="H595" s="110"/>
      <c r="I595" s="110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AA595" s="110"/>
      <c r="AB595" s="110"/>
      <c r="AC595" s="141"/>
      <c r="AD595" s="141"/>
      <c r="AE595" s="110"/>
      <c r="AF595" s="110"/>
      <c r="AH595" s="207"/>
      <c r="AI595" s="110"/>
      <c r="AJ595" s="110"/>
      <c r="AL595" s="110"/>
      <c r="AM595" s="207"/>
      <c r="AN595" s="207"/>
    </row>
    <row r="596" spans="1:40" x14ac:dyDescent="0.3">
      <c r="F596" s="110"/>
      <c r="H596" s="192"/>
      <c r="I596" s="192"/>
      <c r="J596" s="217"/>
      <c r="K596" s="217"/>
      <c r="L596" s="192"/>
      <c r="M596" s="192"/>
      <c r="N596" s="192"/>
      <c r="O596" s="192"/>
      <c r="P596" s="192"/>
      <c r="Q596" s="192"/>
      <c r="R596" s="192"/>
      <c r="V596" s="192"/>
      <c r="Y596" s="192"/>
      <c r="Z596" s="217"/>
      <c r="AA596" s="192"/>
      <c r="AB596" s="192"/>
      <c r="AC596" s="192"/>
      <c r="AD596" s="192"/>
      <c r="AE596" s="192"/>
      <c r="AF596" s="192"/>
      <c r="AI596" s="192"/>
      <c r="AJ596" s="192"/>
      <c r="AK596" s="194"/>
      <c r="AL596" s="192"/>
    </row>
    <row r="598" spans="1:40" x14ac:dyDescent="0.3">
      <c r="F598" s="192"/>
    </row>
    <row r="599" spans="1:40" x14ac:dyDescent="0.3">
      <c r="A599" s="99"/>
    </row>
    <row r="601" spans="1:40" x14ac:dyDescent="0.3">
      <c r="H601" s="99"/>
      <c r="I601" s="99"/>
      <c r="Y601" s="99"/>
    </row>
    <row r="603" spans="1:40" x14ac:dyDescent="0.3">
      <c r="L603" s="99"/>
      <c r="M603" s="99"/>
      <c r="AA603" s="99"/>
      <c r="AB603" s="99"/>
    </row>
    <row r="604" spans="1:40" x14ac:dyDescent="0.3">
      <c r="R604" s="99"/>
      <c r="AK604" s="190"/>
      <c r="AL604" s="99"/>
    </row>
    <row r="605" spans="1:40" x14ac:dyDescent="0.3">
      <c r="R605" s="99"/>
      <c r="AK605" s="190"/>
      <c r="AL605" s="99"/>
    </row>
    <row r="606" spans="1:40" x14ac:dyDescent="0.3">
      <c r="A606" s="99"/>
      <c r="R606" s="99"/>
      <c r="AK606" s="190"/>
      <c r="AL606" s="99"/>
    </row>
    <row r="607" spans="1:40" x14ac:dyDescent="0.3">
      <c r="L607" s="99"/>
      <c r="M607" s="99"/>
      <c r="AA607" s="99"/>
      <c r="AB607" s="99"/>
    </row>
    <row r="608" spans="1:40" x14ac:dyDescent="0.3">
      <c r="A608" s="101"/>
      <c r="B608" s="101"/>
      <c r="C608" s="101"/>
      <c r="D608" s="101"/>
      <c r="E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91"/>
      <c r="AH608" s="101"/>
      <c r="AI608" s="101"/>
      <c r="AJ608" s="101"/>
      <c r="AK608" s="191"/>
      <c r="AL608" s="101"/>
      <c r="AM608" s="101"/>
      <c r="AN608" s="101"/>
    </row>
    <row r="609" spans="1:40" x14ac:dyDescent="0.3">
      <c r="F609" s="101"/>
      <c r="L609" s="102"/>
      <c r="M609" s="102"/>
      <c r="N609" s="102"/>
      <c r="O609" s="102"/>
      <c r="R609" s="102"/>
      <c r="AA609" s="102"/>
      <c r="AB609" s="102"/>
      <c r="AC609" s="102"/>
      <c r="AD609" s="102"/>
      <c r="AE609" s="102"/>
      <c r="AF609" s="102"/>
      <c r="AG609" s="151"/>
      <c r="AH609" s="102"/>
      <c r="AK609" s="151"/>
      <c r="AL609" s="102"/>
      <c r="AM609" s="102"/>
      <c r="AN609" s="102"/>
    </row>
    <row r="610" spans="1:40" x14ac:dyDescent="0.3">
      <c r="L610" s="102"/>
      <c r="M610" s="102"/>
      <c r="N610" s="102"/>
      <c r="O610" s="102"/>
      <c r="R610" s="102"/>
      <c r="Z610" s="102"/>
      <c r="AA610" s="102"/>
      <c r="AB610" s="102"/>
      <c r="AC610" s="102"/>
      <c r="AD610" s="102"/>
      <c r="AE610" s="102"/>
      <c r="AF610" s="102"/>
      <c r="AG610" s="151"/>
      <c r="AH610" s="102"/>
      <c r="AK610" s="151"/>
      <c r="AL610" s="102"/>
      <c r="AM610" s="102"/>
      <c r="AN610" s="102"/>
    </row>
    <row r="611" spans="1:40" x14ac:dyDescent="0.3">
      <c r="A611" s="102"/>
      <c r="C611" s="102"/>
      <c r="D611" s="102"/>
      <c r="E611" s="102"/>
      <c r="J611" s="102"/>
      <c r="K611" s="102"/>
      <c r="L611" s="102"/>
      <c r="M611" s="102"/>
      <c r="N611" s="102"/>
      <c r="O611" s="102"/>
      <c r="P611" s="102"/>
      <c r="Q611" s="102"/>
      <c r="R611" s="102"/>
      <c r="T611" s="102"/>
      <c r="U611" s="102"/>
      <c r="V611" s="102"/>
      <c r="Z611" s="102"/>
      <c r="AA611" s="102"/>
      <c r="AB611" s="102"/>
      <c r="AC611" s="102"/>
      <c r="AD611" s="102"/>
      <c r="AE611" s="102"/>
      <c r="AF611" s="102"/>
      <c r="AG611" s="151"/>
      <c r="AH611" s="102"/>
      <c r="AI611" s="102"/>
      <c r="AJ611" s="102"/>
      <c r="AK611" s="151"/>
      <c r="AL611" s="102"/>
      <c r="AM611" s="102"/>
      <c r="AN611" s="102"/>
    </row>
    <row r="612" spans="1:40" x14ac:dyDescent="0.3">
      <c r="A612" s="102"/>
      <c r="C612" s="102"/>
      <c r="D612" s="102"/>
      <c r="E612" s="102"/>
      <c r="F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T612" s="102"/>
      <c r="U612" s="102"/>
      <c r="V612" s="102"/>
      <c r="Y612" s="102"/>
      <c r="Z612" s="102"/>
      <c r="AA612" s="102"/>
      <c r="AB612" s="102"/>
      <c r="AC612" s="102"/>
      <c r="AD612" s="102"/>
      <c r="AE612" s="102"/>
      <c r="AF612" s="102"/>
      <c r="AG612" s="151"/>
      <c r="AH612" s="102"/>
      <c r="AI612" s="102"/>
      <c r="AJ612" s="102"/>
      <c r="AK612" s="151"/>
      <c r="AL612" s="102"/>
      <c r="AM612" s="102"/>
      <c r="AN612" s="102"/>
    </row>
    <row r="613" spans="1:40" x14ac:dyDescent="0.3">
      <c r="C613" s="102"/>
      <c r="D613" s="102"/>
      <c r="E613" s="102"/>
      <c r="F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T613" s="102"/>
      <c r="U613" s="102"/>
      <c r="V613" s="102"/>
      <c r="Y613" s="102"/>
      <c r="Z613" s="102"/>
      <c r="AA613" s="102"/>
      <c r="AB613" s="102"/>
      <c r="AC613" s="102"/>
      <c r="AD613" s="102"/>
      <c r="AE613" s="102"/>
      <c r="AF613" s="102"/>
      <c r="AG613" s="151"/>
      <c r="AH613" s="102"/>
      <c r="AI613" s="102"/>
      <c r="AJ613" s="102"/>
      <c r="AK613" s="151"/>
      <c r="AL613" s="102"/>
      <c r="AM613" s="102"/>
      <c r="AN613" s="102"/>
    </row>
    <row r="614" spans="1:40" x14ac:dyDescent="0.3">
      <c r="A614" s="101"/>
      <c r="B614" s="101"/>
      <c r="C614" s="101"/>
      <c r="D614" s="101"/>
      <c r="E614" s="101"/>
      <c r="F614" s="102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91"/>
      <c r="AH614" s="101"/>
      <c r="AI614" s="101"/>
      <c r="AJ614" s="101"/>
      <c r="AK614" s="191"/>
      <c r="AL614" s="101"/>
      <c r="AM614" s="101"/>
      <c r="AN614" s="101"/>
    </row>
    <row r="615" spans="1:40" x14ac:dyDescent="0.3">
      <c r="F615" s="101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Y615" s="102"/>
      <c r="Z615" s="102"/>
      <c r="AA615" s="102"/>
      <c r="AB615" s="102"/>
      <c r="AC615" s="102"/>
      <c r="AD615" s="102"/>
      <c r="AE615" s="102"/>
      <c r="AF615" s="102"/>
      <c r="AG615" s="151"/>
      <c r="AH615" s="102"/>
      <c r="AI615" s="102"/>
      <c r="AJ615" s="102"/>
      <c r="AK615" s="151"/>
      <c r="AL615" s="102"/>
      <c r="AM615" s="102"/>
      <c r="AN615" s="102"/>
    </row>
    <row r="616" spans="1:40" x14ac:dyDescent="0.3">
      <c r="C616" s="99"/>
      <c r="D616" s="99"/>
      <c r="E616" s="99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U616" s="99"/>
      <c r="V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1:40" x14ac:dyDescent="0.3">
      <c r="F617" s="110"/>
      <c r="H617" s="192"/>
      <c r="I617" s="192"/>
      <c r="J617" s="217"/>
      <c r="K617" s="217"/>
      <c r="L617" s="192"/>
      <c r="M617" s="192"/>
      <c r="N617" s="192"/>
      <c r="O617" s="192"/>
      <c r="P617" s="192"/>
      <c r="Q617" s="192"/>
      <c r="R617" s="192"/>
      <c r="V617" s="192"/>
      <c r="Y617" s="192"/>
      <c r="Z617" s="217"/>
      <c r="AA617" s="192"/>
      <c r="AB617" s="192"/>
      <c r="AC617" s="192"/>
      <c r="AD617" s="192"/>
      <c r="AE617" s="192"/>
      <c r="AF617" s="192"/>
      <c r="AI617" s="192"/>
      <c r="AJ617" s="192"/>
      <c r="AK617" s="194"/>
      <c r="AL617" s="192"/>
      <c r="AM617" s="141"/>
      <c r="AN617" s="141"/>
    </row>
    <row r="618" spans="1:40" x14ac:dyDescent="0.3">
      <c r="C618" s="99"/>
      <c r="F618" s="192"/>
      <c r="H618" s="110"/>
      <c r="I618" s="110"/>
      <c r="J618" s="198"/>
      <c r="K618" s="198"/>
      <c r="L618" s="110"/>
      <c r="M618" s="110"/>
      <c r="N618" s="198"/>
      <c r="O618" s="198"/>
      <c r="P618" s="110"/>
      <c r="Q618" s="110"/>
      <c r="R618" s="110"/>
      <c r="T618" s="99"/>
      <c r="V618" s="110"/>
      <c r="Y618" s="110"/>
      <c r="Z618" s="198"/>
      <c r="AA618" s="110"/>
      <c r="AB618" s="110"/>
      <c r="AC618" s="198"/>
      <c r="AD618" s="198"/>
      <c r="AE618" s="110"/>
      <c r="AF618" s="110"/>
      <c r="AH618" s="207"/>
      <c r="AI618" s="110"/>
      <c r="AJ618" s="110"/>
      <c r="AL618" s="110"/>
      <c r="AM618" s="141"/>
      <c r="AN618" s="141"/>
    </row>
    <row r="619" spans="1:40" x14ac:dyDescent="0.3">
      <c r="F619" s="110"/>
      <c r="H619" s="110"/>
      <c r="I619" s="110"/>
      <c r="J619" s="198"/>
      <c r="K619" s="198"/>
      <c r="L619" s="110"/>
      <c r="M619" s="110"/>
      <c r="N619" s="198"/>
      <c r="O619" s="198"/>
      <c r="P619" s="110"/>
      <c r="Q619" s="110"/>
      <c r="R619" s="110"/>
      <c r="V619" s="110"/>
      <c r="Y619" s="110"/>
      <c r="Z619" s="198"/>
      <c r="AA619" s="110"/>
      <c r="AB619" s="110"/>
      <c r="AC619" s="198"/>
      <c r="AD619" s="198"/>
      <c r="AH619" s="207"/>
      <c r="AI619" s="110"/>
      <c r="AJ619" s="110"/>
      <c r="AL619" s="110"/>
      <c r="AM619" s="141"/>
      <c r="AN619" s="141"/>
    </row>
    <row r="620" spans="1:40" x14ac:dyDescent="0.3">
      <c r="C620" s="99"/>
      <c r="D620" s="99"/>
      <c r="E620" s="99"/>
      <c r="F620" s="110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U620" s="99"/>
      <c r="V620" s="110"/>
      <c r="Y620" s="110"/>
      <c r="Z620" s="198"/>
      <c r="AA620" s="110"/>
      <c r="AB620" s="110"/>
      <c r="AC620" s="198"/>
      <c r="AD620" s="198"/>
      <c r="AE620" s="110"/>
      <c r="AF620" s="110"/>
      <c r="AH620" s="207"/>
      <c r="AI620" s="110"/>
      <c r="AJ620" s="110"/>
      <c r="AL620" s="110"/>
      <c r="AM620" s="141"/>
      <c r="AN620" s="141"/>
    </row>
    <row r="621" spans="1:40" x14ac:dyDescent="0.3">
      <c r="C621" s="99"/>
      <c r="D621" s="99"/>
      <c r="E621" s="99"/>
      <c r="F621" s="110"/>
      <c r="H621" s="110"/>
      <c r="I621" s="110"/>
      <c r="J621" s="198"/>
      <c r="K621" s="198"/>
      <c r="L621" s="110"/>
      <c r="M621" s="110"/>
      <c r="N621" s="198"/>
      <c r="O621" s="198"/>
      <c r="P621" s="110"/>
      <c r="Q621" s="110"/>
      <c r="R621" s="110"/>
      <c r="T621" s="99"/>
      <c r="U621" s="99"/>
      <c r="V621" s="110"/>
      <c r="Y621" s="110"/>
      <c r="Z621" s="198"/>
      <c r="AA621" s="110"/>
      <c r="AB621" s="110"/>
      <c r="AC621" s="198"/>
      <c r="AD621" s="198"/>
      <c r="AE621" s="110"/>
      <c r="AF621" s="110"/>
      <c r="AH621" s="207"/>
      <c r="AI621" s="110"/>
      <c r="AJ621" s="110"/>
      <c r="AL621" s="110"/>
      <c r="AM621" s="141"/>
      <c r="AN621" s="141"/>
    </row>
    <row r="622" spans="1:40" x14ac:dyDescent="0.3">
      <c r="C622" s="99"/>
      <c r="D622" s="99"/>
      <c r="E622" s="99"/>
      <c r="F622" s="110"/>
      <c r="H622" s="110"/>
      <c r="I622" s="110"/>
      <c r="J622" s="198"/>
      <c r="K622" s="198"/>
      <c r="L622" s="110"/>
      <c r="M622" s="110"/>
      <c r="N622" s="198"/>
      <c r="O622" s="198"/>
      <c r="P622" s="110"/>
      <c r="Q622" s="110"/>
      <c r="R622" s="110"/>
      <c r="T622" s="99"/>
      <c r="U622" s="99"/>
      <c r="V622" s="110"/>
      <c r="Y622" s="110"/>
      <c r="Z622" s="198"/>
      <c r="AA622" s="110"/>
      <c r="AB622" s="110"/>
      <c r="AC622" s="198"/>
      <c r="AD622" s="198"/>
      <c r="AE622" s="110"/>
      <c r="AF622" s="110"/>
      <c r="AH622" s="207"/>
      <c r="AI622" s="110"/>
      <c r="AJ622" s="110"/>
      <c r="AL622" s="110"/>
      <c r="AM622" s="141"/>
      <c r="AN622" s="141"/>
    </row>
    <row r="623" spans="1:40" x14ac:dyDescent="0.3">
      <c r="C623" s="99"/>
      <c r="D623" s="99"/>
      <c r="E623" s="99"/>
      <c r="F623" s="110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T623" s="99"/>
      <c r="U623" s="99"/>
      <c r="V623" s="110"/>
      <c r="Y623" s="110"/>
      <c r="Z623" s="198"/>
      <c r="AA623" s="110"/>
      <c r="AB623" s="110"/>
      <c r="AC623" s="198"/>
      <c r="AD623" s="198"/>
      <c r="AE623" s="110"/>
      <c r="AF623" s="110"/>
      <c r="AH623" s="207"/>
      <c r="AI623" s="110"/>
      <c r="AJ623" s="110"/>
      <c r="AL623" s="110"/>
      <c r="AM623" s="141"/>
      <c r="AN623" s="141"/>
    </row>
    <row r="624" spans="1:40" x14ac:dyDescent="0.3">
      <c r="C624" s="99"/>
      <c r="D624" s="99"/>
      <c r="E624" s="99"/>
      <c r="F624" s="110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T624" s="99"/>
      <c r="U624" s="99"/>
      <c r="V624" s="110"/>
      <c r="Y624" s="110"/>
      <c r="Z624" s="198"/>
      <c r="AA624" s="110"/>
      <c r="AB624" s="110"/>
      <c r="AC624" s="198"/>
      <c r="AD624" s="198"/>
      <c r="AE624" s="110"/>
      <c r="AF624" s="110"/>
      <c r="AH624" s="207"/>
      <c r="AI624" s="110"/>
      <c r="AJ624" s="110"/>
      <c r="AL624" s="110"/>
      <c r="AM624" s="141"/>
      <c r="AN624" s="141"/>
    </row>
    <row r="625" spans="3:40" x14ac:dyDescent="0.3">
      <c r="C625" s="99"/>
      <c r="D625" s="99"/>
      <c r="E625" s="99"/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T625" s="99"/>
      <c r="U625" s="99"/>
      <c r="V625" s="110"/>
      <c r="Y625" s="110"/>
      <c r="Z625" s="198"/>
      <c r="AA625" s="110"/>
      <c r="AB625" s="110"/>
      <c r="AC625" s="198"/>
      <c r="AD625" s="198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F626" s="110"/>
      <c r="H626" s="192"/>
      <c r="I626" s="192"/>
      <c r="J626" s="217"/>
      <c r="K626" s="217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  <c r="AM626" s="141"/>
      <c r="AN626" s="141"/>
    </row>
    <row r="627" spans="3:40" x14ac:dyDescent="0.3">
      <c r="C627" s="99"/>
      <c r="F627" s="192"/>
      <c r="H627" s="110"/>
      <c r="I627" s="110"/>
      <c r="J627" s="198"/>
      <c r="K627" s="198"/>
      <c r="L627" s="110"/>
      <c r="M627" s="110"/>
      <c r="N627" s="198"/>
      <c r="O627" s="198"/>
      <c r="P627" s="110"/>
      <c r="Q627" s="110"/>
      <c r="R627" s="110"/>
      <c r="T627" s="99"/>
      <c r="V627" s="110"/>
      <c r="Y627" s="110"/>
      <c r="Z627" s="198"/>
      <c r="AA627" s="110"/>
      <c r="AB627" s="110"/>
      <c r="AC627" s="198"/>
      <c r="AD627" s="198"/>
      <c r="AE627" s="110"/>
      <c r="AF627" s="110"/>
      <c r="AH627" s="207"/>
      <c r="AI627" s="110"/>
      <c r="AJ627" s="110"/>
      <c r="AL627" s="110"/>
      <c r="AM627" s="141"/>
      <c r="AN627" s="141"/>
    </row>
    <row r="628" spans="3:40" x14ac:dyDescent="0.3"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V628" s="110"/>
      <c r="Y628" s="110"/>
      <c r="Z628" s="198"/>
      <c r="AA628" s="110"/>
      <c r="AB628" s="110"/>
      <c r="AC628" s="198"/>
      <c r="AD628" s="198"/>
      <c r="AH628" s="207"/>
      <c r="AI628" s="110"/>
      <c r="AJ628" s="110"/>
      <c r="AL628" s="110"/>
      <c r="AM628" s="141"/>
      <c r="AN628" s="141"/>
    </row>
    <row r="629" spans="3:40" x14ac:dyDescent="0.3">
      <c r="C629" s="99"/>
      <c r="D629" s="99"/>
      <c r="E629" s="99"/>
      <c r="F629" s="110"/>
      <c r="H629" s="110"/>
      <c r="I629" s="110"/>
      <c r="J629" s="198"/>
      <c r="K629" s="198"/>
      <c r="L629" s="110"/>
      <c r="M629" s="110"/>
      <c r="N629" s="198"/>
      <c r="O629" s="198"/>
      <c r="P629" s="110"/>
      <c r="Q629" s="110"/>
      <c r="R629" s="110"/>
      <c r="T629" s="99"/>
      <c r="U629" s="99"/>
      <c r="V629" s="110"/>
      <c r="Y629" s="110"/>
      <c r="Z629" s="198"/>
      <c r="AA629" s="110"/>
      <c r="AB629" s="110"/>
      <c r="AC629" s="198"/>
      <c r="AD629" s="198"/>
      <c r="AE629" s="110"/>
      <c r="AF629" s="110"/>
      <c r="AH629" s="207"/>
      <c r="AI629" s="110"/>
      <c r="AJ629" s="110"/>
      <c r="AL629" s="110"/>
      <c r="AM629" s="141"/>
      <c r="AN629" s="141"/>
    </row>
    <row r="630" spans="3:40" x14ac:dyDescent="0.3">
      <c r="F630" s="110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Y630" s="192"/>
      <c r="Z630" s="217"/>
      <c r="AA630" s="192"/>
      <c r="AB630" s="192"/>
      <c r="AC630" s="192"/>
      <c r="AD630" s="192"/>
      <c r="AE630" s="192"/>
      <c r="AF630" s="192"/>
      <c r="AI630" s="192"/>
      <c r="AJ630" s="192"/>
      <c r="AK630" s="194"/>
      <c r="AL630" s="192"/>
      <c r="AM630" s="141"/>
      <c r="AN630" s="141"/>
    </row>
    <row r="631" spans="3:40" x14ac:dyDescent="0.3">
      <c r="C631" s="99"/>
      <c r="F631" s="192"/>
      <c r="H631" s="110"/>
      <c r="I631" s="110"/>
      <c r="J631" s="198"/>
      <c r="K631" s="198"/>
      <c r="L631" s="110"/>
      <c r="M631" s="110"/>
      <c r="N631" s="198"/>
      <c r="O631" s="198"/>
      <c r="P631" s="110"/>
      <c r="Q631" s="110"/>
      <c r="R631" s="110"/>
      <c r="T631" s="99"/>
      <c r="V631" s="110"/>
      <c r="Y631" s="110"/>
      <c r="Z631" s="198"/>
      <c r="AA631" s="110"/>
      <c r="AB631" s="110"/>
      <c r="AC631" s="198"/>
      <c r="AD631" s="198"/>
      <c r="AE631" s="110"/>
      <c r="AF631" s="110"/>
      <c r="AH631" s="207"/>
      <c r="AI631" s="110"/>
      <c r="AJ631" s="110"/>
      <c r="AL631" s="110"/>
      <c r="AM631" s="141"/>
      <c r="AN631" s="141"/>
    </row>
    <row r="632" spans="3:40" x14ac:dyDescent="0.3">
      <c r="F632" s="110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V632" s="110"/>
      <c r="Y632" s="110"/>
      <c r="Z632" s="198"/>
      <c r="AA632" s="110"/>
      <c r="AB632" s="110"/>
      <c r="AC632" s="198"/>
      <c r="AD632" s="198"/>
      <c r="AH632" s="207"/>
      <c r="AI632" s="110"/>
      <c r="AJ632" s="110"/>
      <c r="AL632" s="110"/>
      <c r="AM632" s="141"/>
      <c r="AN632" s="141"/>
    </row>
    <row r="633" spans="3:40" x14ac:dyDescent="0.3">
      <c r="C633" s="99"/>
      <c r="D633" s="99"/>
      <c r="E633" s="99"/>
      <c r="F633" s="110"/>
      <c r="H633" s="110"/>
      <c r="I633" s="110"/>
      <c r="J633" s="198"/>
      <c r="K633" s="198"/>
      <c r="L633" s="110"/>
      <c r="M633" s="110"/>
      <c r="N633" s="198"/>
      <c r="O633" s="198"/>
      <c r="P633" s="110"/>
      <c r="Q633" s="110"/>
      <c r="R633" s="110"/>
      <c r="T633" s="99"/>
      <c r="U633" s="99"/>
      <c r="V633" s="110"/>
      <c r="Y633" s="110"/>
      <c r="Z633" s="198"/>
      <c r="AA633" s="110"/>
      <c r="AB633" s="110"/>
      <c r="AC633" s="198"/>
      <c r="AD633" s="198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C634" s="99"/>
      <c r="D634" s="99"/>
      <c r="E634" s="99"/>
      <c r="F634" s="110"/>
      <c r="G634" s="110"/>
      <c r="H634" s="110"/>
      <c r="I634" s="110"/>
      <c r="J634" s="198"/>
      <c r="K634" s="198"/>
      <c r="L634" s="110"/>
      <c r="M634" s="110"/>
      <c r="N634" s="198"/>
      <c r="O634" s="198"/>
      <c r="P634" s="110"/>
      <c r="Q634" s="110"/>
      <c r="R634" s="110"/>
      <c r="T634" s="99"/>
      <c r="U634" s="99"/>
      <c r="V634" s="110"/>
      <c r="W634" s="110"/>
      <c r="X634" s="110"/>
      <c r="Y634" s="110"/>
      <c r="Z634" s="198"/>
      <c r="AA634" s="110"/>
      <c r="AB634" s="110"/>
      <c r="AC634" s="198"/>
      <c r="AD634" s="198"/>
      <c r="AE634" s="110"/>
      <c r="AF634" s="110"/>
      <c r="AH634" s="207"/>
      <c r="AI634" s="110"/>
      <c r="AJ634" s="110"/>
      <c r="AL634" s="110"/>
      <c r="AM634" s="141"/>
      <c r="AN634" s="141"/>
    </row>
    <row r="635" spans="3:40" x14ac:dyDescent="0.3">
      <c r="C635" s="99"/>
      <c r="D635" s="99"/>
      <c r="E635" s="99"/>
      <c r="F635" s="110"/>
      <c r="G635" s="110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T635" s="99"/>
      <c r="U635" s="99"/>
      <c r="V635" s="110"/>
      <c r="W635" s="110"/>
      <c r="X635" s="110"/>
      <c r="Y635" s="110"/>
      <c r="Z635" s="198"/>
      <c r="AA635" s="110"/>
      <c r="AB635" s="110"/>
      <c r="AC635" s="198"/>
      <c r="AD635" s="198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C636" s="99"/>
      <c r="D636" s="99"/>
      <c r="E636" s="99"/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T636" s="99"/>
      <c r="U636" s="99"/>
      <c r="V636" s="110"/>
      <c r="Y636" s="110"/>
      <c r="Z636" s="198"/>
      <c r="AA636" s="110"/>
      <c r="AB636" s="110"/>
      <c r="AC636" s="198"/>
      <c r="AD636" s="198"/>
      <c r="AE636" s="110"/>
      <c r="AF636" s="110"/>
      <c r="AH636" s="207"/>
      <c r="AI636" s="110"/>
      <c r="AJ636" s="110"/>
      <c r="AL636" s="110"/>
      <c r="AM636" s="141"/>
      <c r="AN636" s="141"/>
    </row>
    <row r="637" spans="3:40" x14ac:dyDescent="0.3">
      <c r="C637" s="99"/>
      <c r="D637" s="99"/>
      <c r="E637" s="99"/>
      <c r="F637" s="110"/>
      <c r="H637" s="110"/>
      <c r="I637" s="110"/>
      <c r="J637" s="198"/>
      <c r="K637" s="198"/>
      <c r="L637" s="110"/>
      <c r="M637" s="110"/>
      <c r="N637" s="198"/>
      <c r="O637" s="198"/>
      <c r="P637" s="110"/>
      <c r="Q637" s="110"/>
      <c r="R637" s="110"/>
      <c r="T637" s="99"/>
      <c r="U637" s="99"/>
      <c r="V637" s="110"/>
      <c r="Y637" s="110"/>
      <c r="Z637" s="198"/>
      <c r="AA637" s="110"/>
      <c r="AB637" s="110"/>
      <c r="AC637" s="198"/>
      <c r="AD637" s="198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C638" s="99"/>
      <c r="D638" s="99"/>
      <c r="E638" s="99"/>
      <c r="F638" s="110"/>
      <c r="H638" s="110"/>
      <c r="I638" s="110"/>
      <c r="J638" s="198"/>
      <c r="K638" s="198"/>
      <c r="L638" s="110"/>
      <c r="M638" s="110"/>
      <c r="N638" s="198"/>
      <c r="O638" s="198"/>
      <c r="P638" s="110"/>
      <c r="Q638" s="110"/>
      <c r="R638" s="110"/>
      <c r="T638" s="99"/>
      <c r="U638" s="99"/>
      <c r="V638" s="110"/>
      <c r="Y638" s="110"/>
      <c r="Z638" s="198"/>
      <c r="AA638" s="110"/>
      <c r="AB638" s="110"/>
      <c r="AC638" s="198"/>
      <c r="AD638" s="198"/>
      <c r="AE638" s="110"/>
      <c r="AF638" s="110"/>
      <c r="AH638" s="207"/>
      <c r="AI638" s="110"/>
      <c r="AJ638" s="110"/>
      <c r="AL638" s="110"/>
      <c r="AM638" s="141"/>
      <c r="AN638" s="141"/>
    </row>
    <row r="639" spans="3:40" x14ac:dyDescent="0.3">
      <c r="C639" s="99"/>
      <c r="D639" s="99"/>
      <c r="E639" s="99"/>
      <c r="F639" s="110"/>
      <c r="H639" s="110"/>
      <c r="I639" s="110"/>
      <c r="J639" s="198"/>
      <c r="K639" s="198"/>
      <c r="L639" s="110"/>
      <c r="M639" s="110"/>
      <c r="N639" s="198"/>
      <c r="O639" s="198"/>
      <c r="P639" s="110"/>
      <c r="Q639" s="110"/>
      <c r="R639" s="110"/>
      <c r="T639" s="99"/>
      <c r="U639" s="99"/>
      <c r="V639" s="110"/>
      <c r="Y639" s="110"/>
      <c r="Z639" s="198"/>
      <c r="AA639" s="110"/>
      <c r="AB639" s="110"/>
      <c r="AC639" s="198"/>
      <c r="AD639" s="198"/>
      <c r="AE639" s="110"/>
      <c r="AF639" s="110"/>
      <c r="AH639" s="207"/>
      <c r="AI639" s="110"/>
      <c r="AJ639" s="110"/>
      <c r="AL639" s="110"/>
      <c r="AM639" s="141"/>
      <c r="AN639" s="141"/>
    </row>
    <row r="640" spans="3:40" x14ac:dyDescent="0.3">
      <c r="F640" s="110"/>
      <c r="H640" s="192"/>
      <c r="I640" s="192"/>
      <c r="J640" s="217"/>
      <c r="K640" s="217"/>
      <c r="L640" s="192"/>
      <c r="M640" s="192"/>
      <c r="N640" s="192"/>
      <c r="O640" s="192"/>
      <c r="P640" s="192"/>
      <c r="Q640" s="192"/>
      <c r="R640" s="192"/>
      <c r="V640" s="192"/>
      <c r="Y640" s="192"/>
      <c r="Z640" s="217"/>
      <c r="AA640" s="192"/>
      <c r="AB640" s="192"/>
      <c r="AC640" s="192"/>
      <c r="AD640" s="192"/>
      <c r="AE640" s="192"/>
      <c r="AF640" s="192"/>
      <c r="AI640" s="192"/>
      <c r="AJ640" s="192"/>
      <c r="AK640" s="194"/>
      <c r="AL640" s="192"/>
      <c r="AM640" s="141"/>
      <c r="AN640" s="141"/>
    </row>
    <row r="641" spans="3:40" x14ac:dyDescent="0.3">
      <c r="C641" s="99"/>
      <c r="F641" s="192"/>
      <c r="H641" s="110"/>
      <c r="I641" s="110"/>
      <c r="J641" s="198"/>
      <c r="K641" s="198"/>
      <c r="L641" s="110"/>
      <c r="M641" s="110"/>
      <c r="N641" s="198"/>
      <c r="O641" s="198"/>
      <c r="P641" s="110"/>
      <c r="Q641" s="110"/>
      <c r="R641" s="110"/>
      <c r="T641" s="99"/>
      <c r="V641" s="110"/>
      <c r="Y641" s="110"/>
      <c r="Z641" s="198"/>
      <c r="AA641" s="110"/>
      <c r="AB641" s="110"/>
      <c r="AC641" s="198"/>
      <c r="AD641" s="198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F642" s="110"/>
      <c r="V642" s="110"/>
      <c r="Y642" s="110"/>
      <c r="Z642" s="217"/>
      <c r="AA642" s="110"/>
      <c r="AB642" s="110"/>
      <c r="AC642" s="110"/>
      <c r="AD642" s="110"/>
      <c r="AE642" s="110"/>
      <c r="AF642" s="110"/>
      <c r="AI642" s="110"/>
      <c r="AJ642" s="110"/>
      <c r="AL642" s="110"/>
      <c r="AM642" s="141"/>
      <c r="AN642" s="141"/>
    </row>
    <row r="643" spans="3:40" x14ac:dyDescent="0.3">
      <c r="C643" s="99"/>
      <c r="D643" s="99"/>
      <c r="E643" s="99"/>
      <c r="L643" s="110"/>
      <c r="M643" s="110"/>
      <c r="N643" s="198"/>
      <c r="O643" s="198"/>
      <c r="R643" s="110"/>
      <c r="T643" s="99"/>
      <c r="U643" s="99"/>
      <c r="AA643" s="110"/>
      <c r="AB643" s="110"/>
      <c r="AC643" s="198"/>
      <c r="AD643" s="198"/>
      <c r="AE643" s="110"/>
      <c r="AF643" s="110"/>
      <c r="AH643" s="207"/>
      <c r="AL643" s="110"/>
      <c r="AM643" s="141"/>
      <c r="AN643" s="141"/>
    </row>
    <row r="644" spans="3:40" x14ac:dyDescent="0.3">
      <c r="D644" s="99"/>
      <c r="E644" s="99"/>
      <c r="H644" s="172"/>
      <c r="I644" s="172"/>
      <c r="J644" s="198"/>
      <c r="K644" s="198"/>
      <c r="L644" s="110"/>
      <c r="M644" s="110"/>
      <c r="N644" s="198"/>
      <c r="O644" s="198"/>
      <c r="P644" s="172"/>
      <c r="Q644" s="172"/>
      <c r="R644" s="110"/>
      <c r="U644" s="99"/>
      <c r="V644" s="110"/>
      <c r="Y644" s="110"/>
      <c r="Z644" s="198"/>
      <c r="AA644" s="110"/>
      <c r="AB644" s="110"/>
      <c r="AC644" s="198"/>
      <c r="AD644" s="198"/>
      <c r="AE644" s="110"/>
      <c r="AF644" s="110"/>
      <c r="AH644" s="207"/>
      <c r="AI644" s="110"/>
      <c r="AJ644" s="110"/>
      <c r="AL644" s="110"/>
      <c r="AM644" s="141"/>
      <c r="AN644" s="141"/>
    </row>
    <row r="645" spans="3:40" x14ac:dyDescent="0.3">
      <c r="F645" s="172"/>
      <c r="H645" s="192"/>
      <c r="I645" s="192"/>
      <c r="J645" s="217"/>
      <c r="K645" s="217"/>
      <c r="L645" s="192"/>
      <c r="M645" s="192"/>
      <c r="N645" s="192"/>
      <c r="O645" s="192"/>
      <c r="P645" s="192"/>
      <c r="Q645" s="192"/>
      <c r="R645" s="192"/>
      <c r="V645" s="192"/>
      <c r="Y645" s="192"/>
      <c r="Z645" s="217"/>
      <c r="AA645" s="192"/>
      <c r="AB645" s="192"/>
      <c r="AC645" s="192"/>
      <c r="AD645" s="192"/>
      <c r="AE645" s="192"/>
      <c r="AF645" s="192"/>
      <c r="AI645" s="192"/>
      <c r="AJ645" s="192"/>
      <c r="AK645" s="194"/>
      <c r="AL645" s="192"/>
      <c r="AM645" s="141"/>
      <c r="AN645" s="141"/>
    </row>
    <row r="646" spans="3:40" x14ac:dyDescent="0.3">
      <c r="C646" s="99"/>
      <c r="F646" s="192"/>
      <c r="H646" s="110"/>
      <c r="I646" s="110"/>
      <c r="J646" s="198"/>
      <c r="K646" s="198"/>
      <c r="L646" s="110"/>
      <c r="M646" s="110"/>
      <c r="N646" s="198"/>
      <c r="O646" s="198"/>
      <c r="P646" s="110"/>
      <c r="Q646" s="110"/>
      <c r="R646" s="110"/>
      <c r="T646" s="99"/>
      <c r="V646" s="110"/>
      <c r="Y646" s="110"/>
      <c r="Z646" s="198"/>
      <c r="AA646" s="110"/>
      <c r="AB646" s="110"/>
      <c r="AC646" s="198"/>
      <c r="AD646" s="198"/>
      <c r="AE646" s="110"/>
      <c r="AF646" s="110"/>
      <c r="AH646" s="207"/>
      <c r="AI646" s="110"/>
      <c r="AJ646" s="110"/>
      <c r="AL646" s="110"/>
      <c r="AM646" s="141"/>
      <c r="AN646" s="141"/>
    </row>
    <row r="647" spans="3:40" x14ac:dyDescent="0.3">
      <c r="F647" s="110"/>
      <c r="H647" s="110"/>
      <c r="I647" s="110"/>
      <c r="J647" s="198"/>
      <c r="K647" s="198"/>
      <c r="L647" s="110"/>
      <c r="M647" s="110"/>
      <c r="N647" s="198"/>
      <c r="O647" s="198"/>
      <c r="P647" s="110"/>
      <c r="Q647" s="110"/>
      <c r="R647" s="110"/>
      <c r="V647" s="110"/>
      <c r="Y647" s="110"/>
      <c r="Z647" s="198"/>
      <c r="AA647" s="110"/>
      <c r="AB647" s="110"/>
      <c r="AC647" s="198"/>
      <c r="AD647" s="198"/>
      <c r="AH647" s="207"/>
      <c r="AI647" s="110"/>
      <c r="AJ647" s="110"/>
      <c r="AL647" s="110"/>
      <c r="AM647" s="141"/>
      <c r="AN647" s="141"/>
    </row>
    <row r="648" spans="3:40" x14ac:dyDescent="0.3">
      <c r="D648" s="99"/>
      <c r="E648" s="99"/>
      <c r="F648" s="110"/>
      <c r="H648" s="110"/>
      <c r="I648" s="110"/>
      <c r="J648" s="198"/>
      <c r="K648" s="198"/>
      <c r="L648" s="172"/>
      <c r="M648" s="172"/>
      <c r="N648" s="198"/>
      <c r="O648" s="198"/>
      <c r="P648" s="110"/>
      <c r="Q648" s="110"/>
      <c r="R648" s="110"/>
      <c r="U648" s="99"/>
      <c r="V648" s="110"/>
      <c r="Y648" s="110"/>
      <c r="Z648" s="198"/>
      <c r="AA648" s="172"/>
      <c r="AB648" s="172"/>
      <c r="AC648" s="198"/>
      <c r="AD648" s="198"/>
      <c r="AE648" s="110"/>
      <c r="AF648" s="110"/>
      <c r="AH648" s="207"/>
      <c r="AI648" s="110"/>
      <c r="AJ648" s="110"/>
      <c r="AL648" s="110"/>
      <c r="AM648" s="141"/>
      <c r="AN648" s="141"/>
    </row>
    <row r="649" spans="3:40" x14ac:dyDescent="0.3">
      <c r="D649" s="99"/>
      <c r="E649" s="99"/>
      <c r="F649" s="110"/>
      <c r="H649" s="110"/>
      <c r="I649" s="110"/>
      <c r="J649" s="198"/>
      <c r="K649" s="198"/>
      <c r="L649" s="172"/>
      <c r="M649" s="172"/>
      <c r="N649" s="198"/>
      <c r="O649" s="198"/>
      <c r="P649" s="110"/>
      <c r="Q649" s="110"/>
      <c r="R649" s="110"/>
      <c r="U649" s="99"/>
      <c r="V649" s="110"/>
      <c r="Y649" s="110"/>
      <c r="Z649" s="198"/>
      <c r="AA649" s="172"/>
      <c r="AB649" s="172"/>
      <c r="AC649" s="198"/>
      <c r="AD649" s="198"/>
      <c r="AE649" s="110"/>
      <c r="AF649" s="110"/>
      <c r="AH649" s="207"/>
      <c r="AI649" s="110"/>
      <c r="AJ649" s="110"/>
      <c r="AL649" s="110"/>
      <c r="AM649" s="141"/>
      <c r="AN649" s="141"/>
    </row>
    <row r="650" spans="3:40" x14ac:dyDescent="0.3">
      <c r="D650" s="99"/>
      <c r="E650" s="99"/>
      <c r="F650" s="110"/>
      <c r="H650" s="110"/>
      <c r="I650" s="110"/>
      <c r="J650" s="198"/>
      <c r="K650" s="198"/>
      <c r="L650" s="172"/>
      <c r="M650" s="172"/>
      <c r="N650" s="198"/>
      <c r="O650" s="198"/>
      <c r="P650" s="110"/>
      <c r="Q650" s="110"/>
      <c r="R650" s="110"/>
      <c r="U650" s="99"/>
      <c r="V650" s="110"/>
      <c r="Y650" s="110"/>
      <c r="Z650" s="198"/>
      <c r="AA650" s="172"/>
      <c r="AB650" s="172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3:40" x14ac:dyDescent="0.3">
      <c r="F651" s="110"/>
      <c r="H651" s="192"/>
      <c r="I651" s="192"/>
      <c r="J651" s="217"/>
      <c r="K651" s="217"/>
      <c r="L651" s="192"/>
      <c r="M651" s="192"/>
      <c r="N651" s="192"/>
      <c r="O651" s="192"/>
      <c r="P651" s="192"/>
      <c r="Q651" s="192"/>
      <c r="R651" s="192"/>
      <c r="V651" s="192"/>
      <c r="Y651" s="192"/>
      <c r="Z651" s="217"/>
      <c r="AA651" s="192"/>
      <c r="AB651" s="192"/>
      <c r="AC651" s="192"/>
      <c r="AD651" s="192"/>
      <c r="AE651" s="192"/>
      <c r="AF651" s="192"/>
      <c r="AI651" s="192"/>
      <c r="AJ651" s="192"/>
      <c r="AK651" s="194"/>
      <c r="AL651" s="192"/>
      <c r="AM651" s="141"/>
      <c r="AN651" s="141"/>
    </row>
    <row r="652" spans="3:40" x14ac:dyDescent="0.3">
      <c r="C652" s="99"/>
      <c r="F652" s="192"/>
      <c r="H652" s="110"/>
      <c r="I652" s="110"/>
      <c r="J652" s="198"/>
      <c r="K652" s="198"/>
      <c r="L652" s="110"/>
      <c r="M652" s="110"/>
      <c r="N652" s="198"/>
      <c r="O652" s="198"/>
      <c r="P652" s="110"/>
      <c r="Q652" s="110"/>
      <c r="R652" s="110"/>
      <c r="T652" s="99"/>
      <c r="V652" s="110"/>
      <c r="Y652" s="110"/>
      <c r="Z652" s="198"/>
      <c r="AA652" s="110"/>
      <c r="AB652" s="110"/>
      <c r="AC652" s="198"/>
      <c r="AD652" s="198"/>
      <c r="AE652" s="110"/>
      <c r="AF652" s="110"/>
      <c r="AH652" s="207"/>
      <c r="AI652" s="110"/>
      <c r="AJ652" s="110"/>
      <c r="AL652" s="110"/>
      <c r="AM652" s="141"/>
      <c r="AN652" s="141"/>
    </row>
    <row r="653" spans="3:40" x14ac:dyDescent="0.3">
      <c r="F653" s="110"/>
      <c r="H653" s="110"/>
      <c r="I653" s="110"/>
      <c r="J653" s="198"/>
      <c r="K653" s="198"/>
      <c r="L653" s="110"/>
      <c r="M653" s="110"/>
      <c r="N653" s="198"/>
      <c r="O653" s="198"/>
      <c r="P653" s="110"/>
      <c r="Q653" s="110"/>
      <c r="R653" s="110"/>
      <c r="V653" s="110"/>
      <c r="Y653" s="110"/>
      <c r="Z653" s="198"/>
      <c r="AA653" s="110"/>
      <c r="AB653" s="110"/>
      <c r="AC653" s="198"/>
      <c r="AD653" s="198"/>
      <c r="AH653" s="207"/>
      <c r="AI653" s="110"/>
      <c r="AJ653" s="110"/>
      <c r="AL653" s="110"/>
      <c r="AM653" s="141"/>
      <c r="AN653" s="141"/>
    </row>
    <row r="654" spans="3:40" x14ac:dyDescent="0.3">
      <c r="C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3:40" x14ac:dyDescent="0.3">
      <c r="F655" s="110"/>
      <c r="H655" s="192"/>
      <c r="I655" s="192"/>
      <c r="J655" s="217"/>
      <c r="K655" s="217"/>
      <c r="L655" s="192"/>
      <c r="M655" s="192"/>
      <c r="N655" s="192"/>
      <c r="O655" s="192"/>
      <c r="P655" s="192"/>
      <c r="Q655" s="192"/>
      <c r="R655" s="192"/>
      <c r="V655" s="192"/>
      <c r="Y655" s="192"/>
      <c r="Z655" s="217"/>
      <c r="AA655" s="192"/>
      <c r="AB655" s="192"/>
      <c r="AC655" s="192"/>
      <c r="AD655" s="192"/>
      <c r="AE655" s="192"/>
      <c r="AF655" s="192"/>
      <c r="AI655" s="192"/>
      <c r="AJ655" s="192"/>
      <c r="AK655" s="194"/>
      <c r="AL655" s="192"/>
    </row>
    <row r="657" spans="1:20" x14ac:dyDescent="0.3">
      <c r="C657" s="99"/>
      <c r="F657" s="192"/>
      <c r="L657" s="110"/>
      <c r="M657" s="110"/>
      <c r="P657" s="110"/>
      <c r="Q657" s="110"/>
      <c r="R657" s="110"/>
      <c r="T657" s="99"/>
    </row>
    <row r="658" spans="1:20" x14ac:dyDescent="0.3">
      <c r="A658" s="99"/>
      <c r="L658" s="110"/>
      <c r="M658" s="110"/>
      <c r="P658" s="110"/>
      <c r="Q658" s="110"/>
      <c r="R658" s="110"/>
    </row>
    <row r="659" spans="1:20" x14ac:dyDescent="0.3">
      <c r="L659" s="110"/>
      <c r="M659" s="110"/>
      <c r="P659" s="110"/>
      <c r="Q659" s="110"/>
      <c r="R659" s="110"/>
    </row>
    <row r="660" spans="1:20" x14ac:dyDescent="0.3">
      <c r="L660" s="110"/>
      <c r="M660" s="110"/>
      <c r="P660" s="110"/>
      <c r="Q660" s="110"/>
      <c r="R660" s="110"/>
    </row>
    <row r="661" spans="1:20" x14ac:dyDescent="0.3">
      <c r="L661" s="110"/>
      <c r="M661" s="110"/>
      <c r="P661" s="110"/>
      <c r="Q661" s="110"/>
      <c r="R661" s="110"/>
    </row>
    <row r="662" spans="1:20" x14ac:dyDescent="0.3">
      <c r="L662" s="110"/>
      <c r="M662" s="110"/>
      <c r="P662" s="110"/>
      <c r="Q662" s="110"/>
      <c r="R662" s="110"/>
    </row>
    <row r="663" spans="1:20" x14ac:dyDescent="0.3">
      <c r="L663" s="110"/>
      <c r="M663" s="110"/>
      <c r="P663" s="110"/>
      <c r="Q663" s="110"/>
      <c r="R663" s="110"/>
    </row>
    <row r="696" spans="49:49" x14ac:dyDescent="0.3">
      <c r="AW696" s="110"/>
    </row>
    <row r="697" spans="49:49" x14ac:dyDescent="0.3">
      <c r="AW697" s="110"/>
    </row>
    <row r="698" spans="49:49" x14ac:dyDescent="0.3">
      <c r="AW698" s="110"/>
    </row>
    <row r="699" spans="49:49" x14ac:dyDescent="0.3">
      <c r="AW699" s="110"/>
    </row>
    <row r="700" spans="49:49" x14ac:dyDescent="0.3">
      <c r="AW700" s="110"/>
    </row>
    <row r="701" spans="49:49" x14ac:dyDescent="0.3">
      <c r="AW701" s="110"/>
    </row>
    <row r="704" spans="49:49" x14ac:dyDescent="0.3">
      <c r="AW704" s="110"/>
    </row>
    <row r="705" spans="49:49" x14ac:dyDescent="0.3">
      <c r="AW705" s="110"/>
    </row>
    <row r="706" spans="49:49" x14ac:dyDescent="0.3">
      <c r="AW706" s="110"/>
    </row>
    <row r="707" spans="49:49" x14ac:dyDescent="0.3">
      <c r="AW707" s="110"/>
    </row>
    <row r="708" spans="49:49" x14ac:dyDescent="0.3">
      <c r="AW708" s="110"/>
    </row>
    <row r="709" spans="49:49" x14ac:dyDescent="0.3">
      <c r="AW709" s="110"/>
    </row>
    <row r="710" spans="49:49" x14ac:dyDescent="0.3">
      <c r="AW710" s="110"/>
    </row>
    <row r="711" spans="49:49" x14ac:dyDescent="0.3">
      <c r="AW711" s="110"/>
    </row>
    <row r="714" spans="49:49" x14ac:dyDescent="0.3">
      <c r="AW714" s="110"/>
    </row>
    <row r="715" spans="49:49" x14ac:dyDescent="0.3">
      <c r="AW715" s="110"/>
    </row>
    <row r="718" spans="49:49" x14ac:dyDescent="0.3">
      <c r="AW718" s="110"/>
    </row>
    <row r="719" spans="49:49" x14ac:dyDescent="0.3">
      <c r="AW719" s="110"/>
    </row>
    <row r="720" spans="49:49" x14ac:dyDescent="0.3">
      <c r="AW720" s="110"/>
    </row>
    <row r="721" spans="45:57" x14ac:dyDescent="0.3">
      <c r="AW721" s="110"/>
    </row>
    <row r="729" spans="45:57" x14ac:dyDescent="0.3">
      <c r="AY729" s="99"/>
    </row>
    <row r="730" spans="45:57" x14ac:dyDescent="0.3">
      <c r="AY730" s="99"/>
    </row>
    <row r="731" spans="45:57" x14ac:dyDescent="0.3">
      <c r="BD731" s="99"/>
    </row>
    <row r="732" spans="45:57" x14ac:dyDescent="0.3">
      <c r="BD732" s="99"/>
    </row>
    <row r="733" spans="45:57" x14ac:dyDescent="0.3">
      <c r="AS733" s="99"/>
      <c r="BD733" s="99"/>
    </row>
    <row r="735" spans="45:57" x14ac:dyDescent="0.3"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</row>
    <row r="736" spans="45:57" x14ac:dyDescent="0.3">
      <c r="AX736" s="99"/>
    </row>
    <row r="737" spans="45:69" x14ac:dyDescent="0.3">
      <c r="AX737" s="101"/>
      <c r="AY737" s="101"/>
      <c r="AZ737" s="101"/>
      <c r="BA737" s="101"/>
      <c r="BC737" s="102"/>
      <c r="BD737" s="102"/>
    </row>
    <row r="738" spans="45:69" x14ac:dyDescent="0.3">
      <c r="AV738" s="102"/>
      <c r="AW738" s="102"/>
      <c r="AZ738" s="102"/>
      <c r="BA738" s="102"/>
      <c r="BC738" s="102"/>
      <c r="BD738" s="102"/>
      <c r="BE738" s="102"/>
      <c r="BG738" s="101"/>
      <c r="BH738" s="99"/>
      <c r="BK738" s="101"/>
      <c r="BM738" s="101"/>
      <c r="BN738" s="99"/>
      <c r="BQ738" s="101"/>
    </row>
    <row r="739" spans="45:69" x14ac:dyDescent="0.3"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H739" s="102"/>
      <c r="BI739" s="102"/>
      <c r="BJ739" s="102"/>
      <c r="BN739" s="102"/>
      <c r="BO739" s="102"/>
      <c r="BP739" s="102"/>
    </row>
    <row r="740" spans="45:69" x14ac:dyDescent="0.3">
      <c r="AS740" s="102"/>
      <c r="AU740" s="99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G740" s="102"/>
      <c r="BH740" s="102"/>
      <c r="BI740" s="102"/>
      <c r="BJ740" s="102"/>
      <c r="BK740" s="102"/>
      <c r="BM740" s="102"/>
      <c r="BN740" s="102"/>
      <c r="BO740" s="102"/>
      <c r="BP740" s="102"/>
      <c r="BQ740" s="102"/>
    </row>
    <row r="741" spans="45:69" x14ac:dyDescent="0.3">
      <c r="AS741" s="102"/>
      <c r="AU741" s="99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G741" s="102"/>
      <c r="BH741" s="102"/>
      <c r="BI741" s="102"/>
      <c r="BJ741" s="102"/>
      <c r="BK741" s="102"/>
      <c r="BM741" s="102"/>
      <c r="BN741" s="102"/>
      <c r="BO741" s="102"/>
      <c r="BP741" s="102"/>
      <c r="BQ741" s="102"/>
    </row>
    <row r="742" spans="45:69" x14ac:dyDescent="0.3"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G742" s="101"/>
      <c r="BH742" s="101"/>
      <c r="BI742" s="101"/>
      <c r="BJ742" s="101"/>
      <c r="BK742" s="101"/>
      <c r="BM742" s="101"/>
      <c r="BN742" s="101"/>
      <c r="BO742" s="101"/>
      <c r="BP742" s="101"/>
      <c r="BQ742" s="101"/>
    </row>
    <row r="743" spans="45:69" x14ac:dyDescent="0.3"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</row>
    <row r="744" spans="45:69" x14ac:dyDescent="0.3">
      <c r="AU744" s="99"/>
      <c r="AV744" s="102"/>
      <c r="AY744" s="198"/>
    </row>
    <row r="745" spans="45:69" x14ac:dyDescent="0.3">
      <c r="AV745" s="102"/>
      <c r="AW745" s="110"/>
      <c r="AX745" s="163"/>
      <c r="AY745" s="163"/>
      <c r="AZ745" s="163"/>
      <c r="BA745" s="141"/>
      <c r="BB745" s="163"/>
      <c r="BC745" s="198"/>
      <c r="BD745" s="198"/>
      <c r="BE745" s="141"/>
      <c r="BG745" s="163"/>
      <c r="BH745" s="163"/>
      <c r="BI745" s="163"/>
      <c r="BJ745" s="163"/>
      <c r="BK745" s="163"/>
      <c r="BM745" s="163"/>
      <c r="BN745" s="163"/>
      <c r="BO745" s="163"/>
      <c r="BP745" s="163"/>
      <c r="BQ745" s="163"/>
    </row>
    <row r="746" spans="45:69" x14ac:dyDescent="0.3">
      <c r="AV746" s="102"/>
      <c r="AW746" s="110"/>
      <c r="AX746" s="163"/>
      <c r="AY746" s="163"/>
      <c r="AZ746" s="163"/>
      <c r="BA746" s="141"/>
      <c r="BB746" s="163"/>
      <c r="BC746" s="198"/>
      <c r="BD746" s="198"/>
      <c r="BE746" s="141"/>
      <c r="BG746" s="163"/>
      <c r="BH746" s="163"/>
      <c r="BI746" s="163"/>
      <c r="BJ746" s="163"/>
      <c r="BK746" s="163"/>
      <c r="BM746" s="163"/>
      <c r="BN746" s="163"/>
      <c r="BO746" s="163"/>
      <c r="BP746" s="163"/>
      <c r="BQ746" s="163"/>
    </row>
    <row r="747" spans="45:69" x14ac:dyDescent="0.3">
      <c r="AV747" s="102"/>
      <c r="AW747" s="110"/>
      <c r="AX747" s="163"/>
      <c r="AY747" s="163"/>
      <c r="AZ747" s="163"/>
      <c r="BA747" s="141"/>
      <c r="BB747" s="163"/>
      <c r="BC747" s="198"/>
      <c r="BD747" s="198"/>
      <c r="BE747" s="141"/>
      <c r="BG747" s="163"/>
      <c r="BH747" s="163"/>
      <c r="BI747" s="163"/>
      <c r="BJ747" s="163"/>
      <c r="BK747" s="163"/>
      <c r="BM747" s="163"/>
      <c r="BN747" s="163"/>
      <c r="BO747" s="163"/>
      <c r="BP747" s="163"/>
      <c r="BQ747" s="163"/>
    </row>
    <row r="748" spans="45:69" x14ac:dyDescent="0.3">
      <c r="AV748" s="102"/>
      <c r="AW748" s="110"/>
      <c r="AX748" s="163"/>
      <c r="AY748" s="163"/>
      <c r="AZ748" s="163"/>
      <c r="BA748" s="141"/>
      <c r="BB748" s="163"/>
      <c r="BC748" s="198"/>
      <c r="BD748" s="198"/>
      <c r="BE748" s="141"/>
      <c r="BG748" s="163"/>
      <c r="BH748" s="163"/>
      <c r="BI748" s="163"/>
      <c r="BJ748" s="163"/>
      <c r="BK748" s="163"/>
      <c r="BM748" s="163"/>
      <c r="BN748" s="163"/>
      <c r="BO748" s="163"/>
      <c r="BP748" s="163"/>
      <c r="BQ748" s="163"/>
    </row>
    <row r="749" spans="45:69" x14ac:dyDescent="0.3">
      <c r="AV749" s="102"/>
      <c r="AW749" s="110"/>
      <c r="AX749" s="163"/>
      <c r="AY749" s="163"/>
      <c r="AZ749" s="163"/>
      <c r="BA749" s="141"/>
      <c r="BB749" s="163"/>
      <c r="BC749" s="198"/>
      <c r="BD749" s="198"/>
      <c r="BE749" s="141"/>
      <c r="BG749" s="163"/>
      <c r="BH749" s="163"/>
      <c r="BI749" s="163"/>
      <c r="BJ749" s="163"/>
      <c r="BK749" s="163"/>
      <c r="BM749" s="163"/>
      <c r="BN749" s="163"/>
      <c r="BO749" s="163"/>
      <c r="BP749" s="163"/>
      <c r="BQ749" s="163"/>
    </row>
    <row r="750" spans="45:69" x14ac:dyDescent="0.3">
      <c r="AV750" s="102"/>
      <c r="AW750" s="110"/>
      <c r="AX750" s="163"/>
      <c r="AY750" s="163"/>
      <c r="AZ750" s="163"/>
      <c r="BA750" s="141"/>
      <c r="BB750" s="163"/>
      <c r="BC750" s="198"/>
      <c r="BD750" s="198"/>
      <c r="BE750" s="141"/>
      <c r="BG750" s="163"/>
      <c r="BH750" s="163"/>
      <c r="BI750" s="163"/>
      <c r="BJ750" s="163"/>
      <c r="BK750" s="163"/>
      <c r="BM750" s="163"/>
      <c r="BN750" s="163"/>
      <c r="BO750" s="163"/>
      <c r="BP750" s="163"/>
      <c r="BQ750" s="163"/>
    </row>
    <row r="751" spans="45:69" x14ac:dyDescent="0.3">
      <c r="AV751" s="102"/>
      <c r="AW751" s="110"/>
      <c r="AX751" s="163"/>
      <c r="AY751" s="163"/>
      <c r="AZ751" s="163"/>
      <c r="BA751" s="141"/>
      <c r="BB751" s="163"/>
      <c r="BC751" s="198"/>
      <c r="BD751" s="198"/>
      <c r="BE751" s="141"/>
      <c r="BG751" s="163"/>
      <c r="BH751" s="163"/>
      <c r="BI751" s="163"/>
      <c r="BJ751" s="163"/>
      <c r="BK751" s="163"/>
      <c r="BM751" s="163"/>
      <c r="BN751" s="163"/>
      <c r="BO751" s="163"/>
      <c r="BP751" s="163"/>
      <c r="BQ751" s="163"/>
    </row>
    <row r="752" spans="45:69" x14ac:dyDescent="0.3">
      <c r="AY752" s="198"/>
      <c r="AZ752" s="163"/>
      <c r="BA752" s="141"/>
      <c r="BB752" s="163"/>
      <c r="BC752" s="198"/>
      <c r="BD752" s="198"/>
      <c r="BE752" s="141"/>
      <c r="BK752" s="163"/>
      <c r="BQ752" s="163"/>
    </row>
    <row r="753" spans="45:69" x14ac:dyDescent="0.3">
      <c r="AV753" s="102"/>
      <c r="AY753" s="198"/>
      <c r="AZ753" s="163"/>
      <c r="BA753" s="141"/>
      <c r="BB753" s="163"/>
      <c r="BC753" s="198"/>
      <c r="BD753" s="198"/>
      <c r="BE753" s="141"/>
      <c r="BK753" s="163"/>
      <c r="BQ753" s="163"/>
    </row>
    <row r="754" spans="45:69" x14ac:dyDescent="0.3">
      <c r="AV754" s="102"/>
      <c r="AW754" s="110"/>
      <c r="AX754" s="163"/>
      <c r="AY754" s="163"/>
      <c r="AZ754" s="163"/>
      <c r="BA754" s="141"/>
      <c r="BB754" s="163"/>
      <c r="BC754" s="198"/>
      <c r="BD754" s="198"/>
      <c r="BE754" s="141"/>
      <c r="BG754" s="163"/>
      <c r="BH754" s="163"/>
      <c r="BI754" s="163"/>
      <c r="BJ754" s="163"/>
      <c r="BK754" s="163"/>
      <c r="BM754" s="163"/>
      <c r="BN754" s="163"/>
      <c r="BO754" s="163"/>
      <c r="BP754" s="163"/>
      <c r="BQ754" s="163"/>
    </row>
    <row r="755" spans="45:69" x14ac:dyDescent="0.3">
      <c r="AV755" s="102"/>
      <c r="AW755" s="110"/>
      <c r="AX755" s="163"/>
      <c r="AY755" s="163"/>
      <c r="AZ755" s="163"/>
      <c r="BA755" s="141"/>
      <c r="BB755" s="163"/>
      <c r="BC755" s="198"/>
      <c r="BD755" s="198"/>
      <c r="BE755" s="141"/>
      <c r="BG755" s="163"/>
      <c r="BH755" s="163"/>
      <c r="BI755" s="163"/>
      <c r="BJ755" s="163"/>
      <c r="BK755" s="163"/>
      <c r="BM755" s="163"/>
      <c r="BN755" s="163"/>
      <c r="BO755" s="163"/>
      <c r="BP755" s="163"/>
      <c r="BQ755" s="163"/>
    </row>
    <row r="756" spans="45:69" x14ac:dyDescent="0.3">
      <c r="AV756" s="102"/>
      <c r="AW756" s="110"/>
      <c r="AX756" s="163"/>
      <c r="AY756" s="163"/>
      <c r="AZ756" s="163"/>
      <c r="BA756" s="141"/>
      <c r="BB756" s="163"/>
      <c r="BC756" s="198"/>
      <c r="BD756" s="198"/>
      <c r="BE756" s="141"/>
      <c r="BG756" s="163"/>
      <c r="BH756" s="163"/>
      <c r="BI756" s="163"/>
      <c r="BJ756" s="163"/>
      <c r="BK756" s="163"/>
      <c r="BM756" s="163"/>
      <c r="BN756" s="163"/>
      <c r="BO756" s="163"/>
      <c r="BP756" s="163"/>
      <c r="BQ756" s="163"/>
    </row>
    <row r="757" spans="45:69" x14ac:dyDescent="0.3">
      <c r="AV757" s="102"/>
      <c r="AW757" s="110"/>
      <c r="AX757" s="163"/>
      <c r="AY757" s="163"/>
      <c r="AZ757" s="163"/>
      <c r="BA757" s="141"/>
      <c r="BB757" s="163"/>
      <c r="BC757" s="198"/>
      <c r="BD757" s="198"/>
      <c r="BE757" s="141"/>
      <c r="BG757" s="163"/>
      <c r="BH757" s="163"/>
      <c r="BI757" s="163"/>
      <c r="BJ757" s="163"/>
      <c r="BK757" s="163"/>
      <c r="BM757" s="163"/>
      <c r="BN757" s="163"/>
      <c r="BO757" s="163"/>
      <c r="BP757" s="163"/>
      <c r="BQ757" s="163"/>
    </row>
    <row r="758" spans="45:69" x14ac:dyDescent="0.3">
      <c r="AV758" s="102"/>
      <c r="AW758" s="110"/>
      <c r="AX758" s="163"/>
      <c r="AY758" s="163"/>
      <c r="AZ758" s="163"/>
      <c r="BA758" s="141"/>
      <c r="BB758" s="163"/>
      <c r="BC758" s="198"/>
      <c r="BD758" s="198"/>
      <c r="BE758" s="141"/>
      <c r="BG758" s="163"/>
      <c r="BH758" s="163"/>
      <c r="BI758" s="163"/>
      <c r="BJ758" s="163"/>
      <c r="BK758" s="163"/>
      <c r="BM758" s="163"/>
      <c r="BN758" s="163"/>
      <c r="BO758" s="163"/>
      <c r="BP758" s="163"/>
      <c r="BQ758" s="163"/>
    </row>
    <row r="759" spans="45:69" x14ac:dyDescent="0.3">
      <c r="AV759" s="102"/>
      <c r="AW759" s="110"/>
      <c r="AX759" s="163"/>
      <c r="AY759" s="163"/>
      <c r="AZ759" s="163"/>
      <c r="BA759" s="141"/>
      <c r="BB759" s="163"/>
      <c r="BC759" s="198"/>
      <c r="BD759" s="198"/>
      <c r="BE759" s="141"/>
      <c r="BG759" s="163"/>
      <c r="BH759" s="163"/>
      <c r="BI759" s="163"/>
      <c r="BJ759" s="163"/>
      <c r="BK759" s="163"/>
      <c r="BM759" s="163"/>
      <c r="BN759" s="163"/>
      <c r="BO759" s="163"/>
      <c r="BP759" s="163"/>
      <c r="BQ759" s="163"/>
    </row>
    <row r="760" spans="45:69" x14ac:dyDescent="0.3">
      <c r="AV760" s="102"/>
      <c r="AW760" s="110"/>
      <c r="AX760" s="163"/>
      <c r="AY760" s="163"/>
      <c r="AZ760" s="163"/>
      <c r="BA760" s="141"/>
      <c r="BB760" s="163"/>
      <c r="BC760" s="198"/>
      <c r="BD760" s="198"/>
      <c r="BE760" s="141"/>
      <c r="BG760" s="163"/>
      <c r="BH760" s="163"/>
      <c r="BI760" s="163"/>
      <c r="BJ760" s="163"/>
      <c r="BK760" s="163"/>
      <c r="BM760" s="163"/>
      <c r="BN760" s="163"/>
      <c r="BO760" s="163"/>
      <c r="BP760" s="163"/>
      <c r="BQ760" s="163"/>
    </row>
    <row r="761" spans="45:69" x14ac:dyDescent="0.3">
      <c r="AV761" s="102"/>
      <c r="AW761" s="110"/>
      <c r="AX761" s="163"/>
      <c r="AY761" s="163"/>
      <c r="AZ761" s="163"/>
      <c r="BA761" s="141"/>
      <c r="BB761" s="163"/>
      <c r="BC761" s="198"/>
      <c r="BD761" s="198"/>
      <c r="BE761" s="141"/>
      <c r="BG761" s="163"/>
      <c r="BH761" s="163"/>
      <c r="BI761" s="163"/>
      <c r="BJ761" s="163"/>
      <c r="BK761" s="163"/>
      <c r="BM761" s="163"/>
      <c r="BN761" s="163"/>
      <c r="BO761" s="163"/>
      <c r="BP761" s="163"/>
      <c r="BQ761" s="163"/>
    </row>
    <row r="762" spans="45:69" x14ac:dyDescent="0.3">
      <c r="AY762" s="198"/>
      <c r="AZ762" s="163"/>
      <c r="BA762" s="141"/>
      <c r="BB762" s="163"/>
      <c r="BC762" s="198"/>
      <c r="BD762" s="198"/>
      <c r="BE762" s="141"/>
      <c r="BK762" s="163"/>
      <c r="BQ762" s="163"/>
    </row>
    <row r="763" spans="45:69" x14ac:dyDescent="0.3">
      <c r="AU763" s="99"/>
      <c r="AZ763" s="163"/>
      <c r="BB763" s="163"/>
      <c r="BG763" s="163"/>
      <c r="BH763" s="163"/>
      <c r="BJ763" s="163"/>
      <c r="BK763" s="163"/>
    </row>
    <row r="764" spans="45:69" x14ac:dyDescent="0.3">
      <c r="AZ764" s="163"/>
      <c r="BB764" s="163"/>
    </row>
    <row r="765" spans="45:69" x14ac:dyDescent="0.3">
      <c r="AS765" s="99"/>
      <c r="AZ765" s="163"/>
      <c r="BB765" s="163"/>
      <c r="BI765" s="163"/>
    </row>
    <row r="766" spans="45:69" x14ac:dyDescent="0.3">
      <c r="AZ766" s="163"/>
      <c r="BB766" s="163"/>
    </row>
    <row r="767" spans="45:69" x14ac:dyDescent="0.3">
      <c r="AY767" s="163"/>
      <c r="BB767" s="163"/>
    </row>
    <row r="768" spans="45:69" x14ac:dyDescent="0.3">
      <c r="AY768" s="99"/>
      <c r="AZ768" s="163"/>
      <c r="BB768" s="163"/>
    </row>
    <row r="769" spans="45:75" x14ac:dyDescent="0.3">
      <c r="AY769" s="99"/>
      <c r="AZ769" s="163"/>
      <c r="BB769" s="163"/>
    </row>
    <row r="770" spans="45:75" x14ac:dyDescent="0.3">
      <c r="AZ770" s="163"/>
      <c r="BB770" s="163"/>
      <c r="BD770" s="99"/>
    </row>
    <row r="771" spans="45:75" x14ac:dyDescent="0.3">
      <c r="AZ771" s="163"/>
      <c r="BB771" s="163"/>
      <c r="BD771" s="99"/>
    </row>
    <row r="772" spans="45:75" x14ac:dyDescent="0.3">
      <c r="AS772" s="99"/>
      <c r="AZ772" s="163"/>
      <c r="BB772" s="163"/>
      <c r="BD772" s="99"/>
    </row>
    <row r="773" spans="45:75" x14ac:dyDescent="0.3">
      <c r="AZ773" s="163"/>
      <c r="BB773" s="163"/>
    </row>
    <row r="774" spans="45:75" x14ac:dyDescent="0.3">
      <c r="AS774" s="101"/>
      <c r="AT774" s="101"/>
      <c r="AU774" s="101"/>
      <c r="AV774" s="101"/>
      <c r="AW774" s="101"/>
      <c r="AX774" s="101"/>
      <c r="AY774" s="101"/>
      <c r="AZ774" s="212"/>
      <c r="BA774" s="101"/>
      <c r="BB774" s="212"/>
      <c r="BC774" s="101"/>
      <c r="BD774" s="101"/>
      <c r="BE774" s="101"/>
    </row>
    <row r="775" spans="45:75" x14ac:dyDescent="0.3">
      <c r="AX775" s="99"/>
      <c r="AZ775" s="163"/>
      <c r="BB775" s="163"/>
    </row>
    <row r="776" spans="45:75" x14ac:dyDescent="0.3">
      <c r="AX776" s="101"/>
      <c r="AY776" s="101"/>
      <c r="AZ776" s="212"/>
      <c r="BA776" s="101"/>
      <c r="BB776" s="163"/>
      <c r="BC776" s="102"/>
      <c r="BD776" s="102"/>
    </row>
    <row r="777" spans="45:75" x14ac:dyDescent="0.3">
      <c r="AV777" s="102"/>
      <c r="AW777" s="102"/>
      <c r="AZ777" s="213"/>
      <c r="BA777" s="102"/>
      <c r="BB777" s="163"/>
      <c r="BC777" s="102"/>
      <c r="BD777" s="102"/>
      <c r="BE777" s="102"/>
      <c r="BG777" s="101"/>
      <c r="BH777" s="101"/>
      <c r="BI777" s="99"/>
      <c r="BM777" s="101"/>
      <c r="BN777" s="101"/>
      <c r="BP777" s="101"/>
      <c r="BQ777" s="101"/>
      <c r="BR777" s="99"/>
      <c r="BV777" s="101"/>
      <c r="BW777" s="101"/>
    </row>
    <row r="778" spans="45:75" x14ac:dyDescent="0.3">
      <c r="AV778" s="102"/>
      <c r="AW778" s="102"/>
      <c r="AX778" s="102"/>
      <c r="AY778" s="102"/>
      <c r="AZ778" s="213"/>
      <c r="BA778" s="102"/>
      <c r="BB778" s="213"/>
      <c r="BC778" s="102"/>
      <c r="BD778" s="102"/>
      <c r="BE778" s="102"/>
      <c r="BH778" s="102"/>
      <c r="BI778" s="102"/>
      <c r="BJ778" s="102"/>
      <c r="BK778" s="102"/>
      <c r="BL778" s="102"/>
      <c r="BM778" s="102"/>
      <c r="BQ778" s="102"/>
      <c r="BR778" s="102"/>
      <c r="BS778" s="102"/>
      <c r="BT778" s="102"/>
      <c r="BU778" s="102"/>
      <c r="BV778" s="102"/>
    </row>
    <row r="779" spans="45:75" x14ac:dyDescent="0.3">
      <c r="AS779" s="102"/>
      <c r="AU779" s="99"/>
      <c r="AV779" s="102"/>
      <c r="AW779" s="102"/>
      <c r="AX779" s="102"/>
      <c r="AY779" s="102"/>
      <c r="AZ779" s="213"/>
      <c r="BA779" s="102"/>
      <c r="BB779" s="213"/>
      <c r="BC779" s="102"/>
      <c r="BD779" s="102"/>
      <c r="BE779" s="102"/>
      <c r="BG779" s="102"/>
      <c r="BH779" s="102"/>
      <c r="BI779" s="102"/>
      <c r="BJ779" s="102"/>
      <c r="BK779" s="102"/>
      <c r="BL779" s="102"/>
      <c r="BM779" s="102"/>
      <c r="BN779" s="102"/>
      <c r="BP779" s="102"/>
      <c r="BQ779" s="102"/>
      <c r="BR779" s="102"/>
      <c r="BS779" s="102"/>
      <c r="BT779" s="102"/>
      <c r="BU779" s="102"/>
      <c r="BV779" s="102"/>
      <c r="BW779" s="102"/>
    </row>
    <row r="780" spans="45:75" x14ac:dyDescent="0.3">
      <c r="AS780" s="102"/>
      <c r="AU780" s="99"/>
      <c r="AV780" s="102"/>
      <c r="AW780" s="102"/>
      <c r="AX780" s="102"/>
      <c r="AY780" s="102"/>
      <c r="AZ780" s="213"/>
      <c r="BA780" s="102"/>
      <c r="BB780" s="213"/>
      <c r="BC780" s="102"/>
      <c r="BD780" s="102"/>
      <c r="BE780" s="102"/>
      <c r="BG780" s="102"/>
      <c r="BH780" s="102"/>
      <c r="BI780" s="102"/>
      <c r="BJ780" s="102"/>
      <c r="BK780" s="102"/>
      <c r="BL780" s="102"/>
      <c r="BM780" s="102"/>
      <c r="BN780" s="102"/>
      <c r="BP780" s="102"/>
      <c r="BQ780" s="102"/>
      <c r="BR780" s="102"/>
      <c r="BS780" s="102"/>
      <c r="BT780" s="102"/>
      <c r="BU780" s="102"/>
      <c r="BV780" s="102"/>
      <c r="BW780" s="102"/>
    </row>
    <row r="781" spans="45:75" x14ac:dyDescent="0.3">
      <c r="AS781" s="101"/>
      <c r="AT781" s="101"/>
      <c r="AU781" s="101"/>
      <c r="AV781" s="101"/>
      <c r="AW781" s="101"/>
      <c r="AX781" s="101"/>
      <c r="AY781" s="101"/>
      <c r="AZ781" s="212"/>
      <c r="BA781" s="101"/>
      <c r="BB781" s="212"/>
      <c r="BC781" s="101"/>
      <c r="BD781" s="101"/>
      <c r="BE781" s="101"/>
      <c r="BG781" s="101"/>
      <c r="BH781" s="101"/>
      <c r="BI781" s="101"/>
      <c r="BJ781" s="101"/>
      <c r="BK781" s="101"/>
      <c r="BL781" s="101"/>
      <c r="BM781" s="101"/>
      <c r="BN781" s="101"/>
      <c r="BP781" s="101"/>
      <c r="BQ781" s="101"/>
      <c r="BR781" s="101"/>
      <c r="BS781" s="101"/>
      <c r="BT781" s="101"/>
      <c r="BU781" s="101"/>
      <c r="BV781" s="101"/>
      <c r="BW781" s="101"/>
    </row>
    <row r="782" spans="45:75" x14ac:dyDescent="0.3">
      <c r="AV782" s="102"/>
      <c r="AW782" s="102"/>
      <c r="AX782" s="102"/>
      <c r="AY782" s="102"/>
      <c r="AZ782" s="213"/>
      <c r="BA782" s="102"/>
      <c r="BB782" s="213"/>
      <c r="BC782" s="102"/>
      <c r="BD782" s="102"/>
      <c r="BE782" s="102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</row>
    <row r="783" spans="45:75" x14ac:dyDescent="0.3">
      <c r="AU783" s="99"/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</row>
    <row r="784" spans="45:75" x14ac:dyDescent="0.3"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</row>
    <row r="785" spans="49:75" x14ac:dyDescent="0.3"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</row>
    <row r="786" spans="49:75" x14ac:dyDescent="0.3"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</row>
    <row r="787" spans="49:75" x14ac:dyDescent="0.3">
      <c r="AW787" s="110"/>
      <c r="AX787" s="163"/>
      <c r="AY787" s="163"/>
      <c r="AZ787" s="163"/>
      <c r="BA787" s="207"/>
      <c r="BB787" s="163"/>
      <c r="BC787" s="163"/>
      <c r="BD787" s="163"/>
      <c r="BE787" s="207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</row>
    <row r="788" spans="49:75" x14ac:dyDescent="0.3">
      <c r="AW788" s="110"/>
      <c r="AX788" s="163"/>
      <c r="AY788" s="163"/>
      <c r="AZ788" s="163"/>
      <c r="BA788" s="207"/>
      <c r="BB788" s="163"/>
      <c r="BC788" s="163"/>
      <c r="BD788" s="163"/>
      <c r="BE788" s="207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</row>
    <row r="789" spans="49:75" x14ac:dyDescent="0.3">
      <c r="AW789" s="110"/>
      <c r="AX789" s="163"/>
      <c r="AY789" s="163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</row>
    <row r="790" spans="49:75" x14ac:dyDescent="0.3">
      <c r="AW790" s="110"/>
      <c r="AX790" s="163"/>
      <c r="AY790" s="163"/>
      <c r="AZ790" s="163"/>
      <c r="BA790" s="207"/>
      <c r="BB790" s="163"/>
      <c r="BC790" s="163"/>
      <c r="BD790" s="163"/>
      <c r="BE790" s="207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</row>
    <row r="791" spans="49:75" x14ac:dyDescent="0.3">
      <c r="AW791" s="110"/>
      <c r="AX791" s="163"/>
      <c r="AY791" s="163"/>
      <c r="AZ791" s="163"/>
      <c r="BA791" s="207"/>
      <c r="BB791" s="163"/>
      <c r="BC791" s="163"/>
      <c r="BD791" s="163"/>
      <c r="BE791" s="207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</row>
    <row r="792" spans="49:75" x14ac:dyDescent="0.3">
      <c r="AW792" s="110"/>
      <c r="AX792" s="163"/>
      <c r="AY792" s="163"/>
      <c r="AZ792" s="163"/>
      <c r="BA792" s="207"/>
      <c r="BB792" s="163"/>
      <c r="BC792" s="163"/>
      <c r="BD792" s="163"/>
      <c r="BE792" s="207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</row>
    <row r="793" spans="49:75" x14ac:dyDescent="0.3">
      <c r="AW793" s="110"/>
      <c r="AX793" s="163"/>
      <c r="AY793" s="163"/>
      <c r="AZ793" s="163"/>
      <c r="BA793" s="207"/>
      <c r="BB793" s="163"/>
      <c r="BC793" s="163"/>
      <c r="BD793" s="163"/>
      <c r="BE793" s="207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</row>
    <row r="794" spans="49:75" x14ac:dyDescent="0.3">
      <c r="AW794" s="110"/>
      <c r="AX794" s="163"/>
      <c r="AY794" s="163"/>
      <c r="AZ794" s="163"/>
      <c r="BA794" s="207"/>
      <c r="BB794" s="163"/>
      <c r="BC794" s="163"/>
      <c r="BD794" s="163"/>
      <c r="BE794" s="207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</row>
    <row r="795" spans="49:75" x14ac:dyDescent="0.3">
      <c r="AW795" s="110"/>
      <c r="AX795" s="163"/>
      <c r="AY795" s="163"/>
      <c r="AZ795" s="163"/>
      <c r="BA795" s="207"/>
      <c r="BB795" s="163"/>
      <c r="BC795" s="163"/>
      <c r="BD795" s="163"/>
      <c r="BE795" s="207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</row>
    <row r="796" spans="49:75" x14ac:dyDescent="0.3">
      <c r="AW796" s="110"/>
      <c r="AX796" s="163"/>
      <c r="AY796" s="163"/>
      <c r="AZ796" s="163"/>
      <c r="BA796" s="207"/>
      <c r="BB796" s="163"/>
      <c r="BC796" s="163"/>
      <c r="BD796" s="163"/>
      <c r="BE796" s="207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</row>
    <row r="797" spans="49:75" x14ac:dyDescent="0.3">
      <c r="AW797" s="110"/>
      <c r="AX797" s="163"/>
      <c r="AY797" s="163"/>
      <c r="AZ797" s="163"/>
      <c r="BA797" s="207"/>
      <c r="BB797" s="163"/>
      <c r="BC797" s="163"/>
      <c r="BD797" s="163"/>
      <c r="BE797" s="207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</row>
    <row r="798" spans="49:75" x14ac:dyDescent="0.3">
      <c r="AW798" s="110"/>
      <c r="AX798" s="163"/>
      <c r="AY798" s="163"/>
      <c r="AZ798" s="163"/>
      <c r="BA798" s="207"/>
      <c r="BB798" s="163"/>
      <c r="BC798" s="163"/>
      <c r="BD798" s="163"/>
      <c r="BE798" s="207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</row>
    <row r="799" spans="49:75" x14ac:dyDescent="0.3">
      <c r="AW799" s="110"/>
      <c r="AX799" s="163"/>
      <c r="AY799" s="163"/>
      <c r="AZ799" s="163"/>
      <c r="BA799" s="207"/>
      <c r="BB799" s="163"/>
      <c r="BC799" s="163"/>
      <c r="BD799" s="163"/>
      <c r="BE799" s="207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</row>
    <row r="800" spans="49:75" x14ac:dyDescent="0.3">
      <c r="AW800" s="110"/>
      <c r="AX800" s="163"/>
      <c r="AY800" s="163"/>
      <c r="AZ800" s="163"/>
      <c r="BA800" s="207"/>
      <c r="BB800" s="163"/>
      <c r="BC800" s="163"/>
      <c r="BD800" s="163"/>
      <c r="BE800" s="207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</row>
    <row r="801" spans="45:75" x14ac:dyDescent="0.3">
      <c r="AW801" s="110"/>
      <c r="AX801" s="163"/>
      <c r="AY801" s="163"/>
      <c r="AZ801" s="163"/>
      <c r="BA801" s="207"/>
      <c r="BB801" s="163"/>
      <c r="BC801" s="163"/>
      <c r="BD801" s="163"/>
      <c r="BE801" s="207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</row>
    <row r="802" spans="45:75" x14ac:dyDescent="0.3">
      <c r="AW802" s="110"/>
      <c r="AX802" s="163"/>
      <c r="AY802" s="163"/>
      <c r="AZ802" s="163"/>
      <c r="BA802" s="207"/>
      <c r="BB802" s="163"/>
      <c r="BC802" s="163"/>
      <c r="BD802" s="163"/>
      <c r="BE802" s="207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</row>
    <row r="803" spans="45:75" x14ac:dyDescent="0.3">
      <c r="AW803" s="110"/>
      <c r="AX803" s="163"/>
      <c r="AY803" s="163"/>
      <c r="AZ803" s="163"/>
      <c r="BA803" s="207"/>
      <c r="BB803" s="163"/>
      <c r="BC803" s="163"/>
      <c r="BD803" s="163"/>
      <c r="BE803" s="207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</row>
    <row r="804" spans="45:75" x14ac:dyDescent="0.3">
      <c r="AW804" s="110"/>
      <c r="AX804" s="163"/>
      <c r="AY804" s="163"/>
      <c r="AZ804" s="163"/>
      <c r="BA804" s="207"/>
      <c r="BB804" s="163"/>
      <c r="BC804" s="163"/>
      <c r="BD804" s="163"/>
      <c r="BE804" s="207"/>
      <c r="BG804" s="101"/>
      <c r="BH804" s="101"/>
      <c r="BI804" s="99"/>
      <c r="BM804" s="101"/>
      <c r="BN804" s="101"/>
      <c r="BO804" s="163"/>
      <c r="BP804" s="101"/>
      <c r="BQ804" s="101"/>
      <c r="BR804" s="99"/>
      <c r="BV804" s="101"/>
      <c r="BW804" s="101"/>
    </row>
    <row r="805" spans="45:75" x14ac:dyDescent="0.3">
      <c r="AU805" s="99"/>
      <c r="AV805" s="102"/>
      <c r="AW805" s="110"/>
      <c r="AX805" s="163"/>
      <c r="AY805" s="163"/>
      <c r="AZ805" s="163"/>
      <c r="BA805" s="207"/>
      <c r="BB805" s="163"/>
      <c r="BC805" s="163"/>
      <c r="BD805" s="163"/>
      <c r="BE805" s="207"/>
      <c r="BG805" s="213"/>
      <c r="BH805" s="163"/>
      <c r="BI805" s="163"/>
      <c r="BJ805" s="163"/>
      <c r="BK805" s="213"/>
      <c r="BL805" s="214"/>
      <c r="BM805" s="163"/>
      <c r="BN805" s="213"/>
      <c r="BO805" s="163"/>
      <c r="BP805" s="213"/>
      <c r="BQ805" s="163"/>
      <c r="BR805" s="163"/>
      <c r="BS805" s="163"/>
      <c r="BT805" s="213"/>
      <c r="BU805" s="214"/>
      <c r="BV805" s="163"/>
      <c r="BW805" s="213"/>
    </row>
    <row r="806" spans="45:75" x14ac:dyDescent="0.3">
      <c r="AV806" s="102"/>
      <c r="AW806" s="110"/>
      <c r="AX806" s="163"/>
      <c r="AY806" s="163"/>
      <c r="AZ806" s="163"/>
      <c r="BA806" s="207"/>
      <c r="BB806" s="163"/>
      <c r="BC806" s="163"/>
      <c r="BD806" s="163"/>
      <c r="BE806" s="207"/>
      <c r="BG806" s="163"/>
      <c r="BH806" s="163"/>
      <c r="BI806" s="163"/>
      <c r="BJ806" s="163"/>
      <c r="BK806" s="163"/>
      <c r="BL806" s="214"/>
      <c r="BM806" s="163"/>
      <c r="BN806" s="163"/>
      <c r="BO806" s="163"/>
      <c r="BP806" s="163"/>
      <c r="BQ806" s="163"/>
      <c r="BR806" s="163"/>
      <c r="BS806" s="163"/>
      <c r="BT806" s="163"/>
      <c r="BU806" s="214"/>
      <c r="BV806" s="163"/>
      <c r="BW806" s="163"/>
    </row>
    <row r="807" spans="45:75" x14ac:dyDescent="0.3">
      <c r="AV807" s="102"/>
      <c r="AW807" s="110"/>
      <c r="AX807" s="163"/>
      <c r="AY807" s="163"/>
      <c r="AZ807" s="163"/>
      <c r="BA807" s="207"/>
      <c r="BB807" s="163"/>
      <c r="BC807" s="163"/>
      <c r="BD807" s="163"/>
      <c r="BE807" s="207"/>
      <c r="BG807" s="163"/>
      <c r="BH807" s="163"/>
      <c r="BI807" s="163"/>
      <c r="BJ807" s="163"/>
      <c r="BK807" s="163"/>
      <c r="BL807" s="214"/>
      <c r="BM807" s="163"/>
      <c r="BN807" s="163"/>
      <c r="BO807" s="163"/>
      <c r="BP807" s="163"/>
      <c r="BQ807" s="163"/>
      <c r="BR807" s="163"/>
      <c r="BS807" s="163"/>
      <c r="BT807" s="163"/>
      <c r="BU807" s="214"/>
      <c r="BV807" s="163"/>
      <c r="BW807" s="163"/>
    </row>
    <row r="808" spans="45:75" x14ac:dyDescent="0.3">
      <c r="AV808" s="102"/>
      <c r="AW808" s="110"/>
      <c r="AX808" s="163"/>
      <c r="AY808" s="163"/>
      <c r="AZ808" s="163"/>
      <c r="BA808" s="207"/>
      <c r="BB808" s="163"/>
      <c r="BC808" s="163"/>
      <c r="BD808" s="163"/>
      <c r="BE808" s="207"/>
      <c r="BG808" s="163"/>
      <c r="BH808" s="163"/>
      <c r="BI808" s="163"/>
      <c r="BJ808" s="163"/>
      <c r="BK808" s="163"/>
      <c r="BL808" s="214"/>
      <c r="BM808" s="163"/>
      <c r="BN808" s="163"/>
      <c r="BO808" s="163"/>
      <c r="BP808" s="163"/>
      <c r="BQ808" s="163"/>
      <c r="BR808" s="163"/>
      <c r="BS808" s="163"/>
      <c r="BT808" s="163"/>
      <c r="BU808" s="214"/>
      <c r="BV808" s="163"/>
      <c r="BW808" s="163"/>
    </row>
    <row r="809" spans="45:75" x14ac:dyDescent="0.3">
      <c r="AX809" s="163"/>
      <c r="AY809" s="163"/>
      <c r="AZ809" s="163"/>
      <c r="BA809" s="207"/>
      <c r="BB809" s="163"/>
      <c r="BC809" s="163"/>
      <c r="BD809" s="163"/>
      <c r="BE809" s="207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</row>
    <row r="810" spans="45:75" x14ac:dyDescent="0.3">
      <c r="AU810" s="99"/>
    </row>
    <row r="811" spans="45:75" x14ac:dyDescent="0.3">
      <c r="AU811" s="99"/>
      <c r="AZ811" s="163"/>
      <c r="BA811" s="207"/>
      <c r="BB811" s="163"/>
      <c r="BC811" s="163"/>
      <c r="BD811" s="163"/>
      <c r="BE811" s="207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</row>
    <row r="812" spans="45:75" x14ac:dyDescent="0.3">
      <c r="AS812" s="99"/>
      <c r="AZ812" s="163"/>
      <c r="BB812" s="163"/>
    </row>
    <row r="813" spans="45:75" x14ac:dyDescent="0.3">
      <c r="AZ813" s="163"/>
      <c r="BB813" s="163"/>
      <c r="BO813" s="163"/>
      <c r="BP813" s="163"/>
      <c r="BQ813" s="163"/>
      <c r="BR813" s="163"/>
      <c r="BS813" s="163"/>
      <c r="BT813" s="163"/>
      <c r="BU813" s="163"/>
      <c r="BV813" s="163"/>
    </row>
    <row r="814" spans="45:75" x14ac:dyDescent="0.3">
      <c r="AY814" s="163"/>
      <c r="AZ814" s="163"/>
      <c r="BB814" s="163"/>
      <c r="BO814" s="163"/>
      <c r="BP814" s="163"/>
      <c r="BQ814" s="163"/>
      <c r="BR814" s="163"/>
      <c r="BS814" s="163"/>
      <c r="BT814" s="163"/>
      <c r="BU814" s="163"/>
      <c r="BV814" s="163"/>
    </row>
    <row r="815" spans="45:75" x14ac:dyDescent="0.3">
      <c r="AY815" s="99"/>
      <c r="AZ815" s="163"/>
      <c r="BB815" s="163"/>
      <c r="BO815" s="163"/>
      <c r="BP815" s="163"/>
      <c r="BQ815" s="163"/>
      <c r="BR815" s="163"/>
      <c r="BS815" s="163"/>
      <c r="BT815" s="163"/>
      <c r="BU815" s="163"/>
      <c r="BV815" s="163"/>
    </row>
    <row r="816" spans="45:75" x14ac:dyDescent="0.3">
      <c r="AY816" s="99"/>
      <c r="AZ816" s="163"/>
      <c r="BB816" s="163"/>
      <c r="BO816" s="163"/>
      <c r="BP816" s="163"/>
      <c r="BQ816" s="163"/>
      <c r="BR816" s="163"/>
      <c r="BS816" s="163"/>
      <c r="BT816" s="163"/>
      <c r="BU816" s="163"/>
      <c r="BV816" s="163"/>
    </row>
    <row r="817" spans="45:74" x14ac:dyDescent="0.3">
      <c r="AZ817" s="163"/>
      <c r="BB817" s="163"/>
      <c r="BD817" s="99"/>
      <c r="BO817" s="163"/>
      <c r="BP817" s="163"/>
      <c r="BQ817" s="163"/>
      <c r="BR817" s="163"/>
      <c r="BS817" s="163"/>
      <c r="BT817" s="163"/>
      <c r="BU817" s="163"/>
      <c r="BV817" s="163"/>
    </row>
    <row r="818" spans="45:74" x14ac:dyDescent="0.3">
      <c r="AZ818" s="163"/>
      <c r="BB818" s="163"/>
      <c r="BD818" s="99"/>
      <c r="BO818" s="163"/>
      <c r="BP818" s="163"/>
      <c r="BQ818" s="163"/>
      <c r="BR818" s="163"/>
      <c r="BS818" s="163"/>
      <c r="BT818" s="163"/>
      <c r="BU818" s="163"/>
      <c r="BV818" s="163"/>
    </row>
    <row r="819" spans="45:74" x14ac:dyDescent="0.3">
      <c r="AS819" s="99"/>
      <c r="AZ819" s="163"/>
      <c r="BB819" s="163"/>
      <c r="BD819" s="99"/>
      <c r="BO819" s="163"/>
      <c r="BP819" s="163"/>
      <c r="BQ819" s="163"/>
      <c r="BR819" s="163"/>
      <c r="BS819" s="163"/>
      <c r="BT819" s="163"/>
      <c r="BU819" s="163"/>
      <c r="BV819" s="163"/>
    </row>
    <row r="820" spans="45:74" x14ac:dyDescent="0.3">
      <c r="AZ820" s="163"/>
      <c r="BB820" s="163"/>
      <c r="BO820" s="163"/>
      <c r="BP820" s="163"/>
      <c r="BQ820" s="163"/>
      <c r="BR820" s="163"/>
      <c r="BS820" s="163"/>
      <c r="BT820" s="163"/>
      <c r="BU820" s="163"/>
      <c r="BV820" s="163"/>
    </row>
    <row r="821" spans="45:74" x14ac:dyDescent="0.3">
      <c r="AS821" s="101"/>
      <c r="AT821" s="101"/>
      <c r="AU821" s="101"/>
      <c r="AV821" s="101"/>
      <c r="AW821" s="101"/>
      <c r="AX821" s="101"/>
      <c r="AY821" s="101"/>
      <c r="AZ821" s="212"/>
      <c r="BA821" s="101"/>
      <c r="BB821" s="212"/>
      <c r="BC821" s="101"/>
      <c r="BD821" s="101"/>
      <c r="BE821" s="101"/>
      <c r="BO821" s="163"/>
      <c r="BP821" s="163"/>
      <c r="BQ821" s="163"/>
      <c r="BR821" s="163"/>
      <c r="BS821" s="163"/>
      <c r="BT821" s="163"/>
      <c r="BU821" s="163"/>
      <c r="BV821" s="163"/>
    </row>
    <row r="822" spans="45:74" x14ac:dyDescent="0.3">
      <c r="AX822" s="99"/>
      <c r="AZ822" s="163"/>
      <c r="BB822" s="163"/>
      <c r="BO822" s="163"/>
      <c r="BP822" s="163"/>
      <c r="BQ822" s="163"/>
      <c r="BR822" s="163"/>
      <c r="BS822" s="163"/>
      <c r="BT822" s="163"/>
      <c r="BU822" s="163"/>
      <c r="BV822" s="163"/>
    </row>
    <row r="823" spans="45:74" x14ac:dyDescent="0.3">
      <c r="AX823" s="101"/>
      <c r="AY823" s="101"/>
      <c r="AZ823" s="212"/>
      <c r="BA823" s="101"/>
      <c r="BB823" s="163"/>
      <c r="BC823" s="102"/>
      <c r="BD823" s="102"/>
      <c r="BO823" s="163"/>
      <c r="BP823" s="163"/>
      <c r="BQ823" s="163"/>
      <c r="BR823" s="163"/>
      <c r="BS823" s="163"/>
      <c r="BT823" s="163"/>
      <c r="BU823" s="163"/>
      <c r="BV823" s="163"/>
    </row>
    <row r="824" spans="45:74" x14ac:dyDescent="0.3">
      <c r="AV824" s="102"/>
      <c r="AW824" s="102"/>
      <c r="AZ824" s="213"/>
      <c r="BA824" s="102"/>
      <c r="BB824" s="163"/>
      <c r="BC824" s="102"/>
      <c r="BD824" s="102"/>
      <c r="BE824" s="102"/>
      <c r="BG824" s="101"/>
      <c r="BH824" s="99"/>
      <c r="BK824" s="101"/>
      <c r="BM824" s="101"/>
      <c r="BN824" s="99"/>
      <c r="BQ824" s="101"/>
    </row>
    <row r="825" spans="45:74" x14ac:dyDescent="0.3">
      <c r="AV825" s="102"/>
      <c r="AW825" s="102"/>
      <c r="AX825" s="102"/>
      <c r="AY825" s="102"/>
      <c r="AZ825" s="213"/>
      <c r="BA825" s="102"/>
      <c r="BB825" s="213"/>
      <c r="BC825" s="102"/>
      <c r="BD825" s="102"/>
      <c r="BE825" s="102"/>
      <c r="BH825" s="102"/>
      <c r="BI825" s="102"/>
      <c r="BN825" s="102"/>
      <c r="BO825" s="102"/>
    </row>
    <row r="826" spans="45:74" x14ac:dyDescent="0.3">
      <c r="AS826" s="102"/>
      <c r="AU826" s="99"/>
      <c r="AV826" s="102"/>
      <c r="AW826" s="102"/>
      <c r="AX826" s="102"/>
      <c r="AY826" s="102"/>
      <c r="AZ826" s="213"/>
      <c r="BA826" s="102"/>
      <c r="BB826" s="213"/>
      <c r="BC826" s="102"/>
      <c r="BD826" s="102"/>
      <c r="BE826" s="102"/>
      <c r="BG826" s="102"/>
      <c r="BH826" s="102"/>
      <c r="BI826" s="102"/>
      <c r="BJ826" s="102"/>
      <c r="BK826" s="102"/>
      <c r="BM826" s="102"/>
      <c r="BN826" s="102"/>
      <c r="BO826" s="102"/>
      <c r="BP826" s="102"/>
      <c r="BQ826" s="102"/>
    </row>
    <row r="827" spans="45:74" x14ac:dyDescent="0.3">
      <c r="AS827" s="102"/>
      <c r="AU827" s="99"/>
      <c r="AV827" s="102"/>
      <c r="AW827" s="102"/>
      <c r="AX827" s="102"/>
      <c r="AY827" s="102"/>
      <c r="AZ827" s="213"/>
      <c r="BA827" s="102"/>
      <c r="BB827" s="213"/>
      <c r="BC827" s="102"/>
      <c r="BD827" s="102"/>
      <c r="BE827" s="102"/>
      <c r="BG827" s="102"/>
      <c r="BH827" s="102"/>
      <c r="BI827" s="102"/>
      <c r="BJ827" s="102"/>
      <c r="BK827" s="102"/>
      <c r="BM827" s="102"/>
      <c r="BN827" s="102"/>
      <c r="BO827" s="102"/>
      <c r="BP827" s="102"/>
      <c r="BQ827" s="102"/>
    </row>
    <row r="828" spans="45:74" x14ac:dyDescent="0.3">
      <c r="AS828" s="101"/>
      <c r="AT828" s="101"/>
      <c r="AU828" s="101"/>
      <c r="AV828" s="101"/>
      <c r="AW828" s="101"/>
      <c r="AX828" s="101"/>
      <c r="AY828" s="101"/>
      <c r="AZ828" s="212"/>
      <c r="BA828" s="101"/>
      <c r="BB828" s="212"/>
      <c r="BC828" s="101"/>
      <c r="BD828" s="101"/>
      <c r="BE828" s="101"/>
      <c r="BG828" s="101"/>
      <c r="BH828" s="101"/>
      <c r="BI828" s="101"/>
      <c r="BJ828" s="101"/>
      <c r="BK828" s="101"/>
      <c r="BM828" s="101"/>
      <c r="BN828" s="101"/>
      <c r="BO828" s="101"/>
      <c r="BP828" s="101"/>
      <c r="BQ828" s="101"/>
    </row>
    <row r="829" spans="45:74" x14ac:dyDescent="0.3">
      <c r="AV829" s="102"/>
      <c r="AW829" s="102"/>
      <c r="AX829" s="102"/>
      <c r="AY829" s="102"/>
      <c r="AZ829" s="213"/>
      <c r="BA829" s="102"/>
      <c r="BB829" s="213"/>
      <c r="BC829" s="102"/>
      <c r="BD829" s="102"/>
      <c r="BE829" s="102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</row>
    <row r="830" spans="45:74" x14ac:dyDescent="0.3">
      <c r="AT830" s="99"/>
      <c r="AV830" s="110"/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</row>
    <row r="831" spans="45:74" x14ac:dyDescent="0.3"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</row>
    <row r="832" spans="45:74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</row>
    <row r="833" spans="48:71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</row>
    <row r="834" spans="48:71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</row>
    <row r="835" spans="48:71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</row>
    <row r="836" spans="48:71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</row>
    <row r="837" spans="48:71" x14ac:dyDescent="0.3">
      <c r="AV837" s="110"/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</row>
    <row r="838" spans="48:71" x14ac:dyDescent="0.3"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</row>
    <row r="839" spans="48:71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</row>
    <row r="840" spans="48:71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</row>
    <row r="841" spans="48:71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</row>
    <row r="842" spans="48:71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</row>
    <row r="843" spans="48:71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</row>
    <row r="844" spans="48:71" x14ac:dyDescent="0.3">
      <c r="AV844" s="110"/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</row>
    <row r="845" spans="48:71" x14ac:dyDescent="0.3">
      <c r="AV845" s="110"/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</row>
    <row r="846" spans="48:71" x14ac:dyDescent="0.3"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</row>
    <row r="847" spans="48:71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</row>
    <row r="848" spans="48:71" x14ac:dyDescent="0.3">
      <c r="AZ848" s="163"/>
      <c r="BB848" s="163"/>
      <c r="BC848" s="163"/>
      <c r="BD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</row>
    <row r="849" spans="46:57" x14ac:dyDescent="0.3">
      <c r="AT849" s="99"/>
      <c r="AV849" s="110"/>
      <c r="AW849" s="110"/>
      <c r="AX849" s="163"/>
      <c r="AY849" s="163"/>
      <c r="AZ849" s="163"/>
      <c r="BA849" s="207"/>
      <c r="BB849" s="163"/>
      <c r="BC849" s="163"/>
      <c r="BD849" s="163"/>
      <c r="BE849" s="207"/>
    </row>
    <row r="850" spans="46:57" x14ac:dyDescent="0.3">
      <c r="AV850" s="110"/>
      <c r="AW850" s="110"/>
      <c r="AX850" s="163"/>
      <c r="AY850" s="163"/>
      <c r="AZ850" s="163"/>
      <c r="BA850" s="207"/>
      <c r="BB850" s="163"/>
      <c r="BC850" s="163"/>
      <c r="BD850" s="163"/>
      <c r="BE850" s="207"/>
    </row>
    <row r="851" spans="46:57" x14ac:dyDescent="0.3">
      <c r="AV851" s="110"/>
      <c r="AW851" s="110"/>
      <c r="AX851" s="163"/>
      <c r="AY851" s="163"/>
      <c r="AZ851" s="163"/>
      <c r="BA851" s="207"/>
      <c r="BB851" s="163"/>
      <c r="BC851" s="163"/>
      <c r="BD851" s="163"/>
      <c r="BE851" s="207"/>
    </row>
    <row r="852" spans="46:57" x14ac:dyDescent="0.3">
      <c r="AV852" s="110"/>
      <c r="AW852" s="110"/>
      <c r="AX852" s="163"/>
      <c r="AY852" s="163"/>
      <c r="AZ852" s="163"/>
      <c r="BA852" s="207"/>
      <c r="BB852" s="163"/>
      <c r="BC852" s="163"/>
      <c r="BD852" s="163"/>
      <c r="BE852" s="207"/>
    </row>
    <row r="853" spans="46:57" x14ac:dyDescent="0.3">
      <c r="AV853" s="110"/>
      <c r="AW853" s="110"/>
      <c r="AX853" s="163"/>
      <c r="AY853" s="163"/>
      <c r="AZ853" s="163"/>
      <c r="BA853" s="207"/>
      <c r="BB853" s="163"/>
      <c r="BC853" s="163"/>
      <c r="BD853" s="163"/>
      <c r="BE853" s="207"/>
    </row>
    <row r="854" spans="46:57" x14ac:dyDescent="0.3">
      <c r="AV854" s="110"/>
      <c r="AW854" s="110"/>
      <c r="AX854" s="163"/>
      <c r="AY854" s="163"/>
      <c r="AZ854" s="163"/>
      <c r="BA854" s="207"/>
      <c r="BB854" s="163"/>
      <c r="BC854" s="163"/>
      <c r="BD854" s="163"/>
      <c r="BE854" s="207"/>
    </row>
    <row r="855" spans="46:57" x14ac:dyDescent="0.3">
      <c r="AV855" s="110"/>
      <c r="AW855" s="110"/>
      <c r="AX855" s="163"/>
      <c r="AY855" s="163"/>
      <c r="AZ855" s="163"/>
      <c r="BA855" s="207"/>
      <c r="BB855" s="163"/>
      <c r="BC855" s="163"/>
      <c r="BD855" s="163"/>
      <c r="BE855" s="207"/>
    </row>
    <row r="856" spans="46:57" x14ac:dyDescent="0.3">
      <c r="AV856" s="110"/>
      <c r="AW856" s="110"/>
      <c r="AX856" s="163"/>
      <c r="AY856" s="163"/>
      <c r="AZ856" s="163"/>
      <c r="BA856" s="207"/>
      <c r="BB856" s="163"/>
      <c r="BC856" s="163"/>
      <c r="BD856" s="163"/>
      <c r="BE856" s="207"/>
    </row>
    <row r="857" spans="46:57" x14ac:dyDescent="0.3">
      <c r="AV857" s="110"/>
      <c r="AW857" s="110"/>
      <c r="AX857" s="163"/>
      <c r="AY857" s="163"/>
      <c r="AZ857" s="163"/>
      <c r="BA857" s="207"/>
      <c r="BB857" s="163"/>
      <c r="BC857" s="163"/>
      <c r="BD857" s="163"/>
      <c r="BE857" s="207"/>
    </row>
    <row r="858" spans="46:57" x14ac:dyDescent="0.3">
      <c r="AV858" s="110"/>
      <c r="AW858" s="110"/>
      <c r="AX858" s="163"/>
      <c r="AY858" s="163"/>
      <c r="AZ858" s="163"/>
      <c r="BA858" s="207"/>
      <c r="BB858" s="163"/>
      <c r="BC858" s="163"/>
      <c r="BD858" s="163"/>
      <c r="BE858" s="207"/>
    </row>
    <row r="859" spans="46:57" x14ac:dyDescent="0.3">
      <c r="AV859" s="110"/>
      <c r="AW859" s="110"/>
      <c r="AX859" s="163"/>
      <c r="AY859" s="163"/>
      <c r="AZ859" s="163"/>
      <c r="BA859" s="207"/>
      <c r="BB859" s="163"/>
      <c r="BC859" s="163"/>
      <c r="BD859" s="163"/>
      <c r="BE859" s="207"/>
    </row>
    <row r="860" spans="46:57" x14ac:dyDescent="0.3">
      <c r="AV860" s="110"/>
      <c r="AW860" s="110"/>
      <c r="AX860" s="163"/>
      <c r="AY860" s="163"/>
      <c r="AZ860" s="163"/>
      <c r="BA860" s="207"/>
      <c r="BB860" s="163"/>
      <c r="BC860" s="163"/>
      <c r="BD860" s="163"/>
      <c r="BE860" s="207"/>
    </row>
    <row r="861" spans="46:57" x14ac:dyDescent="0.3">
      <c r="AV861" s="110"/>
      <c r="AW861" s="110"/>
      <c r="AX861" s="163"/>
      <c r="AY861" s="163"/>
      <c r="AZ861" s="163"/>
      <c r="BA861" s="207"/>
      <c r="BB861" s="163"/>
      <c r="BC861" s="163"/>
      <c r="BD861" s="163"/>
      <c r="BE861" s="207"/>
    </row>
    <row r="862" spans="46:57" x14ac:dyDescent="0.3">
      <c r="AV862" s="110"/>
      <c r="AW862" s="110"/>
      <c r="AX862" s="163"/>
      <c r="AY862" s="163"/>
      <c r="AZ862" s="163"/>
      <c r="BA862" s="207"/>
      <c r="BB862" s="163"/>
      <c r="BC862" s="163"/>
      <c r="BD862" s="163"/>
      <c r="BE862" s="207"/>
    </row>
    <row r="863" spans="46:57" x14ac:dyDescent="0.3">
      <c r="AV863" s="110"/>
      <c r="AW863" s="110"/>
      <c r="AX863" s="163"/>
      <c r="AY863" s="163"/>
      <c r="AZ863" s="163"/>
      <c r="BA863" s="207"/>
      <c r="BB863" s="163"/>
      <c r="BC863" s="163"/>
      <c r="BD863" s="163"/>
      <c r="BE863" s="207"/>
    </row>
    <row r="864" spans="46:57" x14ac:dyDescent="0.3">
      <c r="AV864" s="110"/>
      <c r="AW864" s="110"/>
      <c r="AX864" s="163"/>
      <c r="AY864" s="163"/>
      <c r="AZ864" s="163"/>
      <c r="BA864" s="207"/>
      <c r="BB864" s="163"/>
      <c r="BC864" s="163"/>
      <c r="BD864" s="163"/>
      <c r="BE864" s="207"/>
    </row>
    <row r="865" spans="45:57" x14ac:dyDescent="0.3">
      <c r="AV865" s="110"/>
      <c r="AW865" s="110"/>
      <c r="AX865" s="163"/>
      <c r="AY865" s="163"/>
      <c r="AZ865" s="163"/>
      <c r="BA865" s="207"/>
      <c r="BB865" s="163"/>
      <c r="BC865" s="163"/>
      <c r="BD865" s="163"/>
      <c r="BE865" s="207"/>
    </row>
    <row r="866" spans="45:57" x14ac:dyDescent="0.3">
      <c r="AV866" s="110"/>
      <c r="AW866" s="110"/>
      <c r="AX866" s="163"/>
      <c r="AY866" s="163"/>
      <c r="AZ866" s="163"/>
      <c r="BA866" s="207"/>
      <c r="BB866" s="163"/>
      <c r="BC866" s="163"/>
      <c r="BD866" s="163"/>
      <c r="BE866" s="207"/>
    </row>
    <row r="867" spans="45:57" x14ac:dyDescent="0.3">
      <c r="BB867" s="163"/>
    </row>
    <row r="868" spans="45:57" x14ac:dyDescent="0.3">
      <c r="AU868" s="99"/>
      <c r="BB868" s="163"/>
    </row>
    <row r="869" spans="45:57" x14ac:dyDescent="0.3">
      <c r="AU869" s="99"/>
    </row>
    <row r="870" spans="45:57" x14ac:dyDescent="0.3">
      <c r="AU870" s="99"/>
      <c r="BB870" s="163"/>
    </row>
    <row r="871" spans="45:57" x14ac:dyDescent="0.3">
      <c r="AS871" s="99"/>
      <c r="AZ871" s="163"/>
      <c r="BB871" s="163"/>
    </row>
    <row r="872" spans="45:57" x14ac:dyDescent="0.3">
      <c r="AZ872" s="163"/>
      <c r="BB872" s="163"/>
    </row>
    <row r="873" spans="45:57" x14ac:dyDescent="0.3">
      <c r="AY873" s="163"/>
      <c r="AZ873" s="163"/>
      <c r="BB873" s="163"/>
    </row>
    <row r="874" spans="45:57" x14ac:dyDescent="0.3">
      <c r="AY874" s="99"/>
      <c r="AZ874" s="163"/>
      <c r="BB874" s="163"/>
    </row>
    <row r="875" spans="45:57" x14ac:dyDescent="0.3">
      <c r="AY875" s="99"/>
      <c r="AZ875" s="163"/>
      <c r="BB875" s="163"/>
    </row>
    <row r="876" spans="45:57" x14ac:dyDescent="0.3">
      <c r="AZ876" s="163"/>
      <c r="BB876" s="163"/>
      <c r="BD876" s="99"/>
    </row>
    <row r="877" spans="45:57" x14ac:dyDescent="0.3">
      <c r="AZ877" s="163"/>
      <c r="BB877" s="163"/>
      <c r="BD877" s="99"/>
    </row>
    <row r="878" spans="45:57" x14ac:dyDescent="0.3">
      <c r="AS878" s="99"/>
      <c r="AZ878" s="163"/>
      <c r="BB878" s="163"/>
      <c r="BD878" s="99"/>
    </row>
    <row r="879" spans="45:57" x14ac:dyDescent="0.3">
      <c r="AZ879" s="163"/>
      <c r="BB879" s="163"/>
    </row>
    <row r="880" spans="45:57" x14ac:dyDescent="0.3">
      <c r="AS880" s="101"/>
      <c r="AT880" s="101"/>
      <c r="AU880" s="101"/>
      <c r="AV880" s="101"/>
      <c r="AW880" s="101"/>
      <c r="AX880" s="101"/>
      <c r="AY880" s="101"/>
      <c r="AZ880" s="212"/>
      <c r="BA880" s="101"/>
      <c r="BB880" s="212"/>
      <c r="BC880" s="101"/>
      <c r="BD880" s="101"/>
      <c r="BE880" s="101"/>
    </row>
    <row r="881" spans="45:57" x14ac:dyDescent="0.3">
      <c r="AX881" s="99"/>
      <c r="AZ881" s="163"/>
      <c r="BB881" s="163"/>
    </row>
    <row r="882" spans="45:57" x14ac:dyDescent="0.3">
      <c r="AX882" s="101"/>
      <c r="AY882" s="101"/>
      <c r="AZ882" s="212"/>
      <c r="BA882" s="101"/>
      <c r="BB882" s="163"/>
      <c r="BC882" s="102"/>
      <c r="BD882" s="102"/>
    </row>
    <row r="883" spans="45:57" x14ac:dyDescent="0.3">
      <c r="AV883" s="102"/>
      <c r="AW883" s="102"/>
      <c r="AZ883" s="213"/>
      <c r="BA883" s="102"/>
      <c r="BB883" s="163"/>
      <c r="BC883" s="102"/>
      <c r="BD883" s="102"/>
      <c r="BE883" s="102"/>
    </row>
    <row r="884" spans="45:57" x14ac:dyDescent="0.3">
      <c r="AV884" s="102"/>
      <c r="AW884" s="102"/>
      <c r="AX884" s="102"/>
      <c r="AY884" s="102"/>
      <c r="AZ884" s="213"/>
      <c r="BA884" s="102"/>
      <c r="BB884" s="213"/>
      <c r="BC884" s="102"/>
      <c r="BD884" s="102"/>
      <c r="BE884" s="102"/>
    </row>
    <row r="885" spans="45:57" x14ac:dyDescent="0.3">
      <c r="AS885" s="102"/>
      <c r="AU885" s="99"/>
      <c r="AV885" s="102"/>
      <c r="AW885" s="102"/>
      <c r="AX885" s="102"/>
      <c r="AY885" s="102"/>
      <c r="AZ885" s="213"/>
      <c r="BA885" s="102"/>
      <c r="BB885" s="213"/>
      <c r="BC885" s="102"/>
      <c r="BD885" s="102"/>
      <c r="BE885" s="102"/>
    </row>
    <row r="886" spans="45:57" x14ac:dyDescent="0.3">
      <c r="AS886" s="102"/>
      <c r="AU886" s="99"/>
      <c r="AV886" s="102"/>
      <c r="AW886" s="102"/>
      <c r="AX886" s="102"/>
      <c r="AY886" s="102"/>
      <c r="AZ886" s="213"/>
      <c r="BA886" s="102"/>
      <c r="BB886" s="213"/>
      <c r="BC886" s="102"/>
      <c r="BD886" s="102"/>
      <c r="BE886" s="102"/>
    </row>
    <row r="887" spans="45:57" x14ac:dyDescent="0.3">
      <c r="AS887" s="101"/>
      <c r="AT887" s="101"/>
      <c r="AU887" s="101"/>
      <c r="AV887" s="101"/>
      <c r="AW887" s="101"/>
      <c r="AX887" s="101"/>
      <c r="AY887" s="101"/>
      <c r="AZ887" s="212"/>
      <c r="BA887" s="101"/>
      <c r="BB887" s="212"/>
      <c r="BC887" s="101"/>
      <c r="BD887" s="101"/>
      <c r="BE887" s="101"/>
    </row>
    <row r="888" spans="45:57" x14ac:dyDescent="0.3">
      <c r="AV888" s="102"/>
      <c r="AW888" s="102"/>
      <c r="AX888" s="102"/>
      <c r="AY888" s="102"/>
      <c r="AZ888" s="213"/>
      <c r="BA888" s="102"/>
      <c r="BB888" s="213"/>
      <c r="BC888" s="102"/>
      <c r="BD888" s="102"/>
      <c r="BE888" s="102"/>
    </row>
    <row r="889" spans="45:57" x14ac:dyDescent="0.3">
      <c r="AT889" s="99"/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5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5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5:57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5:57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5:57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5:57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5:57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6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6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6:57" x14ac:dyDescent="0.3">
      <c r="AV899" s="110"/>
      <c r="AW899" s="110"/>
      <c r="BB899" s="163"/>
    </row>
    <row r="900" spans="46:57" x14ac:dyDescent="0.3">
      <c r="AT900" s="99"/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6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6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6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6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6:57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6:57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6:57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6:57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6:57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1" spans="46:57" x14ac:dyDescent="0.3">
      <c r="AU911" s="99"/>
    </row>
    <row r="912" spans="46:57" x14ac:dyDescent="0.3">
      <c r="AU912" s="99"/>
    </row>
    <row r="913" spans="45:47" x14ac:dyDescent="0.3">
      <c r="AU913" s="99"/>
    </row>
    <row r="914" spans="45:47" x14ac:dyDescent="0.3">
      <c r="AS914" s="99"/>
    </row>
    <row r="935" spans="52:71" x14ac:dyDescent="0.3">
      <c r="AZ935" s="163"/>
      <c r="BB935" s="163"/>
      <c r="BC935" s="163"/>
      <c r="BD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</row>
    <row r="936" spans="52:71" x14ac:dyDescent="0.3">
      <c r="AZ936" s="163"/>
      <c r="BB936" s="163"/>
      <c r="BC936" s="163"/>
      <c r="BD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</row>
    <row r="937" spans="52:71" x14ac:dyDescent="0.3">
      <c r="AZ937" s="163"/>
      <c r="BB937" s="163"/>
      <c r="BC937" s="163"/>
      <c r="BD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</row>
    <row r="938" spans="52:71" x14ac:dyDescent="0.3">
      <c r="AZ938" s="163"/>
      <c r="BB938" s="163"/>
      <c r="BC938" s="163"/>
      <c r="BD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</row>
    <row r="939" spans="52:71" x14ac:dyDescent="0.3">
      <c r="AZ939" s="163"/>
      <c r="BB939" s="163"/>
      <c r="BC939" s="163"/>
      <c r="BD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</row>
    <row r="940" spans="52:71" x14ac:dyDescent="0.3">
      <c r="AZ940" s="163"/>
      <c r="BB940" s="163"/>
      <c r="BC940" s="163"/>
      <c r="BD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</row>
    <row r="941" spans="52:71" x14ac:dyDescent="0.3">
      <c r="AZ941" s="163"/>
      <c r="BB941" s="163"/>
      <c r="BC941" s="163"/>
      <c r="BD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</row>
    <row r="942" spans="52:71" x14ac:dyDescent="0.3">
      <c r="AZ942" s="163"/>
      <c r="BB942" s="163"/>
      <c r="BC942" s="163"/>
      <c r="BD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</row>
    <row r="943" spans="52:71" x14ac:dyDescent="0.3">
      <c r="AZ943" s="163"/>
      <c r="BB943" s="163"/>
      <c r="BC943" s="163"/>
      <c r="BD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</row>
    <row r="944" spans="52:71" x14ac:dyDescent="0.3">
      <c r="AZ944" s="163"/>
      <c r="BB944" s="163"/>
      <c r="BC944" s="163"/>
      <c r="BD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</row>
    <row r="945" spans="52:71" x14ac:dyDescent="0.3">
      <c r="AZ945" s="163"/>
      <c r="BB945" s="163"/>
      <c r="BC945" s="163"/>
      <c r="BD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</row>
    <row r="946" spans="52:71" x14ac:dyDescent="0.3">
      <c r="AZ946" s="163"/>
      <c r="BB946" s="163"/>
      <c r="BC946" s="163"/>
      <c r="BD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</row>
    <row r="947" spans="52:71" x14ac:dyDescent="0.3">
      <c r="AZ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</row>
    <row r="948" spans="52:71" x14ac:dyDescent="0.3">
      <c r="AZ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</row>
    <row r="949" spans="52:71" x14ac:dyDescent="0.3">
      <c r="AZ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</row>
    <row r="950" spans="52:71" x14ac:dyDescent="0.3">
      <c r="AZ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</row>
    <row r="951" spans="52:71" x14ac:dyDescent="0.3">
      <c r="AZ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</row>
    <row r="952" spans="52:71" x14ac:dyDescent="0.3">
      <c r="AZ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</row>
    <row r="953" spans="52:71" x14ac:dyDescent="0.3">
      <c r="AZ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</row>
    <row r="954" spans="52:71" x14ac:dyDescent="0.3">
      <c r="AZ954" s="163"/>
    </row>
    <row r="955" spans="52:71" x14ac:dyDescent="0.3">
      <c r="AZ955" s="163"/>
    </row>
    <row r="969" spans="1:28" x14ac:dyDescent="0.3">
      <c r="A969" s="99"/>
    </row>
    <row r="972" spans="1:28" x14ac:dyDescent="0.3">
      <c r="Y972" s="99"/>
    </row>
    <row r="973" spans="1:28" x14ac:dyDescent="0.3">
      <c r="A973" s="99"/>
      <c r="H973" s="99"/>
      <c r="I973" s="99"/>
    </row>
    <row r="974" spans="1:28" x14ac:dyDescent="0.3">
      <c r="A974" s="99"/>
      <c r="V974" s="102"/>
      <c r="AA974" s="102"/>
      <c r="AB974" s="102"/>
    </row>
    <row r="975" spans="1:28" x14ac:dyDescent="0.3">
      <c r="A975" s="99"/>
      <c r="V975" s="101"/>
      <c r="AA975" s="101"/>
      <c r="AB975" s="101"/>
    </row>
    <row r="976" spans="1:28" x14ac:dyDescent="0.3">
      <c r="A976" s="99"/>
      <c r="U976" s="99"/>
      <c r="AA976" s="102"/>
      <c r="AB976" s="102"/>
    </row>
    <row r="977" spans="1:28" x14ac:dyDescent="0.3">
      <c r="A977" s="99"/>
    </row>
    <row r="978" spans="1:28" x14ac:dyDescent="0.3">
      <c r="A978" s="99"/>
      <c r="U978" s="99"/>
      <c r="AA978" s="102"/>
      <c r="AB978" s="102"/>
    </row>
    <row r="979" spans="1:28" x14ac:dyDescent="0.3">
      <c r="A979" s="99"/>
    </row>
    <row r="980" spans="1:28" x14ac:dyDescent="0.3">
      <c r="A980" s="99"/>
      <c r="U980" s="99"/>
      <c r="V980" s="231"/>
      <c r="AA980" s="102"/>
      <c r="AB980" s="102"/>
    </row>
    <row r="981" spans="1:28" x14ac:dyDescent="0.3">
      <c r="A981" s="99"/>
    </row>
    <row r="982" spans="1:28" x14ac:dyDescent="0.3">
      <c r="A982" s="99"/>
      <c r="U982" s="99"/>
      <c r="AA982" s="102"/>
      <c r="AB982" s="102"/>
    </row>
    <row r="983" spans="1:28" x14ac:dyDescent="0.3">
      <c r="A983" s="99"/>
    </row>
    <row r="984" spans="1:28" x14ac:dyDescent="0.3">
      <c r="A984" s="99"/>
      <c r="U984" s="99"/>
      <c r="AA984" s="102"/>
      <c r="AB984" s="102"/>
    </row>
    <row r="985" spans="1:28" x14ac:dyDescent="0.3">
      <c r="A985" s="99"/>
    </row>
    <row r="986" spans="1:28" x14ac:dyDescent="0.3">
      <c r="A986" s="99"/>
    </row>
    <row r="987" spans="1:28" x14ac:dyDescent="0.3">
      <c r="A987" s="99"/>
    </row>
    <row r="988" spans="1:28" x14ac:dyDescent="0.3">
      <c r="A988" s="99"/>
    </row>
    <row r="989" spans="1:28" x14ac:dyDescent="0.3">
      <c r="A989" s="99"/>
    </row>
    <row r="990" spans="1:28" x14ac:dyDescent="0.3">
      <c r="A990" s="99"/>
    </row>
    <row r="991" spans="1:28" x14ac:dyDescent="0.3">
      <c r="A991" s="99"/>
    </row>
    <row r="992" spans="1:28" x14ac:dyDescent="0.3">
      <c r="A992" s="99"/>
    </row>
    <row r="993" spans="1:9" x14ac:dyDescent="0.3">
      <c r="A993" s="99"/>
    </row>
    <row r="994" spans="1:9" x14ac:dyDescent="0.3">
      <c r="A994" s="99"/>
    </row>
    <row r="995" spans="1:9" x14ac:dyDescent="0.3">
      <c r="A995" s="99"/>
      <c r="H995" s="99"/>
      <c r="I995" s="99"/>
    </row>
    <row r="998" spans="1:9" x14ac:dyDescent="0.3">
      <c r="A998" s="99"/>
    </row>
    <row r="1001" spans="1:9" x14ac:dyDescent="0.3">
      <c r="A1001" s="99"/>
    </row>
    <row r="1004" spans="1:9" x14ac:dyDescent="0.3">
      <c r="A1004" s="99"/>
    </row>
    <row r="1005" spans="1:9" x14ac:dyDescent="0.3">
      <c r="A1005" s="99"/>
    </row>
    <row r="1006" spans="1:9" x14ac:dyDescent="0.3">
      <c r="A1006" s="99"/>
    </row>
    <row r="1007" spans="1:9" x14ac:dyDescent="0.3">
      <c r="A1007" s="99"/>
    </row>
    <row r="1008" spans="1:9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1" spans="1:1" x14ac:dyDescent="0.3">
      <c r="A1021" s="99"/>
    </row>
    <row r="1022" spans="1:1" x14ac:dyDescent="0.3">
      <c r="A1022" s="99"/>
    </row>
    <row r="1023" spans="1:1" x14ac:dyDescent="0.3">
      <c r="A1023" s="99"/>
    </row>
    <row r="1024" spans="1:1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28" spans="1:1" x14ac:dyDescent="0.3">
      <c r="A1028" s="99"/>
    </row>
    <row r="1029" spans="1:1" x14ac:dyDescent="0.3">
      <c r="A1029" s="99"/>
    </row>
    <row r="1030" spans="1:1" x14ac:dyDescent="0.3">
      <c r="A1030" s="99"/>
    </row>
    <row r="1031" spans="1:1" x14ac:dyDescent="0.3">
      <c r="A1031" s="99"/>
    </row>
    <row r="1032" spans="1:1" x14ac:dyDescent="0.3">
      <c r="A1032" s="99"/>
    </row>
    <row r="1033" spans="1:1" x14ac:dyDescent="0.3">
      <c r="A1033" s="99"/>
    </row>
    <row r="1034" spans="1:1" x14ac:dyDescent="0.3">
      <c r="A1034" s="99"/>
    </row>
    <row r="1035" spans="1:1" x14ac:dyDescent="0.3">
      <c r="A1035" s="99"/>
    </row>
    <row r="1036" spans="1:1" x14ac:dyDescent="0.3">
      <c r="A1036" s="99"/>
    </row>
    <row r="1037" spans="1:1" x14ac:dyDescent="0.3">
      <c r="A1037" s="99"/>
    </row>
    <row r="1038" spans="1:1" x14ac:dyDescent="0.3">
      <c r="A1038" s="99"/>
    </row>
    <row r="1043" spans="1:1" x14ac:dyDescent="0.3">
      <c r="A1043" s="99"/>
    </row>
    <row r="1044" spans="1:1" x14ac:dyDescent="0.3">
      <c r="A1044" s="99"/>
    </row>
    <row r="1047" spans="1:1" x14ac:dyDescent="0.3">
      <c r="A1047" s="99"/>
    </row>
    <row r="1049" spans="1:1" x14ac:dyDescent="0.3">
      <c r="A1049" s="99"/>
    </row>
    <row r="1051" spans="1:1" x14ac:dyDescent="0.3">
      <c r="A1051" s="99"/>
    </row>
    <row r="1053" spans="1:1" x14ac:dyDescent="0.3">
      <c r="A1053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</sheetData>
  <customSheetViews>
    <customSheetView guid="{F562D92E-120C-4AE9-9663-89E64D41DC53}" scale="75" fitToPage="1" topLeftCell="T49">
      <selection activeCell="P40" sqref="P40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22">
      <selection activeCell="T33" sqref="T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pane xSplit="19.567567567567568" topLeftCell="V1"/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5"/>
      <headerFooter alignWithMargins="0"/>
    </customSheetView>
    <customSheetView guid="{8FB94551-8874-4095-B8FB-5316E0D2FD2C}" scale="75" fitToPage="1" showRuler="0">
      <pane xSplit="19.567567567567568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pane xSplit="19.567567567567568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pane xSplit="18.295081967213115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9"/>
      <headerFooter alignWithMargins="0"/>
    </customSheetView>
    <customSheetView guid="{4BC93440-BA85-4935-A8C9-66DC6AE5DE5E}" scale="75" fitToPage="1" showRuler="0" topLeftCell="AC77">
      <pane xSplit="15.38" topLeftCell="V1"/>
      <selection activeCell="R8" sqref="R8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6" orientation="landscape" r:id="rId10"/>
      <headerFooter alignWithMargins="0"/>
    </customSheetView>
    <customSheetView guid="{0C49E549-011E-46F4-A82E-2CC8951A9C1E}" scale="75" fitToPage="1" showRuler="0">
      <pane xSplit="11.484848484848484" topLeftCell="V1"/>
      <selection sqref="A1:R44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pane xSplit="11.212121212121213" topLeftCell="V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mergeCells count="1">
    <mergeCell ref="T48:AQ48"/>
  </mergeCells>
  <phoneticPr fontId="11" type="noConversion"/>
  <pageMargins left="0.5" right="0.5" top="1" bottom="0" header="0" footer="0"/>
  <pageSetup scale="65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syncVertical="1" syncRef="A1" transitionEvaluation="1" transitionEntry="1" codeName="Sheet23">
    <pageSetUpPr fitToPage="1"/>
  </sheetPr>
  <dimension ref="A1:BX1052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9.58203125" style="98" customWidth="1"/>
    <col min="5" max="5" width="0.332031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1.582031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7.7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5.58203125" style="98" customWidth="1"/>
    <col min="23" max="23" width="39.75" style="98" customWidth="1"/>
    <col min="24" max="24" width="1.582031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332031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16 OF "&amp;TEXT(Page_Num_2.3,"00")</f>
        <v>PAGE 16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34" t="str">
        <f>TIME</f>
        <v>6 Months Actual and 6 Months Projected with Riders</v>
      </c>
      <c r="N9" s="99"/>
      <c r="R9" s="98" t="str">
        <f>WIT</f>
        <v>B. L. Sailers</v>
      </c>
      <c r="AK9" s="190"/>
      <c r="AL9" s="99"/>
    </row>
    <row r="10" spans="1:40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T10" s="312"/>
      <c r="AA10" s="99"/>
      <c r="AB10" s="99"/>
    </row>
    <row r="11" spans="1:40" x14ac:dyDescent="0.3">
      <c r="A11" s="101"/>
      <c r="B11" s="101"/>
      <c r="C11" s="101"/>
      <c r="D11" s="101"/>
      <c r="E11" s="101"/>
      <c r="F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T11" s="192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91"/>
      <c r="AH11" s="101"/>
      <c r="AI11" s="101"/>
      <c r="AJ11" s="101"/>
      <c r="AK11" s="191"/>
      <c r="AL11" s="101"/>
      <c r="AM11" s="101"/>
      <c r="AN11" s="101"/>
    </row>
    <row r="12" spans="1:40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T12" s="228"/>
      <c r="Y12" s="102"/>
      <c r="AA12" s="102"/>
      <c r="AB12" s="102"/>
      <c r="AC12" s="102"/>
      <c r="AD12" s="102"/>
      <c r="AE12" s="102"/>
      <c r="AF12" s="102"/>
      <c r="AG12" s="151"/>
      <c r="AH12" s="102"/>
      <c r="AK12" s="151"/>
      <c r="AL12" s="102"/>
      <c r="AM12" s="102"/>
      <c r="AN12" s="102"/>
    </row>
    <row r="13" spans="1:40" x14ac:dyDescent="0.3">
      <c r="L13" s="102" t="s">
        <v>12</v>
      </c>
      <c r="M13" s="102"/>
      <c r="N13" s="102" t="s">
        <v>13</v>
      </c>
      <c r="O13" s="102"/>
      <c r="R13" s="102" t="s">
        <v>11</v>
      </c>
      <c r="T13" s="228"/>
      <c r="Y13" s="102"/>
      <c r="Z13" s="102"/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228"/>
      <c r="V14" s="102"/>
      <c r="Y14" s="102"/>
      <c r="Z14" s="102"/>
      <c r="AA14" s="102"/>
      <c r="AB14" s="102"/>
      <c r="AC14" s="102"/>
      <c r="AD14" s="102"/>
      <c r="AE14" s="102"/>
      <c r="AF14" s="102"/>
      <c r="AG14" s="151"/>
      <c r="AH14" s="102"/>
      <c r="AI14" s="102"/>
      <c r="AJ14" s="102"/>
      <c r="AK14" s="151"/>
      <c r="AL14" s="102"/>
      <c r="AM14" s="102"/>
      <c r="AN14" s="102"/>
    </row>
    <row r="15" spans="1:40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324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228"/>
      <c r="U15" s="97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T16" s="228"/>
      <c r="U16" s="99"/>
      <c r="V16" s="101"/>
      <c r="W16" s="101"/>
      <c r="X16" s="101"/>
      <c r="Z16" s="101"/>
      <c r="AA16" s="101"/>
      <c r="AB16" s="101"/>
      <c r="AC16" s="101"/>
      <c r="AD16" s="101"/>
      <c r="AE16" s="101"/>
      <c r="AF16" s="101"/>
      <c r="AG16" s="191"/>
      <c r="AH16" s="101"/>
      <c r="AI16" s="101"/>
      <c r="AJ16" s="101"/>
      <c r="AK16" s="191"/>
      <c r="AL16" s="101"/>
      <c r="AM16" s="101"/>
      <c r="AN16" s="101"/>
    </row>
    <row r="17" spans="1:43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312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T17" s="228"/>
      <c r="U17" s="97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3" x14ac:dyDescent="0.3">
      <c r="H18" s="102"/>
      <c r="I18" s="102"/>
      <c r="J18" s="103"/>
      <c r="K18" s="102"/>
      <c r="L18" s="102"/>
      <c r="M18" s="102"/>
      <c r="N18" s="102"/>
      <c r="O18" s="102"/>
      <c r="P18" s="102"/>
      <c r="Q18" s="102"/>
      <c r="R18" s="102"/>
      <c r="T18" s="228"/>
      <c r="U18" s="99"/>
      <c r="Z18" s="102"/>
      <c r="AA18" s="102"/>
      <c r="AB18" s="102"/>
      <c r="AC18" s="102"/>
      <c r="AD18" s="102"/>
      <c r="AE18" s="102"/>
      <c r="AF18" s="102"/>
      <c r="AG18" s="151"/>
      <c r="AH18" s="102"/>
      <c r="AI18" s="102"/>
      <c r="AJ18" s="102"/>
      <c r="AK18" s="151"/>
      <c r="AL18" s="102"/>
      <c r="AM18" s="102"/>
      <c r="AN18" s="102"/>
    </row>
    <row r="19" spans="1:43" ht="27.75" customHeight="1" x14ac:dyDescent="0.3">
      <c r="A19" s="98">
        <v>1</v>
      </c>
      <c r="C19" s="124" t="s">
        <v>239</v>
      </c>
      <c r="D19" s="169" t="s">
        <v>240</v>
      </c>
      <c r="F19" s="106"/>
      <c r="G19" s="1"/>
      <c r="H19" s="106"/>
      <c r="I19" s="106"/>
      <c r="J19" s="1"/>
      <c r="K19" s="1"/>
      <c r="L19" s="106"/>
      <c r="M19" s="106"/>
      <c r="N19" s="175"/>
      <c r="O19" s="175"/>
      <c r="P19" s="147"/>
      <c r="Q19" s="147"/>
      <c r="R19" s="106"/>
      <c r="T19" s="97"/>
      <c r="U19" s="97"/>
      <c r="V19" s="97"/>
      <c r="W19" s="97"/>
      <c r="X19" s="97"/>
      <c r="Y19" s="260"/>
      <c r="Z19" s="97"/>
      <c r="AA19" s="97"/>
      <c r="AB19" s="97"/>
      <c r="AC19" s="97"/>
      <c r="AD19" s="97"/>
      <c r="AE19" s="97"/>
      <c r="AF19" s="97"/>
      <c r="AG19" s="149"/>
      <c r="AH19" s="97"/>
      <c r="AI19" s="97"/>
      <c r="AJ19" s="97"/>
      <c r="AK19" s="149"/>
      <c r="AL19" s="97"/>
      <c r="AM19" s="97"/>
      <c r="AN19" s="97"/>
      <c r="AO19" s="97"/>
      <c r="AP19" s="97"/>
      <c r="AQ19" s="149"/>
    </row>
    <row r="20" spans="1:43" x14ac:dyDescent="0.3">
      <c r="C20" s="124"/>
      <c r="D20" s="169"/>
      <c r="F20" s="106"/>
      <c r="G20" s="1"/>
      <c r="H20" s="106"/>
      <c r="I20" s="106"/>
      <c r="J20" s="1"/>
      <c r="K20" s="1"/>
      <c r="L20" s="106"/>
      <c r="M20" s="106"/>
      <c r="N20" s="175"/>
      <c r="O20" s="175"/>
      <c r="P20" s="147"/>
      <c r="Q20" s="147"/>
      <c r="R20" s="106"/>
      <c r="T20" s="97"/>
      <c r="U20" s="97"/>
      <c r="V20" s="97"/>
      <c r="W20" s="97"/>
      <c r="X20" s="97"/>
      <c r="Y20" s="260"/>
      <c r="Z20" s="97"/>
      <c r="AA20" s="97"/>
      <c r="AB20" s="97"/>
      <c r="AC20" s="97"/>
      <c r="AD20" s="97"/>
      <c r="AE20" s="97"/>
      <c r="AF20" s="97"/>
      <c r="AG20" s="149"/>
      <c r="AH20" s="97"/>
      <c r="AI20" s="97"/>
      <c r="AJ20" s="97"/>
      <c r="AK20" s="149"/>
      <c r="AL20" s="97"/>
      <c r="AM20" s="97"/>
      <c r="AN20" s="97"/>
      <c r="AO20" s="97"/>
      <c r="AP20" s="97"/>
      <c r="AQ20" s="149"/>
    </row>
    <row r="21" spans="1:43" ht="30" customHeight="1" x14ac:dyDescent="0.3">
      <c r="A21" s="98">
        <v>2</v>
      </c>
      <c r="C21" s="99" t="s">
        <v>241</v>
      </c>
      <c r="F21" s="183">
        <v>30661</v>
      </c>
      <c r="G21" s="1"/>
      <c r="H21" s="183">
        <f>'[11]Forecast kWh'!$U$38</f>
        <v>9081472.0030000005</v>
      </c>
      <c r="I21" s="1"/>
      <c r="J21" s="184">
        <f>ROUND(AC56+(AC56*LT_COS_RATE),6)</f>
        <v>7.5946E-2</v>
      </c>
      <c r="K21" s="1"/>
      <c r="L21" s="117">
        <f>ROUND((H21*J21),0)</f>
        <v>689701</v>
      </c>
      <c r="M21" s="1"/>
      <c r="N21" s="236">
        <f>ROUND((L21/L$28)*100,1)</f>
        <v>96.5</v>
      </c>
      <c r="O21" s="1"/>
      <c r="P21" s="117">
        <f>P28</f>
        <v>31669</v>
      </c>
      <c r="Q21" s="1"/>
      <c r="R21" s="117">
        <f>P21+L21</f>
        <v>721370</v>
      </c>
      <c r="Y21" s="260"/>
      <c r="AE21" s="102"/>
      <c r="AF21" s="102"/>
      <c r="AG21" s="151"/>
      <c r="AH21" s="102"/>
      <c r="AI21" s="102"/>
      <c r="AJ21" s="102"/>
      <c r="AK21" s="151"/>
      <c r="AL21" s="102"/>
      <c r="AO21" s="102"/>
      <c r="AP21" s="102"/>
      <c r="AQ21" s="151"/>
    </row>
    <row r="22" spans="1:43" ht="15.75" customHeight="1" x14ac:dyDescent="0.3">
      <c r="C22" s="169"/>
      <c r="F22" s="172"/>
      <c r="G22" s="1"/>
      <c r="H22" s="172"/>
      <c r="I22" s="1"/>
      <c r="J22" s="184"/>
      <c r="K22" s="1"/>
      <c r="L22" s="106"/>
      <c r="M22" s="1"/>
      <c r="N22" s="175"/>
      <c r="O22" s="1"/>
      <c r="P22" s="106"/>
      <c r="Q22" s="1"/>
      <c r="R22" s="106"/>
      <c r="Y22" s="260"/>
      <c r="AE22" s="102"/>
      <c r="AF22" s="102"/>
      <c r="AG22" s="151"/>
      <c r="AH22" s="102"/>
      <c r="AI22" s="102"/>
      <c r="AJ22" s="102"/>
      <c r="AK22" s="151"/>
      <c r="AL22" s="102"/>
      <c r="AO22" s="102"/>
      <c r="AP22" s="102"/>
      <c r="AQ22" s="151"/>
    </row>
    <row r="23" spans="1:43" ht="17.100000000000001" customHeight="1" x14ac:dyDescent="0.3">
      <c r="A23" s="98">
        <v>3</v>
      </c>
      <c r="C23" s="124" t="s">
        <v>474</v>
      </c>
      <c r="F23" s="172"/>
      <c r="G23" s="1"/>
      <c r="H23" s="172"/>
      <c r="I23" s="1"/>
      <c r="J23" s="184"/>
      <c r="K23" s="1"/>
      <c r="L23" s="106"/>
      <c r="M23" s="1"/>
      <c r="N23" s="175"/>
      <c r="O23" s="1"/>
      <c r="P23" s="106"/>
      <c r="Q23" s="1"/>
      <c r="R23" s="106"/>
      <c r="Y23" s="260"/>
      <c r="AE23" s="102"/>
      <c r="AF23" s="102"/>
      <c r="AG23" s="151"/>
      <c r="AH23" s="102"/>
      <c r="AI23" s="102"/>
      <c r="AJ23" s="102"/>
      <c r="AK23" s="151"/>
      <c r="AL23" s="102"/>
      <c r="AO23" s="102"/>
      <c r="AP23" s="102"/>
      <c r="AQ23" s="151"/>
    </row>
    <row r="24" spans="1:43" ht="17.100000000000001" customHeight="1" x14ac:dyDescent="0.3">
      <c r="A24" s="98">
        <v>4</v>
      </c>
      <c r="C24" s="176" t="str">
        <f>ESM_Name</f>
        <v>ENVIRONMENTAL SURCHARGE MECHANISM RIDER (ESM)</v>
      </c>
      <c r="F24" s="172"/>
      <c r="G24" s="1"/>
      <c r="H24" s="172"/>
      <c r="I24" s="1"/>
      <c r="J24" s="304">
        <f>PRO_ESM_NONRES</f>
        <v>5.3681872802409589E-3</v>
      </c>
      <c r="K24" s="1"/>
      <c r="L24" s="106">
        <f>ROUND((R21-(PRO_BASE_FUEL*H21)+R25)*J24,0)</f>
        <v>2346</v>
      </c>
      <c r="M24" s="1"/>
      <c r="N24" s="175">
        <f>ROUND((L24/L$28)*100,1)</f>
        <v>0.3</v>
      </c>
      <c r="O24" s="1"/>
      <c r="P24" s="106"/>
      <c r="Q24" s="1"/>
      <c r="R24" s="106">
        <f>P24+L24</f>
        <v>2346</v>
      </c>
      <c r="Y24" s="260"/>
      <c r="AE24" s="102"/>
      <c r="AF24" s="102"/>
      <c r="AG24" s="151"/>
      <c r="AH24" s="102"/>
      <c r="AI24" s="102"/>
      <c r="AJ24" s="102"/>
      <c r="AK24" s="151"/>
      <c r="AL24" s="102"/>
      <c r="AO24" s="102"/>
      <c r="AP24" s="102"/>
      <c r="AQ24" s="151"/>
    </row>
    <row r="25" spans="1:43" ht="15.75" customHeight="1" x14ac:dyDescent="0.3">
      <c r="A25" s="98">
        <v>5</v>
      </c>
      <c r="C25" s="176" t="str">
        <f>PSM_Name</f>
        <v>PROFIT SHARING MECHANISM (PSM)</v>
      </c>
      <c r="F25" s="172"/>
      <c r="G25" s="1"/>
      <c r="H25" s="172"/>
      <c r="I25" s="1"/>
      <c r="J25" s="218">
        <f>PRO_PSM</f>
        <v>2.4750000000000002E-3</v>
      </c>
      <c r="K25" s="1"/>
      <c r="L25" s="117">
        <f>ROUND($H$21*J25,0)</f>
        <v>22477</v>
      </c>
      <c r="M25" s="1"/>
      <c r="N25" s="156">
        <f>ROUND((L25/L$28)*100,1)</f>
        <v>3.1</v>
      </c>
      <c r="O25" s="1"/>
      <c r="P25" s="117"/>
      <c r="Q25" s="1"/>
      <c r="R25" s="117">
        <f>P25+L25</f>
        <v>22477</v>
      </c>
      <c r="Y25" s="260"/>
      <c r="AE25" s="102"/>
      <c r="AF25" s="102"/>
      <c r="AG25" s="151"/>
      <c r="AH25" s="102"/>
      <c r="AI25" s="102"/>
      <c r="AJ25" s="102"/>
      <c r="AK25" s="151"/>
      <c r="AL25" s="102"/>
      <c r="AO25" s="102"/>
      <c r="AP25" s="102"/>
      <c r="AQ25" s="151"/>
    </row>
    <row r="26" spans="1:43" ht="20.100000000000001" customHeight="1" x14ac:dyDescent="0.3">
      <c r="A26" s="98">
        <v>6</v>
      </c>
      <c r="C26" s="124" t="s">
        <v>461</v>
      </c>
      <c r="F26" s="183"/>
      <c r="G26" s="1"/>
      <c r="H26" s="183"/>
      <c r="I26" s="1"/>
      <c r="J26" s="186"/>
      <c r="K26" s="1"/>
      <c r="L26" s="112">
        <f>SUM(L24:L25)</f>
        <v>24823</v>
      </c>
      <c r="M26" s="1"/>
      <c r="N26" s="158">
        <f>ROUND((L26/L$28)*100,1)</f>
        <v>3.5</v>
      </c>
      <c r="O26" s="1"/>
      <c r="P26" s="112"/>
      <c r="Q26" s="1"/>
      <c r="R26" s="112">
        <f>SUM(R24:R25)</f>
        <v>24823</v>
      </c>
      <c r="Y26" s="260"/>
      <c r="AE26" s="102"/>
      <c r="AF26" s="102"/>
      <c r="AG26" s="151"/>
      <c r="AH26" s="102"/>
      <c r="AI26" s="102"/>
      <c r="AJ26" s="102"/>
      <c r="AK26" s="151"/>
      <c r="AL26" s="102"/>
      <c r="AO26" s="102"/>
      <c r="AP26" s="102"/>
      <c r="AQ26" s="151"/>
    </row>
    <row r="27" spans="1:43" ht="15.75" customHeight="1" x14ac:dyDescent="0.3">
      <c r="C27" s="124"/>
      <c r="F27" s="172"/>
      <c r="G27" s="1"/>
      <c r="H27" s="172"/>
      <c r="I27" s="1"/>
      <c r="J27" s="186"/>
      <c r="K27" s="1"/>
      <c r="L27" s="106"/>
      <c r="M27" s="1"/>
      <c r="N27" s="175"/>
      <c r="O27" s="1"/>
      <c r="P27" s="106"/>
      <c r="Q27" s="1"/>
      <c r="R27" s="106"/>
      <c r="Y27" s="260"/>
      <c r="AE27" s="102"/>
      <c r="AF27" s="102"/>
      <c r="AG27" s="151"/>
      <c r="AH27" s="102"/>
      <c r="AI27" s="102"/>
      <c r="AJ27" s="102"/>
      <c r="AK27" s="151"/>
      <c r="AL27" s="102"/>
      <c r="AO27" s="102"/>
      <c r="AP27" s="102"/>
      <c r="AQ27" s="151"/>
    </row>
    <row r="28" spans="1:43" ht="20.100000000000001" customHeight="1" thickBot="1" x14ac:dyDescent="0.35">
      <c r="A28" s="98">
        <v>7</v>
      </c>
      <c r="C28" s="124" t="s">
        <v>464</v>
      </c>
      <c r="F28" s="120">
        <f>F21</f>
        <v>30661</v>
      </c>
      <c r="G28" s="1"/>
      <c r="H28" s="120">
        <f>H21</f>
        <v>9081472.0030000005</v>
      </c>
      <c r="I28" s="106"/>
      <c r="J28" s="1"/>
      <c r="K28" s="1"/>
      <c r="L28" s="120">
        <f>L21+L26</f>
        <v>714524</v>
      </c>
      <c r="M28" s="106"/>
      <c r="N28" s="313">
        <f>SUM(N21,N26)</f>
        <v>100</v>
      </c>
      <c r="O28" s="175"/>
      <c r="P28" s="120">
        <f>ROUND(H28*CUR_FAC,0)</f>
        <v>31669</v>
      </c>
      <c r="Q28" s="147"/>
      <c r="R28" s="120">
        <f>R21+R26</f>
        <v>746193</v>
      </c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149"/>
      <c r="AH28" s="97"/>
      <c r="AI28" s="97"/>
      <c r="AJ28" s="97"/>
      <c r="AK28" s="149"/>
      <c r="AL28" s="97"/>
      <c r="AM28" s="97"/>
      <c r="AN28" s="97"/>
      <c r="AO28" s="97"/>
      <c r="AP28" s="97"/>
      <c r="AQ28" s="149"/>
    </row>
    <row r="29" spans="1:43" ht="16.2" thickTop="1" x14ac:dyDescent="0.3">
      <c r="C29" s="99"/>
      <c r="F29" s="106"/>
      <c r="G29" s="1"/>
      <c r="H29" s="106"/>
      <c r="I29" s="106"/>
      <c r="J29" s="1"/>
      <c r="K29" s="1"/>
      <c r="L29" s="106"/>
      <c r="M29" s="106"/>
      <c r="N29" s="138"/>
      <c r="O29" s="175"/>
      <c r="P29" s="106"/>
      <c r="Q29" s="147"/>
      <c r="R29" s="106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149"/>
      <c r="AH29" s="97"/>
      <c r="AI29" s="97"/>
      <c r="AJ29" s="97"/>
      <c r="AK29" s="149"/>
      <c r="AL29" s="97"/>
      <c r="AM29" s="97"/>
      <c r="AN29" s="97"/>
      <c r="AO29" s="97"/>
      <c r="AP29" s="97"/>
      <c r="AQ29" s="149"/>
    </row>
    <row r="30" spans="1:43" ht="21.9" customHeight="1" x14ac:dyDescent="0.3">
      <c r="C30" s="178" t="s">
        <v>76</v>
      </c>
      <c r="T30" s="99"/>
    </row>
    <row r="31" spans="1:43" x14ac:dyDescent="0.3">
      <c r="C31" s="178" t="str">
        <f>"(2) REFLECTS FUEL COMPONENT OF "&amp;TEXT(PRO_FAC,"$0.000000;($0.000000)")&amp;" PER KWH."</f>
        <v>(2) REFLECTS FUEL COMPONENT OF $0.003487 PER KWH.</v>
      </c>
      <c r="T31" s="99"/>
    </row>
    <row r="32" spans="1:43" x14ac:dyDescent="0.3">
      <c r="C32" s="178" t="str">
        <f>"(3) REFLECTS FUEL COST RECOVERY INCLUDED IN BASE RATES OF "&amp;TEXT(PRO_BASE_FUEL,"$0.000000;($0.000000)")&amp;"  PER KWH."</f>
        <v>(3) REFLECTS FUEL COST RECOVERY INCLUDED IN BASE RATES OF $0.033780  PER KWH.</v>
      </c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149"/>
      <c r="AH32" s="97"/>
      <c r="AI32" s="97"/>
      <c r="AJ32" s="97"/>
      <c r="AK32" s="149"/>
      <c r="AL32" s="97"/>
      <c r="AM32" s="97"/>
      <c r="AN32" s="97"/>
      <c r="AO32" s="97"/>
      <c r="AP32" s="97"/>
      <c r="AQ32" s="149"/>
    </row>
    <row r="33" spans="1:76" x14ac:dyDescent="0.3">
      <c r="A33" s="99"/>
      <c r="AE33" s="102"/>
      <c r="AF33" s="102"/>
      <c r="AG33" s="151"/>
      <c r="AH33" s="102"/>
      <c r="AI33" s="102"/>
      <c r="AJ33" s="102"/>
      <c r="AK33" s="151"/>
      <c r="AL33" s="102"/>
      <c r="AO33" s="102"/>
      <c r="AP33" s="102"/>
      <c r="AQ33" s="151"/>
    </row>
    <row r="34" spans="1:76" x14ac:dyDescent="0.3">
      <c r="C34" s="99"/>
      <c r="F34" s="110"/>
      <c r="H34" s="110"/>
      <c r="I34" s="110"/>
      <c r="J34" s="217"/>
      <c r="K34" s="217"/>
      <c r="L34" s="110"/>
      <c r="M34" s="110"/>
      <c r="N34" s="141"/>
      <c r="O34" s="141"/>
      <c r="P34" s="110"/>
      <c r="Q34" s="110"/>
      <c r="R34" s="110"/>
      <c r="AC34" s="102"/>
      <c r="AD34" s="102"/>
      <c r="AE34" s="102"/>
      <c r="AF34" s="102"/>
      <c r="AG34" s="151"/>
      <c r="AH34" s="102"/>
      <c r="AI34" s="102"/>
      <c r="AJ34" s="102"/>
      <c r="AK34" s="151"/>
      <c r="AL34" s="102"/>
      <c r="AO34" s="102"/>
      <c r="AP34" s="102"/>
      <c r="AQ34" s="151"/>
    </row>
    <row r="35" spans="1:76" x14ac:dyDescent="0.3">
      <c r="C35" s="99"/>
      <c r="F35" s="110"/>
      <c r="H35" s="110"/>
      <c r="I35" s="110"/>
      <c r="L35" s="110"/>
      <c r="M35" s="110"/>
      <c r="N35" s="141"/>
      <c r="O35" s="141"/>
      <c r="P35" s="110"/>
      <c r="Q35" s="110"/>
      <c r="R35" s="110"/>
      <c r="T35" s="102"/>
      <c r="V35" s="102"/>
      <c r="W35" s="102"/>
      <c r="X35" s="102"/>
      <c r="Y35" s="102"/>
      <c r="AA35" s="102"/>
      <c r="AB35" s="102"/>
      <c r="AC35" s="102"/>
      <c r="AD35" s="102"/>
      <c r="AE35" s="102"/>
      <c r="AF35" s="102"/>
      <c r="AG35" s="151"/>
      <c r="AH35" s="102"/>
      <c r="AI35" s="102"/>
      <c r="AJ35" s="102"/>
      <c r="AK35" s="151"/>
      <c r="AL35" s="102"/>
      <c r="AM35" s="102"/>
      <c r="AN35" s="102"/>
      <c r="AO35" s="102"/>
      <c r="AP35" s="102"/>
      <c r="AQ35" s="151"/>
      <c r="AS35" s="110"/>
      <c r="AT35" s="110"/>
      <c r="AU35" s="141"/>
      <c r="BX35" s="220"/>
    </row>
    <row r="36" spans="1:76" x14ac:dyDescent="0.3">
      <c r="C36" s="99"/>
      <c r="F36" s="110"/>
      <c r="H36" s="110"/>
      <c r="I36" s="110"/>
      <c r="L36" s="110"/>
      <c r="M36" s="110"/>
      <c r="N36" s="141"/>
      <c r="O36" s="141"/>
      <c r="P36" s="172"/>
      <c r="Q36" s="172"/>
      <c r="R36" s="110"/>
      <c r="T36" s="97" t="str">
        <f>NAME</f>
        <v>DUKE ENERGY KENTUCKY, INC.</v>
      </c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149"/>
      <c r="AH36" s="97"/>
      <c r="AI36" s="97"/>
      <c r="AJ36" s="97"/>
      <c r="AK36" s="149"/>
      <c r="AL36" s="97"/>
      <c r="AM36" s="97"/>
      <c r="AN36" s="97"/>
      <c r="AO36" s="97"/>
      <c r="AP36" s="97"/>
      <c r="AQ36" s="149"/>
      <c r="AS36" s="110"/>
      <c r="AT36" s="110"/>
      <c r="AU36" s="141"/>
    </row>
    <row r="37" spans="1:76" x14ac:dyDescent="0.3">
      <c r="C37" s="99"/>
      <c r="F37" s="110"/>
      <c r="H37" s="110"/>
      <c r="I37" s="110"/>
      <c r="L37" s="110"/>
      <c r="M37" s="110"/>
      <c r="N37" s="141"/>
      <c r="O37" s="141"/>
      <c r="P37" s="110"/>
      <c r="Q37" s="172"/>
      <c r="R37" s="110"/>
      <c r="T37" s="97" t="str">
        <f>CASE_NO</f>
        <v>CASE NO.   2024-00354</v>
      </c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149"/>
      <c r="AH37" s="97"/>
      <c r="AI37" s="97"/>
      <c r="AJ37" s="97"/>
      <c r="AK37" s="149"/>
      <c r="AL37" s="97"/>
      <c r="AM37" s="97"/>
      <c r="AN37" s="97"/>
      <c r="AO37" s="97"/>
      <c r="AP37" s="97"/>
      <c r="AQ37" s="149"/>
      <c r="AS37" s="110"/>
      <c r="AT37" s="110"/>
      <c r="AU37" s="141"/>
    </row>
    <row r="38" spans="1:76" x14ac:dyDescent="0.3">
      <c r="T38" s="97" t="str">
        <f>TITLE</f>
        <v>ANNUALIZED BASE YEAR REVENUES AT PROPOSED VS. MOST CURRENT RATES</v>
      </c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149"/>
      <c r="AH38" s="97"/>
      <c r="AI38" s="97"/>
      <c r="AJ38" s="97"/>
      <c r="AK38" s="149"/>
      <c r="AL38" s="97"/>
      <c r="AM38" s="97"/>
      <c r="AN38" s="97"/>
      <c r="AO38" s="97"/>
      <c r="AP38" s="97"/>
      <c r="AQ38" s="149"/>
      <c r="AS38" s="110"/>
      <c r="AT38" s="110"/>
      <c r="AU38" s="226"/>
    </row>
    <row r="39" spans="1:76" x14ac:dyDescent="0.3">
      <c r="C39" s="99"/>
      <c r="L39" s="110"/>
      <c r="M39" s="110"/>
      <c r="N39" s="110"/>
      <c r="O39" s="110"/>
      <c r="P39" s="110"/>
      <c r="Q39" s="110"/>
      <c r="R39" s="110"/>
      <c r="T39" s="97" t="str">
        <f>DATE</f>
        <v>FOR THE TWELVE MONTHS ENDED February 28, 2025</v>
      </c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149"/>
      <c r="AH39" s="97"/>
      <c r="AI39" s="97"/>
      <c r="AJ39" s="97"/>
      <c r="AK39" s="149"/>
      <c r="AL39" s="97"/>
      <c r="AM39" s="97"/>
      <c r="AN39" s="97"/>
      <c r="AO39" s="97"/>
      <c r="AP39" s="97"/>
      <c r="AQ39" s="149"/>
      <c r="AS39" s="110"/>
      <c r="AT39" s="110"/>
      <c r="AU39" s="141"/>
    </row>
    <row r="40" spans="1:76" x14ac:dyDescent="0.3">
      <c r="A40" s="99"/>
      <c r="T40" s="97" t="str">
        <f>SERVICE</f>
        <v>(ELECTRIC SERVICE)</v>
      </c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149"/>
      <c r="AH40" s="97"/>
      <c r="AI40" s="97"/>
      <c r="AJ40" s="97"/>
      <c r="AK40" s="149"/>
      <c r="AL40" s="97"/>
      <c r="AM40" s="97"/>
      <c r="AN40" s="97"/>
      <c r="AO40" s="97"/>
      <c r="AP40" s="97"/>
      <c r="AQ40" s="149"/>
      <c r="AS40" s="110"/>
      <c r="AT40" s="110"/>
      <c r="AU40" s="141"/>
    </row>
    <row r="41" spans="1:76" x14ac:dyDescent="0.3">
      <c r="C41" s="99"/>
      <c r="F41" s="110"/>
      <c r="H41" s="110"/>
      <c r="I41" s="110"/>
      <c r="J41" s="198"/>
      <c r="K41" s="198"/>
      <c r="L41" s="110"/>
      <c r="M41" s="110"/>
      <c r="N41" s="141"/>
      <c r="O41" s="141"/>
      <c r="P41" s="110"/>
      <c r="Q41" s="110"/>
      <c r="R41" s="110"/>
      <c r="T41" s="98" t="str">
        <f>DATA_PERIOD</f>
        <v>DATA: __X__ BASE PERIOD   ____FORECASTED PERIOD</v>
      </c>
      <c r="AO41" s="99" t="s">
        <v>157</v>
      </c>
      <c r="AQ41" s="190"/>
      <c r="AS41" s="110"/>
      <c r="AT41" s="110"/>
      <c r="AU41" s="141"/>
    </row>
    <row r="42" spans="1:76" x14ac:dyDescent="0.3">
      <c r="F42" s="192"/>
      <c r="H42" s="192"/>
      <c r="I42" s="192"/>
      <c r="J42" s="217"/>
      <c r="K42" s="217"/>
      <c r="L42" s="192"/>
      <c r="M42" s="192"/>
      <c r="N42" s="192"/>
      <c r="O42" s="192"/>
      <c r="P42" s="192"/>
      <c r="Q42" s="192"/>
      <c r="R42" s="192"/>
      <c r="T42" s="98" t="str">
        <f>TYPE</f>
        <v>TYPE OF FILING: _X_ ORIGINAL   ___UPDATED  ___ REVISED</v>
      </c>
      <c r="AO42" s="116" t="str">
        <f>"PAGE 16 OF "&amp;TEXT(Page_Num_2.2,"00")</f>
        <v>PAGE 16 OF 24</v>
      </c>
      <c r="AQ42" s="190"/>
      <c r="AS42" s="110"/>
      <c r="AT42" s="110"/>
      <c r="AU42" s="141"/>
    </row>
    <row r="43" spans="1:76" x14ac:dyDescent="0.3">
      <c r="C43" s="99"/>
      <c r="F43" s="110"/>
      <c r="H43" s="110"/>
      <c r="I43" s="110"/>
      <c r="J43" s="198"/>
      <c r="K43" s="198"/>
      <c r="L43" s="110"/>
      <c r="M43" s="110"/>
      <c r="N43" s="141"/>
      <c r="O43" s="141"/>
      <c r="P43" s="110"/>
      <c r="Q43" s="110"/>
      <c r="R43" s="110"/>
      <c r="T43" s="99" t="s">
        <v>170</v>
      </c>
      <c r="AO43" s="99" t="s">
        <v>3</v>
      </c>
      <c r="AQ43" s="190"/>
      <c r="AS43" s="110"/>
      <c r="AT43" s="110"/>
      <c r="AU43" s="141"/>
    </row>
    <row r="44" spans="1:76" x14ac:dyDescent="0.3">
      <c r="A44" s="99"/>
      <c r="F44" s="110"/>
      <c r="H44" s="110"/>
      <c r="I44" s="110"/>
      <c r="J44" s="198"/>
      <c r="K44" s="198"/>
      <c r="L44" s="110"/>
      <c r="M44" s="110"/>
      <c r="N44" s="110"/>
      <c r="O44" s="110"/>
      <c r="P44" s="110"/>
      <c r="Q44" s="110"/>
      <c r="R44" s="110"/>
      <c r="T44" s="134" t="str">
        <f>TIME</f>
        <v>6 Months Actual and 6 Months Projected with Riders</v>
      </c>
      <c r="AG44" s="190"/>
      <c r="AO44" s="98" t="str">
        <f>WIT</f>
        <v>B. L. Sailers</v>
      </c>
      <c r="AR44" s="110"/>
      <c r="AS44" s="110"/>
      <c r="AT44" s="110"/>
      <c r="AU44" s="141"/>
    </row>
    <row r="45" spans="1:76" x14ac:dyDescent="0.3">
      <c r="L45" s="110"/>
      <c r="M45" s="110"/>
      <c r="N45" s="110"/>
      <c r="O45" s="110"/>
      <c r="P45" s="110"/>
      <c r="Q45" s="110"/>
      <c r="R45" s="110"/>
      <c r="T45" s="97" t="s">
        <v>130</v>
      </c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149"/>
      <c r="AH45" s="97"/>
      <c r="AI45" s="97"/>
      <c r="AJ45" s="97"/>
      <c r="AK45" s="149"/>
      <c r="AL45" s="97"/>
      <c r="AM45" s="97"/>
      <c r="AN45" s="97"/>
      <c r="AO45" s="97"/>
      <c r="AP45" s="97"/>
      <c r="AQ45" s="149"/>
      <c r="AR45" s="110"/>
      <c r="AS45" s="110"/>
      <c r="AT45" s="110"/>
      <c r="AU45" s="141"/>
    </row>
    <row r="46" spans="1:76" x14ac:dyDescent="0.3">
      <c r="H46" s="99"/>
      <c r="I46" s="99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0"/>
      <c r="AF46" s="100"/>
      <c r="AG46" s="150"/>
      <c r="AH46" s="100"/>
      <c r="AI46" s="100"/>
      <c r="AJ46" s="100"/>
      <c r="AK46" s="150"/>
      <c r="AL46" s="100"/>
      <c r="AM46" s="100"/>
      <c r="AN46" s="101"/>
      <c r="AO46" s="101"/>
      <c r="AP46" s="101"/>
      <c r="AQ46" s="191"/>
      <c r="AR46" s="110"/>
    </row>
    <row r="47" spans="1:76" ht="18" customHeight="1" x14ac:dyDescent="0.3">
      <c r="L47" s="99"/>
      <c r="M47" s="99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02" t="s">
        <v>8</v>
      </c>
      <c r="AF47" s="102"/>
      <c r="AG47" s="151" t="s">
        <v>7</v>
      </c>
      <c r="AH47" s="102"/>
      <c r="AI47" s="102" t="s">
        <v>9</v>
      </c>
      <c r="AJ47" s="102"/>
      <c r="AK47" s="151" t="s">
        <v>10</v>
      </c>
      <c r="AL47" s="102"/>
      <c r="AN47" s="174"/>
      <c r="AO47" s="254" t="s">
        <v>8</v>
      </c>
      <c r="AP47" s="254"/>
      <c r="AQ47" s="255" t="s">
        <v>11</v>
      </c>
      <c r="AR47" s="172"/>
    </row>
    <row r="48" spans="1:76" x14ac:dyDescent="0.3">
      <c r="R48" s="99"/>
      <c r="AC48" s="102" t="s">
        <v>14</v>
      </c>
      <c r="AD48" s="102"/>
      <c r="AE48" s="102" t="s">
        <v>12</v>
      </c>
      <c r="AF48" s="102"/>
      <c r="AG48" s="151" t="s">
        <v>13</v>
      </c>
      <c r="AH48" s="102"/>
      <c r="AI48" s="102" t="s">
        <v>15</v>
      </c>
      <c r="AJ48" s="102"/>
      <c r="AK48" s="151" t="s">
        <v>16</v>
      </c>
      <c r="AL48" s="102"/>
      <c r="AO48" s="102" t="s">
        <v>11</v>
      </c>
      <c r="AP48" s="102"/>
      <c r="AQ48" s="151" t="s">
        <v>9</v>
      </c>
      <c r="AR48" s="172"/>
      <c r="AU48" s="102"/>
    </row>
    <row r="49" spans="1:51" x14ac:dyDescent="0.3">
      <c r="R49" s="99"/>
      <c r="T49" s="102" t="s">
        <v>17</v>
      </c>
      <c r="V49" s="102" t="s">
        <v>18</v>
      </c>
      <c r="W49" s="102" t="s">
        <v>19</v>
      </c>
      <c r="X49" s="102"/>
      <c r="Y49" s="102" t="s">
        <v>20</v>
      </c>
      <c r="AC49" s="102" t="s">
        <v>8</v>
      </c>
      <c r="AD49" s="102"/>
      <c r="AE49" s="102" t="s">
        <v>593</v>
      </c>
      <c r="AF49" s="102"/>
      <c r="AG49" s="151" t="s">
        <v>593</v>
      </c>
      <c r="AH49" s="102"/>
      <c r="AI49" s="103" t="s">
        <v>708</v>
      </c>
      <c r="AJ49" s="102"/>
      <c r="AK49" s="152" t="s">
        <v>708</v>
      </c>
      <c r="AL49" s="102"/>
      <c r="AM49" s="102" t="s">
        <v>593</v>
      </c>
      <c r="AN49" s="102"/>
      <c r="AO49" s="102" t="s">
        <v>9</v>
      </c>
      <c r="AP49" s="102"/>
      <c r="AQ49" s="151" t="s">
        <v>21</v>
      </c>
      <c r="AR49" s="110"/>
      <c r="AU49" s="102"/>
    </row>
    <row r="50" spans="1:51" x14ac:dyDescent="0.3">
      <c r="A50" s="99"/>
      <c r="R50" s="99"/>
      <c r="T50" s="102" t="s">
        <v>22</v>
      </c>
      <c r="V50" s="102" t="s">
        <v>23</v>
      </c>
      <c r="W50" s="102" t="s">
        <v>24</v>
      </c>
      <c r="X50" s="102"/>
      <c r="Y50" s="102" t="s">
        <v>25</v>
      </c>
      <c r="AA50" s="102" t="s">
        <v>26</v>
      </c>
      <c r="AB50" s="102"/>
      <c r="AC50" s="103" t="s">
        <v>324</v>
      </c>
      <c r="AD50" s="102"/>
      <c r="AE50" s="102" t="s">
        <v>9</v>
      </c>
      <c r="AF50" s="102"/>
      <c r="AG50" s="151" t="s">
        <v>9</v>
      </c>
      <c r="AH50" s="102"/>
      <c r="AI50" s="131" t="s">
        <v>29</v>
      </c>
      <c r="AJ50" s="131"/>
      <c r="AK50" s="165" t="s">
        <v>30</v>
      </c>
      <c r="AL50" s="102"/>
      <c r="AM50" s="102" t="s">
        <v>323</v>
      </c>
      <c r="AN50" s="102"/>
      <c r="AO50" s="131" t="s">
        <v>31</v>
      </c>
      <c r="AP50" s="131"/>
      <c r="AQ50" s="165" t="s">
        <v>32</v>
      </c>
      <c r="AR50" s="110"/>
      <c r="AU50" s="102"/>
    </row>
    <row r="51" spans="1:51" x14ac:dyDescent="0.3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V51" s="131" t="s">
        <v>33</v>
      </c>
      <c r="W51" s="131" t="s">
        <v>34</v>
      </c>
      <c r="X51" s="131"/>
      <c r="Y51" s="131" t="s">
        <v>35</v>
      </c>
      <c r="Z51" s="134"/>
      <c r="AA51" s="131" t="s">
        <v>36</v>
      </c>
      <c r="AB51" s="131"/>
      <c r="AC51" s="131" t="s">
        <v>42</v>
      </c>
      <c r="AD51" s="131"/>
      <c r="AE51" s="131" t="s">
        <v>43</v>
      </c>
      <c r="AF51" s="131"/>
      <c r="AG51" s="165" t="s">
        <v>44</v>
      </c>
      <c r="AH51" s="131"/>
      <c r="AI51" s="131" t="s">
        <v>45</v>
      </c>
      <c r="AJ51" s="131"/>
      <c r="AK51" s="165" t="s">
        <v>46</v>
      </c>
      <c r="AL51" s="131"/>
      <c r="AM51" s="131" t="s">
        <v>40</v>
      </c>
      <c r="AN51" s="131"/>
      <c r="AO51" s="131" t="s">
        <v>47</v>
      </c>
      <c r="AP51" s="131"/>
      <c r="AQ51" s="165" t="s">
        <v>48</v>
      </c>
      <c r="AW51" s="98" t="s">
        <v>299</v>
      </c>
    </row>
    <row r="52" spans="1:51" ht="17.100000000000001" customHeight="1" x14ac:dyDescent="0.3">
      <c r="L52" s="102"/>
      <c r="M52" s="102"/>
      <c r="N52" s="102"/>
      <c r="O52" s="102"/>
      <c r="R52" s="102"/>
      <c r="T52" s="174"/>
      <c r="U52" s="174"/>
      <c r="V52" s="174"/>
      <c r="W52" s="174"/>
      <c r="X52" s="174"/>
      <c r="Y52" s="174"/>
      <c r="Z52" s="174"/>
      <c r="AA52" s="314" t="s">
        <v>49</v>
      </c>
      <c r="AB52" s="314"/>
      <c r="AC52" s="315" t="s">
        <v>312</v>
      </c>
      <c r="AD52" s="314"/>
      <c r="AE52" s="314" t="s">
        <v>50</v>
      </c>
      <c r="AF52" s="314"/>
      <c r="AG52" s="316" t="s">
        <v>51</v>
      </c>
      <c r="AH52" s="314"/>
      <c r="AI52" s="314" t="s">
        <v>50</v>
      </c>
      <c r="AJ52" s="314"/>
      <c r="AK52" s="316" t="s">
        <v>51</v>
      </c>
      <c r="AL52" s="314"/>
      <c r="AM52" s="314" t="s">
        <v>50</v>
      </c>
      <c r="AN52" s="314"/>
      <c r="AO52" s="314" t="s">
        <v>50</v>
      </c>
      <c r="AP52" s="314"/>
      <c r="AQ52" s="316" t="s">
        <v>51</v>
      </c>
    </row>
    <row r="53" spans="1:51" x14ac:dyDescent="0.3">
      <c r="L53" s="102"/>
      <c r="M53" s="102"/>
      <c r="N53" s="102"/>
      <c r="O53" s="102"/>
      <c r="R53" s="102"/>
      <c r="Y53" s="1"/>
      <c r="Z53" s="1"/>
      <c r="AA53" s="2"/>
      <c r="AB53" s="2"/>
      <c r="AC53" s="103"/>
      <c r="AD53" s="2"/>
      <c r="AE53" s="2"/>
      <c r="AF53" s="2"/>
      <c r="AG53" s="251"/>
      <c r="AH53" s="2"/>
      <c r="AI53" s="2"/>
      <c r="AJ53" s="2"/>
      <c r="AK53" s="251"/>
      <c r="AL53" s="2"/>
      <c r="AM53" s="2"/>
      <c r="AN53" s="2"/>
      <c r="AO53" s="2"/>
      <c r="AP53" s="2"/>
      <c r="AQ53" s="251"/>
    </row>
    <row r="54" spans="1:51" ht="30" customHeight="1" x14ac:dyDescent="0.3">
      <c r="L54" s="102"/>
      <c r="M54" s="102"/>
      <c r="N54" s="102"/>
      <c r="O54" s="102"/>
      <c r="R54" s="102"/>
      <c r="T54" s="98">
        <v>1</v>
      </c>
      <c r="V54" s="124" t="s">
        <v>239</v>
      </c>
      <c r="W54" s="169" t="s">
        <v>240</v>
      </c>
      <c r="X54" s="134"/>
      <c r="Y54" s="317"/>
      <c r="Z54" s="1"/>
      <c r="AA54" s="106"/>
      <c r="AB54" s="106"/>
      <c r="AC54" s="1"/>
      <c r="AD54" s="240"/>
      <c r="AE54" s="106"/>
      <c r="AF54" s="106"/>
      <c r="AG54" s="154"/>
      <c r="AH54" s="175"/>
      <c r="AI54" s="106"/>
      <c r="AJ54" s="106"/>
      <c r="AK54" s="154"/>
      <c r="AL54" s="138"/>
      <c r="AM54" s="147"/>
      <c r="AN54" s="147"/>
      <c r="AO54" s="106"/>
      <c r="AP54" s="106"/>
      <c r="AQ54" s="154"/>
      <c r="AW54" s="147"/>
      <c r="AX54" s="1"/>
      <c r="AY54" s="1"/>
    </row>
    <row r="55" spans="1:51" ht="15.75" customHeight="1" x14ac:dyDescent="0.3">
      <c r="L55" s="102"/>
      <c r="M55" s="102"/>
      <c r="N55" s="102"/>
      <c r="O55" s="102"/>
      <c r="R55" s="102"/>
      <c r="V55" s="124"/>
      <c r="W55" s="169"/>
      <c r="X55" s="134"/>
      <c r="Y55" s="317"/>
      <c r="Z55" s="1"/>
      <c r="AA55" s="106"/>
      <c r="AB55" s="106"/>
      <c r="AC55" s="1"/>
      <c r="AD55" s="240"/>
      <c r="AE55" s="106"/>
      <c r="AF55" s="106"/>
      <c r="AG55" s="154"/>
      <c r="AH55" s="175"/>
      <c r="AI55" s="106"/>
      <c r="AJ55" s="106"/>
      <c r="AK55" s="154"/>
      <c r="AL55" s="138"/>
      <c r="AM55" s="147"/>
      <c r="AN55" s="147"/>
      <c r="AO55" s="106"/>
      <c r="AP55" s="106"/>
      <c r="AQ55" s="154"/>
      <c r="AW55" s="147"/>
      <c r="AX55" s="1"/>
      <c r="AY55" s="1"/>
    </row>
    <row r="56" spans="1:51" ht="30" customHeight="1" x14ac:dyDescent="0.3">
      <c r="L56" s="102"/>
      <c r="M56" s="102"/>
      <c r="N56" s="102"/>
      <c r="O56" s="102"/>
      <c r="R56" s="102"/>
      <c r="T56" s="98">
        <v>2</v>
      </c>
      <c r="V56" s="99" t="s">
        <v>241</v>
      </c>
      <c r="Y56" s="177">
        <f>F21</f>
        <v>30661</v>
      </c>
      <c r="Z56" s="1"/>
      <c r="AA56" s="177">
        <f>H21</f>
        <v>9081472.0030000005</v>
      </c>
      <c r="AB56" s="1"/>
      <c r="AC56" s="307">
        <v>6.6466999999999998E-2</v>
      </c>
      <c r="AD56" s="240"/>
      <c r="AE56" s="117">
        <f>ROUND((AA56*AC56),0)</f>
        <v>603618</v>
      </c>
      <c r="AF56" s="106"/>
      <c r="AG56" s="156">
        <f>ROUND((AE56/AE$63)*100,1)</f>
        <v>96.1</v>
      </c>
      <c r="AH56" s="175"/>
      <c r="AI56" s="117">
        <f>L21-AE56</f>
        <v>86083</v>
      </c>
      <c r="AJ56" s="106"/>
      <c r="AK56" s="156">
        <f>ROUND((AI56/AE56)*100,1)</f>
        <v>14.3</v>
      </c>
      <c r="AL56" s="138"/>
      <c r="AM56" s="117">
        <f>ROUND($AM$63/$AA$63*AA56,0)</f>
        <v>31669</v>
      </c>
      <c r="AN56" s="147"/>
      <c r="AO56" s="117">
        <f>AE56+AM56</f>
        <v>635287</v>
      </c>
      <c r="AP56" s="106"/>
      <c r="AQ56" s="156">
        <f>ROUND((AI56/AO56)*100,1)</f>
        <v>13.6</v>
      </c>
      <c r="AU56" s="260"/>
      <c r="AW56" s="147"/>
      <c r="AX56" s="1"/>
      <c r="AY56" s="1"/>
    </row>
    <row r="57" spans="1:51" ht="15.75" customHeight="1" x14ac:dyDescent="0.3">
      <c r="L57" s="102"/>
      <c r="M57" s="102"/>
      <c r="N57" s="102"/>
      <c r="O57" s="102"/>
      <c r="R57" s="102"/>
      <c r="V57" s="99"/>
      <c r="Y57" s="147"/>
      <c r="Z57" s="1"/>
      <c r="AA57" s="147"/>
      <c r="AB57" s="1"/>
      <c r="AC57" s="307"/>
      <c r="AD57" s="240"/>
      <c r="AE57" s="106"/>
      <c r="AF57" s="106"/>
      <c r="AG57" s="154"/>
      <c r="AH57" s="175"/>
      <c r="AI57" s="106"/>
      <c r="AJ57" s="106"/>
      <c r="AK57" s="154"/>
      <c r="AL57" s="138"/>
      <c r="AM57" s="106"/>
      <c r="AN57" s="147"/>
      <c r="AO57" s="106"/>
      <c r="AP57" s="106"/>
      <c r="AQ57" s="154"/>
      <c r="AU57" s="260"/>
      <c r="AW57" s="147"/>
      <c r="AX57" s="1"/>
      <c r="AY57" s="1"/>
    </row>
    <row r="58" spans="1:51" ht="19.5" customHeight="1" x14ac:dyDescent="0.3">
      <c r="L58" s="102"/>
      <c r="M58" s="102"/>
      <c r="N58" s="102"/>
      <c r="O58" s="102"/>
      <c r="R58" s="102"/>
      <c r="T58" s="98">
        <f>A23</f>
        <v>3</v>
      </c>
      <c r="V58" s="124" t="s">
        <v>474</v>
      </c>
      <c r="Y58" s="147"/>
      <c r="Z58" s="1"/>
      <c r="AA58" s="147"/>
      <c r="AB58" s="1"/>
      <c r="AC58" s="307"/>
      <c r="AD58" s="240"/>
      <c r="AE58" s="106"/>
      <c r="AF58" s="106"/>
      <c r="AG58" s="154"/>
      <c r="AH58" s="175"/>
      <c r="AI58" s="106"/>
      <c r="AJ58" s="106"/>
      <c r="AK58" s="154"/>
      <c r="AL58" s="138"/>
      <c r="AM58" s="106"/>
      <c r="AN58" s="147"/>
      <c r="AO58" s="106"/>
      <c r="AP58" s="106"/>
      <c r="AQ58" s="154"/>
      <c r="AU58" s="260"/>
      <c r="AW58" s="147"/>
      <c r="AX58" s="1"/>
      <c r="AY58" s="1"/>
    </row>
    <row r="59" spans="1:51" ht="19.5" customHeight="1" x14ac:dyDescent="0.3">
      <c r="L59" s="102"/>
      <c r="M59" s="102"/>
      <c r="N59" s="102"/>
      <c r="O59" s="102"/>
      <c r="R59" s="102"/>
      <c r="T59" s="98">
        <f>A24</f>
        <v>4</v>
      </c>
      <c r="V59" s="176" t="str">
        <f>C24</f>
        <v>ENVIRONMENTAL SURCHARGE MECHANISM RIDER (ESM)</v>
      </c>
      <c r="Y59" s="147"/>
      <c r="Z59" s="1"/>
      <c r="AA59" s="147"/>
      <c r="AB59" s="1"/>
      <c r="AC59" s="304">
        <f>CUR_ESM_NonRes</f>
        <v>6.3863133253205971E-3</v>
      </c>
      <c r="AD59" s="240"/>
      <c r="AE59" s="106">
        <f>ROUND((AO56-(CUR_BASE_FUEL*AA56)+AO60)*AC59,0)</f>
        <v>2242</v>
      </c>
      <c r="AF59" s="106"/>
      <c r="AG59" s="154">
        <f>ROUND((AE59/AE$63)*100,1)</f>
        <v>0.4</v>
      </c>
      <c r="AH59" s="175"/>
      <c r="AI59" s="106">
        <f>L24-AE59</f>
        <v>104</v>
      </c>
      <c r="AJ59" s="106"/>
      <c r="AK59" s="154">
        <f>IF(AE59=0,0,ROUND((AI59/AE59)*100,1))</f>
        <v>4.5999999999999996</v>
      </c>
      <c r="AL59" s="138"/>
      <c r="AM59" s="106"/>
      <c r="AN59" s="147"/>
      <c r="AO59" s="106">
        <f>AE59+AM59</f>
        <v>2242</v>
      </c>
      <c r="AP59" s="106"/>
      <c r="AQ59" s="154">
        <f>IF(AO59=0,0,ROUND((AI59/AO59)*100,1))</f>
        <v>4.5999999999999996</v>
      </c>
      <c r="AU59" s="260"/>
      <c r="AW59" s="147"/>
      <c r="AX59" s="1"/>
      <c r="AY59" s="1"/>
    </row>
    <row r="60" spans="1:51" ht="15.75" customHeight="1" x14ac:dyDescent="0.3">
      <c r="L60" s="102"/>
      <c r="M60" s="102"/>
      <c r="N60" s="102"/>
      <c r="O60" s="102"/>
      <c r="R60" s="102"/>
      <c r="T60" s="98">
        <f>A25</f>
        <v>5</v>
      </c>
      <c r="V60" s="176" t="str">
        <f>C25</f>
        <v>PROFIT SHARING MECHANISM (PSM)</v>
      </c>
      <c r="Y60" s="147"/>
      <c r="Z60" s="1"/>
      <c r="AA60" s="147"/>
      <c r="AB60" s="1"/>
      <c r="AC60" s="184">
        <f>RS_PSM</f>
        <v>2.4750000000000002E-3</v>
      </c>
      <c r="AD60" s="240"/>
      <c r="AE60" s="117">
        <f>ROUND($AA$56*AC60,0)</f>
        <v>22477</v>
      </c>
      <c r="AF60" s="106"/>
      <c r="AG60" s="156">
        <f>ROUND((AE60/AE$63)*100,1)</f>
        <v>3.6</v>
      </c>
      <c r="AH60" s="175"/>
      <c r="AI60" s="117">
        <f>L25-AE60</f>
        <v>0</v>
      </c>
      <c r="AJ60" s="106"/>
      <c r="AK60" s="156">
        <f>ROUND((AI60/AE60)*100,1)</f>
        <v>0</v>
      </c>
      <c r="AL60" s="138"/>
      <c r="AM60" s="117"/>
      <c r="AN60" s="147"/>
      <c r="AO60" s="117">
        <f>AE60+AM60</f>
        <v>22477</v>
      </c>
      <c r="AP60" s="106"/>
      <c r="AQ60" s="156">
        <f>ROUND((AI60/AO60)*100,1)</f>
        <v>0</v>
      </c>
      <c r="AU60" s="260"/>
      <c r="AW60" s="147"/>
      <c r="AX60" s="1"/>
      <c r="AY60" s="1"/>
    </row>
    <row r="61" spans="1:51" ht="20.100000000000001" customHeight="1" x14ac:dyDescent="0.3">
      <c r="L61" s="102"/>
      <c r="M61" s="102"/>
      <c r="N61" s="102"/>
      <c r="O61" s="102"/>
      <c r="R61" s="102"/>
      <c r="T61" s="98">
        <f>A26</f>
        <v>6</v>
      </c>
      <c r="V61" s="124" t="s">
        <v>461</v>
      </c>
      <c r="Y61" s="177"/>
      <c r="Z61" s="1"/>
      <c r="AA61" s="177"/>
      <c r="AB61" s="1"/>
      <c r="AC61" s="318"/>
      <c r="AD61" s="240"/>
      <c r="AE61" s="112">
        <f>SUM(AE59:AE60)</f>
        <v>24719</v>
      </c>
      <c r="AF61" s="106"/>
      <c r="AG61" s="156">
        <f>ROUND((AE61/AE$63)*100,1)</f>
        <v>3.9</v>
      </c>
      <c r="AH61" s="175"/>
      <c r="AI61" s="112">
        <f>SUM(AI59:AI60)</f>
        <v>104</v>
      </c>
      <c r="AJ61" s="106"/>
      <c r="AK61" s="156">
        <f>ROUND((AI61/AE61)*100,1)</f>
        <v>0.4</v>
      </c>
      <c r="AL61" s="138"/>
      <c r="AM61" s="112"/>
      <c r="AN61" s="147"/>
      <c r="AO61" s="112">
        <f>SUM(AO59:AO60)</f>
        <v>24719</v>
      </c>
      <c r="AP61" s="106"/>
      <c r="AQ61" s="158">
        <f>ROUND((AI61/AO61)*100,1)</f>
        <v>0.4</v>
      </c>
      <c r="AU61" s="260"/>
      <c r="AW61" s="147"/>
      <c r="AX61" s="1"/>
      <c r="AY61" s="1"/>
    </row>
    <row r="62" spans="1:51" ht="15.75" customHeight="1" x14ac:dyDescent="0.3">
      <c r="L62" s="102"/>
      <c r="M62" s="102"/>
      <c r="N62" s="102"/>
      <c r="O62" s="102"/>
      <c r="R62" s="102"/>
      <c r="V62" s="99"/>
      <c r="Y62" s="147"/>
      <c r="Z62" s="1"/>
      <c r="AA62" s="147"/>
      <c r="AB62" s="1"/>
      <c r="AC62" s="318"/>
      <c r="AD62" s="240"/>
      <c r="AE62" s="106"/>
      <c r="AF62" s="106"/>
      <c r="AG62" s="154"/>
      <c r="AH62" s="175"/>
      <c r="AI62" s="106"/>
      <c r="AJ62" s="106"/>
      <c r="AK62" s="154"/>
      <c r="AL62" s="138"/>
      <c r="AM62" s="106"/>
      <c r="AN62" s="147"/>
      <c r="AO62" s="106"/>
      <c r="AP62" s="106"/>
      <c r="AQ62" s="154"/>
      <c r="AU62" s="260"/>
      <c r="AW62" s="147"/>
      <c r="AX62" s="1"/>
      <c r="AY62" s="1"/>
    </row>
    <row r="63" spans="1:51" ht="20.100000000000001" customHeight="1" thickBot="1" x14ac:dyDescent="0.35">
      <c r="L63" s="102"/>
      <c r="M63" s="102"/>
      <c r="N63" s="102"/>
      <c r="O63" s="102"/>
      <c r="R63" s="102"/>
      <c r="T63" s="98">
        <f>A28</f>
        <v>7</v>
      </c>
      <c r="V63" s="124" t="s">
        <v>464</v>
      </c>
      <c r="Y63" s="120">
        <f>Y56</f>
        <v>30661</v>
      </c>
      <c r="Z63" s="1"/>
      <c r="AA63" s="120">
        <f>AA56</f>
        <v>9081472.0030000005</v>
      </c>
      <c r="AB63" s="106"/>
      <c r="AC63" s="1"/>
      <c r="AD63" s="240"/>
      <c r="AE63" s="120">
        <f>AE61+AE56</f>
        <v>628337</v>
      </c>
      <c r="AF63" s="106"/>
      <c r="AG63" s="162">
        <v>100</v>
      </c>
      <c r="AH63" s="175"/>
      <c r="AI63" s="120">
        <f>AI56+AI61</f>
        <v>86187</v>
      </c>
      <c r="AJ63" s="106"/>
      <c r="AK63" s="162">
        <f>ROUND((AI63/AE63)*100,1)</f>
        <v>13.7</v>
      </c>
      <c r="AL63" s="138"/>
      <c r="AM63" s="319">
        <f>ROUND(AA63*CUR_FAC,0)</f>
        <v>31669</v>
      </c>
      <c r="AN63" s="147"/>
      <c r="AO63" s="120">
        <f>AO61+AO56</f>
        <v>660006</v>
      </c>
      <c r="AP63" s="106"/>
      <c r="AQ63" s="162">
        <f>ROUND((AI63/AO63)*100,1)</f>
        <v>13.1</v>
      </c>
      <c r="AW63" s="106"/>
    </row>
    <row r="64" spans="1:51" ht="16.2" thickTop="1" x14ac:dyDescent="0.3">
      <c r="L64" s="102"/>
      <c r="M64" s="102"/>
      <c r="N64" s="102"/>
      <c r="O64" s="102"/>
      <c r="R64" s="102"/>
      <c r="V64" s="99"/>
      <c r="Y64" s="106"/>
      <c r="Z64" s="1"/>
      <c r="AA64" s="106"/>
      <c r="AB64" s="106"/>
      <c r="AC64" s="1"/>
      <c r="AD64" s="240"/>
      <c r="AE64" s="106"/>
      <c r="AF64" s="106"/>
      <c r="AG64" s="154"/>
      <c r="AH64" s="175"/>
      <c r="AI64" s="106"/>
      <c r="AJ64" s="106"/>
      <c r="AK64" s="154"/>
      <c r="AL64" s="138"/>
      <c r="AM64" s="106"/>
      <c r="AN64" s="147"/>
      <c r="AO64" s="106"/>
      <c r="AP64" s="106"/>
      <c r="AQ64" s="154"/>
      <c r="AW64" s="106"/>
    </row>
    <row r="65" spans="3:42" ht="21.9" customHeight="1" x14ac:dyDescent="0.3">
      <c r="C65" s="99"/>
      <c r="F65" s="110"/>
      <c r="H65" s="110"/>
      <c r="I65" s="110"/>
      <c r="J65" s="198"/>
      <c r="K65" s="198"/>
      <c r="L65" s="110"/>
      <c r="M65" s="110"/>
      <c r="N65" s="141"/>
      <c r="O65" s="141"/>
      <c r="P65" s="110"/>
      <c r="Q65" s="110"/>
      <c r="R65" s="110"/>
      <c r="V65" s="178" t="s">
        <v>76</v>
      </c>
    </row>
    <row r="66" spans="3:42" x14ac:dyDescent="0.3">
      <c r="C66" s="99"/>
      <c r="F66" s="110"/>
      <c r="H66" s="110"/>
      <c r="I66" s="110"/>
      <c r="J66" s="198"/>
      <c r="K66" s="198"/>
      <c r="L66" s="110"/>
      <c r="M66" s="110"/>
      <c r="N66" s="141"/>
      <c r="O66" s="141"/>
      <c r="P66" s="110"/>
      <c r="Q66" s="110"/>
      <c r="R66" s="110"/>
      <c r="V66" s="178" t="str">
        <f>"(2) REFLECTS FUEL COMPONENT OF "&amp;TEXT(CUR_FAC,"$0.000000;($0.000000)")&amp;" PER KWH."</f>
        <v>(2) REFLECTS FUEL COMPONENT OF $0.003487 PER KWH.</v>
      </c>
    </row>
    <row r="67" spans="3:42" x14ac:dyDescent="0.3">
      <c r="C67" s="99"/>
      <c r="F67" s="110"/>
      <c r="H67" s="172"/>
      <c r="I67" s="172"/>
      <c r="J67" s="222"/>
      <c r="K67" s="222"/>
      <c r="L67" s="110"/>
      <c r="M67" s="110"/>
      <c r="N67" s="141"/>
      <c r="O67" s="141"/>
      <c r="P67" s="110"/>
      <c r="Q67" s="110"/>
      <c r="R67" s="110"/>
      <c r="T67" s="99"/>
      <c r="V67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68" spans="3:42" x14ac:dyDescent="0.3">
      <c r="F68" s="192"/>
      <c r="H68" s="192"/>
      <c r="I68" s="192"/>
      <c r="J68" s="217"/>
      <c r="K68" s="217"/>
      <c r="L68" s="192"/>
      <c r="M68" s="192"/>
      <c r="N68" s="192"/>
      <c r="O68" s="192"/>
      <c r="P68" s="192"/>
      <c r="Q68" s="192"/>
      <c r="R68" s="192"/>
      <c r="V68" s="99"/>
      <c r="Y68" s="110"/>
      <c r="AA68" s="172"/>
      <c r="AB68" s="172"/>
      <c r="AC68" s="181"/>
      <c r="AD68" s="181"/>
      <c r="AE68" s="110"/>
      <c r="AF68" s="110"/>
      <c r="AH68" s="141"/>
      <c r="AI68" s="110"/>
      <c r="AJ68" s="110"/>
      <c r="AL68" s="207"/>
      <c r="AO68" s="110"/>
      <c r="AP68" s="110"/>
    </row>
    <row r="69" spans="3:42" x14ac:dyDescent="0.3">
      <c r="F69" s="192"/>
      <c r="H69" s="192"/>
      <c r="I69" s="192"/>
      <c r="J69" s="217"/>
      <c r="K69" s="217"/>
      <c r="L69" s="192"/>
      <c r="M69" s="192"/>
      <c r="N69" s="192"/>
      <c r="O69" s="192"/>
      <c r="P69" s="192"/>
      <c r="Q69" s="192"/>
      <c r="R69" s="192"/>
      <c r="S69" s="110"/>
      <c r="V69" s="99"/>
      <c r="Y69" s="172"/>
      <c r="AA69" s="172"/>
      <c r="AB69" s="172"/>
      <c r="AC69" s="227"/>
      <c r="AD69" s="227"/>
      <c r="AE69" s="110"/>
      <c r="AF69" s="110"/>
      <c r="AH69" s="141"/>
      <c r="AI69" s="110"/>
      <c r="AJ69" s="110"/>
      <c r="AL69" s="141"/>
      <c r="AM69" s="110"/>
      <c r="AN69" s="110"/>
      <c r="AO69" s="110"/>
      <c r="AP69" s="110"/>
    </row>
    <row r="70" spans="3:42" x14ac:dyDescent="0.3">
      <c r="C70" s="99"/>
      <c r="F70" s="172"/>
      <c r="H70" s="229"/>
      <c r="I70" s="229"/>
      <c r="J70" s="217"/>
      <c r="K70" s="217"/>
      <c r="L70" s="110"/>
      <c r="M70" s="110"/>
      <c r="N70" s="141"/>
      <c r="O70" s="141"/>
      <c r="P70" s="110"/>
      <c r="Q70" s="110"/>
      <c r="R70" s="110"/>
      <c r="S70" s="110"/>
      <c r="V70" s="99"/>
      <c r="Y70" s="172"/>
      <c r="AA70" s="110"/>
      <c r="AB70" s="110"/>
      <c r="AC70" s="181"/>
      <c r="AD70" s="181"/>
      <c r="AE70" s="110"/>
      <c r="AF70" s="110"/>
      <c r="AH70" s="141"/>
      <c r="AI70" s="110"/>
      <c r="AJ70" s="110"/>
      <c r="AL70" s="207"/>
      <c r="AM70" s="110"/>
      <c r="AN70" s="110"/>
      <c r="AO70" s="110"/>
      <c r="AP70" s="110"/>
    </row>
    <row r="71" spans="3:42" x14ac:dyDescent="0.3">
      <c r="V71" s="99"/>
      <c r="Y71" s="172"/>
      <c r="AA71" s="110"/>
      <c r="AB71" s="110"/>
      <c r="AC71" s="181"/>
      <c r="AD71" s="181"/>
      <c r="AE71" s="110"/>
      <c r="AF71" s="110"/>
      <c r="AH71" s="141"/>
      <c r="AI71" s="110"/>
      <c r="AJ71" s="110"/>
      <c r="AL71" s="207"/>
      <c r="AM71" s="110"/>
      <c r="AN71" s="110"/>
      <c r="AO71" s="110"/>
      <c r="AP71" s="110"/>
    </row>
    <row r="72" spans="3:42" x14ac:dyDescent="0.3">
      <c r="C72" s="99"/>
      <c r="F72" s="172"/>
      <c r="H72" s="172"/>
      <c r="I72" s="172"/>
      <c r="J72" s="181"/>
      <c r="K72" s="181"/>
      <c r="L72" s="110"/>
      <c r="M72" s="110"/>
      <c r="N72" s="141"/>
      <c r="O72" s="141"/>
      <c r="R72" s="110"/>
      <c r="V72" s="99"/>
      <c r="Y72" s="110"/>
      <c r="AA72" s="110"/>
      <c r="AB72" s="110"/>
      <c r="AC72" s="198"/>
      <c r="AD72" s="198"/>
      <c r="AE72" s="110"/>
      <c r="AF72" s="110"/>
      <c r="AH72" s="141"/>
      <c r="AI72" s="110"/>
      <c r="AJ72" s="110"/>
      <c r="AL72" s="207"/>
      <c r="AM72" s="110"/>
      <c r="AN72" s="110"/>
      <c r="AO72" s="110"/>
      <c r="AP72" s="110"/>
    </row>
    <row r="73" spans="3:42" x14ac:dyDescent="0.3">
      <c r="C73" s="99"/>
      <c r="F73" s="172"/>
      <c r="H73" s="172"/>
      <c r="I73" s="172"/>
      <c r="J73" s="181"/>
      <c r="K73" s="181"/>
      <c r="L73" s="110"/>
      <c r="M73" s="110"/>
      <c r="N73" s="141"/>
      <c r="O73" s="141"/>
      <c r="R73" s="110"/>
      <c r="V73" s="99"/>
      <c r="Y73" s="110"/>
      <c r="AA73" s="110"/>
      <c r="AB73" s="110"/>
      <c r="AC73" s="198"/>
      <c r="AD73" s="198"/>
      <c r="AE73" s="110"/>
      <c r="AF73" s="110"/>
      <c r="AH73" s="141"/>
      <c r="AI73" s="110"/>
      <c r="AJ73" s="110"/>
      <c r="AL73" s="207"/>
      <c r="AM73" s="110"/>
      <c r="AN73" s="110"/>
      <c r="AO73" s="110"/>
      <c r="AP73" s="110"/>
    </row>
    <row r="74" spans="3:42" x14ac:dyDescent="0.3">
      <c r="F74" s="192"/>
      <c r="H74" s="110"/>
      <c r="I74" s="110"/>
      <c r="J74" s="217"/>
      <c r="K74" s="217"/>
      <c r="L74" s="192"/>
      <c r="M74" s="192"/>
      <c r="N74" s="192"/>
      <c r="O74" s="192"/>
      <c r="P74" s="192"/>
      <c r="Q74" s="192"/>
      <c r="R74" s="192"/>
      <c r="V74" s="99"/>
      <c r="Y74" s="110"/>
      <c r="AA74" s="110"/>
      <c r="AB74" s="110"/>
      <c r="AC74" s="216"/>
      <c r="AD74" s="216"/>
      <c r="AE74" s="110"/>
      <c r="AF74" s="110"/>
      <c r="AH74" s="141"/>
      <c r="AI74" s="110"/>
      <c r="AJ74" s="110"/>
      <c r="AL74" s="207"/>
      <c r="AM74" s="110"/>
      <c r="AN74" s="110"/>
      <c r="AO74" s="110"/>
      <c r="AP74" s="110"/>
    </row>
    <row r="75" spans="3:42" x14ac:dyDescent="0.3">
      <c r="F75" s="192"/>
      <c r="H75" s="110"/>
      <c r="I75" s="110"/>
      <c r="J75" s="217"/>
      <c r="K75" s="217"/>
      <c r="L75" s="192"/>
      <c r="M75" s="192"/>
      <c r="N75" s="192"/>
      <c r="O75" s="192"/>
      <c r="P75" s="192"/>
      <c r="Q75" s="192"/>
      <c r="R75" s="192"/>
    </row>
    <row r="76" spans="3:42" x14ac:dyDescent="0.3">
      <c r="C76" s="99"/>
      <c r="F76" s="172"/>
      <c r="H76" s="172"/>
      <c r="I76" s="172"/>
      <c r="J76" s="227"/>
      <c r="K76" s="227"/>
      <c r="L76" s="110"/>
      <c r="M76" s="110"/>
      <c r="N76" s="141"/>
      <c r="O76" s="141"/>
      <c r="P76" s="110"/>
      <c r="Q76" s="110"/>
      <c r="R76" s="110"/>
      <c r="S76" s="110"/>
      <c r="V76" s="99"/>
      <c r="Y76" s="110"/>
      <c r="AA76" s="110"/>
      <c r="AB76" s="110"/>
      <c r="AC76" s="217"/>
      <c r="AD76" s="217"/>
      <c r="AE76" s="110"/>
      <c r="AF76" s="110"/>
      <c r="AH76" s="141"/>
      <c r="AI76" s="110"/>
      <c r="AJ76" s="110"/>
      <c r="AL76" s="141"/>
      <c r="AM76" s="110"/>
      <c r="AN76" s="110"/>
      <c r="AO76" s="110"/>
      <c r="AP76" s="110"/>
    </row>
    <row r="77" spans="3:42" x14ac:dyDescent="0.3">
      <c r="C77" s="99"/>
      <c r="F77" s="172"/>
      <c r="H77" s="172"/>
      <c r="I77" s="172"/>
      <c r="J77" s="181"/>
      <c r="K77" s="181"/>
      <c r="L77" s="110"/>
      <c r="M77" s="110"/>
      <c r="N77" s="141"/>
      <c r="O77" s="141"/>
      <c r="P77" s="110"/>
      <c r="Q77" s="110"/>
      <c r="R77" s="110"/>
      <c r="V77" s="99"/>
    </row>
    <row r="78" spans="3:42" x14ac:dyDescent="0.3">
      <c r="F78" s="110"/>
      <c r="H78" s="192"/>
      <c r="I78" s="192"/>
      <c r="J78" s="217"/>
      <c r="K78" s="217"/>
      <c r="L78" s="192"/>
      <c r="M78" s="192"/>
      <c r="N78" s="192"/>
      <c r="O78" s="192"/>
      <c r="P78" s="192"/>
      <c r="Q78" s="192"/>
      <c r="R78" s="192"/>
      <c r="V78" s="99"/>
      <c r="Y78" s="110"/>
      <c r="AA78" s="110"/>
      <c r="AB78" s="110"/>
      <c r="AE78" s="110"/>
      <c r="AF78" s="110"/>
      <c r="AH78" s="141"/>
      <c r="AI78" s="110"/>
      <c r="AJ78" s="110"/>
      <c r="AL78" s="141"/>
      <c r="AM78" s="172"/>
      <c r="AN78" s="172"/>
      <c r="AO78" s="110"/>
      <c r="AP78" s="110"/>
    </row>
    <row r="79" spans="3:42" x14ac:dyDescent="0.3">
      <c r="F79" s="110"/>
      <c r="H79" s="192"/>
      <c r="I79" s="192"/>
      <c r="J79" s="217"/>
      <c r="K79" s="217"/>
      <c r="L79" s="192"/>
      <c r="M79" s="192"/>
      <c r="N79" s="192"/>
      <c r="O79" s="192"/>
      <c r="P79" s="192"/>
      <c r="Q79" s="192"/>
      <c r="R79" s="192"/>
    </row>
    <row r="80" spans="3:42" x14ac:dyDescent="0.3">
      <c r="C80" s="99"/>
      <c r="F80" s="110"/>
      <c r="H80" s="110"/>
      <c r="I80" s="110"/>
      <c r="J80" s="217"/>
      <c r="K80" s="217"/>
      <c r="L80" s="110"/>
      <c r="M80" s="110"/>
      <c r="N80" s="110"/>
      <c r="O80" s="110"/>
      <c r="P80" s="110"/>
      <c r="Q80" s="110"/>
      <c r="R80" s="110"/>
      <c r="V80" s="99"/>
      <c r="AE80" s="110"/>
      <c r="AF80" s="110"/>
      <c r="AH80" s="110"/>
      <c r="AM80" s="110"/>
      <c r="AN80" s="110"/>
      <c r="AO80" s="110"/>
      <c r="AP80" s="110"/>
    </row>
    <row r="81" spans="1:40" x14ac:dyDescent="0.3">
      <c r="C81" s="99"/>
      <c r="F81" s="110"/>
      <c r="H81" s="172"/>
      <c r="I81" s="172"/>
      <c r="J81" s="228"/>
      <c r="K81" s="228"/>
      <c r="L81" s="110"/>
      <c r="M81" s="110"/>
      <c r="N81" s="141"/>
      <c r="O81" s="141"/>
      <c r="P81" s="110"/>
      <c r="Q81" s="110"/>
      <c r="R81" s="110"/>
      <c r="T81" s="99"/>
    </row>
    <row r="82" spans="1:40" x14ac:dyDescent="0.3">
      <c r="C82" s="99"/>
      <c r="H82" s="172"/>
      <c r="I82" s="172"/>
      <c r="J82" s="228"/>
      <c r="K82" s="228"/>
      <c r="L82" s="110"/>
      <c r="M82" s="110"/>
      <c r="N82" s="141"/>
      <c r="O82" s="141"/>
      <c r="P82" s="110"/>
      <c r="Q82" s="110"/>
      <c r="R82" s="110"/>
      <c r="T82" s="99"/>
      <c r="V82" s="172"/>
      <c r="Y82" s="172"/>
      <c r="Z82" s="227"/>
      <c r="AA82" s="110"/>
      <c r="AB82" s="110"/>
      <c r="AC82" s="141"/>
      <c r="AD82" s="141"/>
      <c r="AE82" s="110"/>
      <c r="AF82" s="110"/>
      <c r="AH82" s="141"/>
      <c r="AI82" s="110"/>
      <c r="AJ82" s="110"/>
      <c r="AL82" s="110"/>
      <c r="AM82" s="141"/>
      <c r="AN82" s="141"/>
    </row>
    <row r="83" spans="1:40" x14ac:dyDescent="0.3">
      <c r="F83" s="110"/>
      <c r="H83" s="110"/>
      <c r="I83" s="110"/>
      <c r="J83" s="217"/>
      <c r="K83" s="217"/>
      <c r="L83" s="192"/>
      <c r="M83" s="192"/>
      <c r="N83" s="192"/>
      <c r="O83" s="192"/>
      <c r="P83" s="192"/>
      <c r="Q83" s="192"/>
      <c r="R83" s="192"/>
      <c r="T83" s="99"/>
      <c r="V83" s="172"/>
      <c r="Y83" s="110"/>
      <c r="Z83" s="181"/>
      <c r="AA83" s="110"/>
      <c r="AB83" s="110"/>
      <c r="AC83" s="141"/>
      <c r="AD83" s="141"/>
      <c r="AE83" s="110"/>
      <c r="AF83" s="110"/>
      <c r="AH83" s="207"/>
      <c r="AI83" s="110"/>
      <c r="AJ83" s="110"/>
      <c r="AL83" s="110"/>
      <c r="AM83" s="141"/>
      <c r="AN83" s="141"/>
    </row>
    <row r="84" spans="1:40" x14ac:dyDescent="0.3">
      <c r="C84" s="99"/>
      <c r="F84" s="110"/>
      <c r="H84" s="110"/>
      <c r="I84" s="110"/>
      <c r="J84" s="198"/>
      <c r="K84" s="198"/>
      <c r="L84" s="110"/>
      <c r="M84" s="110"/>
      <c r="N84" s="141"/>
      <c r="O84" s="141"/>
      <c r="P84" s="110"/>
      <c r="Q84" s="110"/>
      <c r="R84" s="110"/>
      <c r="T84" s="99"/>
      <c r="V84" s="172"/>
      <c r="Y84" s="110"/>
      <c r="Z84" s="181"/>
      <c r="AA84" s="110"/>
      <c r="AB84" s="110"/>
      <c r="AC84" s="141"/>
      <c r="AD84" s="141"/>
      <c r="AE84" s="110"/>
      <c r="AF84" s="110"/>
      <c r="AH84" s="207"/>
      <c r="AI84" s="110"/>
      <c r="AJ84" s="110"/>
      <c r="AL84" s="110"/>
      <c r="AM84" s="141"/>
      <c r="AN84" s="141"/>
    </row>
    <row r="85" spans="1:40" x14ac:dyDescent="0.3">
      <c r="F85" s="110"/>
      <c r="H85" s="110"/>
      <c r="I85" s="110"/>
      <c r="J85" s="217"/>
      <c r="K85" s="217"/>
      <c r="L85" s="192"/>
      <c r="M85" s="192"/>
      <c r="N85" s="192"/>
      <c r="O85" s="192"/>
      <c r="P85" s="192"/>
      <c r="Q85" s="192"/>
      <c r="R85" s="192"/>
      <c r="V85" s="110"/>
      <c r="Y85" s="192"/>
      <c r="Z85" s="217"/>
      <c r="AA85" s="192"/>
      <c r="AB85" s="192"/>
      <c r="AC85" s="192"/>
      <c r="AD85" s="192"/>
      <c r="AE85" s="192"/>
      <c r="AF85" s="192"/>
      <c r="AI85" s="192"/>
      <c r="AJ85" s="192"/>
      <c r="AK85" s="194"/>
      <c r="AL85" s="192"/>
      <c r="AM85" s="141"/>
      <c r="AN85" s="141"/>
    </row>
    <row r="86" spans="1:40" x14ac:dyDescent="0.3">
      <c r="C86" s="99"/>
      <c r="F86" s="110"/>
      <c r="H86" s="110"/>
      <c r="I86" s="110"/>
      <c r="J86" s="198"/>
      <c r="K86" s="198"/>
      <c r="L86" s="110"/>
      <c r="M86" s="110"/>
      <c r="N86" s="141"/>
      <c r="O86" s="141"/>
      <c r="P86" s="110"/>
      <c r="Q86" s="110"/>
      <c r="R86" s="110"/>
      <c r="T86" s="99"/>
      <c r="V86" s="110"/>
      <c r="Y86" s="110"/>
      <c r="Z86" s="217"/>
      <c r="AA86" s="110"/>
      <c r="AB86" s="110"/>
      <c r="AC86" s="141"/>
      <c r="AD86" s="141"/>
      <c r="AE86" s="110"/>
      <c r="AF86" s="110"/>
      <c r="AH86" s="207"/>
      <c r="AI86" s="110"/>
      <c r="AJ86" s="110"/>
      <c r="AL86" s="110"/>
      <c r="AM86" s="141"/>
      <c r="AN86" s="141"/>
    </row>
    <row r="87" spans="1:40" x14ac:dyDescent="0.3">
      <c r="C87" s="99"/>
      <c r="F87" s="172"/>
      <c r="H87" s="172"/>
      <c r="I87" s="172"/>
      <c r="J87" s="222"/>
      <c r="K87" s="222"/>
      <c r="L87" s="110"/>
      <c r="M87" s="110"/>
      <c r="N87" s="141"/>
      <c r="O87" s="141"/>
      <c r="P87" s="110"/>
      <c r="Q87" s="110"/>
      <c r="R87" s="110"/>
      <c r="V87" s="110"/>
      <c r="Y87" s="192"/>
      <c r="Z87" s="217"/>
      <c r="AA87" s="192"/>
      <c r="AB87" s="192"/>
      <c r="AC87" s="192"/>
      <c r="AD87" s="192"/>
      <c r="AE87" s="192"/>
      <c r="AF87" s="192"/>
      <c r="AI87" s="192"/>
      <c r="AJ87" s="192"/>
      <c r="AK87" s="194"/>
      <c r="AL87" s="192"/>
      <c r="AM87" s="141"/>
      <c r="AN87" s="141"/>
    </row>
    <row r="88" spans="1:40" x14ac:dyDescent="0.3">
      <c r="F88" s="192"/>
      <c r="H88" s="192"/>
      <c r="I88" s="192"/>
      <c r="J88" s="217"/>
      <c r="K88" s="217"/>
      <c r="L88" s="192"/>
      <c r="M88" s="192"/>
      <c r="N88" s="192"/>
      <c r="O88" s="192"/>
      <c r="P88" s="192"/>
      <c r="Q88" s="192"/>
      <c r="R88" s="192"/>
      <c r="T88" s="99"/>
      <c r="V88" s="110"/>
      <c r="Y88" s="110"/>
      <c r="Z88" s="217"/>
      <c r="AA88" s="110"/>
      <c r="AB88" s="110"/>
      <c r="AC88" s="110"/>
      <c r="AD88" s="110"/>
      <c r="AE88" s="110"/>
      <c r="AF88" s="110"/>
      <c r="AH88" s="207"/>
      <c r="AI88" s="110"/>
      <c r="AJ88" s="110"/>
      <c r="AL88" s="110"/>
      <c r="AM88" s="141"/>
      <c r="AN88" s="141"/>
    </row>
    <row r="89" spans="1:40" x14ac:dyDescent="0.3">
      <c r="C89" s="99"/>
      <c r="F89" s="110"/>
      <c r="H89" s="110"/>
      <c r="I89" s="110"/>
      <c r="J89" s="217"/>
      <c r="K89" s="217"/>
      <c r="L89" s="110"/>
      <c r="M89" s="110"/>
      <c r="N89" s="141"/>
      <c r="O89" s="141"/>
      <c r="P89" s="110"/>
      <c r="Q89" s="110"/>
      <c r="R89" s="110"/>
      <c r="S89" s="110"/>
      <c r="T89" s="99"/>
      <c r="V89" s="110"/>
      <c r="Y89" s="110"/>
      <c r="Z89" s="228"/>
      <c r="AA89" s="110"/>
      <c r="AB89" s="110"/>
      <c r="AC89" s="141"/>
      <c r="AD89" s="141"/>
      <c r="AE89" s="110"/>
      <c r="AF89" s="110"/>
      <c r="AH89" s="207"/>
      <c r="AI89" s="110"/>
      <c r="AJ89" s="110"/>
      <c r="AL89" s="110"/>
      <c r="AM89" s="141"/>
      <c r="AN89" s="141"/>
    </row>
    <row r="90" spans="1:40" x14ac:dyDescent="0.3">
      <c r="F90" s="192"/>
      <c r="H90" s="192"/>
      <c r="I90" s="192"/>
      <c r="J90" s="217"/>
      <c r="K90" s="217"/>
      <c r="L90" s="192"/>
      <c r="M90" s="192"/>
      <c r="N90" s="192"/>
      <c r="O90" s="192"/>
      <c r="P90" s="192"/>
      <c r="Q90" s="192"/>
      <c r="R90" s="192"/>
      <c r="S90" s="110"/>
      <c r="T90" s="99"/>
      <c r="Y90" s="110"/>
      <c r="Z90" s="228"/>
      <c r="AA90" s="110"/>
      <c r="AB90" s="110"/>
      <c r="AC90" s="141"/>
      <c r="AD90" s="141"/>
      <c r="AE90" s="110"/>
      <c r="AF90" s="110"/>
      <c r="AH90" s="207"/>
      <c r="AI90" s="110"/>
      <c r="AJ90" s="110"/>
      <c r="AL90" s="110"/>
      <c r="AM90" s="141"/>
      <c r="AN90" s="141"/>
    </row>
    <row r="91" spans="1:40" x14ac:dyDescent="0.3">
      <c r="C91" s="99"/>
      <c r="V91" s="110"/>
      <c r="Y91" s="110"/>
      <c r="Z91" s="217"/>
      <c r="AA91" s="192"/>
      <c r="AB91" s="192"/>
      <c r="AC91" s="192"/>
      <c r="AD91" s="192"/>
      <c r="AE91" s="192"/>
      <c r="AF91" s="192"/>
      <c r="AI91" s="192"/>
      <c r="AJ91" s="192"/>
      <c r="AK91" s="194"/>
      <c r="AL91" s="192"/>
      <c r="AM91" s="141"/>
      <c r="AN91" s="141"/>
    </row>
    <row r="92" spans="1:40" x14ac:dyDescent="0.3">
      <c r="C92" s="99"/>
      <c r="F92" s="110"/>
      <c r="H92" s="110"/>
      <c r="I92" s="110"/>
      <c r="L92" s="110"/>
      <c r="M92" s="110"/>
      <c r="N92" s="141"/>
      <c r="O92" s="141"/>
      <c r="P92" s="172"/>
      <c r="Q92" s="172"/>
      <c r="R92" s="110"/>
      <c r="T92" s="99"/>
      <c r="V92" s="110"/>
      <c r="Y92" s="110"/>
      <c r="Z92" s="198"/>
      <c r="AA92" s="110"/>
      <c r="AB92" s="110"/>
      <c r="AC92" s="141"/>
      <c r="AD92" s="141"/>
      <c r="AE92" s="110"/>
      <c r="AF92" s="110"/>
      <c r="AH92" s="207"/>
      <c r="AI92" s="110"/>
      <c r="AJ92" s="110"/>
      <c r="AL92" s="110"/>
      <c r="AM92" s="141"/>
      <c r="AN92" s="141"/>
    </row>
    <row r="93" spans="1:40" x14ac:dyDescent="0.3">
      <c r="F93" s="192"/>
      <c r="H93" s="192"/>
      <c r="I93" s="192"/>
      <c r="J93" s="217"/>
      <c r="K93" s="217"/>
      <c r="L93" s="192"/>
      <c r="M93" s="192"/>
      <c r="N93" s="192"/>
      <c r="O93" s="192"/>
      <c r="P93" s="192"/>
      <c r="Q93" s="192"/>
      <c r="R93" s="192"/>
      <c r="V93" s="110"/>
      <c r="Y93" s="110"/>
      <c r="Z93" s="217"/>
      <c r="AA93" s="192"/>
      <c r="AB93" s="192"/>
      <c r="AC93" s="192"/>
      <c r="AD93" s="192"/>
      <c r="AE93" s="192"/>
      <c r="AF93" s="192"/>
      <c r="AI93" s="192"/>
      <c r="AJ93" s="192"/>
      <c r="AK93" s="194"/>
      <c r="AL93" s="192"/>
      <c r="AM93" s="141"/>
      <c r="AN93" s="141"/>
    </row>
    <row r="94" spans="1:40" x14ac:dyDescent="0.3">
      <c r="T94" s="99"/>
      <c r="V94" s="110"/>
      <c r="Y94" s="110"/>
      <c r="Z94" s="198"/>
      <c r="AA94" s="110"/>
      <c r="AB94" s="110"/>
      <c r="AC94" s="141"/>
      <c r="AD94" s="141"/>
      <c r="AE94" s="110"/>
      <c r="AF94" s="110"/>
      <c r="AH94" s="207"/>
      <c r="AI94" s="110"/>
      <c r="AJ94" s="110"/>
      <c r="AL94" s="110"/>
      <c r="AM94" s="141"/>
      <c r="AN94" s="141"/>
    </row>
    <row r="95" spans="1:40" x14ac:dyDescent="0.3">
      <c r="C95" s="99"/>
      <c r="L95" s="110"/>
      <c r="M95" s="110"/>
      <c r="N95" s="110"/>
      <c r="O95" s="110"/>
      <c r="P95" s="110"/>
      <c r="Q95" s="110"/>
      <c r="R95" s="110"/>
      <c r="S95" s="110"/>
      <c r="T95" s="99"/>
      <c r="V95" s="172"/>
      <c r="Y95" s="110"/>
      <c r="Z95" s="222"/>
      <c r="AA95" s="110"/>
      <c r="AB95" s="110"/>
      <c r="AC95" s="141"/>
      <c r="AD95" s="141"/>
      <c r="AE95" s="110"/>
      <c r="AF95" s="110"/>
      <c r="AH95" s="207"/>
      <c r="AI95" s="110"/>
      <c r="AJ95" s="110"/>
      <c r="AL95" s="110"/>
      <c r="AM95" s="141"/>
      <c r="AN95" s="141"/>
    </row>
    <row r="96" spans="1:40" x14ac:dyDescent="0.3">
      <c r="A96" s="99"/>
      <c r="V96" s="192"/>
      <c r="Y96" s="192"/>
      <c r="Z96" s="217"/>
      <c r="AA96" s="192"/>
      <c r="AB96" s="192"/>
      <c r="AC96" s="192"/>
      <c r="AD96" s="192"/>
      <c r="AE96" s="192"/>
      <c r="AF96" s="192"/>
      <c r="AI96" s="192"/>
      <c r="AJ96" s="192"/>
      <c r="AK96" s="194"/>
      <c r="AL96" s="192"/>
      <c r="AM96" s="141"/>
      <c r="AN96" s="141"/>
    </row>
    <row r="97" spans="1:40" x14ac:dyDescent="0.3">
      <c r="T97" s="99"/>
      <c r="V97" s="110"/>
      <c r="Y97" s="110"/>
      <c r="Z97" s="217"/>
      <c r="AA97" s="110"/>
      <c r="AB97" s="110"/>
      <c r="AC97" s="141"/>
      <c r="AD97" s="141"/>
      <c r="AE97" s="110"/>
      <c r="AF97" s="110"/>
      <c r="AH97" s="141"/>
      <c r="AI97" s="110"/>
      <c r="AJ97" s="110"/>
      <c r="AL97" s="110"/>
      <c r="AM97" s="141"/>
      <c r="AN97" s="141"/>
    </row>
    <row r="98" spans="1:40" x14ac:dyDescent="0.3">
      <c r="H98" s="99"/>
      <c r="I98" s="99"/>
      <c r="V98" s="192"/>
      <c r="Y98" s="192"/>
      <c r="Z98" s="217"/>
      <c r="AA98" s="192"/>
      <c r="AB98" s="192"/>
      <c r="AC98" s="192"/>
      <c r="AD98" s="192"/>
      <c r="AE98" s="192"/>
      <c r="AF98" s="192"/>
      <c r="AI98" s="192"/>
      <c r="AJ98" s="192"/>
      <c r="AK98" s="194"/>
      <c r="AL98" s="192"/>
      <c r="AM98" s="141"/>
      <c r="AN98" s="141"/>
    </row>
    <row r="99" spans="1:40" x14ac:dyDescent="0.3">
      <c r="T99" s="99"/>
    </row>
    <row r="100" spans="1:40" x14ac:dyDescent="0.3">
      <c r="L100" s="99"/>
      <c r="M100" s="99"/>
      <c r="AA100" s="99"/>
      <c r="AB100" s="99"/>
    </row>
    <row r="101" spans="1:40" x14ac:dyDescent="0.3">
      <c r="R101" s="99"/>
      <c r="AK101" s="190"/>
      <c r="AL101" s="99"/>
    </row>
    <row r="102" spans="1:40" x14ac:dyDescent="0.3">
      <c r="R102" s="99"/>
      <c r="AK102" s="190"/>
      <c r="AL102" s="99"/>
    </row>
    <row r="103" spans="1:40" x14ac:dyDescent="0.3">
      <c r="A103" s="99"/>
      <c r="R103" s="99"/>
      <c r="AK103" s="190"/>
      <c r="AL103" s="99"/>
    </row>
    <row r="104" spans="1:40" x14ac:dyDescent="0.3">
      <c r="L104" s="99"/>
      <c r="M104" s="99"/>
      <c r="AA104" s="99"/>
      <c r="AB104" s="99"/>
    </row>
    <row r="105" spans="1:40" x14ac:dyDescent="0.3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91"/>
      <c r="AH105" s="101"/>
      <c r="AI105" s="101"/>
      <c r="AJ105" s="101"/>
      <c r="AK105" s="191"/>
      <c r="AL105" s="101"/>
      <c r="AM105" s="101"/>
      <c r="AN105" s="101"/>
    </row>
    <row r="106" spans="1:40" x14ac:dyDescent="0.3">
      <c r="L106" s="102"/>
      <c r="M106" s="102"/>
      <c r="N106" s="102"/>
      <c r="O106" s="102"/>
      <c r="R106" s="102"/>
      <c r="AA106" s="102"/>
      <c r="AB106" s="102"/>
      <c r="AC106" s="102"/>
      <c r="AD106" s="102"/>
      <c r="AE106" s="102"/>
      <c r="AF106" s="102"/>
      <c r="AG106" s="151"/>
      <c r="AH106" s="102"/>
      <c r="AK106" s="151"/>
      <c r="AL106" s="102"/>
      <c r="AM106" s="102"/>
      <c r="AN106" s="102"/>
    </row>
    <row r="107" spans="1:40" x14ac:dyDescent="0.3">
      <c r="L107" s="102"/>
      <c r="M107" s="102"/>
      <c r="N107" s="102"/>
      <c r="O107" s="102"/>
      <c r="R107" s="102"/>
      <c r="Z107" s="102"/>
      <c r="AA107" s="102"/>
      <c r="AB107" s="102"/>
      <c r="AC107" s="102"/>
      <c r="AD107" s="102"/>
      <c r="AE107" s="102"/>
      <c r="AF107" s="102"/>
      <c r="AG107" s="151"/>
      <c r="AH107" s="102"/>
      <c r="AK107" s="151"/>
      <c r="AL107" s="102"/>
      <c r="AM107" s="102"/>
      <c r="AN107" s="102"/>
    </row>
    <row r="108" spans="1:40" x14ac:dyDescent="0.3">
      <c r="A108" s="102"/>
      <c r="C108" s="102"/>
      <c r="D108" s="102"/>
      <c r="E108" s="102"/>
      <c r="F108" s="102"/>
      <c r="J108" s="102"/>
      <c r="K108" s="102"/>
      <c r="L108" s="102"/>
      <c r="M108" s="102"/>
      <c r="N108" s="102"/>
      <c r="O108" s="102"/>
      <c r="P108" s="102"/>
      <c r="Q108" s="102"/>
      <c r="R108" s="102"/>
      <c r="T108" s="102"/>
      <c r="U108" s="102"/>
      <c r="V108" s="102"/>
      <c r="Z108" s="102"/>
      <c r="AA108" s="102"/>
      <c r="AB108" s="102"/>
      <c r="AC108" s="102"/>
      <c r="AD108" s="102"/>
      <c r="AE108" s="102"/>
      <c r="AF108" s="102"/>
      <c r="AG108" s="151"/>
      <c r="AH108" s="102"/>
      <c r="AI108" s="102"/>
      <c r="AJ108" s="102"/>
      <c r="AK108" s="151"/>
      <c r="AL108" s="102"/>
      <c r="AM108" s="102"/>
      <c r="AN108" s="102"/>
    </row>
    <row r="109" spans="1:40" x14ac:dyDescent="0.3">
      <c r="A109" s="102"/>
      <c r="C109" s="102"/>
      <c r="D109" s="102"/>
      <c r="E109" s="102"/>
      <c r="F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T109" s="102"/>
      <c r="U109" s="102"/>
      <c r="V109" s="102"/>
      <c r="Y109" s="102"/>
      <c r="Z109" s="102"/>
      <c r="AA109" s="102"/>
      <c r="AB109" s="102"/>
      <c r="AC109" s="102"/>
      <c r="AD109" s="102"/>
      <c r="AE109" s="102"/>
      <c r="AF109" s="102"/>
      <c r="AG109" s="151"/>
      <c r="AH109" s="102"/>
      <c r="AI109" s="102"/>
      <c r="AJ109" s="102"/>
      <c r="AK109" s="151"/>
      <c r="AL109" s="102"/>
      <c r="AM109" s="102"/>
      <c r="AN109" s="102"/>
    </row>
    <row r="110" spans="1:40" x14ac:dyDescent="0.3">
      <c r="C110" s="102"/>
      <c r="D110" s="102"/>
      <c r="E110" s="102"/>
      <c r="F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T110" s="102"/>
      <c r="U110" s="102"/>
      <c r="V110" s="102"/>
      <c r="Y110" s="102"/>
      <c r="Z110" s="102"/>
      <c r="AA110" s="102"/>
      <c r="AB110" s="102"/>
      <c r="AC110" s="102"/>
      <c r="AD110" s="102"/>
      <c r="AE110" s="102"/>
      <c r="AF110" s="102"/>
      <c r="AG110" s="151"/>
      <c r="AH110" s="102"/>
      <c r="AI110" s="102"/>
      <c r="AJ110" s="102"/>
      <c r="AK110" s="151"/>
      <c r="AL110" s="102"/>
      <c r="AM110" s="102"/>
      <c r="AN110" s="102"/>
    </row>
    <row r="111" spans="1:40" x14ac:dyDescent="0.3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91"/>
      <c r="AH111" s="101"/>
      <c r="AI111" s="101"/>
      <c r="AJ111" s="101"/>
      <c r="AK111" s="191"/>
      <c r="AL111" s="101"/>
      <c r="AM111" s="101"/>
      <c r="AN111" s="101"/>
    </row>
    <row r="112" spans="1:40" x14ac:dyDescent="0.3"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Y112" s="102"/>
      <c r="Z112" s="102"/>
      <c r="AA112" s="102"/>
      <c r="AB112" s="102"/>
      <c r="AC112" s="102"/>
      <c r="AD112" s="102"/>
      <c r="AE112" s="102"/>
      <c r="AF112" s="102"/>
      <c r="AG112" s="151"/>
      <c r="AH112" s="102"/>
      <c r="AI112" s="102"/>
      <c r="AJ112" s="102"/>
      <c r="AK112" s="151"/>
      <c r="AL112" s="102"/>
      <c r="AM112" s="102"/>
      <c r="AN112" s="102"/>
    </row>
    <row r="113" spans="3:40" x14ac:dyDescent="0.3">
      <c r="C113" s="99"/>
      <c r="D113" s="99"/>
      <c r="E113" s="99"/>
      <c r="T113" s="99"/>
      <c r="U113" s="99"/>
    </row>
    <row r="114" spans="3:40" x14ac:dyDescent="0.3">
      <c r="D114" s="99"/>
      <c r="E114" s="99"/>
      <c r="U114" s="99"/>
    </row>
    <row r="116" spans="3:40" x14ac:dyDescent="0.3">
      <c r="C116" s="99"/>
      <c r="F116" s="172"/>
      <c r="H116" s="172"/>
      <c r="I116" s="172"/>
      <c r="J116" s="181"/>
      <c r="K116" s="181"/>
      <c r="L116" s="110"/>
      <c r="M116" s="110"/>
      <c r="N116" s="141"/>
      <c r="O116" s="141"/>
      <c r="R116" s="110"/>
      <c r="T116" s="99"/>
      <c r="V116" s="110"/>
      <c r="Y116" s="172"/>
      <c r="Z116" s="181"/>
      <c r="AA116" s="110"/>
      <c r="AB116" s="110"/>
      <c r="AC116" s="141"/>
      <c r="AD116" s="141"/>
      <c r="AE116" s="110"/>
      <c r="AF116" s="110"/>
      <c r="AG116" s="224"/>
      <c r="AH116" s="225"/>
      <c r="AL116" s="110"/>
      <c r="AM116" s="226"/>
      <c r="AN116" s="226"/>
    </row>
    <row r="117" spans="3:40" x14ac:dyDescent="0.3">
      <c r="C117" s="99"/>
      <c r="F117" s="172"/>
      <c r="H117" s="172"/>
      <c r="I117" s="172"/>
      <c r="J117" s="181"/>
      <c r="K117" s="181"/>
      <c r="L117" s="110"/>
      <c r="M117" s="110"/>
      <c r="N117" s="141"/>
      <c r="O117" s="141"/>
      <c r="R117" s="110"/>
      <c r="T117" s="99"/>
      <c r="V117" s="110"/>
      <c r="Y117" s="172"/>
      <c r="Z117" s="181"/>
      <c r="AA117" s="110"/>
      <c r="AB117" s="110"/>
      <c r="AC117" s="141"/>
      <c r="AD117" s="141"/>
      <c r="AE117" s="110"/>
      <c r="AF117" s="110"/>
      <c r="AH117" s="207"/>
      <c r="AL117" s="110"/>
      <c r="AM117" s="141"/>
      <c r="AN117" s="141"/>
    </row>
    <row r="118" spans="3:40" x14ac:dyDescent="0.3">
      <c r="F118" s="192"/>
      <c r="H118" s="110"/>
      <c r="I118" s="110"/>
      <c r="J118" s="217"/>
      <c r="K118" s="217"/>
      <c r="L118" s="192"/>
      <c r="M118" s="192"/>
      <c r="N118" s="192"/>
      <c r="O118" s="192"/>
      <c r="P118" s="192"/>
      <c r="Q118" s="192"/>
      <c r="R118" s="192"/>
      <c r="V118" s="192"/>
      <c r="Y118" s="110"/>
      <c r="Z118" s="217"/>
      <c r="AA118" s="192"/>
      <c r="AB118" s="192"/>
      <c r="AC118" s="192"/>
      <c r="AD118" s="192"/>
      <c r="AE118" s="192"/>
      <c r="AF118" s="192"/>
      <c r="AI118" s="192"/>
      <c r="AJ118" s="192"/>
      <c r="AK118" s="194"/>
      <c r="AL118" s="192"/>
      <c r="AM118" s="141"/>
      <c r="AN118" s="141"/>
    </row>
    <row r="119" spans="3:40" x14ac:dyDescent="0.3">
      <c r="C119" s="99"/>
      <c r="F119" s="110"/>
      <c r="H119" s="110"/>
      <c r="I119" s="110"/>
      <c r="J119" s="217"/>
      <c r="K119" s="217"/>
      <c r="L119" s="110"/>
      <c r="M119" s="110"/>
      <c r="N119" s="141"/>
      <c r="O119" s="141"/>
      <c r="P119" s="110"/>
      <c r="Q119" s="110"/>
      <c r="R119" s="110"/>
      <c r="T119" s="99"/>
      <c r="V119" s="110"/>
      <c r="Y119" s="110"/>
      <c r="Z119" s="198"/>
      <c r="AA119" s="110"/>
      <c r="AB119" s="110"/>
      <c r="AC119" s="141"/>
      <c r="AD119" s="141"/>
      <c r="AE119" s="110"/>
      <c r="AF119" s="110"/>
      <c r="AH119" s="207"/>
      <c r="AI119" s="110"/>
      <c r="AJ119" s="110"/>
      <c r="AL119" s="110"/>
      <c r="AM119" s="141"/>
      <c r="AN119" s="141"/>
    </row>
    <row r="120" spans="3:40" x14ac:dyDescent="0.3">
      <c r="F120" s="192"/>
      <c r="H120" s="110"/>
      <c r="I120" s="110"/>
      <c r="J120" s="217"/>
      <c r="K120" s="217"/>
      <c r="L120" s="192"/>
      <c r="M120" s="192"/>
      <c r="N120" s="192"/>
      <c r="O120" s="192"/>
      <c r="P120" s="192"/>
      <c r="Q120" s="192"/>
      <c r="R120" s="192"/>
      <c r="V120" s="192"/>
      <c r="Y120" s="110"/>
      <c r="Z120" s="217"/>
      <c r="AA120" s="192"/>
      <c r="AB120" s="192"/>
      <c r="AC120" s="192"/>
      <c r="AD120" s="192"/>
      <c r="AE120" s="192"/>
      <c r="AF120" s="192"/>
      <c r="AI120" s="192"/>
      <c r="AJ120" s="192"/>
      <c r="AK120" s="194"/>
      <c r="AL120" s="192"/>
      <c r="AM120" s="141"/>
      <c r="AN120" s="141"/>
    </row>
    <row r="121" spans="3:40" x14ac:dyDescent="0.3">
      <c r="F121" s="110"/>
      <c r="H121" s="110"/>
      <c r="I121" s="110"/>
      <c r="J121" s="217"/>
      <c r="K121" s="217"/>
      <c r="L121" s="110"/>
      <c r="M121" s="110"/>
      <c r="N121" s="141"/>
      <c r="O121" s="141"/>
      <c r="P121" s="110"/>
      <c r="Q121" s="110"/>
      <c r="R121" s="110"/>
      <c r="V121" s="110"/>
      <c r="Y121" s="110"/>
      <c r="Z121" s="198"/>
      <c r="AA121" s="110"/>
      <c r="AB121" s="110"/>
      <c r="AC121" s="141"/>
      <c r="AD121" s="141"/>
      <c r="AE121" s="110"/>
      <c r="AF121" s="110"/>
      <c r="AH121" s="207"/>
      <c r="AI121" s="110"/>
      <c r="AJ121" s="110"/>
      <c r="AL121" s="110"/>
      <c r="AM121" s="141"/>
      <c r="AN121" s="141"/>
    </row>
    <row r="122" spans="3:40" x14ac:dyDescent="0.3">
      <c r="C122" s="99"/>
      <c r="F122" s="172"/>
      <c r="H122" s="172"/>
      <c r="I122" s="172"/>
      <c r="J122" s="181"/>
      <c r="K122" s="181"/>
      <c r="L122" s="110"/>
      <c r="M122" s="110"/>
      <c r="N122" s="141"/>
      <c r="O122" s="141"/>
      <c r="P122" s="110"/>
      <c r="Q122" s="110"/>
      <c r="R122" s="110"/>
      <c r="T122" s="99"/>
      <c r="V122" s="172"/>
      <c r="Y122" s="110"/>
      <c r="Z122" s="181"/>
      <c r="AA122" s="110"/>
      <c r="AB122" s="110"/>
      <c r="AC122" s="141"/>
      <c r="AD122" s="141"/>
      <c r="AE122" s="110"/>
      <c r="AF122" s="110"/>
      <c r="AG122" s="224"/>
      <c r="AH122" s="225"/>
      <c r="AI122" s="110"/>
      <c r="AJ122" s="110"/>
      <c r="AL122" s="110"/>
      <c r="AM122" s="226"/>
      <c r="AN122" s="226"/>
    </row>
    <row r="123" spans="3:40" x14ac:dyDescent="0.3">
      <c r="C123" s="99"/>
      <c r="F123" s="172"/>
      <c r="H123" s="172"/>
      <c r="I123" s="172"/>
      <c r="J123" s="181"/>
      <c r="K123" s="181"/>
      <c r="L123" s="110"/>
      <c r="M123" s="110"/>
      <c r="N123" s="141"/>
      <c r="O123" s="141"/>
      <c r="P123" s="110"/>
      <c r="Q123" s="110"/>
      <c r="R123" s="110"/>
      <c r="T123" s="99"/>
      <c r="V123" s="172"/>
      <c r="Y123" s="110"/>
      <c r="Z123" s="181"/>
      <c r="AA123" s="110"/>
      <c r="AB123" s="110"/>
      <c r="AC123" s="141"/>
      <c r="AD123" s="141"/>
      <c r="AE123" s="110"/>
      <c r="AF123" s="110"/>
      <c r="AH123" s="207"/>
      <c r="AI123" s="110"/>
      <c r="AJ123" s="110"/>
      <c r="AL123" s="110"/>
      <c r="AM123" s="141"/>
      <c r="AN123" s="141"/>
    </row>
    <row r="124" spans="3:40" x14ac:dyDescent="0.3">
      <c r="F124" s="110"/>
      <c r="H124" s="192"/>
      <c r="I124" s="192"/>
      <c r="J124" s="217"/>
      <c r="K124" s="217"/>
      <c r="L124" s="192"/>
      <c r="M124" s="192"/>
      <c r="N124" s="192"/>
      <c r="O124" s="192"/>
      <c r="P124" s="192"/>
      <c r="Q124" s="192"/>
      <c r="R124" s="192"/>
      <c r="V124" s="110"/>
      <c r="Y124" s="192"/>
      <c r="Z124" s="217"/>
      <c r="AA124" s="192"/>
      <c r="AB124" s="192"/>
      <c r="AC124" s="192"/>
      <c r="AD124" s="192"/>
      <c r="AE124" s="192"/>
      <c r="AF124" s="192"/>
      <c r="AI124" s="192"/>
      <c r="AJ124" s="192"/>
      <c r="AK124" s="194"/>
      <c r="AL124" s="192"/>
      <c r="AM124" s="141"/>
      <c r="AN124" s="141"/>
    </row>
    <row r="125" spans="3:40" x14ac:dyDescent="0.3">
      <c r="C125" s="99"/>
      <c r="F125" s="110"/>
      <c r="H125" s="110"/>
      <c r="I125" s="110"/>
      <c r="J125" s="217"/>
      <c r="K125" s="217"/>
      <c r="L125" s="110"/>
      <c r="M125" s="110"/>
      <c r="N125" s="141"/>
      <c r="O125" s="141"/>
      <c r="P125" s="110"/>
      <c r="Q125" s="110"/>
      <c r="R125" s="110"/>
      <c r="T125" s="99"/>
      <c r="V125" s="110"/>
      <c r="Y125" s="110"/>
      <c r="Z125" s="217"/>
      <c r="AA125" s="110"/>
      <c r="AB125" s="110"/>
      <c r="AC125" s="141"/>
      <c r="AD125" s="141"/>
      <c r="AE125" s="110"/>
      <c r="AF125" s="110"/>
      <c r="AH125" s="207"/>
      <c r="AI125" s="110"/>
      <c r="AJ125" s="110"/>
      <c r="AL125" s="110"/>
      <c r="AM125" s="141"/>
      <c r="AN125" s="141"/>
    </row>
    <row r="126" spans="3:40" x14ac:dyDescent="0.3">
      <c r="F126" s="110"/>
      <c r="H126" s="192"/>
      <c r="I126" s="192"/>
      <c r="J126" s="217"/>
      <c r="K126" s="217"/>
      <c r="L126" s="192"/>
      <c r="M126" s="192"/>
      <c r="N126" s="192"/>
      <c r="O126" s="192"/>
      <c r="P126" s="192"/>
      <c r="Q126" s="192"/>
      <c r="R126" s="192"/>
      <c r="V126" s="110"/>
      <c r="Y126" s="192"/>
      <c r="Z126" s="217"/>
      <c r="AA126" s="192"/>
      <c r="AB126" s="192"/>
      <c r="AC126" s="192"/>
      <c r="AD126" s="192"/>
      <c r="AE126" s="192"/>
      <c r="AF126" s="192"/>
      <c r="AI126" s="192"/>
      <c r="AJ126" s="192"/>
      <c r="AK126" s="194"/>
      <c r="AL126" s="192"/>
      <c r="AM126" s="141"/>
      <c r="AN126" s="141"/>
    </row>
    <row r="127" spans="3:40" x14ac:dyDescent="0.3">
      <c r="F127" s="110"/>
      <c r="H127" s="110"/>
      <c r="I127" s="110"/>
      <c r="J127" s="217"/>
      <c r="K127" s="217"/>
      <c r="L127" s="110"/>
      <c r="M127" s="110"/>
      <c r="N127" s="110"/>
      <c r="O127" s="110"/>
      <c r="P127" s="110"/>
      <c r="Q127" s="110"/>
      <c r="R127" s="110"/>
      <c r="V127" s="110"/>
      <c r="Y127" s="110"/>
      <c r="Z127" s="217"/>
      <c r="AA127" s="110"/>
      <c r="AB127" s="110"/>
      <c r="AC127" s="110"/>
      <c r="AD127" s="110"/>
      <c r="AE127" s="110"/>
      <c r="AF127" s="110"/>
      <c r="AH127" s="207"/>
      <c r="AI127" s="110"/>
      <c r="AJ127" s="110"/>
      <c r="AL127" s="110"/>
      <c r="AM127" s="141"/>
      <c r="AN127" s="141"/>
    </row>
    <row r="128" spans="3:40" x14ac:dyDescent="0.3">
      <c r="C128" s="99"/>
      <c r="F128" s="172"/>
      <c r="H128" s="172"/>
      <c r="I128" s="172"/>
      <c r="J128" s="222"/>
      <c r="K128" s="222"/>
      <c r="L128" s="110"/>
      <c r="M128" s="110"/>
      <c r="N128" s="141"/>
      <c r="O128" s="141"/>
      <c r="P128" s="172"/>
      <c r="Q128" s="172"/>
      <c r="R128" s="110"/>
      <c r="T128" s="99"/>
      <c r="V128" s="172"/>
      <c r="Y128" s="172"/>
      <c r="Z128" s="227"/>
      <c r="AA128" s="110"/>
      <c r="AB128" s="110"/>
      <c r="AC128" s="141"/>
      <c r="AD128" s="141"/>
      <c r="AE128" s="110"/>
      <c r="AF128" s="110"/>
      <c r="AH128" s="207"/>
      <c r="AI128" s="172"/>
      <c r="AJ128" s="172"/>
      <c r="AL128" s="110"/>
      <c r="AM128" s="141"/>
      <c r="AN128" s="141"/>
    </row>
    <row r="129" spans="1:40" x14ac:dyDescent="0.3">
      <c r="C129" s="99"/>
      <c r="F129" s="172"/>
      <c r="H129" s="172"/>
      <c r="I129" s="172"/>
      <c r="J129" s="222"/>
      <c r="K129" s="222"/>
      <c r="L129" s="110"/>
      <c r="M129" s="110"/>
      <c r="N129" s="141"/>
      <c r="O129" s="141"/>
      <c r="P129" s="172"/>
      <c r="Q129" s="172"/>
      <c r="R129" s="110"/>
      <c r="T129" s="99"/>
      <c r="V129" s="172"/>
      <c r="Y129" s="110"/>
      <c r="Z129" s="216"/>
      <c r="AA129" s="110"/>
      <c r="AB129" s="110"/>
      <c r="AC129" s="141"/>
      <c r="AD129" s="141"/>
      <c r="AE129" s="110"/>
      <c r="AF129" s="110"/>
      <c r="AH129" s="207"/>
      <c r="AI129" s="172"/>
      <c r="AJ129" s="172"/>
      <c r="AL129" s="110"/>
      <c r="AM129" s="141"/>
      <c r="AN129" s="141"/>
    </row>
    <row r="130" spans="1:40" x14ac:dyDescent="0.3">
      <c r="C130" s="99"/>
      <c r="F130" s="172"/>
      <c r="H130" s="172"/>
      <c r="I130" s="172"/>
      <c r="J130" s="222"/>
      <c r="K130" s="222"/>
      <c r="L130" s="110"/>
      <c r="M130" s="110"/>
      <c r="N130" s="141"/>
      <c r="O130" s="141"/>
      <c r="P130" s="172"/>
      <c r="Q130" s="172"/>
      <c r="R130" s="110"/>
      <c r="T130" s="99"/>
      <c r="V130" s="172"/>
      <c r="Y130" s="110"/>
      <c r="Z130" s="216"/>
      <c r="AA130" s="110"/>
      <c r="AB130" s="110"/>
      <c r="AC130" s="141"/>
      <c r="AD130" s="141"/>
      <c r="AE130" s="110"/>
      <c r="AF130" s="110"/>
      <c r="AH130" s="207"/>
      <c r="AI130" s="172"/>
      <c r="AJ130" s="172"/>
      <c r="AL130" s="110"/>
      <c r="AM130" s="141"/>
      <c r="AN130" s="141"/>
    </row>
    <row r="131" spans="1:40" x14ac:dyDescent="0.3">
      <c r="F131" s="192"/>
      <c r="H131" s="192"/>
      <c r="I131" s="192"/>
      <c r="J131" s="217"/>
      <c r="K131" s="217"/>
      <c r="L131" s="192"/>
      <c r="M131" s="192"/>
      <c r="N131" s="192"/>
      <c r="O131" s="192"/>
      <c r="P131" s="192"/>
      <c r="Q131" s="192"/>
      <c r="R131" s="192"/>
      <c r="V131" s="192"/>
      <c r="Y131" s="192"/>
      <c r="Z131" s="217"/>
      <c r="AA131" s="192"/>
      <c r="AB131" s="192"/>
      <c r="AC131" s="192"/>
      <c r="AD131" s="192"/>
      <c r="AE131" s="192"/>
      <c r="AF131" s="192"/>
      <c r="AI131" s="192"/>
      <c r="AJ131" s="192"/>
      <c r="AK131" s="194"/>
      <c r="AL131" s="192"/>
      <c r="AM131" s="141"/>
      <c r="AN131" s="141"/>
    </row>
    <row r="132" spans="1:40" x14ac:dyDescent="0.3">
      <c r="C132" s="99"/>
      <c r="F132" s="110"/>
      <c r="H132" s="110"/>
      <c r="I132" s="110"/>
      <c r="J132" s="198"/>
      <c r="K132" s="198"/>
      <c r="L132" s="110"/>
      <c r="M132" s="110"/>
      <c r="N132" s="141"/>
      <c r="O132" s="141"/>
      <c r="P132" s="110"/>
      <c r="Q132" s="110"/>
      <c r="R132" s="110"/>
      <c r="T132" s="99"/>
      <c r="V132" s="110"/>
      <c r="Y132" s="110"/>
      <c r="Z132" s="198"/>
      <c r="AA132" s="110"/>
      <c r="AB132" s="110"/>
      <c r="AC132" s="141"/>
      <c r="AD132" s="141"/>
      <c r="AE132" s="110"/>
      <c r="AF132" s="110"/>
      <c r="AH132" s="207"/>
      <c r="AI132" s="110"/>
      <c r="AJ132" s="110"/>
      <c r="AL132" s="110"/>
      <c r="AM132" s="141"/>
      <c r="AN132" s="141"/>
    </row>
    <row r="133" spans="1:40" x14ac:dyDescent="0.3">
      <c r="F133" s="192"/>
      <c r="H133" s="192"/>
      <c r="I133" s="192"/>
      <c r="J133" s="217"/>
      <c r="K133" s="217"/>
      <c r="L133" s="192"/>
      <c r="M133" s="192"/>
      <c r="N133" s="192"/>
      <c r="O133" s="192"/>
      <c r="P133" s="192"/>
      <c r="Q133" s="192"/>
      <c r="R133" s="192"/>
      <c r="V133" s="192"/>
      <c r="Y133" s="192"/>
      <c r="Z133" s="217"/>
      <c r="AA133" s="192"/>
      <c r="AB133" s="192"/>
      <c r="AC133" s="192"/>
      <c r="AD133" s="192"/>
      <c r="AE133" s="192"/>
      <c r="AF133" s="192"/>
      <c r="AI133" s="192"/>
      <c r="AJ133" s="192"/>
      <c r="AK133" s="194"/>
      <c r="AL133" s="192"/>
      <c r="AM133" s="141"/>
      <c r="AN133" s="141"/>
    </row>
    <row r="134" spans="1:40" x14ac:dyDescent="0.3">
      <c r="C134" s="99"/>
      <c r="F134" s="110"/>
      <c r="H134" s="110"/>
      <c r="I134" s="110"/>
      <c r="J134" s="198"/>
      <c r="K134" s="198"/>
      <c r="L134" s="110"/>
      <c r="M134" s="110"/>
      <c r="N134" s="141"/>
      <c r="O134" s="141"/>
      <c r="P134" s="110"/>
      <c r="Q134" s="110"/>
      <c r="R134" s="110"/>
      <c r="T134" s="99"/>
      <c r="V134" s="110"/>
      <c r="Y134" s="110"/>
      <c r="Z134" s="198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1:40" x14ac:dyDescent="0.3">
      <c r="C135" s="99"/>
      <c r="F135" s="110"/>
      <c r="H135" s="110"/>
      <c r="I135" s="110"/>
      <c r="J135" s="198"/>
      <c r="K135" s="198"/>
      <c r="L135" s="110"/>
      <c r="M135" s="110"/>
      <c r="N135" s="141"/>
      <c r="O135" s="141"/>
      <c r="P135" s="110"/>
      <c r="Q135" s="110"/>
      <c r="R135" s="110"/>
      <c r="T135" s="99"/>
      <c r="V135" s="110"/>
      <c r="Y135" s="110"/>
      <c r="Z135" s="198"/>
      <c r="AA135" s="110"/>
      <c r="AB135" s="110"/>
      <c r="AC135" s="141"/>
      <c r="AD135" s="141"/>
      <c r="AE135" s="110"/>
      <c r="AF135" s="110"/>
      <c r="AH135" s="207"/>
      <c r="AI135" s="110"/>
      <c r="AJ135" s="110"/>
      <c r="AL135" s="110"/>
      <c r="AM135" s="141"/>
      <c r="AN135" s="141"/>
    </row>
    <row r="136" spans="1:40" x14ac:dyDescent="0.3">
      <c r="F136" s="192"/>
      <c r="H136" s="192"/>
      <c r="I136" s="192"/>
      <c r="J136" s="217"/>
      <c r="K136" s="217"/>
      <c r="L136" s="192"/>
      <c r="M136" s="192"/>
      <c r="N136" s="192"/>
      <c r="O136" s="192"/>
      <c r="P136" s="192"/>
      <c r="Q136" s="192"/>
      <c r="R136" s="192"/>
      <c r="V136" s="192"/>
      <c r="Y136" s="192"/>
      <c r="Z136" s="217"/>
      <c r="AA136" s="192"/>
      <c r="AB136" s="192"/>
      <c r="AC136" s="192"/>
      <c r="AD136" s="192"/>
      <c r="AE136" s="192"/>
      <c r="AF136" s="192"/>
      <c r="AI136" s="192"/>
      <c r="AJ136" s="192"/>
      <c r="AK136" s="194"/>
      <c r="AL136" s="192"/>
      <c r="AM136" s="110"/>
      <c r="AN136" s="110"/>
    </row>
    <row r="137" spans="1:40" x14ac:dyDescent="0.3">
      <c r="F137" s="110"/>
      <c r="H137" s="110"/>
      <c r="I137" s="110"/>
      <c r="J137" s="198"/>
      <c r="K137" s="198"/>
      <c r="L137" s="110"/>
      <c r="M137" s="110"/>
      <c r="N137" s="110"/>
      <c r="O137" s="110"/>
      <c r="P137" s="110"/>
      <c r="Q137" s="110"/>
      <c r="R137" s="110"/>
      <c r="V137" s="110"/>
      <c r="Y137" s="110"/>
      <c r="Z137" s="198"/>
      <c r="AA137" s="110"/>
      <c r="AB137" s="110"/>
      <c r="AC137" s="110"/>
      <c r="AD137" s="110"/>
    </row>
    <row r="138" spans="1:40" x14ac:dyDescent="0.3">
      <c r="C138" s="99"/>
      <c r="F138" s="110"/>
      <c r="H138" s="110"/>
      <c r="I138" s="110"/>
      <c r="J138" s="198"/>
      <c r="K138" s="198"/>
      <c r="L138" s="110"/>
      <c r="M138" s="110"/>
      <c r="N138" s="110"/>
      <c r="O138" s="110"/>
      <c r="P138" s="110"/>
      <c r="Q138" s="110"/>
      <c r="R138" s="110"/>
      <c r="T138" s="99"/>
      <c r="V138" s="110"/>
      <c r="Y138" s="110"/>
      <c r="Z138" s="198"/>
      <c r="AA138" s="110"/>
      <c r="AB138" s="110"/>
      <c r="AC138" s="110"/>
      <c r="AD138" s="110"/>
    </row>
    <row r="139" spans="1:40" x14ac:dyDescent="0.3">
      <c r="A139" s="99"/>
    </row>
    <row r="141" spans="1:40" x14ac:dyDescent="0.3">
      <c r="H141" s="99"/>
      <c r="I141" s="99"/>
      <c r="Y141" s="99"/>
    </row>
    <row r="143" spans="1:40" x14ac:dyDescent="0.3">
      <c r="L143" s="99"/>
      <c r="M143" s="99"/>
      <c r="AA143" s="99"/>
      <c r="AB143" s="99"/>
    </row>
    <row r="144" spans="1:40" x14ac:dyDescent="0.3">
      <c r="R144" s="99"/>
      <c r="AK144" s="190"/>
      <c r="AL144" s="99"/>
    </row>
    <row r="145" spans="1:40" x14ac:dyDescent="0.3">
      <c r="R145" s="99"/>
      <c r="AK145" s="190"/>
      <c r="AL145" s="99"/>
    </row>
    <row r="146" spans="1:40" x14ac:dyDescent="0.3">
      <c r="A146" s="99"/>
      <c r="R146" s="99"/>
      <c r="AK146" s="190"/>
      <c r="AL146" s="99"/>
    </row>
    <row r="147" spans="1:40" x14ac:dyDescent="0.3">
      <c r="L147" s="99"/>
      <c r="M147" s="99"/>
      <c r="AA147" s="99"/>
      <c r="AB147" s="99"/>
    </row>
    <row r="148" spans="1:40" x14ac:dyDescent="0.3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91"/>
      <c r="AH148" s="101"/>
      <c r="AI148" s="101"/>
      <c r="AJ148" s="101"/>
      <c r="AK148" s="191"/>
      <c r="AL148" s="101"/>
      <c r="AM148" s="101"/>
      <c r="AN148" s="101"/>
    </row>
    <row r="149" spans="1:40" x14ac:dyDescent="0.3">
      <c r="L149" s="102"/>
      <c r="M149" s="102"/>
      <c r="N149" s="102"/>
      <c r="O149" s="102"/>
      <c r="R149" s="102"/>
      <c r="AA149" s="102"/>
      <c r="AB149" s="102"/>
      <c r="AC149" s="102"/>
      <c r="AD149" s="102"/>
      <c r="AE149" s="102"/>
      <c r="AF149" s="102"/>
      <c r="AG149" s="151"/>
      <c r="AH149" s="102"/>
      <c r="AK149" s="151"/>
      <c r="AL149" s="102"/>
      <c r="AM149" s="102"/>
      <c r="AN149" s="102"/>
    </row>
    <row r="150" spans="1:40" x14ac:dyDescent="0.3">
      <c r="L150" s="102"/>
      <c r="M150" s="102"/>
      <c r="N150" s="102"/>
      <c r="O150" s="102"/>
      <c r="R150" s="102"/>
      <c r="Z150" s="102"/>
      <c r="AA150" s="102"/>
      <c r="AB150" s="102"/>
      <c r="AC150" s="102"/>
      <c r="AD150" s="102"/>
      <c r="AE150" s="102"/>
      <c r="AF150" s="102"/>
      <c r="AG150" s="151"/>
      <c r="AH150" s="102"/>
      <c r="AK150" s="151"/>
      <c r="AL150" s="102"/>
      <c r="AM150" s="102"/>
      <c r="AN150" s="102"/>
    </row>
    <row r="151" spans="1:40" x14ac:dyDescent="0.3">
      <c r="A151" s="102"/>
      <c r="C151" s="102"/>
      <c r="D151" s="102"/>
      <c r="E151" s="102"/>
      <c r="F151" s="102"/>
      <c r="J151" s="102"/>
      <c r="K151" s="102"/>
      <c r="L151" s="102"/>
      <c r="M151" s="102"/>
      <c r="N151" s="102"/>
      <c r="O151" s="102"/>
      <c r="P151" s="102"/>
      <c r="Q151" s="102"/>
      <c r="R151" s="102"/>
      <c r="T151" s="102"/>
      <c r="U151" s="102"/>
      <c r="V151" s="102"/>
      <c r="Z151" s="102"/>
      <c r="AA151" s="102"/>
      <c r="AB151" s="102"/>
      <c r="AC151" s="102"/>
      <c r="AD151" s="102"/>
      <c r="AE151" s="102"/>
      <c r="AF151" s="102"/>
      <c r="AG151" s="151"/>
      <c r="AH151" s="102"/>
      <c r="AI151" s="102"/>
      <c r="AJ151" s="102"/>
      <c r="AK151" s="151"/>
      <c r="AL151" s="102"/>
      <c r="AM151" s="102"/>
      <c r="AN151" s="102"/>
    </row>
    <row r="152" spans="1:40" x14ac:dyDescent="0.3">
      <c r="A152" s="102"/>
      <c r="C152" s="102"/>
      <c r="D152" s="102"/>
      <c r="E152" s="102"/>
      <c r="F152" s="102"/>
      <c r="H152" s="102"/>
      <c r="I152" s="102"/>
      <c r="J152" s="102"/>
      <c r="K152" s="102"/>
      <c r="L152" s="102"/>
      <c r="M152" s="102"/>
      <c r="N152" s="102"/>
      <c r="O152" s="102"/>
      <c r="P152" s="102"/>
      <c r="Q152" s="102"/>
      <c r="R152" s="102"/>
      <c r="T152" s="102"/>
      <c r="U152" s="102"/>
      <c r="V152" s="102"/>
      <c r="Y152" s="102"/>
      <c r="Z152" s="102"/>
      <c r="AA152" s="102"/>
      <c r="AB152" s="102"/>
      <c r="AC152" s="102"/>
      <c r="AD152" s="102"/>
      <c r="AE152" s="102"/>
      <c r="AF152" s="102"/>
      <c r="AG152" s="151"/>
      <c r="AH152" s="102"/>
      <c r="AI152" s="102"/>
      <c r="AJ152" s="102"/>
      <c r="AK152" s="151"/>
      <c r="AL152" s="102"/>
      <c r="AM152" s="102"/>
      <c r="AN152" s="102"/>
    </row>
    <row r="153" spans="1:40" x14ac:dyDescent="0.3">
      <c r="C153" s="102"/>
      <c r="D153" s="102"/>
      <c r="E153" s="102"/>
      <c r="F153" s="102"/>
      <c r="H153" s="102"/>
      <c r="I153" s="102"/>
      <c r="J153" s="102"/>
      <c r="K153" s="102"/>
      <c r="L153" s="102"/>
      <c r="M153" s="102"/>
      <c r="N153" s="102"/>
      <c r="O153" s="102"/>
      <c r="P153" s="102"/>
      <c r="Q153" s="102"/>
      <c r="R153" s="102"/>
      <c r="T153" s="102"/>
      <c r="U153" s="102"/>
      <c r="V153" s="102"/>
      <c r="Y153" s="102"/>
      <c r="Z153" s="102"/>
      <c r="AA153" s="102"/>
      <c r="AB153" s="102"/>
      <c r="AC153" s="102"/>
      <c r="AD153" s="102"/>
      <c r="AE153" s="102"/>
      <c r="AF153" s="102"/>
      <c r="AG153" s="151"/>
      <c r="AH153" s="102"/>
      <c r="AI153" s="102"/>
      <c r="AJ153" s="102"/>
      <c r="AK153" s="151"/>
      <c r="AL153" s="102"/>
      <c r="AM153" s="102"/>
      <c r="AN153" s="102"/>
    </row>
    <row r="154" spans="1:40" x14ac:dyDescent="0.3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91"/>
      <c r="AH154" s="101"/>
      <c r="AI154" s="101"/>
      <c r="AJ154" s="101"/>
      <c r="AK154" s="191"/>
      <c r="AL154" s="101"/>
      <c r="AM154" s="101"/>
      <c r="AN154" s="101"/>
    </row>
    <row r="155" spans="1:40" x14ac:dyDescent="0.3"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Y155" s="102"/>
      <c r="Z155" s="102"/>
      <c r="AA155" s="102"/>
      <c r="AB155" s="102"/>
      <c r="AC155" s="102"/>
      <c r="AD155" s="102"/>
      <c r="AE155" s="102"/>
      <c r="AF155" s="102"/>
      <c r="AG155" s="151"/>
      <c r="AH155" s="102"/>
      <c r="AI155" s="102"/>
      <c r="AJ155" s="102"/>
      <c r="AK155" s="151"/>
      <c r="AL155" s="102"/>
      <c r="AM155" s="102"/>
      <c r="AN155" s="102"/>
    </row>
    <row r="156" spans="1:40" x14ac:dyDescent="0.3">
      <c r="C156" s="99"/>
      <c r="D156" s="99"/>
      <c r="E156" s="99"/>
      <c r="T156" s="99"/>
      <c r="U156" s="99"/>
    </row>
    <row r="158" spans="1:40" x14ac:dyDescent="0.3">
      <c r="C158" s="99"/>
      <c r="F158" s="172"/>
      <c r="H158" s="220"/>
      <c r="I158" s="220"/>
      <c r="J158" s="181"/>
      <c r="K158" s="181"/>
      <c r="L158" s="110"/>
      <c r="M158" s="110"/>
      <c r="R158" s="110"/>
      <c r="T158" s="99"/>
      <c r="V158" s="110"/>
      <c r="Z158" s="181"/>
      <c r="AA158" s="110"/>
      <c r="AB158" s="110"/>
      <c r="AE158" s="110"/>
      <c r="AF158" s="110"/>
      <c r="AG158" s="224"/>
      <c r="AH158" s="225"/>
      <c r="AI158" s="110"/>
      <c r="AJ158" s="110"/>
      <c r="AL158" s="110"/>
      <c r="AM158" s="226"/>
      <c r="AN158" s="226"/>
    </row>
    <row r="159" spans="1:40" x14ac:dyDescent="0.3">
      <c r="F159" s="172"/>
      <c r="H159" s="220"/>
      <c r="I159" s="220"/>
      <c r="J159" s="220"/>
      <c r="K159" s="220"/>
      <c r="R159" s="110"/>
      <c r="V159" s="110"/>
      <c r="Z159" s="220"/>
    </row>
    <row r="160" spans="1:40" x14ac:dyDescent="0.3">
      <c r="C160" s="99"/>
      <c r="F160" s="172"/>
      <c r="H160" s="172"/>
      <c r="I160" s="172"/>
      <c r="J160" s="222"/>
      <c r="K160" s="222"/>
      <c r="L160" s="110"/>
      <c r="M160" s="110"/>
      <c r="N160" s="141"/>
      <c r="O160" s="141"/>
      <c r="P160" s="172"/>
      <c r="Q160" s="172"/>
      <c r="R160" s="110"/>
      <c r="T160" s="99"/>
      <c r="V160" s="110"/>
      <c r="Y160" s="110"/>
      <c r="Z160" s="216"/>
      <c r="AA160" s="110"/>
      <c r="AB160" s="110"/>
      <c r="AC160" s="141"/>
      <c r="AD160" s="141"/>
      <c r="AE160" s="110"/>
      <c r="AF160" s="110"/>
      <c r="AH160" s="207"/>
      <c r="AI160" s="172"/>
      <c r="AJ160" s="172"/>
      <c r="AL160" s="110"/>
      <c r="AM160" s="141"/>
      <c r="AN160" s="141"/>
    </row>
    <row r="161" spans="3:40" x14ac:dyDescent="0.3">
      <c r="F161" s="192"/>
      <c r="H161" s="192"/>
      <c r="I161" s="192"/>
      <c r="J161" s="217"/>
      <c r="K161" s="217"/>
      <c r="L161" s="192"/>
      <c r="M161" s="192"/>
      <c r="N161" s="192"/>
      <c r="O161" s="192"/>
      <c r="P161" s="192"/>
      <c r="Q161" s="192"/>
      <c r="R161" s="192"/>
      <c r="V161" s="192"/>
      <c r="Y161" s="192"/>
      <c r="Z161" s="217"/>
      <c r="AA161" s="192"/>
      <c r="AB161" s="192"/>
      <c r="AC161" s="192"/>
      <c r="AD161" s="192"/>
      <c r="AE161" s="192"/>
      <c r="AF161" s="192"/>
      <c r="AI161" s="192"/>
      <c r="AJ161" s="192"/>
      <c r="AK161" s="194"/>
      <c r="AL161" s="192"/>
    </row>
    <row r="162" spans="3:40" x14ac:dyDescent="0.3">
      <c r="D162" s="99"/>
      <c r="E162" s="99"/>
      <c r="F162" s="110"/>
      <c r="H162" s="110"/>
      <c r="I162" s="110"/>
      <c r="J162" s="198"/>
      <c r="K162" s="198"/>
      <c r="L162" s="110"/>
      <c r="M162" s="110"/>
      <c r="N162" s="141"/>
      <c r="O162" s="141"/>
      <c r="P162" s="110"/>
      <c r="Q162" s="110"/>
      <c r="R162" s="110"/>
      <c r="U162" s="99"/>
      <c r="V162" s="110"/>
      <c r="Y162" s="110"/>
      <c r="Z162" s="198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3:40" x14ac:dyDescent="0.3">
      <c r="F163" s="192"/>
      <c r="H163" s="192"/>
      <c r="I163" s="192"/>
      <c r="J163" s="217"/>
      <c r="K163" s="217"/>
      <c r="L163" s="192"/>
      <c r="M163" s="192"/>
      <c r="N163" s="192"/>
      <c r="O163" s="192"/>
      <c r="P163" s="192"/>
      <c r="Q163" s="192"/>
      <c r="R163" s="192"/>
      <c r="V163" s="192"/>
      <c r="Y163" s="192"/>
      <c r="Z163" s="217"/>
      <c r="AA163" s="192"/>
      <c r="AB163" s="192"/>
      <c r="AC163" s="192"/>
      <c r="AD163" s="192"/>
      <c r="AE163" s="192"/>
      <c r="AF163" s="192"/>
      <c r="AI163" s="192"/>
      <c r="AJ163" s="192"/>
      <c r="AK163" s="194"/>
      <c r="AL163" s="192"/>
    </row>
    <row r="164" spans="3:40" x14ac:dyDescent="0.3">
      <c r="R164" s="110"/>
    </row>
    <row r="165" spans="3:40" x14ac:dyDescent="0.3">
      <c r="R165" s="110"/>
    </row>
    <row r="166" spans="3:40" x14ac:dyDescent="0.3">
      <c r="R166" s="110"/>
    </row>
    <row r="167" spans="3:40" x14ac:dyDescent="0.3">
      <c r="C167" s="99"/>
      <c r="D167" s="99"/>
      <c r="E167" s="99"/>
      <c r="H167" s="110"/>
      <c r="I167" s="110"/>
      <c r="J167" s="198"/>
      <c r="K167" s="198"/>
      <c r="L167" s="110"/>
      <c r="M167" s="110"/>
      <c r="N167" s="141"/>
      <c r="O167" s="141"/>
      <c r="P167" s="110"/>
      <c r="Q167" s="110"/>
      <c r="R167" s="110"/>
      <c r="T167" s="99"/>
      <c r="U167" s="99"/>
      <c r="Y167" s="110"/>
      <c r="Z167" s="198"/>
      <c r="AA167" s="110"/>
      <c r="AB167" s="110"/>
      <c r="AC167" s="141"/>
      <c r="AD167" s="141"/>
    </row>
    <row r="168" spans="3:40" x14ac:dyDescent="0.3">
      <c r="H168" s="110"/>
      <c r="I168" s="110"/>
      <c r="J168" s="198"/>
      <c r="K168" s="198"/>
      <c r="L168" s="110"/>
      <c r="M168" s="110"/>
      <c r="N168" s="141"/>
      <c r="O168" s="141"/>
      <c r="P168" s="110"/>
      <c r="Q168" s="110"/>
      <c r="R168" s="110"/>
      <c r="Y168" s="110"/>
      <c r="Z168" s="198"/>
      <c r="AA168" s="110"/>
      <c r="AB168" s="110"/>
      <c r="AC168" s="141"/>
      <c r="AD168" s="141"/>
    </row>
    <row r="169" spans="3:40" x14ac:dyDescent="0.3">
      <c r="C169" s="99"/>
      <c r="F169" s="172"/>
      <c r="H169" s="172"/>
      <c r="I169" s="172"/>
      <c r="J169" s="208"/>
      <c r="K169" s="208"/>
      <c r="L169" s="172"/>
      <c r="M169" s="172"/>
      <c r="N169" s="141"/>
      <c r="O169" s="141"/>
      <c r="P169" s="110"/>
      <c r="Q169" s="110"/>
      <c r="R169" s="110"/>
      <c r="T169" s="99"/>
      <c r="V169" s="110"/>
      <c r="Y169" s="110"/>
      <c r="Z169" s="208"/>
      <c r="AA169" s="110"/>
      <c r="AB169" s="110"/>
      <c r="AC169" s="141"/>
      <c r="AD169" s="141"/>
      <c r="AE169" s="110"/>
      <c r="AF169" s="110"/>
      <c r="AH169" s="207"/>
      <c r="AI169" s="110"/>
      <c r="AJ169" s="110"/>
      <c r="AL169" s="110"/>
      <c r="AM169" s="141"/>
      <c r="AN169" s="141"/>
    </row>
    <row r="170" spans="3:40" x14ac:dyDescent="0.3">
      <c r="F170" s="172"/>
      <c r="H170" s="220"/>
      <c r="I170" s="220"/>
      <c r="J170" s="220"/>
      <c r="K170" s="220"/>
      <c r="R170" s="110"/>
      <c r="V170" s="110"/>
      <c r="Z170" s="220"/>
    </row>
    <row r="171" spans="3:40" x14ac:dyDescent="0.3">
      <c r="C171" s="99"/>
      <c r="F171" s="172"/>
      <c r="H171" s="172"/>
      <c r="I171" s="172"/>
      <c r="J171" s="181"/>
      <c r="K171" s="181"/>
      <c r="L171" s="110"/>
      <c r="M171" s="110"/>
      <c r="N171" s="141"/>
      <c r="O171" s="141"/>
      <c r="P171" s="110"/>
      <c r="Q171" s="110"/>
      <c r="R171" s="110"/>
      <c r="T171" s="99"/>
      <c r="V171" s="110"/>
      <c r="Y171" s="110"/>
      <c r="Z171" s="181"/>
      <c r="AA171" s="110"/>
      <c r="AB171" s="110"/>
      <c r="AC171" s="141"/>
      <c r="AD171" s="141"/>
      <c r="AE171" s="110"/>
      <c r="AF171" s="110"/>
      <c r="AH171" s="207"/>
      <c r="AI171" s="110"/>
      <c r="AJ171" s="110"/>
      <c r="AL171" s="110"/>
      <c r="AM171" s="141"/>
      <c r="AN171" s="141"/>
    </row>
    <row r="172" spans="3:40" x14ac:dyDescent="0.3">
      <c r="F172" s="172"/>
      <c r="H172" s="220"/>
      <c r="I172" s="220"/>
      <c r="J172" s="220"/>
      <c r="K172" s="220"/>
      <c r="R172" s="110"/>
      <c r="V172" s="110"/>
      <c r="Z172" s="220"/>
    </row>
    <row r="173" spans="3:40" x14ac:dyDescent="0.3">
      <c r="C173" s="99"/>
      <c r="F173" s="172"/>
      <c r="H173" s="172"/>
      <c r="I173" s="172"/>
      <c r="J173" s="222"/>
      <c r="K173" s="222"/>
      <c r="L173" s="110"/>
      <c r="M173" s="110"/>
      <c r="N173" s="141"/>
      <c r="O173" s="141"/>
      <c r="P173" s="110"/>
      <c r="Q173" s="110"/>
      <c r="R173" s="110"/>
      <c r="T173" s="99"/>
      <c r="V173" s="110"/>
      <c r="Y173" s="110"/>
      <c r="Z173" s="216"/>
      <c r="AA173" s="110"/>
      <c r="AB173" s="110"/>
      <c r="AC173" s="141"/>
      <c r="AD173" s="141"/>
      <c r="AE173" s="110"/>
      <c r="AF173" s="110"/>
      <c r="AH173" s="207"/>
      <c r="AI173" s="110"/>
      <c r="AJ173" s="110"/>
      <c r="AL173" s="110"/>
      <c r="AM173" s="141"/>
      <c r="AN173" s="141"/>
    </row>
    <row r="174" spans="3:40" x14ac:dyDescent="0.3">
      <c r="F174" s="192"/>
      <c r="H174" s="192"/>
      <c r="I174" s="192"/>
      <c r="J174" s="217"/>
      <c r="K174" s="217"/>
      <c r="L174" s="192"/>
      <c r="M174" s="192"/>
      <c r="N174" s="192"/>
      <c r="O174" s="192"/>
      <c r="P174" s="192"/>
      <c r="Q174" s="192"/>
      <c r="R174" s="192"/>
      <c r="S174" s="110"/>
      <c r="V174" s="192"/>
      <c r="Y174" s="192"/>
      <c r="Z174" s="217"/>
      <c r="AA174" s="192"/>
      <c r="AB174" s="192"/>
      <c r="AC174" s="192"/>
      <c r="AD174" s="192"/>
      <c r="AE174" s="192"/>
      <c r="AF174" s="192"/>
      <c r="AI174" s="192"/>
      <c r="AJ174" s="192"/>
      <c r="AK174" s="194"/>
      <c r="AL174" s="192"/>
    </row>
    <row r="175" spans="3:40" x14ac:dyDescent="0.3">
      <c r="D175" s="99"/>
      <c r="E175" s="99"/>
      <c r="F175" s="110"/>
      <c r="H175" s="110"/>
      <c r="I175" s="110"/>
      <c r="J175" s="198"/>
      <c r="K175" s="198"/>
      <c r="L175" s="110"/>
      <c r="M175" s="110"/>
      <c r="N175" s="141"/>
      <c r="O175" s="141"/>
      <c r="P175" s="172"/>
      <c r="Q175" s="172"/>
      <c r="R175" s="110"/>
      <c r="S175" s="110"/>
      <c r="U175" s="99"/>
      <c r="V175" s="110"/>
      <c r="Y175" s="110"/>
      <c r="Z175" s="198"/>
      <c r="AA175" s="110"/>
      <c r="AB175" s="110"/>
      <c r="AC175" s="141"/>
      <c r="AD175" s="141"/>
      <c r="AE175" s="110"/>
      <c r="AF175" s="110"/>
      <c r="AH175" s="207"/>
      <c r="AI175" s="172"/>
      <c r="AJ175" s="172"/>
      <c r="AL175" s="110"/>
      <c r="AM175" s="141"/>
      <c r="AN175" s="141"/>
    </row>
    <row r="176" spans="3:40" x14ac:dyDescent="0.3">
      <c r="F176" s="192"/>
      <c r="H176" s="192"/>
      <c r="I176" s="192"/>
      <c r="J176" s="217"/>
      <c r="K176" s="217"/>
      <c r="L176" s="192"/>
      <c r="M176" s="192"/>
      <c r="N176" s="192"/>
      <c r="O176" s="192"/>
      <c r="P176" s="192"/>
      <c r="Q176" s="192"/>
      <c r="R176" s="192"/>
      <c r="S176" s="110"/>
      <c r="V176" s="192"/>
      <c r="Y176" s="192"/>
      <c r="Z176" s="217"/>
      <c r="AA176" s="192"/>
      <c r="AB176" s="192"/>
      <c r="AC176" s="192"/>
      <c r="AD176" s="192"/>
      <c r="AE176" s="192"/>
      <c r="AF176" s="192"/>
      <c r="AI176" s="192"/>
      <c r="AJ176" s="192"/>
      <c r="AK176" s="194"/>
      <c r="AL176" s="192"/>
    </row>
    <row r="177" spans="1:40" x14ac:dyDescent="0.3">
      <c r="R177" s="110"/>
    </row>
    <row r="178" spans="1:40" x14ac:dyDescent="0.3">
      <c r="F178" s="110"/>
      <c r="H178" s="110"/>
      <c r="I178" s="110"/>
      <c r="J178" s="198"/>
      <c r="K178" s="198"/>
      <c r="L178" s="110"/>
      <c r="M178" s="110"/>
      <c r="N178" s="110"/>
      <c r="O178" s="110"/>
      <c r="P178" s="110"/>
      <c r="Q178" s="110"/>
      <c r="R178" s="110"/>
      <c r="V178" s="110"/>
      <c r="Y178" s="110"/>
      <c r="Z178" s="198"/>
      <c r="AA178" s="110"/>
      <c r="AB178" s="110"/>
      <c r="AC178" s="110"/>
      <c r="AD178" s="110"/>
    </row>
    <row r="179" spans="1:40" x14ac:dyDescent="0.3">
      <c r="C179" s="99"/>
      <c r="F179" s="110"/>
      <c r="H179" s="110"/>
      <c r="I179" s="110"/>
      <c r="J179" s="198"/>
      <c r="K179" s="198"/>
      <c r="L179" s="110"/>
      <c r="M179" s="110"/>
      <c r="N179" s="110"/>
      <c r="O179" s="110"/>
      <c r="P179" s="110"/>
      <c r="Q179" s="110"/>
      <c r="R179" s="110"/>
      <c r="T179" s="99"/>
      <c r="V179" s="110"/>
      <c r="Y179" s="110"/>
      <c r="Z179" s="198"/>
      <c r="AA179" s="110"/>
      <c r="AB179" s="110"/>
      <c r="AC179" s="110"/>
      <c r="AD179" s="110"/>
    </row>
    <row r="180" spans="1:40" x14ac:dyDescent="0.3">
      <c r="C180" s="99"/>
      <c r="T180" s="99"/>
    </row>
    <row r="181" spans="1:40" x14ac:dyDescent="0.3">
      <c r="A181" s="99"/>
    </row>
    <row r="184" spans="1:40" x14ac:dyDescent="0.3">
      <c r="H184" s="99"/>
      <c r="I184" s="99"/>
      <c r="Y184" s="99"/>
    </row>
    <row r="186" spans="1:40" x14ac:dyDescent="0.3">
      <c r="L186" s="99"/>
      <c r="M186" s="99"/>
      <c r="AA186" s="99"/>
      <c r="AB186" s="99"/>
    </row>
    <row r="187" spans="1:40" x14ac:dyDescent="0.3">
      <c r="R187" s="99"/>
      <c r="AK187" s="190"/>
      <c r="AL187" s="99"/>
    </row>
    <row r="188" spans="1:40" x14ac:dyDescent="0.3">
      <c r="R188" s="99"/>
      <c r="AK188" s="190"/>
      <c r="AL188" s="99"/>
    </row>
    <row r="189" spans="1:40" x14ac:dyDescent="0.3">
      <c r="A189" s="99"/>
      <c r="R189" s="99"/>
      <c r="AK189" s="190"/>
      <c r="AL189" s="99"/>
    </row>
    <row r="190" spans="1:40" x14ac:dyDescent="0.3">
      <c r="L190" s="99"/>
      <c r="M190" s="99"/>
      <c r="AA190" s="99"/>
      <c r="AB190" s="99"/>
    </row>
    <row r="191" spans="1:40" x14ac:dyDescent="0.3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91"/>
      <c r="AH191" s="101"/>
      <c r="AI191" s="101"/>
      <c r="AJ191" s="101"/>
      <c r="AK191" s="191"/>
      <c r="AL191" s="101"/>
      <c r="AM191" s="101"/>
      <c r="AN191" s="101"/>
    </row>
    <row r="192" spans="1:40" x14ac:dyDescent="0.3">
      <c r="L192" s="102"/>
      <c r="M192" s="102"/>
      <c r="N192" s="102"/>
      <c r="O192" s="102"/>
      <c r="R192" s="102"/>
      <c r="AA192" s="102"/>
      <c r="AB192" s="102"/>
      <c r="AC192" s="102"/>
      <c r="AD192" s="102"/>
      <c r="AE192" s="102"/>
      <c r="AF192" s="102"/>
      <c r="AG192" s="151"/>
      <c r="AH192" s="102"/>
      <c r="AK192" s="151"/>
      <c r="AL192" s="102"/>
      <c r="AM192" s="102"/>
      <c r="AN192" s="102"/>
    </row>
    <row r="193" spans="1:40" x14ac:dyDescent="0.3">
      <c r="L193" s="102"/>
      <c r="M193" s="102"/>
      <c r="N193" s="102"/>
      <c r="O193" s="102"/>
      <c r="R193" s="102"/>
      <c r="Z193" s="102"/>
      <c r="AA193" s="102"/>
      <c r="AB193" s="102"/>
      <c r="AC193" s="102"/>
      <c r="AD193" s="102"/>
      <c r="AE193" s="102"/>
      <c r="AF193" s="102"/>
      <c r="AG193" s="151"/>
      <c r="AH193" s="102"/>
      <c r="AK193" s="151"/>
      <c r="AL193" s="102"/>
      <c r="AM193" s="102"/>
      <c r="AN193" s="102"/>
    </row>
    <row r="194" spans="1:40" x14ac:dyDescent="0.3">
      <c r="A194" s="102"/>
      <c r="C194" s="102"/>
      <c r="D194" s="102"/>
      <c r="E194" s="102"/>
      <c r="F194" s="102"/>
      <c r="J194" s="102"/>
      <c r="K194" s="102"/>
      <c r="L194" s="102"/>
      <c r="M194" s="102"/>
      <c r="N194" s="102"/>
      <c r="O194" s="102"/>
      <c r="P194" s="102"/>
      <c r="Q194" s="102"/>
      <c r="R194" s="102"/>
      <c r="T194" s="102"/>
      <c r="U194" s="102"/>
      <c r="V194" s="102"/>
      <c r="Z194" s="102"/>
      <c r="AA194" s="102"/>
      <c r="AB194" s="102"/>
      <c r="AC194" s="102"/>
      <c r="AD194" s="102"/>
      <c r="AE194" s="102"/>
      <c r="AF194" s="102"/>
      <c r="AG194" s="151"/>
      <c r="AH194" s="102"/>
      <c r="AI194" s="102"/>
      <c r="AJ194" s="102"/>
      <c r="AK194" s="151"/>
      <c r="AL194" s="102"/>
      <c r="AM194" s="102"/>
      <c r="AN194" s="102"/>
    </row>
    <row r="195" spans="1:40" x14ac:dyDescent="0.3">
      <c r="A195" s="102"/>
      <c r="C195" s="102"/>
      <c r="D195" s="102"/>
      <c r="E195" s="102"/>
      <c r="F195" s="102"/>
      <c r="H195" s="102"/>
      <c r="I195" s="102"/>
      <c r="J195" s="102"/>
      <c r="K195" s="102"/>
      <c r="L195" s="102"/>
      <c r="M195" s="102"/>
      <c r="N195" s="102"/>
      <c r="O195" s="102"/>
      <c r="P195" s="102"/>
      <c r="Q195" s="102"/>
      <c r="R195" s="102"/>
      <c r="T195" s="102"/>
      <c r="U195" s="102"/>
      <c r="V195" s="102"/>
      <c r="Y195" s="102"/>
      <c r="Z195" s="102"/>
      <c r="AA195" s="102"/>
      <c r="AB195" s="102"/>
      <c r="AC195" s="102"/>
      <c r="AD195" s="102"/>
      <c r="AE195" s="102"/>
      <c r="AF195" s="102"/>
      <c r="AG195" s="151"/>
      <c r="AH195" s="102"/>
      <c r="AI195" s="102"/>
      <c r="AJ195" s="102"/>
      <c r="AK195" s="151"/>
      <c r="AL195" s="102"/>
      <c r="AM195" s="102"/>
      <c r="AN195" s="102"/>
    </row>
    <row r="196" spans="1:40" x14ac:dyDescent="0.3">
      <c r="C196" s="102"/>
      <c r="D196" s="102"/>
      <c r="E196" s="102"/>
      <c r="F196" s="102"/>
      <c r="H196" s="102"/>
      <c r="I196" s="102"/>
      <c r="J196" s="102"/>
      <c r="K196" s="102"/>
      <c r="L196" s="102"/>
      <c r="M196" s="102"/>
      <c r="N196" s="102"/>
      <c r="O196" s="102"/>
      <c r="P196" s="102"/>
      <c r="Q196" s="102"/>
      <c r="R196" s="102"/>
      <c r="T196" s="102"/>
      <c r="U196" s="102"/>
      <c r="V196" s="102"/>
      <c r="Y196" s="102"/>
      <c r="Z196" s="102"/>
      <c r="AA196" s="102"/>
      <c r="AB196" s="102"/>
      <c r="AC196" s="102"/>
      <c r="AD196" s="102"/>
      <c r="AE196" s="102"/>
      <c r="AF196" s="102"/>
      <c r="AG196" s="151"/>
      <c r="AH196" s="102"/>
      <c r="AI196" s="102"/>
      <c r="AJ196" s="102"/>
      <c r="AK196" s="151"/>
      <c r="AL196" s="102"/>
      <c r="AM196" s="102"/>
      <c r="AN196" s="102"/>
    </row>
    <row r="197" spans="1:40" x14ac:dyDescent="0.3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91"/>
      <c r="AH197" s="101"/>
      <c r="AI197" s="101"/>
      <c r="AJ197" s="101"/>
      <c r="AK197" s="191"/>
      <c r="AL197" s="101"/>
      <c r="AM197" s="101"/>
      <c r="AN197" s="101"/>
    </row>
    <row r="198" spans="1:40" x14ac:dyDescent="0.3"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Y198" s="102"/>
      <c r="Z198" s="102"/>
      <c r="AA198" s="102"/>
      <c r="AB198" s="102"/>
      <c r="AC198" s="102"/>
      <c r="AD198" s="102"/>
      <c r="AE198" s="102"/>
      <c r="AF198" s="102"/>
      <c r="AG198" s="151"/>
      <c r="AH198" s="102"/>
      <c r="AI198" s="102"/>
      <c r="AJ198" s="102"/>
      <c r="AK198" s="151"/>
      <c r="AL198" s="102"/>
      <c r="AM198" s="102"/>
      <c r="AN198" s="102"/>
    </row>
    <row r="199" spans="1:40" x14ac:dyDescent="0.3">
      <c r="C199" s="99"/>
      <c r="D199" s="99"/>
      <c r="E199" s="99"/>
      <c r="T199" s="99"/>
      <c r="U199" s="99"/>
    </row>
    <row r="200" spans="1:40" x14ac:dyDescent="0.3">
      <c r="D200" s="99"/>
      <c r="E200" s="99"/>
      <c r="U200" s="99"/>
    </row>
    <row r="202" spans="1:40" x14ac:dyDescent="0.3">
      <c r="C202" s="99"/>
      <c r="F202" s="110"/>
      <c r="J202" s="209"/>
      <c r="K202" s="209"/>
      <c r="L202" s="110"/>
      <c r="M202" s="110"/>
      <c r="R202" s="110"/>
      <c r="T202" s="99"/>
      <c r="V202" s="110"/>
      <c r="Z202" s="209"/>
      <c r="AA202" s="110"/>
      <c r="AB202" s="110"/>
      <c r="AL202" s="110"/>
    </row>
    <row r="203" spans="1:40" x14ac:dyDescent="0.3">
      <c r="F203" s="110"/>
      <c r="R203" s="110"/>
      <c r="V203" s="110"/>
      <c r="AL203" s="110"/>
    </row>
    <row r="204" spans="1:40" x14ac:dyDescent="0.3">
      <c r="C204" s="99"/>
      <c r="F204" s="172"/>
      <c r="H204" s="172"/>
      <c r="I204" s="172"/>
      <c r="J204" s="181"/>
      <c r="K204" s="181"/>
      <c r="L204" s="110"/>
      <c r="M204" s="110"/>
      <c r="N204" s="141"/>
      <c r="O204" s="141"/>
      <c r="P204" s="110"/>
      <c r="Q204" s="110"/>
      <c r="R204" s="110"/>
      <c r="T204" s="99"/>
      <c r="V204" s="110"/>
      <c r="Y204" s="110"/>
      <c r="Z204" s="181"/>
      <c r="AA204" s="110"/>
      <c r="AB204" s="110"/>
      <c r="AC204" s="141"/>
      <c r="AD204" s="141"/>
      <c r="AE204" s="110"/>
      <c r="AF204" s="110"/>
      <c r="AH204" s="207"/>
      <c r="AI204" s="110"/>
      <c r="AJ204" s="110"/>
      <c r="AL204" s="110"/>
      <c r="AM204" s="141"/>
      <c r="AN204" s="141"/>
    </row>
    <row r="205" spans="1:40" x14ac:dyDescent="0.3">
      <c r="C205" s="99"/>
      <c r="F205" s="172"/>
      <c r="H205" s="220"/>
      <c r="I205" s="220"/>
      <c r="J205" s="181"/>
      <c r="K205" s="181"/>
      <c r="L205" s="110"/>
      <c r="M205" s="110"/>
      <c r="N205" s="141"/>
      <c r="O205" s="141"/>
      <c r="P205" s="110"/>
      <c r="Q205" s="110"/>
      <c r="R205" s="110"/>
      <c r="T205" s="99"/>
      <c r="V205" s="110"/>
      <c r="Y205" s="110"/>
      <c r="Z205" s="181"/>
      <c r="AA205" s="110"/>
      <c r="AB205" s="110"/>
      <c r="AC205" s="141"/>
      <c r="AD205" s="141"/>
      <c r="AE205" s="110"/>
      <c r="AF205" s="110"/>
      <c r="AH205" s="207"/>
      <c r="AI205" s="110"/>
      <c r="AJ205" s="110"/>
      <c r="AL205" s="110"/>
      <c r="AM205" s="141"/>
      <c r="AN205" s="141"/>
    </row>
    <row r="206" spans="1:40" x14ac:dyDescent="0.3">
      <c r="F206" s="192"/>
      <c r="H206" s="110"/>
      <c r="I206" s="110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10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</row>
    <row r="207" spans="1:40" x14ac:dyDescent="0.3">
      <c r="C207" s="99"/>
      <c r="F207" s="110"/>
      <c r="H207" s="110"/>
      <c r="I207" s="110"/>
      <c r="J207" s="198"/>
      <c r="K207" s="198"/>
      <c r="L207" s="110"/>
      <c r="M207" s="110"/>
      <c r="N207" s="141"/>
      <c r="O207" s="141"/>
      <c r="P207" s="110"/>
      <c r="Q207" s="110"/>
      <c r="R207" s="110"/>
      <c r="T207" s="99"/>
      <c r="V207" s="110"/>
      <c r="Y207" s="110"/>
      <c r="Z207" s="198"/>
      <c r="AA207" s="110"/>
      <c r="AB207" s="110"/>
      <c r="AC207" s="141"/>
      <c r="AD207" s="141"/>
      <c r="AE207" s="110"/>
      <c r="AF207" s="110"/>
      <c r="AH207" s="207"/>
      <c r="AI207" s="110"/>
      <c r="AJ207" s="110"/>
      <c r="AL207" s="110"/>
      <c r="AM207" s="141"/>
      <c r="AN207" s="141"/>
    </row>
    <row r="208" spans="1:40" x14ac:dyDescent="0.3">
      <c r="F208" s="192"/>
      <c r="H208" s="110"/>
      <c r="I208" s="110"/>
      <c r="J208" s="217"/>
      <c r="K208" s="217"/>
      <c r="L208" s="192"/>
      <c r="M208" s="192"/>
      <c r="N208" s="192"/>
      <c r="O208" s="192"/>
      <c r="P208" s="192"/>
      <c r="Q208" s="192"/>
      <c r="R208" s="192"/>
      <c r="V208" s="192"/>
      <c r="Y208" s="110"/>
      <c r="Z208" s="217"/>
      <c r="AA208" s="192"/>
      <c r="AB208" s="192"/>
      <c r="AC208" s="192"/>
      <c r="AD208" s="192"/>
      <c r="AE208" s="192"/>
      <c r="AF208" s="192"/>
      <c r="AI208" s="192"/>
      <c r="AJ208" s="192"/>
      <c r="AK208" s="194"/>
      <c r="AL208" s="192"/>
    </row>
    <row r="209" spans="1:40" x14ac:dyDescent="0.3">
      <c r="F209" s="110"/>
      <c r="R209" s="110"/>
      <c r="V209" s="110"/>
      <c r="AL209" s="110"/>
    </row>
    <row r="210" spans="1:40" x14ac:dyDescent="0.3">
      <c r="C210" s="99"/>
      <c r="F210" s="110"/>
      <c r="R210" s="110"/>
      <c r="T210" s="99"/>
      <c r="V210" s="110"/>
      <c r="AL210" s="110"/>
    </row>
    <row r="211" spans="1:40" x14ac:dyDescent="0.3">
      <c r="F211" s="110"/>
      <c r="R211" s="110"/>
      <c r="V211" s="110"/>
      <c r="AL211" s="110"/>
    </row>
    <row r="212" spans="1:40" x14ac:dyDescent="0.3">
      <c r="C212" s="99"/>
      <c r="F212" s="110"/>
      <c r="H212" s="172"/>
      <c r="I212" s="172"/>
      <c r="J212" s="222"/>
      <c r="K212" s="222"/>
      <c r="L212" s="110"/>
      <c r="M212" s="110"/>
      <c r="N212" s="141"/>
      <c r="O212" s="141"/>
      <c r="P212" s="172"/>
      <c r="Q212" s="172"/>
      <c r="R212" s="110"/>
      <c r="T212" s="99"/>
      <c r="V212" s="110"/>
      <c r="Y212" s="110"/>
      <c r="Z212" s="216"/>
      <c r="AA212" s="110"/>
      <c r="AB212" s="110"/>
      <c r="AC212" s="141"/>
      <c r="AD212" s="141"/>
      <c r="AE212" s="110"/>
      <c r="AF212" s="110"/>
      <c r="AH212" s="207"/>
      <c r="AI212" s="172"/>
      <c r="AJ212" s="172"/>
      <c r="AL212" s="110"/>
      <c r="AM212" s="141"/>
      <c r="AN212" s="141"/>
    </row>
    <row r="213" spans="1:40" x14ac:dyDescent="0.3">
      <c r="H213" s="192"/>
      <c r="I213" s="192"/>
      <c r="J213" s="217"/>
      <c r="K213" s="217"/>
      <c r="L213" s="192"/>
      <c r="M213" s="192"/>
      <c r="N213" s="192"/>
      <c r="O213" s="192"/>
      <c r="P213" s="192"/>
      <c r="Q213" s="192"/>
      <c r="R213" s="192"/>
      <c r="V213" s="192"/>
      <c r="Y213" s="192"/>
      <c r="Z213" s="217"/>
      <c r="AA213" s="192"/>
      <c r="AB213" s="192"/>
      <c r="AC213" s="192"/>
      <c r="AD213" s="192"/>
      <c r="AE213" s="192"/>
      <c r="AF213" s="192"/>
      <c r="AI213" s="192"/>
      <c r="AJ213" s="192"/>
      <c r="AK213" s="194"/>
      <c r="AL213" s="192"/>
    </row>
    <row r="214" spans="1:40" x14ac:dyDescent="0.3">
      <c r="F214" s="192"/>
    </row>
    <row r="215" spans="1:40" x14ac:dyDescent="0.3">
      <c r="C215" s="99"/>
      <c r="F215" s="110"/>
      <c r="H215" s="110"/>
      <c r="I215" s="110"/>
      <c r="J215" s="209"/>
      <c r="K215" s="209"/>
      <c r="L215" s="110"/>
      <c r="M215" s="110"/>
      <c r="N215" s="141"/>
      <c r="O215" s="141"/>
      <c r="P215" s="110"/>
      <c r="Q215" s="110"/>
      <c r="R215" s="110"/>
      <c r="T215" s="99"/>
      <c r="V215" s="110"/>
      <c r="Y215" s="110"/>
      <c r="Z215" s="209"/>
      <c r="AA215" s="110"/>
      <c r="AB215" s="110"/>
      <c r="AC215" s="141"/>
      <c r="AD215" s="141"/>
      <c r="AE215" s="110"/>
      <c r="AF215" s="110"/>
      <c r="AH215" s="207"/>
      <c r="AI215" s="110"/>
      <c r="AJ215" s="110"/>
      <c r="AL215" s="110"/>
      <c r="AM215" s="141"/>
      <c r="AN215" s="141"/>
    </row>
    <row r="216" spans="1:40" x14ac:dyDescent="0.3">
      <c r="F216" s="192"/>
      <c r="H216" s="192"/>
      <c r="I216" s="192"/>
      <c r="J216" s="217"/>
      <c r="K216" s="217"/>
      <c r="L216" s="192"/>
      <c r="M216" s="192"/>
      <c r="N216" s="192"/>
      <c r="O216" s="192"/>
      <c r="P216" s="192"/>
      <c r="Q216" s="192"/>
      <c r="R216" s="192"/>
      <c r="V216" s="192"/>
      <c r="Y216" s="192"/>
      <c r="Z216" s="217"/>
      <c r="AA216" s="192"/>
      <c r="AB216" s="192"/>
      <c r="AC216" s="192"/>
      <c r="AD216" s="192"/>
      <c r="AE216" s="192"/>
      <c r="AF216" s="192"/>
      <c r="AI216" s="192"/>
      <c r="AJ216" s="192"/>
      <c r="AK216" s="194"/>
      <c r="AL216" s="192"/>
    </row>
    <row r="217" spans="1:40" x14ac:dyDescent="0.3">
      <c r="R217" s="110"/>
      <c r="AH217" s="110"/>
    </row>
    <row r="218" spans="1:40" x14ac:dyDescent="0.3">
      <c r="F218" s="110"/>
      <c r="H218" s="110"/>
      <c r="I218" s="110"/>
      <c r="J218" s="198"/>
      <c r="K218" s="198"/>
      <c r="L218" s="110"/>
      <c r="M218" s="110"/>
      <c r="N218" s="110"/>
      <c r="O218" s="110"/>
      <c r="P218" s="110"/>
      <c r="Q218" s="110"/>
      <c r="R218" s="110"/>
      <c r="V218" s="110"/>
      <c r="Y218" s="110"/>
      <c r="Z218" s="198"/>
      <c r="AA218" s="110"/>
      <c r="AB218" s="110"/>
      <c r="AC218" s="110"/>
      <c r="AD218" s="110"/>
      <c r="AE218" s="110"/>
      <c r="AF218" s="110"/>
      <c r="AH218" s="110"/>
    </row>
    <row r="219" spans="1:40" x14ac:dyDescent="0.3">
      <c r="C219" s="99"/>
      <c r="F219" s="110"/>
      <c r="H219" s="110"/>
      <c r="I219" s="110"/>
      <c r="J219" s="198"/>
      <c r="K219" s="198"/>
      <c r="L219" s="110"/>
      <c r="M219" s="110"/>
      <c r="N219" s="110"/>
      <c r="O219" s="110"/>
      <c r="P219" s="110"/>
      <c r="Q219" s="110"/>
      <c r="R219" s="110"/>
      <c r="T219" s="99"/>
      <c r="V219" s="110"/>
      <c r="Y219" s="110"/>
      <c r="Z219" s="198"/>
      <c r="AA219" s="110"/>
      <c r="AB219" s="110"/>
      <c r="AC219" s="110"/>
      <c r="AD219" s="110"/>
      <c r="AE219" s="110"/>
      <c r="AF219" s="110"/>
      <c r="AH219" s="110"/>
    </row>
    <row r="220" spans="1:40" x14ac:dyDescent="0.3">
      <c r="A220" s="99"/>
    </row>
    <row r="223" spans="1:40" x14ac:dyDescent="0.3">
      <c r="H223" s="99"/>
      <c r="I223" s="99"/>
      <c r="Y223" s="99"/>
    </row>
    <row r="225" spans="1:40" x14ac:dyDescent="0.3">
      <c r="L225" s="99"/>
      <c r="M225" s="99"/>
      <c r="AA225" s="99"/>
      <c r="AB225" s="99"/>
    </row>
    <row r="226" spans="1:40" x14ac:dyDescent="0.3">
      <c r="R226" s="99"/>
      <c r="AK226" s="190"/>
      <c r="AL226" s="99"/>
    </row>
    <row r="227" spans="1:40" x14ac:dyDescent="0.3">
      <c r="R227" s="99"/>
      <c r="AK227" s="190"/>
      <c r="AL227" s="99"/>
    </row>
    <row r="228" spans="1:40" x14ac:dyDescent="0.3">
      <c r="A228" s="99"/>
      <c r="R228" s="99"/>
      <c r="AK228" s="190"/>
      <c r="AL228" s="99"/>
    </row>
    <row r="229" spans="1:40" x14ac:dyDescent="0.3">
      <c r="L229" s="99"/>
      <c r="M229" s="99"/>
      <c r="AA229" s="99"/>
      <c r="AB229" s="99"/>
    </row>
    <row r="230" spans="1:40" x14ac:dyDescent="0.3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91"/>
      <c r="AH230" s="101"/>
      <c r="AI230" s="101"/>
      <c r="AJ230" s="101"/>
      <c r="AK230" s="191"/>
      <c r="AL230" s="101"/>
      <c r="AM230" s="101"/>
      <c r="AN230" s="101"/>
    </row>
    <row r="231" spans="1:40" x14ac:dyDescent="0.3">
      <c r="L231" s="102"/>
      <c r="M231" s="102"/>
      <c r="N231" s="102"/>
      <c r="O231" s="102"/>
      <c r="R231" s="102"/>
      <c r="AA231" s="102"/>
      <c r="AB231" s="102"/>
      <c r="AC231" s="102"/>
      <c r="AD231" s="102"/>
      <c r="AE231" s="102"/>
      <c r="AF231" s="102"/>
      <c r="AG231" s="151"/>
      <c r="AH231" s="102"/>
      <c r="AK231" s="151"/>
      <c r="AL231" s="102"/>
      <c r="AM231" s="102"/>
      <c r="AN231" s="102"/>
    </row>
    <row r="232" spans="1:40" x14ac:dyDescent="0.3">
      <c r="L232" s="102"/>
      <c r="M232" s="102"/>
      <c r="N232" s="102"/>
      <c r="O232" s="102"/>
      <c r="R232" s="102"/>
      <c r="Z232" s="102"/>
      <c r="AA232" s="102"/>
      <c r="AB232" s="102"/>
      <c r="AC232" s="102"/>
      <c r="AD232" s="102"/>
      <c r="AE232" s="102"/>
      <c r="AF232" s="102"/>
      <c r="AG232" s="151"/>
      <c r="AH232" s="102"/>
      <c r="AK232" s="151"/>
      <c r="AL232" s="102"/>
      <c r="AM232" s="102"/>
      <c r="AN232" s="102"/>
    </row>
    <row r="233" spans="1:40" x14ac:dyDescent="0.3">
      <c r="A233" s="102"/>
      <c r="C233" s="102"/>
      <c r="D233" s="102"/>
      <c r="E233" s="102"/>
      <c r="F233" s="102"/>
      <c r="J233" s="102"/>
      <c r="K233" s="102"/>
      <c r="L233" s="102"/>
      <c r="M233" s="102"/>
      <c r="N233" s="102"/>
      <c r="O233" s="102"/>
      <c r="P233" s="102"/>
      <c r="Q233" s="102"/>
      <c r="R233" s="102"/>
      <c r="T233" s="102"/>
      <c r="U233" s="102"/>
      <c r="V233" s="102"/>
      <c r="Z233" s="102"/>
      <c r="AA233" s="102"/>
      <c r="AB233" s="102"/>
      <c r="AC233" s="102"/>
      <c r="AD233" s="102"/>
      <c r="AE233" s="102"/>
      <c r="AF233" s="102"/>
      <c r="AG233" s="151"/>
      <c r="AH233" s="102"/>
      <c r="AI233" s="102"/>
      <c r="AJ233" s="102"/>
      <c r="AK233" s="151"/>
      <c r="AL233" s="102"/>
      <c r="AM233" s="102"/>
      <c r="AN233" s="102"/>
    </row>
    <row r="234" spans="1:40" x14ac:dyDescent="0.3">
      <c r="A234" s="102"/>
      <c r="C234" s="102"/>
      <c r="D234" s="102"/>
      <c r="E234" s="102"/>
      <c r="F234" s="102"/>
      <c r="H234" s="102"/>
      <c r="I234" s="102"/>
      <c r="J234" s="102"/>
      <c r="K234" s="102"/>
      <c r="L234" s="102"/>
      <c r="M234" s="102"/>
      <c r="N234" s="102"/>
      <c r="O234" s="102"/>
      <c r="P234" s="102"/>
      <c r="Q234" s="102"/>
      <c r="R234" s="102"/>
      <c r="T234" s="102"/>
      <c r="U234" s="102"/>
      <c r="V234" s="102"/>
      <c r="Y234" s="102"/>
      <c r="Z234" s="102"/>
      <c r="AA234" s="102"/>
      <c r="AB234" s="102"/>
      <c r="AC234" s="102"/>
      <c r="AD234" s="102"/>
      <c r="AE234" s="102"/>
      <c r="AF234" s="102"/>
      <c r="AG234" s="151"/>
      <c r="AH234" s="102"/>
      <c r="AI234" s="102"/>
      <c r="AJ234" s="102"/>
      <c r="AK234" s="151"/>
      <c r="AL234" s="102"/>
      <c r="AM234" s="102"/>
      <c r="AN234" s="102"/>
    </row>
    <row r="235" spans="1:40" x14ac:dyDescent="0.3">
      <c r="C235" s="102"/>
      <c r="D235" s="102"/>
      <c r="E235" s="102"/>
      <c r="F235" s="102"/>
      <c r="H235" s="102"/>
      <c r="I235" s="102"/>
      <c r="J235" s="102"/>
      <c r="K235" s="102"/>
      <c r="L235" s="102"/>
      <c r="M235" s="102"/>
      <c r="N235" s="102"/>
      <c r="O235" s="102"/>
      <c r="P235" s="102"/>
      <c r="Q235" s="102"/>
      <c r="R235" s="102"/>
      <c r="T235" s="102"/>
      <c r="U235" s="102"/>
      <c r="V235" s="102"/>
      <c r="Y235" s="102"/>
      <c r="Z235" s="102"/>
      <c r="AA235" s="102"/>
      <c r="AB235" s="102"/>
      <c r="AC235" s="102"/>
      <c r="AD235" s="102"/>
      <c r="AE235" s="102"/>
      <c r="AF235" s="102"/>
      <c r="AG235" s="151"/>
      <c r="AH235" s="102"/>
      <c r="AI235" s="102"/>
      <c r="AJ235" s="102"/>
      <c r="AK235" s="151"/>
      <c r="AL235" s="102"/>
      <c r="AM235" s="102"/>
      <c r="AN235" s="102"/>
    </row>
    <row r="236" spans="1:40" x14ac:dyDescent="0.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91"/>
      <c r="AH236" s="101"/>
      <c r="AI236" s="101"/>
      <c r="AJ236" s="101"/>
      <c r="AK236" s="191"/>
      <c r="AL236" s="101"/>
      <c r="AM236" s="101"/>
      <c r="AN236" s="101"/>
    </row>
    <row r="237" spans="1:40" x14ac:dyDescent="0.3">
      <c r="H237" s="102"/>
      <c r="I237" s="102"/>
      <c r="J237" s="102"/>
      <c r="K237" s="102"/>
      <c r="L237" s="102"/>
      <c r="M237" s="102"/>
      <c r="N237" s="102"/>
      <c r="O237" s="102"/>
      <c r="P237" s="102"/>
      <c r="Q237" s="102"/>
      <c r="R237" s="102"/>
      <c r="Y237" s="102"/>
      <c r="Z237" s="102"/>
      <c r="AA237" s="102"/>
      <c r="AB237" s="102"/>
      <c r="AC237" s="102"/>
      <c r="AD237" s="102"/>
      <c r="AE237" s="102"/>
      <c r="AF237" s="102"/>
      <c r="AG237" s="151"/>
      <c r="AH237" s="102"/>
      <c r="AI237" s="102"/>
      <c r="AJ237" s="102"/>
      <c r="AK237" s="151"/>
      <c r="AL237" s="102"/>
      <c r="AM237" s="102"/>
      <c r="AN237" s="102"/>
    </row>
    <row r="238" spans="1:40" x14ac:dyDescent="0.3">
      <c r="C238" s="99"/>
      <c r="D238" s="99"/>
      <c r="E238" s="99"/>
      <c r="T238" s="99"/>
      <c r="U238" s="99"/>
    </row>
    <row r="239" spans="1:40" x14ac:dyDescent="0.3">
      <c r="C239" s="99"/>
      <c r="T239" s="99"/>
    </row>
    <row r="241" spans="3:40" x14ac:dyDescent="0.3">
      <c r="C241" s="99"/>
      <c r="F241" s="172"/>
      <c r="H241" s="172"/>
      <c r="I241" s="172"/>
      <c r="J241" s="181"/>
      <c r="K241" s="181"/>
      <c r="L241" s="110"/>
      <c r="M241" s="110"/>
      <c r="N241" s="141"/>
      <c r="O241" s="141"/>
      <c r="R241" s="110"/>
      <c r="T241" s="99"/>
      <c r="V241" s="110"/>
      <c r="Y241" s="172"/>
      <c r="Z241" s="181"/>
      <c r="AA241" s="110"/>
      <c r="AB241" s="110"/>
      <c r="AC241" s="141"/>
      <c r="AD241" s="141"/>
      <c r="AE241" s="110"/>
      <c r="AF241" s="110"/>
      <c r="AH241" s="207"/>
      <c r="AL241" s="110"/>
      <c r="AM241" s="141"/>
      <c r="AN241" s="141"/>
    </row>
    <row r="242" spans="3:40" x14ac:dyDescent="0.3">
      <c r="F242" s="192"/>
      <c r="H242" s="110"/>
      <c r="I242" s="110"/>
      <c r="J242" s="217"/>
      <c r="K242" s="217"/>
      <c r="L242" s="192"/>
      <c r="M242" s="192"/>
      <c r="N242" s="192"/>
      <c r="O242" s="192"/>
      <c r="P242" s="192"/>
      <c r="Q242" s="192"/>
      <c r="R242" s="192"/>
      <c r="V242" s="192"/>
      <c r="Y242" s="110"/>
      <c r="Z242" s="217"/>
      <c r="AA242" s="192"/>
      <c r="AB242" s="192"/>
      <c r="AC242" s="192"/>
      <c r="AD242" s="192"/>
      <c r="AE242" s="192"/>
      <c r="AF242" s="192"/>
      <c r="AI242" s="192"/>
      <c r="AJ242" s="192"/>
      <c r="AK242" s="194"/>
      <c r="AL242" s="192"/>
      <c r="AM242" s="141"/>
      <c r="AN242" s="141"/>
    </row>
    <row r="243" spans="3:40" x14ac:dyDescent="0.3">
      <c r="C243" s="99"/>
      <c r="F243" s="172"/>
      <c r="H243" s="172"/>
      <c r="I243" s="172"/>
      <c r="J243" s="227"/>
      <c r="K243" s="227"/>
      <c r="L243" s="110"/>
      <c r="M243" s="110"/>
      <c r="N243" s="141"/>
      <c r="O243" s="141"/>
      <c r="P243" s="110"/>
      <c r="Q243" s="110"/>
      <c r="R243" s="110"/>
      <c r="S243" s="110"/>
      <c r="T243" s="99"/>
      <c r="V243" s="172"/>
      <c r="Y243" s="172"/>
      <c r="Z243" s="227"/>
      <c r="AA243" s="110"/>
      <c r="AB243" s="110"/>
      <c r="AC243" s="141"/>
      <c r="AD243" s="141"/>
      <c r="AE243" s="110"/>
      <c r="AF243" s="110"/>
      <c r="AH243" s="141"/>
      <c r="AI243" s="110"/>
      <c r="AJ243" s="110"/>
      <c r="AL243" s="110"/>
      <c r="AM243" s="141"/>
      <c r="AN243" s="141"/>
    </row>
    <row r="244" spans="3:40" x14ac:dyDescent="0.3">
      <c r="C244" s="99"/>
      <c r="F244" s="172"/>
      <c r="H244" s="172"/>
      <c r="I244" s="172"/>
      <c r="J244" s="181"/>
      <c r="K244" s="181"/>
      <c r="L244" s="110"/>
      <c r="M244" s="110"/>
      <c r="N244" s="141"/>
      <c r="O244" s="141"/>
      <c r="P244" s="110"/>
      <c r="Q244" s="110"/>
      <c r="R244" s="110"/>
      <c r="T244" s="99"/>
      <c r="V244" s="172"/>
      <c r="Y244" s="110"/>
      <c r="Z244" s="181"/>
      <c r="AA244" s="110"/>
      <c r="AB244" s="110"/>
      <c r="AC244" s="141"/>
      <c r="AD244" s="141"/>
      <c r="AE244" s="110"/>
      <c r="AF244" s="110"/>
      <c r="AH244" s="207"/>
      <c r="AI244" s="110"/>
      <c r="AJ244" s="110"/>
      <c r="AL244" s="110"/>
      <c r="AM244" s="141"/>
      <c r="AN244" s="141"/>
    </row>
    <row r="245" spans="3:40" x14ac:dyDescent="0.3">
      <c r="C245" s="99"/>
      <c r="F245" s="172"/>
      <c r="H245" s="172"/>
      <c r="I245" s="172"/>
      <c r="J245" s="181"/>
      <c r="K245" s="181"/>
      <c r="L245" s="110"/>
      <c r="M245" s="110"/>
      <c r="N245" s="141"/>
      <c r="O245" s="141"/>
      <c r="P245" s="110"/>
      <c r="Q245" s="110"/>
      <c r="R245" s="110"/>
      <c r="T245" s="99"/>
      <c r="V245" s="172"/>
      <c r="Y245" s="110"/>
      <c r="Z245" s="181"/>
      <c r="AA245" s="110"/>
      <c r="AB245" s="110"/>
      <c r="AC245" s="141"/>
      <c r="AD245" s="141"/>
      <c r="AE245" s="110"/>
      <c r="AF245" s="110"/>
      <c r="AH245" s="207"/>
      <c r="AI245" s="110"/>
      <c r="AJ245" s="110"/>
      <c r="AL245" s="110"/>
      <c r="AM245" s="141"/>
      <c r="AN245" s="141"/>
    </row>
    <row r="246" spans="3:40" x14ac:dyDescent="0.3">
      <c r="F246" s="192"/>
      <c r="H246" s="192"/>
      <c r="I246" s="192"/>
      <c r="J246" s="217"/>
      <c r="K246" s="217"/>
      <c r="L246" s="192"/>
      <c r="M246" s="192"/>
      <c r="N246" s="192"/>
      <c r="O246" s="192"/>
      <c r="P246" s="192"/>
      <c r="Q246" s="192"/>
      <c r="R246" s="192"/>
      <c r="V246" s="192"/>
      <c r="Y246" s="192"/>
      <c r="Z246" s="217"/>
      <c r="AA246" s="192"/>
      <c r="AB246" s="192"/>
      <c r="AC246" s="192"/>
      <c r="AD246" s="192"/>
      <c r="AE246" s="192"/>
      <c r="AF246" s="192"/>
      <c r="AI246" s="192"/>
      <c r="AJ246" s="192"/>
      <c r="AK246" s="194"/>
      <c r="AL246" s="192"/>
      <c r="AM246" s="141"/>
      <c r="AN246" s="141"/>
    </row>
    <row r="247" spans="3:40" x14ac:dyDescent="0.3">
      <c r="C247" s="99"/>
      <c r="F247" s="110"/>
      <c r="H247" s="110"/>
      <c r="I247" s="110"/>
      <c r="J247" s="198"/>
      <c r="K247" s="198"/>
      <c r="L247" s="110"/>
      <c r="M247" s="110"/>
      <c r="N247" s="141"/>
      <c r="O247" s="141"/>
      <c r="P247" s="110"/>
      <c r="Q247" s="110"/>
      <c r="R247" s="110"/>
      <c r="T247" s="99"/>
      <c r="V247" s="110"/>
      <c r="Y247" s="110"/>
      <c r="Z247" s="198"/>
      <c r="AA247" s="110"/>
      <c r="AB247" s="110"/>
      <c r="AC247" s="141"/>
      <c r="AD247" s="141"/>
      <c r="AE247" s="110"/>
      <c r="AF247" s="110"/>
      <c r="AH247" s="207"/>
      <c r="AI247" s="110"/>
      <c r="AJ247" s="110"/>
      <c r="AL247" s="110"/>
      <c r="AM247" s="141"/>
      <c r="AN247" s="141"/>
    </row>
    <row r="248" spans="3:40" x14ac:dyDescent="0.3">
      <c r="F248" s="192"/>
      <c r="H248" s="192"/>
      <c r="I248" s="192"/>
      <c r="J248" s="217"/>
      <c r="K248" s="217"/>
      <c r="L248" s="192"/>
      <c r="M248" s="192"/>
      <c r="N248" s="192"/>
      <c r="O248" s="192"/>
      <c r="P248" s="192"/>
      <c r="Q248" s="192"/>
      <c r="R248" s="192"/>
      <c r="V248" s="192"/>
      <c r="Y248" s="192"/>
      <c r="Z248" s="217"/>
      <c r="AA248" s="192"/>
      <c r="AB248" s="192"/>
      <c r="AC248" s="192"/>
      <c r="AD248" s="192"/>
      <c r="AE248" s="192"/>
      <c r="AF248" s="192"/>
      <c r="AI248" s="192"/>
      <c r="AJ248" s="192"/>
      <c r="AK248" s="194"/>
      <c r="AL248" s="192"/>
      <c r="AM248" s="141"/>
      <c r="AN248" s="141"/>
    </row>
    <row r="249" spans="3:40" x14ac:dyDescent="0.3">
      <c r="C249" s="99"/>
      <c r="F249" s="110"/>
      <c r="H249" s="110"/>
      <c r="I249" s="110"/>
      <c r="J249" s="198"/>
      <c r="K249" s="198"/>
      <c r="L249" s="110"/>
      <c r="M249" s="110"/>
      <c r="N249" s="141"/>
      <c r="O249" s="141"/>
      <c r="P249" s="110"/>
      <c r="Q249" s="110"/>
      <c r="R249" s="110"/>
      <c r="T249" s="99"/>
      <c r="V249" s="110"/>
      <c r="Y249" s="110"/>
      <c r="Z249" s="198"/>
      <c r="AA249" s="110"/>
      <c r="AB249" s="110"/>
      <c r="AC249" s="141"/>
      <c r="AD249" s="141"/>
      <c r="AE249" s="110"/>
      <c r="AF249" s="110"/>
      <c r="AH249" s="207"/>
      <c r="AI249" s="110"/>
      <c r="AJ249" s="110"/>
      <c r="AL249" s="110"/>
      <c r="AM249" s="141"/>
      <c r="AN249" s="141"/>
    </row>
    <row r="250" spans="3:40" x14ac:dyDescent="0.3">
      <c r="C250" s="99"/>
      <c r="F250" s="110"/>
      <c r="H250" s="172"/>
      <c r="I250" s="172"/>
      <c r="J250" s="222"/>
      <c r="K250" s="222"/>
      <c r="L250" s="110"/>
      <c r="M250" s="110"/>
      <c r="N250" s="141"/>
      <c r="O250" s="141"/>
      <c r="P250" s="110"/>
      <c r="Q250" s="110"/>
      <c r="R250" s="110"/>
      <c r="T250" s="99"/>
      <c r="V250" s="110"/>
      <c r="Y250" s="110"/>
      <c r="Z250" s="216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3:40" x14ac:dyDescent="0.3">
      <c r="H251" s="192"/>
      <c r="I251" s="192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92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  <c r="AM251" s="141"/>
      <c r="AN251" s="141"/>
    </row>
    <row r="252" spans="3:40" x14ac:dyDescent="0.3">
      <c r="F252" s="192"/>
    </row>
    <row r="253" spans="3:40" x14ac:dyDescent="0.3">
      <c r="C253" s="99"/>
      <c r="F253" s="110"/>
      <c r="H253" s="110"/>
      <c r="I253" s="110"/>
      <c r="J253" s="217"/>
      <c r="K253" s="217"/>
      <c r="L253" s="110"/>
      <c r="M253" s="110"/>
      <c r="N253" s="141"/>
      <c r="O253" s="141"/>
      <c r="P253" s="110"/>
      <c r="Q253" s="110"/>
      <c r="R253" s="110"/>
      <c r="S253" s="110"/>
      <c r="T253" s="99"/>
      <c r="V253" s="110"/>
      <c r="Y253" s="110"/>
      <c r="Z253" s="217"/>
      <c r="AA253" s="110"/>
      <c r="AB253" s="110"/>
      <c r="AC253" s="141"/>
      <c r="AD253" s="141"/>
      <c r="AE253" s="110"/>
      <c r="AF253" s="110"/>
      <c r="AH253" s="141"/>
      <c r="AI253" s="110"/>
      <c r="AJ253" s="110"/>
      <c r="AL253" s="110"/>
      <c r="AM253" s="141"/>
      <c r="AN253" s="141"/>
    </row>
    <row r="254" spans="3:40" x14ac:dyDescent="0.3">
      <c r="F254" s="192"/>
      <c r="H254" s="192"/>
      <c r="I254" s="192"/>
      <c r="J254" s="217"/>
      <c r="K254" s="217"/>
      <c r="L254" s="192"/>
      <c r="M254" s="192"/>
      <c r="N254" s="192"/>
      <c r="O254" s="192"/>
      <c r="P254" s="192"/>
      <c r="Q254" s="192"/>
      <c r="R254" s="192"/>
      <c r="S254" s="110"/>
      <c r="V254" s="192"/>
      <c r="Y254" s="192"/>
      <c r="Z254" s="217"/>
      <c r="AA254" s="192"/>
      <c r="AB254" s="192"/>
      <c r="AC254" s="192"/>
      <c r="AD254" s="192"/>
      <c r="AE254" s="192"/>
      <c r="AF254" s="192"/>
      <c r="AI254" s="192"/>
      <c r="AJ254" s="192"/>
      <c r="AK254" s="194"/>
      <c r="AL254" s="192"/>
      <c r="AM254" s="141"/>
      <c r="AN254" s="141"/>
    </row>
    <row r="255" spans="3:40" x14ac:dyDescent="0.3">
      <c r="C255" s="99"/>
      <c r="H255" s="172"/>
      <c r="I255" s="172"/>
      <c r="J255" s="217"/>
      <c r="K255" s="217"/>
      <c r="L255" s="110"/>
      <c r="M255" s="110"/>
      <c r="N255" s="141"/>
      <c r="O255" s="141"/>
      <c r="P255" s="110"/>
      <c r="Q255" s="110"/>
      <c r="R255" s="110"/>
      <c r="S255" s="110"/>
      <c r="T255" s="99"/>
      <c r="V255" s="172"/>
      <c r="Y255" s="172"/>
      <c r="Z255" s="217"/>
      <c r="AA255" s="110"/>
      <c r="AB255" s="110"/>
      <c r="AC255" s="141"/>
      <c r="AD255" s="141"/>
      <c r="AE255" s="110"/>
      <c r="AF255" s="110"/>
      <c r="AI255" s="110"/>
      <c r="AJ255" s="110"/>
      <c r="AL255" s="110"/>
      <c r="AM255" s="141"/>
      <c r="AN255" s="141"/>
    </row>
    <row r="256" spans="3:40" x14ac:dyDescent="0.3">
      <c r="F256" s="172"/>
    </row>
    <row r="257" spans="3:40" x14ac:dyDescent="0.3">
      <c r="C257" s="99"/>
      <c r="F257" s="172"/>
      <c r="H257" s="172"/>
      <c r="I257" s="172"/>
      <c r="J257" s="181"/>
      <c r="K257" s="181"/>
      <c r="L257" s="110"/>
      <c r="M257" s="110"/>
      <c r="N257" s="141"/>
      <c r="O257" s="141"/>
      <c r="R257" s="110"/>
      <c r="T257" s="99"/>
      <c r="V257" s="110"/>
      <c r="Y257" s="172"/>
      <c r="Z257" s="181"/>
      <c r="AA257" s="110"/>
      <c r="AB257" s="110"/>
      <c r="AC257" s="141"/>
      <c r="AD257" s="141"/>
      <c r="AE257" s="110"/>
      <c r="AF257" s="110"/>
      <c r="AH257" s="207"/>
      <c r="AL257" s="110"/>
      <c r="AM257" s="141"/>
      <c r="AN257" s="141"/>
    </row>
    <row r="258" spans="3:40" x14ac:dyDescent="0.3">
      <c r="F258" s="192"/>
      <c r="H258" s="110"/>
      <c r="I258" s="110"/>
      <c r="J258" s="217"/>
      <c r="K258" s="217"/>
      <c r="L258" s="192"/>
      <c r="M258" s="192"/>
      <c r="N258" s="192"/>
      <c r="O258" s="192"/>
      <c r="P258" s="192"/>
      <c r="Q258" s="192"/>
      <c r="R258" s="192"/>
      <c r="V258" s="192"/>
      <c r="Y258" s="110"/>
      <c r="Z258" s="217"/>
      <c r="AA258" s="192"/>
      <c r="AB258" s="192"/>
      <c r="AC258" s="192"/>
      <c r="AD258" s="192"/>
      <c r="AE258" s="192"/>
      <c r="AF258" s="192"/>
      <c r="AI258" s="192"/>
      <c r="AJ258" s="192"/>
      <c r="AK258" s="194"/>
      <c r="AL258" s="192"/>
      <c r="AM258" s="141"/>
      <c r="AN258" s="141"/>
    </row>
    <row r="259" spans="3:40" x14ac:dyDescent="0.3">
      <c r="C259" s="99"/>
      <c r="F259" s="172"/>
      <c r="H259" s="172"/>
      <c r="I259" s="172"/>
      <c r="J259" s="227"/>
      <c r="K259" s="227"/>
      <c r="L259" s="110"/>
      <c r="M259" s="110"/>
      <c r="N259" s="141"/>
      <c r="O259" s="141"/>
      <c r="P259" s="110"/>
      <c r="Q259" s="110"/>
      <c r="R259" s="110"/>
      <c r="S259" s="110"/>
      <c r="T259" s="99"/>
      <c r="V259" s="172"/>
      <c r="Y259" s="172"/>
      <c r="Z259" s="227"/>
      <c r="AA259" s="110"/>
      <c r="AB259" s="110"/>
      <c r="AC259" s="141"/>
      <c r="AD259" s="141"/>
      <c r="AE259" s="110"/>
      <c r="AF259" s="110"/>
      <c r="AH259" s="141"/>
      <c r="AI259" s="110"/>
      <c r="AJ259" s="110"/>
      <c r="AL259" s="110"/>
      <c r="AM259" s="141"/>
      <c r="AN259" s="141"/>
    </row>
    <row r="260" spans="3:40" x14ac:dyDescent="0.3">
      <c r="C260" s="99"/>
      <c r="F260" s="172"/>
      <c r="H260" s="172"/>
      <c r="I260" s="172"/>
      <c r="J260" s="181"/>
      <c r="K260" s="181"/>
      <c r="L260" s="110"/>
      <c r="M260" s="110"/>
      <c r="N260" s="141"/>
      <c r="O260" s="141"/>
      <c r="P260" s="110"/>
      <c r="Q260" s="110"/>
      <c r="R260" s="110"/>
      <c r="T260" s="99"/>
      <c r="V260" s="172"/>
      <c r="Y260" s="110"/>
      <c r="Z260" s="181"/>
      <c r="AA260" s="110"/>
      <c r="AB260" s="110"/>
      <c r="AC260" s="141"/>
      <c r="AD260" s="141"/>
      <c r="AE260" s="110"/>
      <c r="AF260" s="110"/>
      <c r="AH260" s="207"/>
      <c r="AI260" s="110"/>
      <c r="AJ260" s="110"/>
      <c r="AL260" s="110"/>
      <c r="AM260" s="141"/>
      <c r="AN260" s="141"/>
    </row>
    <row r="261" spans="3:40" x14ac:dyDescent="0.3">
      <c r="C261" s="99"/>
      <c r="F261" s="172"/>
      <c r="H261" s="172"/>
      <c r="I261" s="172"/>
      <c r="J261" s="181"/>
      <c r="K261" s="181"/>
      <c r="L261" s="110"/>
      <c r="M261" s="110"/>
      <c r="N261" s="141"/>
      <c r="O261" s="141"/>
      <c r="P261" s="110"/>
      <c r="Q261" s="110"/>
      <c r="R261" s="110"/>
      <c r="T261" s="99"/>
      <c r="V261" s="172"/>
      <c r="Y261" s="110"/>
      <c r="Z261" s="181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3:40" x14ac:dyDescent="0.3">
      <c r="F262" s="192"/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  <c r="AM262" s="141"/>
      <c r="AN262" s="141"/>
    </row>
    <row r="263" spans="3:40" x14ac:dyDescent="0.3">
      <c r="C263" s="99"/>
      <c r="F263" s="110"/>
      <c r="H263" s="110"/>
      <c r="I263" s="110"/>
      <c r="J263" s="198"/>
      <c r="K263" s="198"/>
      <c r="L263" s="110"/>
      <c r="M263" s="110"/>
      <c r="N263" s="141"/>
      <c r="O263" s="141"/>
      <c r="P263" s="110"/>
      <c r="Q263" s="110"/>
      <c r="R263" s="110"/>
      <c r="T263" s="99"/>
      <c r="V263" s="110"/>
      <c r="Y263" s="110"/>
      <c r="Z263" s="198"/>
      <c r="AA263" s="110"/>
      <c r="AB263" s="110"/>
      <c r="AC263" s="141"/>
      <c r="AD263" s="141"/>
      <c r="AE263" s="110"/>
      <c r="AF263" s="110"/>
      <c r="AH263" s="207"/>
      <c r="AI263" s="110"/>
      <c r="AJ263" s="110"/>
      <c r="AL263" s="110"/>
      <c r="AM263" s="141"/>
      <c r="AN263" s="141"/>
    </row>
    <row r="264" spans="3:40" x14ac:dyDescent="0.3">
      <c r="F264" s="192"/>
      <c r="H264" s="192"/>
      <c r="I264" s="192"/>
      <c r="J264" s="217"/>
      <c r="K264" s="217"/>
      <c r="L264" s="192"/>
      <c r="M264" s="192"/>
      <c r="N264" s="192"/>
      <c r="O264" s="192"/>
      <c r="P264" s="192"/>
      <c r="Q264" s="192"/>
      <c r="R264" s="192"/>
      <c r="V264" s="192"/>
      <c r="Y264" s="192"/>
      <c r="Z264" s="217"/>
      <c r="AA264" s="192"/>
      <c r="AB264" s="192"/>
      <c r="AC264" s="192"/>
      <c r="AD264" s="192"/>
      <c r="AE264" s="192"/>
      <c r="AF264" s="192"/>
      <c r="AI264" s="192"/>
      <c r="AJ264" s="192"/>
      <c r="AK264" s="194"/>
      <c r="AL264" s="192"/>
      <c r="AM264" s="141"/>
      <c r="AN264" s="141"/>
    </row>
    <row r="265" spans="3:40" x14ac:dyDescent="0.3">
      <c r="C265" s="99"/>
      <c r="F265" s="110"/>
      <c r="H265" s="110"/>
      <c r="I265" s="110"/>
      <c r="J265" s="198"/>
      <c r="K265" s="198"/>
      <c r="L265" s="110"/>
      <c r="M265" s="110"/>
      <c r="N265" s="141"/>
      <c r="O265" s="141"/>
      <c r="P265" s="110"/>
      <c r="Q265" s="110"/>
      <c r="R265" s="110"/>
      <c r="T265" s="99"/>
      <c r="V265" s="110"/>
      <c r="Y265" s="110"/>
      <c r="Z265" s="198"/>
      <c r="AA265" s="110"/>
      <c r="AB265" s="110"/>
      <c r="AC265" s="141"/>
      <c r="AD265" s="141"/>
      <c r="AE265" s="110"/>
      <c r="AF265" s="110"/>
      <c r="AH265" s="207"/>
      <c r="AI265" s="110"/>
      <c r="AJ265" s="110"/>
      <c r="AL265" s="110"/>
      <c r="AM265" s="141"/>
      <c r="AN265" s="141"/>
    </row>
    <row r="266" spans="3:40" x14ac:dyDescent="0.3">
      <c r="C266" s="99"/>
      <c r="F266" s="110"/>
      <c r="H266" s="172"/>
      <c r="I266" s="172"/>
      <c r="J266" s="222"/>
      <c r="K266" s="222"/>
      <c r="L266" s="110"/>
      <c r="M266" s="110"/>
      <c r="N266" s="141"/>
      <c r="O266" s="141"/>
      <c r="P266" s="110"/>
      <c r="Q266" s="110"/>
      <c r="R266" s="110"/>
      <c r="T266" s="99"/>
      <c r="V266" s="110"/>
      <c r="Y266" s="110"/>
      <c r="Z266" s="216"/>
      <c r="AA266" s="110"/>
      <c r="AB266" s="110"/>
      <c r="AC266" s="141"/>
      <c r="AD266" s="141"/>
      <c r="AE266" s="110"/>
      <c r="AF266" s="110"/>
      <c r="AH266" s="207"/>
      <c r="AI266" s="110"/>
      <c r="AJ266" s="110"/>
      <c r="AL266" s="110"/>
      <c r="AM266" s="141"/>
      <c r="AN266" s="141"/>
    </row>
    <row r="267" spans="3:40" x14ac:dyDescent="0.3">
      <c r="H267" s="192"/>
      <c r="I267" s="192"/>
      <c r="J267" s="217"/>
      <c r="K267" s="217"/>
      <c r="L267" s="192"/>
      <c r="M267" s="192"/>
      <c r="N267" s="192"/>
      <c r="O267" s="192"/>
      <c r="P267" s="192"/>
      <c r="Q267" s="192"/>
      <c r="R267" s="192"/>
      <c r="V267" s="192"/>
      <c r="Y267" s="192"/>
      <c r="Z267" s="217"/>
      <c r="AA267" s="192"/>
      <c r="AB267" s="192"/>
      <c r="AC267" s="192"/>
      <c r="AD267" s="192"/>
      <c r="AE267" s="192"/>
      <c r="AF267" s="192"/>
      <c r="AI267" s="192"/>
      <c r="AJ267" s="192"/>
      <c r="AK267" s="194"/>
      <c r="AL267" s="192"/>
      <c r="AM267" s="141"/>
      <c r="AN267" s="141"/>
    </row>
    <row r="268" spans="3:40" x14ac:dyDescent="0.3">
      <c r="F268" s="192"/>
    </row>
    <row r="269" spans="3:40" x14ac:dyDescent="0.3">
      <c r="C269" s="99"/>
      <c r="F269" s="110"/>
      <c r="H269" s="110"/>
      <c r="I269" s="110"/>
      <c r="J269" s="217"/>
      <c r="K269" s="217"/>
      <c r="L269" s="110"/>
      <c r="M269" s="110"/>
      <c r="N269" s="141"/>
      <c r="O269" s="141"/>
      <c r="P269" s="110"/>
      <c r="Q269" s="110"/>
      <c r="R269" s="110"/>
      <c r="S269" s="110"/>
      <c r="T269" s="99"/>
      <c r="V269" s="110"/>
      <c r="Y269" s="110"/>
      <c r="Z269" s="217"/>
      <c r="AA269" s="110"/>
      <c r="AB269" s="110"/>
      <c r="AC269" s="141"/>
      <c r="AD269" s="141"/>
      <c r="AE269" s="110"/>
      <c r="AF269" s="110"/>
      <c r="AH269" s="141"/>
      <c r="AI269" s="110"/>
      <c r="AJ269" s="110"/>
      <c r="AL269" s="110"/>
      <c r="AM269" s="141"/>
      <c r="AN269" s="141"/>
    </row>
    <row r="270" spans="3:40" x14ac:dyDescent="0.3">
      <c r="F270" s="192"/>
      <c r="H270" s="192"/>
      <c r="I270" s="192"/>
      <c r="J270" s="217"/>
      <c r="K270" s="217"/>
      <c r="L270" s="192"/>
      <c r="M270" s="192"/>
      <c r="N270" s="192"/>
      <c r="O270" s="192"/>
      <c r="P270" s="192"/>
      <c r="Q270" s="192"/>
      <c r="R270" s="192"/>
      <c r="S270" s="110"/>
      <c r="V270" s="192"/>
      <c r="Y270" s="192"/>
      <c r="Z270" s="217"/>
      <c r="AA270" s="192"/>
      <c r="AB270" s="192"/>
      <c r="AC270" s="192"/>
      <c r="AD270" s="192"/>
      <c r="AE270" s="192"/>
      <c r="AF270" s="192"/>
      <c r="AI270" s="192"/>
      <c r="AJ270" s="192"/>
      <c r="AK270" s="194"/>
      <c r="AL270" s="192"/>
      <c r="AM270" s="141"/>
      <c r="AN270" s="141"/>
    </row>
    <row r="271" spans="3:40" x14ac:dyDescent="0.3">
      <c r="C271" s="99"/>
      <c r="T271" s="99"/>
    </row>
    <row r="272" spans="3:40" x14ac:dyDescent="0.3">
      <c r="C272" s="99"/>
      <c r="F272" s="110"/>
      <c r="H272" s="110"/>
      <c r="I272" s="110"/>
      <c r="L272" s="110"/>
      <c r="M272" s="110"/>
      <c r="N272" s="141"/>
      <c r="O272" s="141"/>
      <c r="P272" s="172"/>
      <c r="Q272" s="172"/>
      <c r="R272" s="110"/>
      <c r="T272" s="99"/>
      <c r="V272" s="110"/>
      <c r="Y272" s="110"/>
      <c r="AA272" s="110"/>
      <c r="AB272" s="110"/>
      <c r="AC272" s="141"/>
      <c r="AD272" s="141"/>
      <c r="AE272" s="110"/>
      <c r="AF272" s="110"/>
      <c r="AH272" s="141"/>
      <c r="AI272" s="172"/>
      <c r="AJ272" s="172"/>
      <c r="AL272" s="110"/>
      <c r="AM272" s="141"/>
      <c r="AN272" s="141"/>
    </row>
    <row r="273" spans="1:40" x14ac:dyDescent="0.3">
      <c r="H273" s="192"/>
      <c r="I273" s="192"/>
      <c r="J273" s="217"/>
      <c r="K273" s="217"/>
      <c r="L273" s="192"/>
      <c r="M273" s="192"/>
      <c r="N273" s="192"/>
      <c r="O273" s="192"/>
      <c r="P273" s="192"/>
      <c r="Q273" s="192"/>
      <c r="R273" s="192"/>
      <c r="V273" s="192"/>
      <c r="Y273" s="192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</row>
    <row r="274" spans="1:40" x14ac:dyDescent="0.3">
      <c r="F274" s="192"/>
    </row>
    <row r="275" spans="1:40" x14ac:dyDescent="0.3">
      <c r="C275" s="99"/>
      <c r="L275" s="110"/>
      <c r="M275" s="110"/>
      <c r="N275" s="110"/>
      <c r="O275" s="110"/>
      <c r="P275" s="110"/>
      <c r="Q275" s="110"/>
      <c r="R275" s="110"/>
      <c r="S275" s="110"/>
      <c r="T275" s="99"/>
      <c r="AA275" s="110"/>
      <c r="AB275" s="110"/>
      <c r="AC275" s="110"/>
      <c r="AD275" s="110"/>
      <c r="AI275" s="110"/>
      <c r="AJ275" s="110"/>
      <c r="AL275" s="110"/>
    </row>
    <row r="276" spans="1:40" x14ac:dyDescent="0.3">
      <c r="A276" s="99"/>
    </row>
    <row r="278" spans="1:40" x14ac:dyDescent="0.3">
      <c r="H278" s="99"/>
      <c r="I278" s="99"/>
      <c r="Y278" s="99"/>
    </row>
    <row r="280" spans="1:40" x14ac:dyDescent="0.3">
      <c r="L280" s="99"/>
      <c r="M280" s="99"/>
      <c r="AA280" s="99"/>
      <c r="AB280" s="99"/>
    </row>
    <row r="281" spans="1:40" x14ac:dyDescent="0.3">
      <c r="R281" s="99"/>
      <c r="AK281" s="190"/>
      <c r="AL281" s="99"/>
    </row>
    <row r="282" spans="1:40" x14ac:dyDescent="0.3">
      <c r="R282" s="99"/>
      <c r="AK282" s="190"/>
      <c r="AL282" s="99"/>
    </row>
    <row r="283" spans="1:40" x14ac:dyDescent="0.3">
      <c r="A283" s="99"/>
      <c r="R283" s="99"/>
      <c r="AK283" s="190"/>
      <c r="AL283" s="99"/>
    </row>
    <row r="284" spans="1:40" x14ac:dyDescent="0.3">
      <c r="L284" s="99"/>
      <c r="M284" s="99"/>
      <c r="AA284" s="99"/>
      <c r="AB284" s="99"/>
    </row>
    <row r="285" spans="1:40" x14ac:dyDescent="0.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91"/>
      <c r="AH285" s="101"/>
      <c r="AI285" s="101"/>
      <c r="AJ285" s="101"/>
      <c r="AK285" s="191"/>
      <c r="AL285" s="101"/>
      <c r="AM285" s="101"/>
      <c r="AN285" s="101"/>
    </row>
    <row r="286" spans="1:40" x14ac:dyDescent="0.3">
      <c r="L286" s="102"/>
      <c r="M286" s="102"/>
      <c r="N286" s="102"/>
      <c r="O286" s="102"/>
      <c r="R286" s="102"/>
      <c r="AA286" s="102"/>
      <c r="AB286" s="102"/>
      <c r="AC286" s="102"/>
      <c r="AD286" s="102"/>
      <c r="AE286" s="102"/>
      <c r="AF286" s="102"/>
      <c r="AG286" s="151"/>
      <c r="AH286" s="102"/>
      <c r="AK286" s="151"/>
      <c r="AL286" s="102"/>
      <c r="AM286" s="102"/>
      <c r="AN286" s="102"/>
    </row>
    <row r="287" spans="1:40" x14ac:dyDescent="0.3">
      <c r="L287" s="102"/>
      <c r="M287" s="102"/>
      <c r="N287" s="102"/>
      <c r="O287" s="102"/>
      <c r="R287" s="102"/>
      <c r="Z287" s="102"/>
      <c r="AA287" s="102"/>
      <c r="AB287" s="102"/>
      <c r="AC287" s="102"/>
      <c r="AD287" s="102"/>
      <c r="AE287" s="102"/>
      <c r="AF287" s="102"/>
      <c r="AG287" s="151"/>
      <c r="AH287" s="102"/>
      <c r="AK287" s="151"/>
      <c r="AL287" s="102"/>
      <c r="AM287" s="102"/>
      <c r="AN287" s="102"/>
    </row>
    <row r="288" spans="1:40" x14ac:dyDescent="0.3">
      <c r="A288" s="102"/>
      <c r="C288" s="102"/>
      <c r="D288" s="102"/>
      <c r="E288" s="102"/>
      <c r="F288" s="102"/>
      <c r="J288" s="102"/>
      <c r="K288" s="102"/>
      <c r="L288" s="102"/>
      <c r="M288" s="102"/>
      <c r="N288" s="102"/>
      <c r="O288" s="102"/>
      <c r="P288" s="102"/>
      <c r="Q288" s="102"/>
      <c r="R288" s="102"/>
      <c r="T288" s="102"/>
      <c r="U288" s="102"/>
      <c r="V288" s="102"/>
      <c r="Z288" s="102"/>
      <c r="AA288" s="102"/>
      <c r="AB288" s="102"/>
      <c r="AC288" s="102"/>
      <c r="AD288" s="102"/>
      <c r="AE288" s="102"/>
      <c r="AF288" s="102"/>
      <c r="AG288" s="151"/>
      <c r="AH288" s="102"/>
      <c r="AI288" s="102"/>
      <c r="AJ288" s="102"/>
      <c r="AK288" s="151"/>
      <c r="AL288" s="102"/>
      <c r="AM288" s="102"/>
      <c r="AN288" s="102"/>
    </row>
    <row r="289" spans="1:40" x14ac:dyDescent="0.3">
      <c r="A289" s="102"/>
      <c r="C289" s="102"/>
      <c r="D289" s="102"/>
      <c r="E289" s="102"/>
      <c r="F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T289" s="102"/>
      <c r="U289" s="102"/>
      <c r="V289" s="102"/>
      <c r="Y289" s="102"/>
      <c r="Z289" s="102"/>
      <c r="AA289" s="102"/>
      <c r="AB289" s="102"/>
      <c r="AC289" s="102"/>
      <c r="AD289" s="102"/>
      <c r="AE289" s="102"/>
      <c r="AF289" s="102"/>
      <c r="AG289" s="151"/>
      <c r="AH289" s="102"/>
      <c r="AI289" s="102"/>
      <c r="AJ289" s="102"/>
      <c r="AK289" s="151"/>
      <c r="AL289" s="102"/>
      <c r="AM289" s="102"/>
      <c r="AN289" s="102"/>
    </row>
    <row r="290" spans="1:40" x14ac:dyDescent="0.3">
      <c r="C290" s="102"/>
      <c r="D290" s="102"/>
      <c r="E290" s="102"/>
      <c r="F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T290" s="102"/>
      <c r="U290" s="102"/>
      <c r="V290" s="102"/>
      <c r="Y290" s="102"/>
      <c r="Z290" s="102"/>
      <c r="AA290" s="102"/>
      <c r="AB290" s="102"/>
      <c r="AC290" s="102"/>
      <c r="AD290" s="102"/>
      <c r="AE290" s="102"/>
      <c r="AF290" s="102"/>
      <c r="AG290" s="151"/>
      <c r="AH290" s="102"/>
      <c r="AI290" s="102"/>
      <c r="AJ290" s="102"/>
      <c r="AK290" s="151"/>
      <c r="AL290" s="102"/>
      <c r="AM290" s="102"/>
      <c r="AN290" s="102"/>
    </row>
    <row r="291" spans="1:40" x14ac:dyDescent="0.3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91"/>
      <c r="AH291" s="101"/>
      <c r="AI291" s="101"/>
      <c r="AJ291" s="101"/>
      <c r="AK291" s="191"/>
      <c r="AL291" s="101"/>
      <c r="AM291" s="101"/>
      <c r="AN291" s="101"/>
    </row>
    <row r="292" spans="1:40" x14ac:dyDescent="0.3">
      <c r="H292" s="102"/>
      <c r="I292" s="102"/>
      <c r="J292" s="102"/>
      <c r="K292" s="102"/>
      <c r="L292" s="102"/>
      <c r="M292" s="102"/>
      <c r="N292" s="102"/>
      <c r="O292" s="102"/>
      <c r="P292" s="102"/>
      <c r="Q292" s="102"/>
      <c r="R292" s="102"/>
      <c r="Y292" s="102"/>
      <c r="Z292" s="102"/>
      <c r="AA292" s="102"/>
      <c r="AB292" s="102"/>
      <c r="AC292" s="102"/>
      <c r="AD292" s="102"/>
      <c r="AE292" s="102"/>
      <c r="AF292" s="102"/>
      <c r="AG292" s="151"/>
      <c r="AH292" s="102"/>
      <c r="AI292" s="102"/>
      <c r="AJ292" s="102"/>
      <c r="AK292" s="151"/>
      <c r="AL292" s="102"/>
      <c r="AM292" s="102"/>
      <c r="AN292" s="102"/>
    </row>
    <row r="293" spans="1:40" x14ac:dyDescent="0.3">
      <c r="C293" s="99"/>
      <c r="D293" s="99"/>
      <c r="E293" s="99"/>
      <c r="T293" s="99"/>
      <c r="U293" s="99"/>
    </row>
    <row r="294" spans="1:40" x14ac:dyDescent="0.3">
      <c r="D294" s="99"/>
      <c r="E294" s="99"/>
      <c r="U294" s="99"/>
    </row>
    <row r="296" spans="1:40" x14ac:dyDescent="0.3">
      <c r="C296" s="99"/>
      <c r="T296" s="99"/>
    </row>
    <row r="297" spans="1:40" x14ac:dyDescent="0.3">
      <c r="C297" s="99"/>
      <c r="F297" s="172"/>
      <c r="H297" s="172"/>
      <c r="I297" s="172"/>
      <c r="J297" s="228"/>
      <c r="K297" s="228"/>
      <c r="L297" s="110"/>
      <c r="M297" s="110"/>
      <c r="N297" s="141"/>
      <c r="O297" s="141"/>
      <c r="P297" s="110"/>
      <c r="Q297" s="110"/>
      <c r="R297" s="110"/>
      <c r="T297" s="99"/>
      <c r="V297" s="172"/>
      <c r="W297" s="110"/>
      <c r="X297" s="110"/>
      <c r="Y297" s="172"/>
      <c r="Z297" s="228"/>
      <c r="AA297" s="110"/>
      <c r="AB297" s="110"/>
      <c r="AC297" s="141"/>
      <c r="AD297" s="141"/>
      <c r="AE297" s="110"/>
      <c r="AF297" s="110"/>
      <c r="AH297" s="207"/>
      <c r="AI297" s="110"/>
      <c r="AJ297" s="110"/>
      <c r="AL297" s="110"/>
      <c r="AM297" s="141"/>
      <c r="AN297" s="141"/>
    </row>
    <row r="298" spans="1:40" x14ac:dyDescent="0.3">
      <c r="C298" s="99"/>
      <c r="F298" s="110"/>
      <c r="H298" s="110"/>
      <c r="I298" s="110"/>
      <c r="J298" s="217"/>
      <c r="K298" s="217"/>
      <c r="L298" s="110"/>
      <c r="M298" s="110"/>
      <c r="N298" s="141"/>
      <c r="O298" s="141"/>
      <c r="P298" s="110"/>
      <c r="Q298" s="110"/>
      <c r="R298" s="110"/>
      <c r="T298" s="99"/>
      <c r="V298" s="172"/>
      <c r="W298" s="110"/>
      <c r="X298" s="110"/>
      <c r="Y298" s="172"/>
      <c r="Z298" s="217"/>
      <c r="AA298" s="110"/>
      <c r="AB298" s="110"/>
      <c r="AC298" s="141"/>
      <c r="AD298" s="141"/>
      <c r="AE298" s="110"/>
      <c r="AF298" s="110"/>
      <c r="AH298" s="207"/>
      <c r="AI298" s="110"/>
      <c r="AJ298" s="110"/>
      <c r="AL298" s="110"/>
      <c r="AM298" s="141"/>
      <c r="AN298" s="141"/>
    </row>
    <row r="299" spans="1:40" x14ac:dyDescent="0.3">
      <c r="C299" s="99"/>
      <c r="F299" s="172"/>
      <c r="H299" s="172"/>
      <c r="I299" s="172"/>
      <c r="J299" s="228"/>
      <c r="K299" s="228"/>
      <c r="L299" s="110"/>
      <c r="M299" s="110"/>
      <c r="N299" s="141"/>
      <c r="O299" s="141"/>
      <c r="P299" s="110"/>
      <c r="Q299" s="110"/>
      <c r="R299" s="110"/>
      <c r="T299" s="99"/>
      <c r="V299" s="172"/>
      <c r="W299" s="110"/>
      <c r="X299" s="110"/>
      <c r="Y299" s="172"/>
      <c r="Z299" s="228"/>
      <c r="AA299" s="110"/>
      <c r="AB299" s="110"/>
      <c r="AC299" s="141"/>
      <c r="AD299" s="141"/>
      <c r="AE299" s="110"/>
      <c r="AF299" s="110"/>
      <c r="AH299" s="207"/>
      <c r="AI299" s="110"/>
      <c r="AJ299" s="110"/>
      <c r="AL299" s="110"/>
      <c r="AM299" s="141"/>
      <c r="AN299" s="141"/>
    </row>
    <row r="300" spans="1:40" x14ac:dyDescent="0.3">
      <c r="C300" s="99"/>
      <c r="F300" s="172"/>
      <c r="H300" s="172"/>
      <c r="I300" s="172"/>
      <c r="J300" s="228"/>
      <c r="K300" s="228"/>
      <c r="L300" s="110"/>
      <c r="M300" s="110"/>
      <c r="N300" s="141"/>
      <c r="O300" s="141"/>
      <c r="P300" s="110"/>
      <c r="Q300" s="110"/>
      <c r="R300" s="110"/>
      <c r="T300" s="99"/>
      <c r="V300" s="172"/>
      <c r="W300" s="110"/>
      <c r="X300" s="110"/>
      <c r="Y300" s="172"/>
      <c r="Z300" s="228"/>
      <c r="AA300" s="110"/>
      <c r="AB300" s="110"/>
      <c r="AC300" s="141"/>
      <c r="AD300" s="141"/>
      <c r="AE300" s="110"/>
      <c r="AF300" s="110"/>
      <c r="AH300" s="207"/>
      <c r="AI300" s="110"/>
      <c r="AJ300" s="110"/>
      <c r="AL300" s="110"/>
      <c r="AM300" s="141"/>
      <c r="AN300" s="141"/>
    </row>
    <row r="301" spans="1:40" x14ac:dyDescent="0.3">
      <c r="C301" s="99"/>
      <c r="F301" s="172"/>
      <c r="H301" s="172"/>
      <c r="I301" s="172"/>
      <c r="J301" s="228"/>
      <c r="K301" s="228"/>
      <c r="L301" s="110"/>
      <c r="M301" s="110"/>
      <c r="N301" s="141"/>
      <c r="O301" s="141"/>
      <c r="P301" s="110"/>
      <c r="Q301" s="110"/>
      <c r="R301" s="110"/>
      <c r="T301" s="99"/>
      <c r="V301" s="172"/>
      <c r="W301" s="110"/>
      <c r="X301" s="110"/>
      <c r="Y301" s="172"/>
      <c r="Z301" s="228"/>
      <c r="AA301" s="110"/>
      <c r="AB301" s="110"/>
      <c r="AC301" s="141"/>
      <c r="AD301" s="141"/>
      <c r="AE301" s="110"/>
      <c r="AF301" s="110"/>
      <c r="AH301" s="207"/>
      <c r="AI301" s="110"/>
      <c r="AJ301" s="110"/>
      <c r="AL301" s="110"/>
      <c r="AM301" s="141"/>
      <c r="AN301" s="141"/>
    </row>
    <row r="302" spans="1:40" x14ac:dyDescent="0.3">
      <c r="C302" s="99"/>
      <c r="F302" s="110"/>
      <c r="H302" s="110"/>
      <c r="I302" s="110"/>
      <c r="J302" s="228"/>
      <c r="K302" s="228"/>
      <c r="L302" s="110"/>
      <c r="M302" s="110"/>
      <c r="N302" s="141"/>
      <c r="O302" s="141"/>
      <c r="P302" s="110"/>
      <c r="Q302" s="110"/>
      <c r="R302" s="110"/>
      <c r="T302" s="99"/>
      <c r="V302" s="172"/>
      <c r="W302" s="110"/>
      <c r="X302" s="110"/>
      <c r="Y302" s="172"/>
      <c r="Z302" s="228"/>
      <c r="AA302" s="110"/>
      <c r="AB302" s="110"/>
      <c r="AC302" s="141"/>
      <c r="AD302" s="141"/>
      <c r="AE302" s="110"/>
      <c r="AF302" s="110"/>
      <c r="AH302" s="207"/>
      <c r="AI302" s="110"/>
      <c r="AJ302" s="110"/>
      <c r="AL302" s="110"/>
      <c r="AM302" s="141"/>
      <c r="AN302" s="141"/>
    </row>
    <row r="303" spans="1:40" x14ac:dyDescent="0.3">
      <c r="C303" s="99"/>
      <c r="F303" s="110"/>
      <c r="H303" s="110"/>
      <c r="I303" s="110"/>
      <c r="J303" s="228"/>
      <c r="K303" s="228"/>
      <c r="L303" s="110"/>
      <c r="M303" s="110"/>
      <c r="N303" s="141"/>
      <c r="O303" s="141"/>
      <c r="P303" s="110"/>
      <c r="Q303" s="110"/>
      <c r="R303" s="110"/>
      <c r="T303" s="99"/>
      <c r="V303" s="172"/>
      <c r="W303" s="110"/>
      <c r="X303" s="110"/>
      <c r="Y303" s="172"/>
      <c r="Z303" s="228"/>
      <c r="AA303" s="110"/>
      <c r="AB303" s="110"/>
      <c r="AC303" s="141"/>
      <c r="AD303" s="141"/>
      <c r="AE303" s="110"/>
      <c r="AF303" s="110"/>
      <c r="AH303" s="207"/>
      <c r="AI303" s="110"/>
      <c r="AJ303" s="110"/>
      <c r="AL303" s="110"/>
      <c r="AM303" s="141"/>
      <c r="AN303" s="141"/>
    </row>
    <row r="304" spans="1:40" x14ac:dyDescent="0.3">
      <c r="F304" s="210"/>
      <c r="H304" s="230"/>
      <c r="I304" s="230"/>
      <c r="J304" s="228"/>
      <c r="K304" s="228"/>
      <c r="L304" s="210"/>
      <c r="M304" s="210"/>
      <c r="N304" s="192"/>
      <c r="O304" s="192"/>
      <c r="P304" s="210"/>
      <c r="Q304" s="210"/>
      <c r="R304" s="210"/>
      <c r="V304" s="210"/>
      <c r="W304" s="110"/>
      <c r="X304" s="110"/>
      <c r="Y304" s="210"/>
      <c r="Z304" s="228"/>
      <c r="AA304" s="210"/>
      <c r="AB304" s="210"/>
      <c r="AC304" s="211"/>
      <c r="AD304" s="211"/>
      <c r="AE304" s="210"/>
      <c r="AF304" s="210"/>
      <c r="AH304" s="207"/>
      <c r="AI304" s="210"/>
      <c r="AJ304" s="210"/>
      <c r="AK304" s="191"/>
      <c r="AL304" s="210"/>
      <c r="AM304" s="141"/>
      <c r="AN304" s="141"/>
    </row>
    <row r="305" spans="1:40" x14ac:dyDescent="0.3">
      <c r="C305" s="99"/>
      <c r="F305" s="110"/>
      <c r="H305" s="110"/>
      <c r="I305" s="110"/>
      <c r="J305" s="228"/>
      <c r="K305" s="228"/>
      <c r="L305" s="110"/>
      <c r="M305" s="110"/>
      <c r="N305" s="207"/>
      <c r="O305" s="207"/>
      <c r="P305" s="110"/>
      <c r="Q305" s="110"/>
      <c r="R305" s="110"/>
      <c r="T305" s="102"/>
      <c r="V305" s="110"/>
      <c r="W305" s="110"/>
      <c r="X305" s="110"/>
      <c r="Y305" s="110"/>
      <c r="Z305" s="228"/>
      <c r="AA305" s="110"/>
      <c r="AB305" s="110"/>
      <c r="AC305" s="207"/>
      <c r="AD305" s="207"/>
      <c r="AE305" s="110"/>
      <c r="AF305" s="110"/>
      <c r="AH305" s="207"/>
      <c r="AI305" s="110"/>
      <c r="AJ305" s="110"/>
      <c r="AL305" s="110"/>
      <c r="AM305" s="141"/>
      <c r="AN305" s="141"/>
    </row>
    <row r="306" spans="1:40" x14ac:dyDescent="0.3">
      <c r="F306" s="101"/>
      <c r="H306" s="101"/>
      <c r="I306" s="101"/>
      <c r="L306" s="101"/>
      <c r="M306" s="101"/>
      <c r="N306" s="211"/>
      <c r="O306" s="211"/>
      <c r="P306" s="210"/>
      <c r="Q306" s="210"/>
      <c r="R306" s="210"/>
      <c r="V306" s="210"/>
      <c r="Y306" s="210"/>
      <c r="Z306" s="217"/>
      <c r="AA306" s="210"/>
      <c r="AB306" s="210"/>
      <c r="AC306" s="210"/>
      <c r="AD306" s="210"/>
      <c r="AE306" s="210"/>
      <c r="AF306" s="210"/>
      <c r="AI306" s="210"/>
      <c r="AJ306" s="210"/>
      <c r="AK306" s="191"/>
      <c r="AL306" s="210"/>
      <c r="AM306" s="211"/>
      <c r="AN306" s="211"/>
    </row>
    <row r="311" spans="1:40" x14ac:dyDescent="0.3">
      <c r="N311" s="110"/>
      <c r="O311" s="110"/>
      <c r="P311" s="110"/>
      <c r="Q311" s="110"/>
      <c r="R311" s="110"/>
      <c r="V311" s="110"/>
      <c r="Y311" s="110"/>
      <c r="Z311" s="198"/>
      <c r="AA311" s="110"/>
      <c r="AB311" s="110"/>
      <c r="AC311" s="141"/>
      <c r="AD311" s="141"/>
      <c r="AE311" s="110"/>
      <c r="AF311" s="110"/>
      <c r="AH311" s="207"/>
      <c r="AI311" s="110"/>
      <c r="AJ311" s="110"/>
      <c r="AL311" s="110"/>
      <c r="AM311" s="141"/>
      <c r="AN311" s="141"/>
    </row>
    <row r="312" spans="1:40" x14ac:dyDescent="0.3">
      <c r="C312" s="99"/>
      <c r="D312" s="99"/>
      <c r="E312" s="99"/>
      <c r="J312" s="163"/>
      <c r="K312" s="163"/>
      <c r="T312" s="99"/>
      <c r="U312" s="99"/>
      <c r="Z312" s="163"/>
      <c r="AE312" s="110"/>
      <c r="AF312" s="110"/>
      <c r="AI312" s="110"/>
      <c r="AJ312" s="110"/>
      <c r="AL312" s="110"/>
      <c r="AM312" s="141"/>
      <c r="AN312" s="141"/>
    </row>
    <row r="313" spans="1:40" x14ac:dyDescent="0.3">
      <c r="D313" s="99"/>
      <c r="E313" s="99"/>
      <c r="F313" s="110"/>
      <c r="H313" s="110"/>
      <c r="I313" s="110"/>
      <c r="J313" s="228"/>
      <c r="K313" s="228"/>
      <c r="L313" s="110"/>
      <c r="M313" s="110"/>
      <c r="N313" s="141"/>
      <c r="O313" s="141"/>
      <c r="P313" s="110"/>
      <c r="Q313" s="110"/>
      <c r="R313" s="110"/>
      <c r="U313" s="99"/>
      <c r="V313" s="110"/>
      <c r="Y313" s="110"/>
      <c r="Z313" s="228"/>
      <c r="AA313" s="110"/>
      <c r="AB313" s="110"/>
      <c r="AC313" s="141"/>
      <c r="AD313" s="141"/>
      <c r="AE313" s="110"/>
      <c r="AF313" s="110"/>
      <c r="AH313" s="207"/>
      <c r="AI313" s="110"/>
      <c r="AJ313" s="110"/>
      <c r="AL313" s="110"/>
      <c r="AM313" s="141"/>
      <c r="AN313" s="141"/>
    </row>
    <row r="314" spans="1:40" x14ac:dyDescent="0.3">
      <c r="F314" s="110"/>
      <c r="H314" s="110"/>
      <c r="I314" s="110"/>
      <c r="J314" s="217"/>
      <c r="K314" s="217"/>
      <c r="L314" s="110"/>
      <c r="M314" s="110"/>
      <c r="N314" s="110"/>
      <c r="O314" s="110"/>
      <c r="P314" s="110"/>
      <c r="Q314" s="110"/>
      <c r="R314" s="110"/>
      <c r="V314" s="110"/>
      <c r="Y314" s="110"/>
      <c r="Z314" s="217"/>
      <c r="AA314" s="110"/>
      <c r="AB314" s="110"/>
      <c r="AC314" s="110"/>
      <c r="AD314" s="110"/>
      <c r="AE314" s="110"/>
      <c r="AF314" s="110"/>
      <c r="AH314" s="207"/>
      <c r="AI314" s="172"/>
      <c r="AJ314" s="172"/>
      <c r="AL314" s="110"/>
      <c r="AM314" s="141"/>
      <c r="AN314" s="141"/>
    </row>
    <row r="315" spans="1:40" x14ac:dyDescent="0.3">
      <c r="C315" s="99"/>
      <c r="F315" s="172"/>
      <c r="H315" s="172"/>
      <c r="I315" s="172"/>
      <c r="J315" s="216"/>
      <c r="K315" s="216"/>
      <c r="L315" s="110"/>
      <c r="M315" s="110"/>
      <c r="N315" s="141"/>
      <c r="O315" s="141"/>
      <c r="P315" s="110"/>
      <c r="Q315" s="110"/>
      <c r="R315" s="110"/>
      <c r="T315" s="99"/>
      <c r="V315" s="172"/>
      <c r="Y315" s="172"/>
      <c r="Z315" s="216"/>
      <c r="AA315" s="110"/>
      <c r="AB315" s="110"/>
      <c r="AC315" s="141"/>
      <c r="AD315" s="141"/>
      <c r="AE315" s="110"/>
      <c r="AF315" s="110"/>
      <c r="AH315" s="207"/>
      <c r="AI315" s="110"/>
      <c r="AJ315" s="110"/>
      <c r="AL315" s="110"/>
      <c r="AM315" s="141"/>
      <c r="AN315" s="141"/>
    </row>
    <row r="316" spans="1:40" x14ac:dyDescent="0.3">
      <c r="F316" s="101"/>
      <c r="H316" s="101"/>
      <c r="I316" s="101"/>
      <c r="L316" s="101"/>
      <c r="M316" s="101"/>
      <c r="N316" s="101"/>
      <c r="O316" s="101"/>
      <c r="P316" s="101"/>
      <c r="Q316" s="101"/>
      <c r="R316" s="101"/>
      <c r="V316" s="101"/>
      <c r="Y316" s="101"/>
      <c r="AA316" s="101"/>
      <c r="AB316" s="101"/>
      <c r="AC316" s="101"/>
      <c r="AD316" s="101"/>
      <c r="AE316" s="101"/>
      <c r="AF316" s="101"/>
      <c r="AG316" s="191"/>
      <c r="AH316" s="101"/>
      <c r="AI316" s="101"/>
      <c r="AJ316" s="101"/>
      <c r="AK316" s="191"/>
      <c r="AL316" s="101"/>
      <c r="AM316" s="101"/>
      <c r="AN316" s="101"/>
    </row>
    <row r="317" spans="1:40" x14ac:dyDescent="0.3">
      <c r="C317" s="102"/>
      <c r="F317" s="172"/>
      <c r="H317" s="172"/>
      <c r="I317" s="172"/>
      <c r="J317" s="181"/>
      <c r="K317" s="181"/>
      <c r="L317" s="172"/>
      <c r="M317" s="172"/>
      <c r="N317" s="141"/>
      <c r="O317" s="141"/>
      <c r="P317" s="172"/>
      <c r="Q317" s="172"/>
      <c r="R317" s="172"/>
      <c r="T317" s="102"/>
      <c r="V317" s="110"/>
      <c r="Y317" s="110"/>
      <c r="Z317" s="198"/>
      <c r="AA317" s="110"/>
      <c r="AB317" s="110"/>
      <c r="AC317" s="141"/>
      <c r="AD317" s="141"/>
      <c r="AH317" s="207"/>
      <c r="AI317" s="110"/>
      <c r="AJ317" s="110"/>
      <c r="AL317" s="110"/>
      <c r="AM317" s="141"/>
      <c r="AN317" s="141"/>
    </row>
    <row r="318" spans="1:40" x14ac:dyDescent="0.3">
      <c r="F318" s="210"/>
      <c r="H318" s="210"/>
      <c r="I318" s="210"/>
      <c r="J318" s="217"/>
      <c r="K318" s="217"/>
      <c r="L318" s="210"/>
      <c r="M318" s="210"/>
      <c r="N318" s="210"/>
      <c r="O318" s="210"/>
      <c r="P318" s="210"/>
      <c r="Q318" s="210"/>
      <c r="R318" s="210"/>
      <c r="V318" s="101"/>
      <c r="Y318" s="101"/>
      <c r="AA318" s="101"/>
      <c r="AB318" s="101"/>
      <c r="AC318" s="101"/>
      <c r="AD318" s="101"/>
      <c r="AE318" s="101"/>
      <c r="AF318" s="101"/>
      <c r="AG318" s="191"/>
      <c r="AH318" s="101"/>
      <c r="AI318" s="101"/>
      <c r="AJ318" s="101"/>
      <c r="AK318" s="191"/>
      <c r="AL318" s="101"/>
      <c r="AM318" s="101"/>
      <c r="AN318" s="101"/>
    </row>
    <row r="319" spans="1:40" x14ac:dyDescent="0.3">
      <c r="F319" s="172"/>
      <c r="H319" s="172"/>
      <c r="I319" s="172"/>
      <c r="J319" s="227"/>
      <c r="K319" s="227"/>
      <c r="L319" s="110"/>
      <c r="M319" s="110"/>
      <c r="N319" s="141"/>
      <c r="O319" s="141"/>
      <c r="P319" s="110"/>
      <c r="Q319" s="110"/>
      <c r="R319" s="110"/>
    </row>
    <row r="320" spans="1:40" x14ac:dyDescent="0.3">
      <c r="A320" s="99"/>
      <c r="F320" s="172"/>
      <c r="H320" s="172"/>
      <c r="I320" s="172"/>
      <c r="J320" s="181"/>
      <c r="K320" s="181"/>
      <c r="L320" s="110"/>
      <c r="M320" s="110"/>
      <c r="N320" s="141"/>
      <c r="O320" s="141"/>
      <c r="P320" s="110"/>
      <c r="Q320" s="110"/>
      <c r="R320" s="110"/>
    </row>
    <row r="321" spans="1:40" x14ac:dyDescent="0.3">
      <c r="F321" s="172"/>
      <c r="H321" s="172"/>
      <c r="I321" s="172"/>
      <c r="J321" s="181"/>
      <c r="K321" s="181"/>
      <c r="L321" s="110"/>
      <c r="M321" s="110"/>
      <c r="N321" s="141"/>
      <c r="O321" s="141"/>
      <c r="P321" s="110"/>
      <c r="Q321" s="110"/>
      <c r="R321" s="110"/>
    </row>
    <row r="322" spans="1:40" x14ac:dyDescent="0.3">
      <c r="A322" s="99"/>
    </row>
    <row r="325" spans="1:40" x14ac:dyDescent="0.3">
      <c r="H325" s="99"/>
      <c r="I325" s="99"/>
      <c r="Y325" s="99"/>
    </row>
    <row r="327" spans="1:40" x14ac:dyDescent="0.3">
      <c r="L327" s="99"/>
      <c r="M327" s="99"/>
      <c r="AA327" s="99"/>
      <c r="AB327" s="99"/>
    </row>
    <row r="328" spans="1:40" x14ac:dyDescent="0.3">
      <c r="R328" s="99"/>
      <c r="AK328" s="190"/>
      <c r="AL328" s="99"/>
    </row>
    <row r="329" spans="1:40" x14ac:dyDescent="0.3">
      <c r="R329" s="99"/>
      <c r="AK329" s="190"/>
      <c r="AL329" s="99"/>
    </row>
    <row r="330" spans="1:40" x14ac:dyDescent="0.3">
      <c r="A330" s="99"/>
      <c r="R330" s="99"/>
      <c r="AK330" s="190"/>
      <c r="AL330" s="99"/>
    </row>
    <row r="331" spans="1:40" x14ac:dyDescent="0.3">
      <c r="L331" s="99"/>
      <c r="M331" s="99"/>
      <c r="AA331" s="99"/>
      <c r="AB331" s="99"/>
    </row>
    <row r="332" spans="1:40" x14ac:dyDescent="0.3">
      <c r="A332" s="101"/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T332" s="101"/>
      <c r="U332" s="101"/>
      <c r="V332" s="101"/>
      <c r="W332" s="101"/>
      <c r="X332" s="101"/>
      <c r="Y332" s="101"/>
      <c r="Z332" s="101"/>
      <c r="AA332" s="101"/>
      <c r="AB332" s="101"/>
      <c r="AC332" s="101"/>
      <c r="AD332" s="101"/>
      <c r="AE332" s="101"/>
      <c r="AF332" s="101"/>
      <c r="AG332" s="191"/>
      <c r="AH332" s="101"/>
      <c r="AI332" s="101"/>
      <c r="AJ332" s="101"/>
      <c r="AK332" s="191"/>
      <c r="AL332" s="101"/>
      <c r="AM332" s="101"/>
      <c r="AN332" s="101"/>
    </row>
    <row r="333" spans="1:40" x14ac:dyDescent="0.3">
      <c r="L333" s="102"/>
      <c r="M333" s="102"/>
      <c r="N333" s="102"/>
      <c r="O333" s="102"/>
      <c r="R333" s="102"/>
      <c r="AA333" s="102"/>
      <c r="AB333" s="102"/>
      <c r="AC333" s="102"/>
      <c r="AD333" s="102"/>
      <c r="AE333" s="102"/>
      <c r="AF333" s="102"/>
      <c r="AG333" s="151"/>
      <c r="AH333" s="102"/>
      <c r="AK333" s="151"/>
      <c r="AL333" s="102"/>
      <c r="AM333" s="102"/>
      <c r="AN333" s="102"/>
    </row>
    <row r="334" spans="1:40" x14ac:dyDescent="0.3">
      <c r="L334" s="102"/>
      <c r="M334" s="102"/>
      <c r="N334" s="102"/>
      <c r="O334" s="102"/>
      <c r="R334" s="102"/>
      <c r="Z334" s="102"/>
      <c r="AA334" s="102"/>
      <c r="AB334" s="102"/>
      <c r="AC334" s="102"/>
      <c r="AD334" s="102"/>
      <c r="AE334" s="102"/>
      <c r="AF334" s="102"/>
      <c r="AG334" s="151"/>
      <c r="AH334" s="102"/>
      <c r="AK334" s="151"/>
      <c r="AL334" s="102"/>
      <c r="AM334" s="102"/>
      <c r="AN334" s="102"/>
    </row>
    <row r="335" spans="1:40" x14ac:dyDescent="0.3">
      <c r="A335" s="102"/>
      <c r="C335" s="102"/>
      <c r="D335" s="102"/>
      <c r="E335" s="102"/>
      <c r="F335" s="102"/>
      <c r="J335" s="102"/>
      <c r="K335" s="102"/>
      <c r="L335" s="102"/>
      <c r="M335" s="102"/>
      <c r="N335" s="102"/>
      <c r="O335" s="102"/>
      <c r="P335" s="102"/>
      <c r="Q335" s="102"/>
      <c r="R335" s="102"/>
      <c r="T335" s="102"/>
      <c r="U335" s="102"/>
      <c r="V335" s="102"/>
      <c r="Z335" s="102"/>
      <c r="AA335" s="102"/>
      <c r="AB335" s="102"/>
      <c r="AC335" s="102"/>
      <c r="AD335" s="102"/>
      <c r="AE335" s="102"/>
      <c r="AF335" s="102"/>
      <c r="AG335" s="151"/>
      <c r="AH335" s="102"/>
      <c r="AI335" s="102"/>
      <c r="AJ335" s="102"/>
      <c r="AK335" s="151"/>
      <c r="AL335" s="102"/>
      <c r="AM335" s="102"/>
      <c r="AN335" s="102"/>
    </row>
    <row r="336" spans="1:40" x14ac:dyDescent="0.3">
      <c r="A336" s="102"/>
      <c r="C336" s="102"/>
      <c r="D336" s="102"/>
      <c r="E336" s="102"/>
      <c r="F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T336" s="102"/>
      <c r="U336" s="102"/>
      <c r="V336" s="102"/>
      <c r="Y336" s="102"/>
      <c r="Z336" s="102"/>
      <c r="AA336" s="102"/>
      <c r="AB336" s="102"/>
      <c r="AC336" s="102"/>
      <c r="AD336" s="102"/>
      <c r="AE336" s="102"/>
      <c r="AF336" s="102"/>
      <c r="AG336" s="151"/>
      <c r="AH336" s="102"/>
      <c r="AI336" s="102"/>
      <c r="AJ336" s="102"/>
      <c r="AK336" s="151"/>
      <c r="AL336" s="102"/>
      <c r="AM336" s="102"/>
      <c r="AN336" s="102"/>
    </row>
    <row r="337" spans="1:40" x14ac:dyDescent="0.3">
      <c r="C337" s="102"/>
      <c r="D337" s="102"/>
      <c r="E337" s="102"/>
      <c r="F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T337" s="102"/>
      <c r="U337" s="102"/>
      <c r="V337" s="102"/>
      <c r="Y337" s="102"/>
      <c r="Z337" s="102"/>
      <c r="AA337" s="102"/>
      <c r="AB337" s="102"/>
      <c r="AC337" s="102"/>
      <c r="AD337" s="102"/>
      <c r="AE337" s="102"/>
      <c r="AF337" s="102"/>
      <c r="AG337" s="151"/>
      <c r="AH337" s="102"/>
      <c r="AI337" s="102"/>
      <c r="AJ337" s="102"/>
      <c r="AK337" s="151"/>
      <c r="AL337" s="102"/>
      <c r="AM337" s="102"/>
      <c r="AN337" s="102"/>
    </row>
    <row r="338" spans="1:40" x14ac:dyDescent="0.3">
      <c r="A338" s="101"/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T338" s="101"/>
      <c r="U338" s="101"/>
      <c r="V338" s="101"/>
      <c r="W338" s="101"/>
      <c r="X338" s="101"/>
      <c r="Y338" s="101"/>
      <c r="Z338" s="101"/>
      <c r="AA338" s="101"/>
      <c r="AB338" s="101"/>
      <c r="AC338" s="101"/>
      <c r="AD338" s="101"/>
      <c r="AE338" s="101"/>
      <c r="AF338" s="101"/>
      <c r="AG338" s="191"/>
      <c r="AH338" s="101"/>
      <c r="AI338" s="101"/>
      <c r="AJ338" s="101"/>
      <c r="AK338" s="191"/>
      <c r="AL338" s="101"/>
      <c r="AM338" s="101"/>
      <c r="AN338" s="101"/>
    </row>
    <row r="339" spans="1:40" x14ac:dyDescent="0.3">
      <c r="H339" s="102"/>
      <c r="I339" s="102"/>
      <c r="J339" s="102"/>
      <c r="K339" s="102"/>
      <c r="L339" s="102"/>
      <c r="M339" s="102"/>
      <c r="N339" s="102"/>
      <c r="O339" s="102"/>
      <c r="P339" s="102"/>
      <c r="Q339" s="102"/>
      <c r="R339" s="102"/>
      <c r="Y339" s="102"/>
      <c r="Z339" s="102"/>
      <c r="AA339" s="102"/>
      <c r="AB339" s="102"/>
      <c r="AC339" s="102"/>
      <c r="AD339" s="102"/>
      <c r="AE339" s="102"/>
      <c r="AF339" s="102"/>
      <c r="AG339" s="151"/>
      <c r="AH339" s="102"/>
      <c r="AI339" s="102"/>
      <c r="AJ339" s="102"/>
      <c r="AK339" s="151"/>
      <c r="AL339" s="102"/>
      <c r="AM339" s="102"/>
      <c r="AN339" s="102"/>
    </row>
    <row r="340" spans="1:40" x14ac:dyDescent="0.3">
      <c r="C340" s="99"/>
      <c r="D340" s="99"/>
      <c r="E340" s="99"/>
      <c r="T340" s="99"/>
      <c r="U340" s="99"/>
    </row>
    <row r="342" spans="1:40" x14ac:dyDescent="0.3">
      <c r="C342" s="99"/>
      <c r="T342" s="99"/>
    </row>
    <row r="343" spans="1:40" x14ac:dyDescent="0.3">
      <c r="C343" s="99"/>
      <c r="F343" s="172"/>
      <c r="H343" s="172"/>
      <c r="I343" s="172"/>
      <c r="J343" s="217"/>
      <c r="K343" s="217"/>
      <c r="L343" s="110"/>
      <c r="M343" s="110"/>
      <c r="N343" s="141"/>
      <c r="O343" s="141"/>
      <c r="P343" s="110"/>
      <c r="Q343" s="110"/>
      <c r="R343" s="110"/>
      <c r="T343" s="99"/>
      <c r="V343" s="172"/>
      <c r="Y343" s="172"/>
      <c r="Z343" s="217"/>
      <c r="AA343" s="110"/>
      <c r="AB343" s="110"/>
      <c r="AC343" s="141"/>
      <c r="AD343" s="141"/>
      <c r="AE343" s="110"/>
      <c r="AF343" s="110"/>
      <c r="AH343" s="207"/>
      <c r="AI343" s="110"/>
      <c r="AJ343" s="110"/>
      <c r="AL343" s="110"/>
      <c r="AM343" s="141"/>
      <c r="AN343" s="141"/>
    </row>
    <row r="344" spans="1:40" x14ac:dyDescent="0.3">
      <c r="C344" s="99"/>
      <c r="T344" s="99"/>
    </row>
    <row r="345" spans="1:40" x14ac:dyDescent="0.3">
      <c r="C345" s="99"/>
      <c r="F345" s="172"/>
      <c r="H345" s="172"/>
      <c r="I345" s="172"/>
      <c r="J345" s="228"/>
      <c r="K345" s="228"/>
      <c r="L345" s="110"/>
      <c r="M345" s="110"/>
      <c r="N345" s="141"/>
      <c r="O345" s="141"/>
      <c r="P345" s="110"/>
      <c r="Q345" s="110"/>
      <c r="R345" s="110"/>
      <c r="T345" s="99"/>
      <c r="V345" s="110"/>
      <c r="Y345" s="110"/>
      <c r="Z345" s="228"/>
      <c r="AA345" s="110"/>
      <c r="AB345" s="110"/>
      <c r="AC345" s="141"/>
      <c r="AD345" s="141"/>
      <c r="AE345" s="110"/>
      <c r="AF345" s="110"/>
      <c r="AH345" s="207"/>
      <c r="AI345" s="110"/>
      <c r="AJ345" s="110"/>
      <c r="AL345" s="110"/>
      <c r="AM345" s="141"/>
      <c r="AN345" s="141"/>
    </row>
    <row r="346" spans="1:40" x14ac:dyDescent="0.3">
      <c r="C346" s="99"/>
      <c r="F346" s="172"/>
      <c r="H346" s="172"/>
      <c r="I346" s="172"/>
      <c r="J346" s="228"/>
      <c r="K346" s="228"/>
      <c r="L346" s="110"/>
      <c r="M346" s="110"/>
      <c r="N346" s="141"/>
      <c r="O346" s="141"/>
      <c r="P346" s="110"/>
      <c r="Q346" s="110"/>
      <c r="R346" s="110"/>
      <c r="T346" s="99"/>
      <c r="V346" s="110"/>
      <c r="Y346" s="110"/>
      <c r="Z346" s="228"/>
      <c r="AA346" s="110"/>
      <c r="AB346" s="110"/>
      <c r="AC346" s="141"/>
      <c r="AD346" s="141"/>
      <c r="AE346" s="110"/>
      <c r="AF346" s="110"/>
      <c r="AH346" s="207"/>
      <c r="AI346" s="110"/>
      <c r="AJ346" s="110"/>
      <c r="AL346" s="110"/>
      <c r="AM346" s="141"/>
      <c r="AN346" s="141"/>
    </row>
    <row r="347" spans="1:40" x14ac:dyDescent="0.3">
      <c r="C347" s="99"/>
      <c r="F347" s="172"/>
      <c r="H347" s="172"/>
      <c r="I347" s="172"/>
      <c r="J347" s="228"/>
      <c r="K347" s="228"/>
      <c r="L347" s="110"/>
      <c r="M347" s="110"/>
      <c r="N347" s="141"/>
      <c r="O347" s="141"/>
      <c r="P347" s="110"/>
      <c r="Q347" s="110"/>
      <c r="R347" s="110"/>
      <c r="T347" s="99"/>
      <c r="V347" s="110"/>
      <c r="Y347" s="110"/>
      <c r="Z347" s="228"/>
      <c r="AA347" s="110"/>
      <c r="AB347" s="110"/>
      <c r="AC347" s="141"/>
      <c r="AD347" s="141"/>
      <c r="AE347" s="110"/>
      <c r="AF347" s="110"/>
      <c r="AH347" s="207"/>
      <c r="AI347" s="110"/>
      <c r="AJ347" s="110"/>
      <c r="AL347" s="110"/>
      <c r="AM347" s="141"/>
      <c r="AN347" s="141"/>
    </row>
    <row r="348" spans="1:40" x14ac:dyDescent="0.3">
      <c r="C348" s="99"/>
      <c r="F348" s="172"/>
      <c r="H348" s="172"/>
      <c r="I348" s="172"/>
      <c r="J348" s="228"/>
      <c r="K348" s="228"/>
      <c r="L348" s="110"/>
      <c r="M348" s="110"/>
      <c r="N348" s="141"/>
      <c r="O348" s="141"/>
      <c r="P348" s="110"/>
      <c r="Q348" s="110"/>
      <c r="R348" s="110"/>
      <c r="T348" s="99"/>
      <c r="V348" s="110"/>
      <c r="Y348" s="110"/>
      <c r="Z348" s="228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1:40" x14ac:dyDescent="0.3">
      <c r="C349" s="99"/>
      <c r="J349" s="163"/>
      <c r="K349" s="163"/>
      <c r="T349" s="99"/>
      <c r="Z349" s="163"/>
    </row>
    <row r="350" spans="1:40" x14ac:dyDescent="0.3">
      <c r="C350" s="99"/>
      <c r="F350" s="172"/>
      <c r="H350" s="172"/>
      <c r="I350" s="172"/>
      <c r="J350" s="228"/>
      <c r="K350" s="228"/>
      <c r="L350" s="110"/>
      <c r="M350" s="110"/>
      <c r="N350" s="141"/>
      <c r="O350" s="141"/>
      <c r="P350" s="110"/>
      <c r="Q350" s="110"/>
      <c r="R350" s="110"/>
      <c r="T350" s="99"/>
      <c r="V350" s="110"/>
      <c r="Y350" s="110"/>
      <c r="Z350" s="228"/>
      <c r="AA350" s="110"/>
      <c r="AB350" s="110"/>
      <c r="AC350" s="141"/>
      <c r="AD350" s="141"/>
      <c r="AE350" s="110"/>
      <c r="AF350" s="110"/>
      <c r="AH350" s="207"/>
      <c r="AI350" s="110"/>
      <c r="AJ350" s="110"/>
      <c r="AL350" s="110"/>
      <c r="AM350" s="141"/>
      <c r="AN350" s="141"/>
    </row>
    <row r="351" spans="1:40" x14ac:dyDescent="0.3">
      <c r="C351" s="99"/>
      <c r="F351" s="172"/>
      <c r="H351" s="172"/>
      <c r="I351" s="172"/>
      <c r="J351" s="228"/>
      <c r="K351" s="228"/>
      <c r="L351" s="110"/>
      <c r="M351" s="110"/>
      <c r="N351" s="141"/>
      <c r="O351" s="141"/>
      <c r="P351" s="110"/>
      <c r="Q351" s="110"/>
      <c r="R351" s="110"/>
      <c r="T351" s="99"/>
      <c r="V351" s="110"/>
      <c r="Y351" s="110"/>
      <c r="Z351" s="228"/>
      <c r="AA351" s="110"/>
      <c r="AB351" s="110"/>
      <c r="AC351" s="141"/>
      <c r="AD351" s="141"/>
      <c r="AE351" s="110"/>
      <c r="AF351" s="110"/>
      <c r="AH351" s="207"/>
      <c r="AI351" s="110"/>
      <c r="AJ351" s="110"/>
      <c r="AL351" s="110"/>
      <c r="AM351" s="141"/>
      <c r="AN351" s="141"/>
    </row>
    <row r="352" spans="1:40" x14ac:dyDescent="0.3">
      <c r="C352" s="99"/>
      <c r="F352" s="172"/>
      <c r="H352" s="172"/>
      <c r="I352" s="172"/>
      <c r="J352" s="228"/>
      <c r="K352" s="228"/>
      <c r="L352" s="110"/>
      <c r="M352" s="110"/>
      <c r="N352" s="141"/>
      <c r="O352" s="141"/>
      <c r="P352" s="110"/>
      <c r="Q352" s="110"/>
      <c r="R352" s="110"/>
      <c r="T352" s="99"/>
      <c r="V352" s="110"/>
      <c r="Y352" s="110"/>
      <c r="Z352" s="228"/>
      <c r="AA352" s="110"/>
      <c r="AB352" s="110"/>
      <c r="AC352" s="141"/>
      <c r="AD352" s="141"/>
      <c r="AE352" s="110"/>
      <c r="AF352" s="110"/>
      <c r="AH352" s="207"/>
      <c r="AI352" s="110"/>
      <c r="AJ352" s="110"/>
      <c r="AL352" s="110"/>
      <c r="AM352" s="141"/>
      <c r="AN352" s="141"/>
    </row>
    <row r="353" spans="3:40" x14ac:dyDescent="0.3">
      <c r="C353" s="99"/>
      <c r="J353" s="163"/>
      <c r="K353" s="163"/>
      <c r="T353" s="99"/>
      <c r="Z353" s="163"/>
    </row>
    <row r="354" spans="3:40" x14ac:dyDescent="0.3">
      <c r="C354" s="99"/>
      <c r="F354" s="172"/>
      <c r="H354" s="172"/>
      <c r="I354" s="172"/>
      <c r="J354" s="228"/>
      <c r="K354" s="228"/>
      <c r="L354" s="110"/>
      <c r="M354" s="110"/>
      <c r="N354" s="141"/>
      <c r="O354" s="141"/>
      <c r="P354" s="110"/>
      <c r="Q354" s="110"/>
      <c r="R354" s="110"/>
      <c r="T354" s="99"/>
      <c r="V354" s="110"/>
      <c r="Y354" s="110"/>
      <c r="Z354" s="228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F355" s="172"/>
      <c r="H355" s="172"/>
      <c r="I355" s="172"/>
      <c r="J355" s="228"/>
      <c r="K355" s="228"/>
      <c r="L355" s="110"/>
      <c r="M355" s="110"/>
      <c r="N355" s="141"/>
      <c r="O355" s="141"/>
      <c r="P355" s="110"/>
      <c r="Q355" s="110"/>
      <c r="R355" s="110"/>
      <c r="T355" s="99"/>
      <c r="V355" s="110"/>
      <c r="Y355" s="110"/>
      <c r="Z355" s="228"/>
      <c r="AA355" s="110"/>
      <c r="AB355" s="110"/>
      <c r="AC355" s="141"/>
      <c r="AD355" s="141"/>
      <c r="AE355" s="110"/>
      <c r="AF355" s="110"/>
      <c r="AH355" s="207"/>
      <c r="AI355" s="110"/>
      <c r="AJ355" s="110"/>
      <c r="AL355" s="110"/>
      <c r="AM355" s="141"/>
      <c r="AN355" s="141"/>
    </row>
    <row r="356" spans="3:40" x14ac:dyDescent="0.3">
      <c r="C356" s="99"/>
      <c r="J356" s="163"/>
      <c r="K356" s="163"/>
      <c r="T356" s="99"/>
      <c r="Z356" s="163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10"/>
      <c r="Y357" s="110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F360" s="192"/>
      <c r="H360" s="192"/>
      <c r="I360" s="192"/>
      <c r="J360" s="228"/>
      <c r="K360" s="228"/>
      <c r="L360" s="192"/>
      <c r="M360" s="192"/>
      <c r="N360" s="192"/>
      <c r="O360" s="192"/>
      <c r="P360" s="192"/>
      <c r="Q360" s="192"/>
      <c r="R360" s="192"/>
      <c r="V360" s="192"/>
      <c r="Y360" s="192"/>
      <c r="Z360" s="228"/>
      <c r="AA360" s="192"/>
      <c r="AB360" s="192"/>
      <c r="AC360" s="192"/>
      <c r="AD360" s="192"/>
      <c r="AE360" s="192"/>
      <c r="AF360" s="192"/>
      <c r="AI360" s="192"/>
      <c r="AJ360" s="192"/>
      <c r="AK360" s="194"/>
      <c r="AL360" s="192"/>
    </row>
    <row r="361" spans="3:40" x14ac:dyDescent="0.3">
      <c r="C361" s="102"/>
      <c r="F361" s="110"/>
      <c r="H361" s="110"/>
      <c r="I361" s="110"/>
      <c r="J361" s="163"/>
      <c r="K361" s="163"/>
      <c r="L361" s="110"/>
      <c r="M361" s="110"/>
      <c r="N361" s="207"/>
      <c r="O361" s="207"/>
      <c r="P361" s="110"/>
      <c r="Q361" s="110"/>
      <c r="R361" s="110"/>
      <c r="T361" s="102"/>
      <c r="V361" s="110"/>
      <c r="Y361" s="110"/>
      <c r="Z361" s="163"/>
      <c r="AA361" s="110"/>
      <c r="AB361" s="110"/>
      <c r="AC361" s="110"/>
      <c r="AD361" s="110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F362" s="192"/>
      <c r="H362" s="192"/>
      <c r="I362" s="192"/>
      <c r="J362" s="228"/>
      <c r="K362" s="228"/>
      <c r="L362" s="192"/>
      <c r="M362" s="192"/>
      <c r="N362" s="192"/>
      <c r="O362" s="192"/>
      <c r="P362" s="192"/>
      <c r="Q362" s="192"/>
      <c r="R362" s="192"/>
      <c r="V362" s="192"/>
      <c r="Y362" s="192"/>
      <c r="Z362" s="228"/>
      <c r="AA362" s="192"/>
      <c r="AB362" s="192"/>
      <c r="AC362" s="192"/>
      <c r="AD362" s="192"/>
      <c r="AE362" s="192"/>
      <c r="AF362" s="192"/>
      <c r="AI362" s="192"/>
      <c r="AJ362" s="192"/>
      <c r="AK362" s="194"/>
      <c r="AL362" s="192"/>
    </row>
    <row r="363" spans="3:40" x14ac:dyDescent="0.3">
      <c r="C363" s="99"/>
      <c r="J363" s="163"/>
      <c r="K363" s="163"/>
      <c r="T363" s="99"/>
      <c r="Z363" s="163"/>
    </row>
    <row r="364" spans="3:40" x14ac:dyDescent="0.3">
      <c r="C364" s="99"/>
      <c r="J364" s="163"/>
      <c r="K364" s="163"/>
      <c r="T364" s="99"/>
      <c r="Z364" s="163"/>
    </row>
    <row r="365" spans="3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Y365" s="110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3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Y366" s="110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3:40" x14ac:dyDescent="0.3">
      <c r="C367" s="99"/>
      <c r="F367" s="172"/>
      <c r="H367" s="172"/>
      <c r="I367" s="172"/>
      <c r="J367" s="228"/>
      <c r="K367" s="228"/>
      <c r="L367" s="110"/>
      <c r="M367" s="110"/>
      <c r="N367" s="141"/>
      <c r="O367" s="141"/>
      <c r="P367" s="110"/>
      <c r="Q367" s="110"/>
      <c r="R367" s="110"/>
      <c r="T367" s="99"/>
      <c r="V367" s="110"/>
      <c r="Y367" s="110"/>
      <c r="Z367" s="228"/>
      <c r="AA367" s="110"/>
      <c r="AB367" s="110"/>
      <c r="AC367" s="141"/>
      <c r="AD367" s="141"/>
      <c r="AE367" s="110"/>
      <c r="AF367" s="110"/>
      <c r="AH367" s="207"/>
      <c r="AI367" s="110"/>
      <c r="AJ367" s="110"/>
      <c r="AL367" s="110"/>
      <c r="AM367" s="141"/>
      <c r="AN367" s="141"/>
    </row>
    <row r="368" spans="3:40" x14ac:dyDescent="0.3">
      <c r="C368" s="99"/>
      <c r="F368" s="172"/>
      <c r="H368" s="172"/>
      <c r="I368" s="172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10"/>
      <c r="Y368" s="110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Y369" s="110"/>
      <c r="Z369" s="228"/>
      <c r="AA369" s="110"/>
      <c r="AB369" s="110"/>
      <c r="AC369" s="141"/>
      <c r="AD369" s="141"/>
      <c r="AE369" s="110"/>
      <c r="AF369" s="110"/>
      <c r="AH369" s="207"/>
      <c r="AI369" s="110"/>
      <c r="AJ369" s="110"/>
      <c r="AL369" s="110"/>
      <c r="AM369" s="141"/>
      <c r="AN369" s="141"/>
    </row>
    <row r="370" spans="3:40" x14ac:dyDescent="0.3">
      <c r="C370" s="99"/>
      <c r="F370" s="172"/>
      <c r="H370" s="172"/>
      <c r="I370" s="172"/>
      <c r="J370" s="228"/>
      <c r="K370" s="228"/>
      <c r="L370" s="110"/>
      <c r="M370" s="110"/>
      <c r="N370" s="141"/>
      <c r="O370" s="141"/>
      <c r="P370" s="110"/>
      <c r="Q370" s="110"/>
      <c r="R370" s="110"/>
      <c r="T370" s="99"/>
      <c r="V370" s="110"/>
      <c r="Y370" s="110"/>
      <c r="Z370" s="22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3:40" x14ac:dyDescent="0.3">
      <c r="C371" s="99"/>
      <c r="F371" s="172"/>
      <c r="H371" s="172"/>
      <c r="I371" s="172"/>
      <c r="J371" s="228"/>
      <c r="K371" s="228"/>
      <c r="L371" s="110"/>
      <c r="M371" s="110"/>
      <c r="N371" s="141"/>
      <c r="O371" s="141"/>
      <c r="P371" s="110"/>
      <c r="Q371" s="110"/>
      <c r="R371" s="110"/>
      <c r="T371" s="99"/>
      <c r="V371" s="110"/>
      <c r="Y371" s="110"/>
      <c r="Z371" s="228"/>
      <c r="AA371" s="110"/>
      <c r="AB371" s="110"/>
      <c r="AC371" s="141"/>
      <c r="AD371" s="141"/>
      <c r="AE371" s="110"/>
      <c r="AF371" s="110"/>
      <c r="AH371" s="207"/>
      <c r="AI371" s="110"/>
      <c r="AJ371" s="110"/>
      <c r="AL371" s="110"/>
      <c r="AM371" s="141"/>
      <c r="AN371" s="141"/>
    </row>
    <row r="372" spans="3:40" x14ac:dyDescent="0.3">
      <c r="C372" s="99"/>
      <c r="J372" s="163"/>
      <c r="K372" s="163"/>
      <c r="T372" s="99"/>
      <c r="Z372" s="163"/>
    </row>
    <row r="373" spans="3:40" x14ac:dyDescent="0.3">
      <c r="C373" s="99"/>
      <c r="F373" s="172"/>
      <c r="H373" s="172"/>
      <c r="I373" s="172"/>
      <c r="J373" s="228"/>
      <c r="K373" s="228"/>
      <c r="L373" s="110"/>
      <c r="M373" s="110"/>
      <c r="N373" s="141"/>
      <c r="O373" s="141"/>
      <c r="P373" s="110"/>
      <c r="Q373" s="110"/>
      <c r="R373" s="110"/>
      <c r="T373" s="99"/>
      <c r="V373" s="110"/>
      <c r="Y373" s="110"/>
      <c r="Z373" s="228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3:40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10"/>
      <c r="Y374" s="110"/>
      <c r="Z374" s="228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3:40" x14ac:dyDescent="0.3">
      <c r="C375" s="99"/>
      <c r="F375" s="172"/>
      <c r="H375" s="172"/>
      <c r="I375" s="172"/>
      <c r="J375" s="228"/>
      <c r="K375" s="228"/>
      <c r="L375" s="110"/>
      <c r="M375" s="110"/>
      <c r="N375" s="141"/>
      <c r="O375" s="141"/>
      <c r="P375" s="110"/>
      <c r="Q375" s="110"/>
      <c r="R375" s="110"/>
      <c r="T375" s="99"/>
      <c r="V375" s="110"/>
      <c r="Y375" s="110"/>
      <c r="Z375" s="228"/>
      <c r="AA375" s="110"/>
      <c r="AB375" s="110"/>
      <c r="AC375" s="141"/>
      <c r="AD375" s="141"/>
      <c r="AE375" s="110"/>
      <c r="AF375" s="110"/>
      <c r="AH375" s="207"/>
      <c r="AI375" s="110"/>
      <c r="AJ375" s="110"/>
      <c r="AL375" s="110"/>
      <c r="AM375" s="141"/>
      <c r="AN375" s="141"/>
    </row>
    <row r="376" spans="3:40" x14ac:dyDescent="0.3">
      <c r="C376" s="99"/>
      <c r="F376" s="172"/>
      <c r="H376" s="172"/>
      <c r="I376" s="172"/>
      <c r="J376" s="228"/>
      <c r="K376" s="228"/>
      <c r="L376" s="110"/>
      <c r="M376" s="110"/>
      <c r="N376" s="141"/>
      <c r="O376" s="141"/>
      <c r="P376" s="110"/>
      <c r="Q376" s="110"/>
      <c r="R376" s="110"/>
      <c r="T376" s="99"/>
      <c r="V376" s="110"/>
      <c r="Y376" s="110"/>
      <c r="Z376" s="22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J377" s="163"/>
      <c r="K377" s="163"/>
      <c r="T377" s="99"/>
      <c r="Z377" s="163"/>
    </row>
    <row r="378" spans="3:40" x14ac:dyDescent="0.3">
      <c r="C378" s="99"/>
      <c r="F378" s="172"/>
      <c r="H378" s="172"/>
      <c r="I378" s="172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C379" s="99"/>
      <c r="F379" s="172"/>
      <c r="H379" s="172"/>
      <c r="I379" s="172"/>
      <c r="J379" s="228"/>
      <c r="K379" s="228"/>
      <c r="L379" s="110"/>
      <c r="M379" s="110"/>
      <c r="N379" s="141"/>
      <c r="O379" s="141"/>
      <c r="P379" s="110"/>
      <c r="Q379" s="110"/>
      <c r="R379" s="110"/>
      <c r="T379" s="99"/>
      <c r="V379" s="110"/>
      <c r="Y379" s="110"/>
      <c r="Z379" s="228"/>
      <c r="AA379" s="110"/>
      <c r="AB379" s="110"/>
      <c r="AC379" s="141"/>
      <c r="AD379" s="141"/>
      <c r="AE379" s="110"/>
      <c r="AF379" s="110"/>
      <c r="AH379" s="207"/>
      <c r="AI379" s="110"/>
      <c r="AJ379" s="110"/>
      <c r="AL379" s="110"/>
      <c r="AM379" s="141"/>
      <c r="AN379" s="141"/>
    </row>
    <row r="380" spans="3:40" x14ac:dyDescent="0.3">
      <c r="C380" s="99"/>
      <c r="F380" s="172"/>
      <c r="H380" s="172"/>
      <c r="I380" s="172"/>
      <c r="J380" s="228"/>
      <c r="K380" s="228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Z380" s="228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228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Y382" s="110"/>
      <c r="Z382" s="228"/>
      <c r="AA382" s="110"/>
      <c r="AB382" s="110"/>
      <c r="AC382" s="141"/>
      <c r="AD382" s="141"/>
      <c r="AE382" s="110"/>
      <c r="AF382" s="110"/>
      <c r="AH382" s="207"/>
      <c r="AI382" s="110"/>
      <c r="AJ382" s="110"/>
      <c r="AL382" s="110"/>
      <c r="AM382" s="141"/>
      <c r="AN382" s="141"/>
    </row>
    <row r="383" spans="3:40" x14ac:dyDescent="0.3">
      <c r="F383" s="192"/>
      <c r="H383" s="192"/>
      <c r="I383" s="192"/>
      <c r="J383" s="217"/>
      <c r="K383" s="217"/>
      <c r="L383" s="192"/>
      <c r="M383" s="192"/>
      <c r="N383" s="192"/>
      <c r="O383" s="192"/>
      <c r="P383" s="192"/>
      <c r="Q383" s="192"/>
      <c r="R383" s="192"/>
      <c r="V383" s="192"/>
      <c r="Y383" s="192"/>
      <c r="Z383" s="228"/>
      <c r="AA383" s="192"/>
      <c r="AB383" s="192"/>
      <c r="AC383" s="192"/>
      <c r="AD383" s="192"/>
      <c r="AE383" s="192"/>
      <c r="AF383" s="192"/>
      <c r="AI383" s="192"/>
      <c r="AJ383" s="192"/>
      <c r="AK383" s="194"/>
      <c r="AL383" s="192"/>
    </row>
    <row r="384" spans="3:40" x14ac:dyDescent="0.3">
      <c r="C384" s="99"/>
      <c r="F384" s="110"/>
      <c r="H384" s="110"/>
      <c r="I384" s="110"/>
      <c r="L384" s="110"/>
      <c r="M384" s="110"/>
      <c r="N384" s="207"/>
      <c r="O384" s="207"/>
      <c r="P384" s="110"/>
      <c r="Q384" s="110"/>
      <c r="R384" s="110"/>
      <c r="T384" s="99"/>
      <c r="V384" s="110"/>
      <c r="Y384" s="110"/>
      <c r="AA384" s="110"/>
      <c r="AB384" s="110"/>
      <c r="AC384" s="141"/>
      <c r="AD384" s="141"/>
      <c r="AE384" s="110"/>
      <c r="AF384" s="110"/>
      <c r="AH384" s="207"/>
      <c r="AI384" s="110"/>
      <c r="AJ384" s="110"/>
      <c r="AL384" s="110"/>
      <c r="AM384" s="141"/>
      <c r="AN384" s="141"/>
    </row>
    <row r="385" spans="1:40" x14ac:dyDescent="0.3">
      <c r="F385" s="192"/>
      <c r="H385" s="192"/>
      <c r="I385" s="192"/>
      <c r="J385" s="217"/>
      <c r="K385" s="217"/>
      <c r="L385" s="192"/>
      <c r="M385" s="192"/>
      <c r="N385" s="192"/>
      <c r="O385" s="192"/>
      <c r="P385" s="192"/>
      <c r="Q385" s="192"/>
      <c r="R385" s="192"/>
      <c r="V385" s="192"/>
      <c r="Y385" s="192"/>
      <c r="Z385" s="217"/>
      <c r="AA385" s="192"/>
      <c r="AB385" s="192"/>
      <c r="AC385" s="192"/>
      <c r="AD385" s="192"/>
      <c r="AE385" s="192"/>
      <c r="AF385" s="192"/>
      <c r="AI385" s="192"/>
      <c r="AJ385" s="192"/>
      <c r="AK385" s="194"/>
      <c r="AL385" s="192"/>
    </row>
    <row r="386" spans="1:40" x14ac:dyDescent="0.3">
      <c r="C386" s="99"/>
      <c r="T386" s="99"/>
    </row>
    <row r="387" spans="1:40" x14ac:dyDescent="0.3">
      <c r="C387" s="99"/>
      <c r="F387" s="172"/>
      <c r="H387" s="172"/>
      <c r="I387" s="172"/>
      <c r="J387" s="181"/>
      <c r="K387" s="181"/>
      <c r="L387" s="110"/>
      <c r="M387" s="110"/>
      <c r="N387" s="141"/>
      <c r="O387" s="141"/>
      <c r="P387" s="110"/>
      <c r="Q387" s="110"/>
      <c r="R387" s="110"/>
      <c r="T387" s="99"/>
      <c r="V387" s="110"/>
      <c r="Y387" s="110"/>
      <c r="Z387" s="181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1:40" x14ac:dyDescent="0.3">
      <c r="C388" s="99"/>
      <c r="F388" s="172"/>
      <c r="H388" s="172"/>
      <c r="I388" s="172"/>
      <c r="J388" s="181"/>
      <c r="K388" s="181"/>
      <c r="L388" s="110"/>
      <c r="M388" s="110"/>
      <c r="N388" s="141"/>
      <c r="O388" s="141"/>
      <c r="P388" s="110"/>
      <c r="Q388" s="110"/>
      <c r="R388" s="110"/>
      <c r="T388" s="99"/>
      <c r="V388" s="110"/>
      <c r="Y388" s="110"/>
      <c r="Z388" s="181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1:40" x14ac:dyDescent="0.3">
      <c r="F389" s="192"/>
      <c r="H389" s="110"/>
      <c r="I389" s="110"/>
      <c r="J389" s="217"/>
      <c r="K389" s="217"/>
      <c r="L389" s="192"/>
      <c r="M389" s="192"/>
      <c r="N389" s="192"/>
      <c r="O389" s="192"/>
      <c r="P389" s="192"/>
      <c r="Q389" s="192"/>
      <c r="R389" s="192"/>
      <c r="V389" s="192"/>
      <c r="Y389" s="110"/>
      <c r="Z389" s="217"/>
      <c r="AA389" s="192"/>
      <c r="AB389" s="192"/>
      <c r="AC389" s="192"/>
      <c r="AD389" s="192"/>
      <c r="AE389" s="192"/>
      <c r="AF389" s="192"/>
      <c r="AI389" s="192"/>
      <c r="AJ389" s="192"/>
      <c r="AK389" s="194"/>
      <c r="AL389" s="192"/>
    </row>
    <row r="390" spans="1:40" x14ac:dyDescent="0.3">
      <c r="F390" s="110"/>
      <c r="H390" s="110"/>
      <c r="I390" s="110"/>
      <c r="J390" s="217"/>
      <c r="K390" s="217"/>
      <c r="L390" s="110"/>
      <c r="M390" s="110"/>
      <c r="N390" s="110"/>
      <c r="O390" s="110"/>
      <c r="P390" s="110"/>
      <c r="Q390" s="110"/>
      <c r="R390" s="110"/>
      <c r="V390" s="110"/>
      <c r="Y390" s="110"/>
      <c r="Z390" s="217"/>
      <c r="AA390" s="110"/>
      <c r="AB390" s="110"/>
      <c r="AC390" s="110"/>
      <c r="AD390" s="110"/>
      <c r="AE390" s="110"/>
      <c r="AF390" s="110"/>
      <c r="AI390" s="110"/>
      <c r="AJ390" s="110"/>
      <c r="AL390" s="110"/>
    </row>
    <row r="391" spans="1:40" x14ac:dyDescent="0.3">
      <c r="C391" s="99"/>
      <c r="F391" s="110"/>
      <c r="H391" s="110"/>
      <c r="I391" s="110"/>
      <c r="L391" s="110"/>
      <c r="M391" s="110"/>
      <c r="N391" s="141"/>
      <c r="O391" s="141"/>
      <c r="P391" s="110"/>
      <c r="Q391" s="110"/>
      <c r="R391" s="110"/>
      <c r="T391" s="99"/>
      <c r="V391" s="110"/>
      <c r="Y391" s="110"/>
      <c r="AA391" s="110"/>
      <c r="AB391" s="110"/>
      <c r="AC391" s="141"/>
      <c r="AD391" s="141"/>
      <c r="AE391" s="110"/>
      <c r="AF391" s="110"/>
      <c r="AH391" s="207"/>
      <c r="AI391" s="172"/>
      <c r="AJ391" s="172"/>
      <c r="AL391" s="110"/>
      <c r="AM391" s="141"/>
      <c r="AN391" s="141"/>
    </row>
    <row r="392" spans="1:40" x14ac:dyDescent="0.3">
      <c r="H392" s="192"/>
      <c r="I392" s="192"/>
      <c r="J392" s="217"/>
      <c r="K392" s="217"/>
      <c r="L392" s="192"/>
      <c r="M392" s="192"/>
      <c r="N392" s="192"/>
      <c r="O392" s="192"/>
      <c r="P392" s="192"/>
      <c r="Q392" s="192"/>
      <c r="R392" s="192"/>
      <c r="V392" s="192"/>
      <c r="Y392" s="192"/>
      <c r="Z392" s="217"/>
      <c r="AA392" s="192"/>
      <c r="AB392" s="192"/>
      <c r="AC392" s="192"/>
      <c r="AD392" s="192"/>
      <c r="AE392" s="192"/>
      <c r="AF392" s="192"/>
      <c r="AI392" s="192"/>
      <c r="AJ392" s="192"/>
      <c r="AK392" s="194"/>
      <c r="AL392" s="192"/>
    </row>
    <row r="393" spans="1:40" x14ac:dyDescent="0.3">
      <c r="F393" s="192"/>
    </row>
    <row r="394" spans="1:40" x14ac:dyDescent="0.3">
      <c r="A394" s="99"/>
      <c r="T394" s="99"/>
    </row>
    <row r="395" spans="1:40" x14ac:dyDescent="0.3">
      <c r="A395" s="99"/>
      <c r="T395" s="99"/>
    </row>
    <row r="396" spans="1:40" x14ac:dyDescent="0.3">
      <c r="A396" s="99"/>
      <c r="T396" s="99"/>
    </row>
    <row r="397" spans="1:40" x14ac:dyDescent="0.3">
      <c r="A397" s="99"/>
      <c r="T397" s="99"/>
    </row>
    <row r="398" spans="1:40" x14ac:dyDescent="0.3">
      <c r="A398" s="99"/>
      <c r="T398" s="99"/>
    </row>
    <row r="399" spans="1:40" x14ac:dyDescent="0.3">
      <c r="A399" s="99"/>
      <c r="T399" s="99"/>
    </row>
    <row r="400" spans="1:40" x14ac:dyDescent="0.3">
      <c r="A400" s="99"/>
      <c r="T400" s="99"/>
    </row>
    <row r="401" spans="1:40" x14ac:dyDescent="0.3">
      <c r="A401" s="99"/>
      <c r="T401" s="99"/>
    </row>
    <row r="402" spans="1:40" x14ac:dyDescent="0.3">
      <c r="A402" s="99"/>
      <c r="T402" s="99"/>
    </row>
    <row r="404" spans="1:40" x14ac:dyDescent="0.3">
      <c r="A404" s="99"/>
    </row>
    <row r="406" spans="1:40" x14ac:dyDescent="0.3">
      <c r="H406" s="99"/>
      <c r="I406" s="99"/>
      <c r="Y406" s="99"/>
    </row>
    <row r="408" spans="1:40" x14ac:dyDescent="0.3">
      <c r="L408" s="99"/>
      <c r="M408" s="99"/>
      <c r="AA408" s="99"/>
      <c r="AB408" s="99"/>
    </row>
    <row r="409" spans="1:40" x14ac:dyDescent="0.3">
      <c r="R409" s="99"/>
      <c r="AK409" s="190"/>
      <c r="AL409" s="99"/>
    </row>
    <row r="410" spans="1:40" x14ac:dyDescent="0.3">
      <c r="R410" s="99"/>
      <c r="AK410" s="190"/>
      <c r="AL410" s="99"/>
    </row>
    <row r="411" spans="1:40" x14ac:dyDescent="0.3">
      <c r="A411" s="99"/>
      <c r="R411" s="99"/>
      <c r="AK411" s="190"/>
      <c r="AL411" s="99"/>
    </row>
    <row r="412" spans="1:40" x14ac:dyDescent="0.3">
      <c r="L412" s="99"/>
      <c r="M412" s="99"/>
      <c r="AA412" s="99"/>
      <c r="AB412" s="99"/>
    </row>
    <row r="413" spans="1:40" x14ac:dyDescent="0.3">
      <c r="A413" s="101"/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T413" s="101"/>
      <c r="U413" s="101"/>
      <c r="V413" s="101"/>
      <c r="W413" s="101"/>
      <c r="X413" s="101"/>
      <c r="Y413" s="101"/>
      <c r="Z413" s="101"/>
      <c r="AA413" s="101"/>
      <c r="AB413" s="101"/>
      <c r="AC413" s="101"/>
      <c r="AD413" s="101"/>
      <c r="AE413" s="101"/>
      <c r="AF413" s="101"/>
      <c r="AG413" s="191"/>
      <c r="AH413" s="101"/>
      <c r="AI413" s="101"/>
      <c r="AJ413" s="101"/>
      <c r="AK413" s="191"/>
      <c r="AL413" s="101"/>
      <c r="AM413" s="101"/>
      <c r="AN413" s="101"/>
    </row>
    <row r="414" spans="1:40" x14ac:dyDescent="0.3">
      <c r="L414" s="102"/>
      <c r="M414" s="102"/>
      <c r="N414" s="102"/>
      <c r="O414" s="102"/>
      <c r="R414" s="102"/>
      <c r="AA414" s="102"/>
      <c r="AB414" s="102"/>
      <c r="AC414" s="102"/>
      <c r="AD414" s="102"/>
      <c r="AE414" s="102"/>
      <c r="AF414" s="102"/>
      <c r="AG414" s="151"/>
      <c r="AH414" s="102"/>
      <c r="AK414" s="151"/>
      <c r="AL414" s="102"/>
      <c r="AM414" s="102"/>
      <c r="AN414" s="102"/>
    </row>
    <row r="415" spans="1:40" x14ac:dyDescent="0.3">
      <c r="L415" s="102"/>
      <c r="M415" s="102"/>
      <c r="N415" s="102"/>
      <c r="O415" s="102"/>
      <c r="R415" s="102"/>
      <c r="Z415" s="102"/>
      <c r="AA415" s="102"/>
      <c r="AB415" s="102"/>
      <c r="AC415" s="102"/>
      <c r="AD415" s="102"/>
      <c r="AE415" s="102"/>
      <c r="AF415" s="102"/>
      <c r="AG415" s="151"/>
      <c r="AH415" s="102"/>
      <c r="AK415" s="151"/>
      <c r="AL415" s="102"/>
      <c r="AM415" s="102"/>
      <c r="AN415" s="102"/>
    </row>
    <row r="416" spans="1:40" x14ac:dyDescent="0.3">
      <c r="A416" s="102"/>
      <c r="C416" s="102"/>
      <c r="D416" s="102"/>
      <c r="E416" s="102"/>
      <c r="F416" s="102"/>
      <c r="J416" s="102"/>
      <c r="K416" s="102"/>
      <c r="L416" s="102"/>
      <c r="M416" s="102"/>
      <c r="N416" s="102"/>
      <c r="O416" s="102"/>
      <c r="P416" s="102"/>
      <c r="Q416" s="102"/>
      <c r="R416" s="102"/>
      <c r="T416" s="102"/>
      <c r="U416" s="102"/>
      <c r="V416" s="102"/>
      <c r="Z416" s="102"/>
      <c r="AA416" s="102"/>
      <c r="AB416" s="102"/>
      <c r="AC416" s="102"/>
      <c r="AD416" s="102"/>
      <c r="AE416" s="102"/>
      <c r="AF416" s="102"/>
      <c r="AG416" s="151"/>
      <c r="AH416" s="102"/>
      <c r="AI416" s="102"/>
      <c r="AJ416" s="102"/>
      <c r="AK416" s="151"/>
      <c r="AL416" s="102"/>
      <c r="AM416" s="102"/>
      <c r="AN416" s="102"/>
    </row>
    <row r="417" spans="1:40" x14ac:dyDescent="0.3">
      <c r="A417" s="102"/>
      <c r="C417" s="102"/>
      <c r="D417" s="102"/>
      <c r="E417" s="102"/>
      <c r="F417" s="102"/>
      <c r="H417" s="102"/>
      <c r="I417" s="102"/>
      <c r="J417" s="102"/>
      <c r="K417" s="102"/>
      <c r="L417" s="102"/>
      <c r="M417" s="102"/>
      <c r="N417" s="102"/>
      <c r="O417" s="102"/>
      <c r="P417" s="102"/>
      <c r="Q417" s="102"/>
      <c r="R417" s="102"/>
      <c r="T417" s="102"/>
      <c r="U417" s="102"/>
      <c r="V417" s="102"/>
      <c r="Y417" s="102"/>
      <c r="Z417" s="102"/>
      <c r="AA417" s="102"/>
      <c r="AB417" s="102"/>
      <c r="AC417" s="102"/>
      <c r="AD417" s="102"/>
      <c r="AE417" s="102"/>
      <c r="AF417" s="102"/>
      <c r="AG417" s="151"/>
      <c r="AH417" s="102"/>
      <c r="AI417" s="102"/>
      <c r="AJ417" s="102"/>
      <c r="AK417" s="151"/>
      <c r="AL417" s="102"/>
      <c r="AM417" s="102"/>
      <c r="AN417" s="102"/>
    </row>
    <row r="418" spans="1:40" x14ac:dyDescent="0.3">
      <c r="C418" s="102"/>
      <c r="D418" s="102"/>
      <c r="E418" s="102"/>
      <c r="F418" s="102"/>
      <c r="H418" s="102"/>
      <c r="I418" s="102"/>
      <c r="J418" s="102"/>
      <c r="K418" s="102"/>
      <c r="L418" s="102"/>
      <c r="M418" s="102"/>
      <c r="N418" s="102"/>
      <c r="O418" s="102"/>
      <c r="P418" s="102"/>
      <c r="Q418" s="102"/>
      <c r="R418" s="102"/>
      <c r="T418" s="102"/>
      <c r="U418" s="102"/>
      <c r="V418" s="102"/>
      <c r="Y418" s="102"/>
      <c r="Z418" s="102"/>
      <c r="AA418" s="102"/>
      <c r="AB418" s="102"/>
      <c r="AC418" s="102"/>
      <c r="AD418" s="102"/>
      <c r="AE418" s="102"/>
      <c r="AF418" s="102"/>
      <c r="AG418" s="151"/>
      <c r="AH418" s="102"/>
      <c r="AI418" s="102"/>
      <c r="AJ418" s="102"/>
      <c r="AK418" s="151"/>
      <c r="AL418" s="102"/>
      <c r="AM418" s="102"/>
      <c r="AN418" s="102"/>
    </row>
    <row r="419" spans="1:40" x14ac:dyDescent="0.3">
      <c r="A419" s="101"/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T419" s="101"/>
      <c r="U419" s="101"/>
      <c r="V419" s="101"/>
      <c r="W419" s="101"/>
      <c r="X419" s="101"/>
      <c r="Y419" s="101"/>
      <c r="Z419" s="101"/>
      <c r="AA419" s="101"/>
      <c r="AB419" s="101"/>
      <c r="AC419" s="101"/>
      <c r="AD419" s="101"/>
      <c r="AE419" s="101"/>
      <c r="AF419" s="101"/>
      <c r="AG419" s="191"/>
      <c r="AH419" s="101"/>
      <c r="AI419" s="101"/>
      <c r="AJ419" s="101"/>
      <c r="AK419" s="191"/>
      <c r="AL419" s="101"/>
      <c r="AM419" s="101"/>
      <c r="AN419" s="101"/>
    </row>
    <row r="420" spans="1:40" x14ac:dyDescent="0.3">
      <c r="H420" s="102"/>
      <c r="I420" s="102"/>
      <c r="J420" s="102"/>
      <c r="K420" s="102"/>
      <c r="L420" s="102"/>
      <c r="M420" s="102"/>
      <c r="N420" s="102"/>
      <c r="O420" s="102"/>
      <c r="P420" s="102"/>
      <c r="Q420" s="102"/>
      <c r="R420" s="102"/>
      <c r="Y420" s="102"/>
      <c r="Z420" s="102"/>
      <c r="AA420" s="102"/>
      <c r="AB420" s="102"/>
      <c r="AC420" s="102"/>
      <c r="AD420" s="102"/>
      <c r="AE420" s="102"/>
      <c r="AF420" s="102"/>
      <c r="AG420" s="151"/>
      <c r="AH420" s="102"/>
      <c r="AI420" s="102"/>
      <c r="AJ420" s="102"/>
      <c r="AK420" s="151"/>
      <c r="AL420" s="102"/>
      <c r="AM420" s="102"/>
      <c r="AN420" s="102"/>
    </row>
    <row r="421" spans="1:40" x14ac:dyDescent="0.3">
      <c r="C421" s="99"/>
      <c r="D421" s="99"/>
      <c r="E421" s="99"/>
      <c r="T421" s="99"/>
      <c r="U421" s="99"/>
    </row>
    <row r="422" spans="1:40" x14ac:dyDescent="0.3">
      <c r="D422" s="99"/>
      <c r="E422" s="99"/>
      <c r="U422" s="99"/>
    </row>
    <row r="424" spans="1:40" x14ac:dyDescent="0.3">
      <c r="C424" s="99"/>
      <c r="F424" s="110"/>
      <c r="J424" s="209"/>
      <c r="K424" s="209"/>
      <c r="L424" s="110"/>
      <c r="M424" s="110"/>
      <c r="R424" s="110"/>
      <c r="T424" s="99"/>
      <c r="V424" s="110"/>
      <c r="Z424" s="209"/>
      <c r="AA424" s="110"/>
      <c r="AB424" s="110"/>
      <c r="AH424" s="110"/>
      <c r="AL424" s="110"/>
    </row>
    <row r="425" spans="1:40" x14ac:dyDescent="0.3">
      <c r="C425" s="99"/>
      <c r="F425" s="110"/>
      <c r="R425" s="110"/>
      <c r="T425" s="99"/>
      <c r="V425" s="110"/>
      <c r="AH425" s="110"/>
      <c r="AL425" s="110"/>
    </row>
    <row r="426" spans="1:40" x14ac:dyDescent="0.3">
      <c r="AI426" s="110"/>
      <c r="AJ426" s="110"/>
      <c r="AL426" s="110"/>
      <c r="AM426" s="141"/>
      <c r="AN426" s="141"/>
    </row>
    <row r="427" spans="1:40" x14ac:dyDescent="0.3">
      <c r="C427" s="99"/>
      <c r="F427" s="172"/>
      <c r="H427" s="172"/>
      <c r="I427" s="172"/>
      <c r="J427" s="227"/>
      <c r="K427" s="227"/>
      <c r="L427" s="110"/>
      <c r="M427" s="110"/>
      <c r="N427" s="141"/>
      <c r="O427" s="141"/>
      <c r="P427" s="110"/>
      <c r="Q427" s="110"/>
      <c r="R427" s="110"/>
      <c r="T427" s="99"/>
      <c r="V427" s="110"/>
      <c r="Y427" s="110"/>
      <c r="Z427" s="227"/>
      <c r="AA427" s="110"/>
      <c r="AB427" s="110"/>
      <c r="AC427" s="141"/>
      <c r="AD427" s="141"/>
      <c r="AE427" s="110"/>
      <c r="AF427" s="110"/>
      <c r="AH427" s="207"/>
      <c r="AI427" s="110"/>
      <c r="AJ427" s="110"/>
      <c r="AL427" s="110"/>
      <c r="AM427" s="141"/>
      <c r="AN427" s="141"/>
    </row>
    <row r="428" spans="1:40" x14ac:dyDescent="0.3">
      <c r="F428" s="110"/>
      <c r="H428" s="110"/>
      <c r="I428" s="110"/>
      <c r="J428" s="198"/>
      <c r="K428" s="198"/>
      <c r="L428" s="110"/>
      <c r="M428" s="110"/>
      <c r="P428" s="110"/>
      <c r="Q428" s="110"/>
      <c r="R428" s="110"/>
      <c r="V428" s="110"/>
      <c r="Y428" s="110"/>
      <c r="Z428" s="198"/>
      <c r="AA428" s="110"/>
      <c r="AB428" s="110"/>
      <c r="AI428" s="110"/>
      <c r="AJ428" s="110"/>
      <c r="AL428" s="110"/>
      <c r="AM428" s="141"/>
      <c r="AN428" s="141"/>
    </row>
    <row r="429" spans="1:40" x14ac:dyDescent="0.3">
      <c r="F429" s="110"/>
      <c r="R429" s="110"/>
      <c r="V429" s="110"/>
      <c r="AL429" s="110"/>
      <c r="AM429" s="141"/>
      <c r="AN429" s="141"/>
    </row>
    <row r="430" spans="1:40" x14ac:dyDescent="0.3">
      <c r="C430" s="99"/>
      <c r="F430" s="110"/>
      <c r="J430" s="209"/>
      <c r="K430" s="209"/>
      <c r="L430" s="110"/>
      <c r="M430" s="110"/>
      <c r="N430" s="141"/>
      <c r="O430" s="141"/>
      <c r="R430" s="110"/>
      <c r="T430" s="99"/>
      <c r="V430" s="110"/>
      <c r="Z430" s="209"/>
      <c r="AA430" s="110"/>
      <c r="AB430" s="110"/>
      <c r="AC430" s="141"/>
      <c r="AD430" s="141"/>
      <c r="AL430" s="110"/>
      <c r="AM430" s="141"/>
      <c r="AN430" s="141"/>
    </row>
    <row r="431" spans="1:40" x14ac:dyDescent="0.3">
      <c r="C431" s="99"/>
      <c r="F431" s="110"/>
      <c r="H431" s="110"/>
      <c r="I431" s="110"/>
      <c r="J431" s="209"/>
      <c r="K431" s="209"/>
      <c r="L431" s="110"/>
      <c r="M431" s="110"/>
      <c r="N431" s="141"/>
      <c r="O431" s="141"/>
      <c r="P431" s="110"/>
      <c r="Q431" s="110"/>
      <c r="R431" s="110"/>
      <c r="T431" s="99"/>
      <c r="V431" s="110"/>
      <c r="Y431" s="110"/>
      <c r="Z431" s="209"/>
      <c r="AA431" s="110"/>
      <c r="AB431" s="110"/>
      <c r="AC431" s="141"/>
      <c r="AD431" s="141"/>
      <c r="AI431" s="110"/>
      <c r="AJ431" s="110"/>
      <c r="AL431" s="110"/>
      <c r="AM431" s="141"/>
      <c r="AN431" s="141"/>
    </row>
    <row r="432" spans="1:40" x14ac:dyDescent="0.3">
      <c r="C432" s="99"/>
      <c r="T432" s="99"/>
      <c r="AM432" s="141"/>
      <c r="AN432" s="141"/>
    </row>
    <row r="433" spans="1:40" x14ac:dyDescent="0.3">
      <c r="C433" s="99"/>
      <c r="T433" s="99"/>
      <c r="AM433" s="141"/>
      <c r="AN433" s="141"/>
    </row>
    <row r="434" spans="1:40" x14ac:dyDescent="0.3">
      <c r="AM434" s="141"/>
      <c r="AN434" s="141"/>
    </row>
    <row r="435" spans="1:40" x14ac:dyDescent="0.3">
      <c r="C435" s="99"/>
      <c r="F435" s="172"/>
      <c r="H435" s="172"/>
      <c r="I435" s="172"/>
      <c r="J435" s="227"/>
      <c r="K435" s="227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7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1:40" x14ac:dyDescent="0.3">
      <c r="F436" s="192"/>
      <c r="H436" s="192"/>
      <c r="I436" s="192"/>
      <c r="J436" s="217"/>
      <c r="K436" s="217"/>
      <c r="L436" s="192"/>
      <c r="M436" s="192"/>
      <c r="N436" s="192"/>
      <c r="O436" s="192"/>
      <c r="P436" s="192"/>
      <c r="Q436" s="192"/>
      <c r="R436" s="192"/>
      <c r="V436" s="192"/>
      <c r="Y436" s="192"/>
      <c r="Z436" s="217"/>
      <c r="AA436" s="192"/>
      <c r="AB436" s="192"/>
      <c r="AC436" s="192"/>
      <c r="AD436" s="192"/>
      <c r="AE436" s="192"/>
      <c r="AF436" s="192"/>
      <c r="AI436" s="192"/>
      <c r="AJ436" s="192"/>
      <c r="AK436" s="194"/>
      <c r="AL436" s="192"/>
      <c r="AM436" s="141"/>
      <c r="AN436" s="141"/>
    </row>
    <row r="437" spans="1:40" x14ac:dyDescent="0.3">
      <c r="H437" s="110"/>
      <c r="I437" s="110"/>
      <c r="Y437" s="110"/>
      <c r="AM437" s="141"/>
      <c r="AN437" s="141"/>
    </row>
    <row r="438" spans="1:40" x14ac:dyDescent="0.3">
      <c r="C438" s="99"/>
      <c r="F438" s="110"/>
      <c r="H438" s="110"/>
      <c r="I438" s="110"/>
      <c r="L438" s="110"/>
      <c r="M438" s="110"/>
      <c r="N438" s="141"/>
      <c r="O438" s="141"/>
      <c r="P438" s="172"/>
      <c r="Q438" s="172"/>
      <c r="R438" s="110"/>
      <c r="T438" s="99"/>
      <c r="V438" s="110"/>
      <c r="Y438" s="110"/>
      <c r="AA438" s="110"/>
      <c r="AB438" s="110"/>
      <c r="AC438" s="141"/>
      <c r="AD438" s="141"/>
      <c r="AE438" s="110"/>
      <c r="AF438" s="110"/>
      <c r="AH438" s="207"/>
      <c r="AI438" s="172"/>
      <c r="AJ438" s="172"/>
      <c r="AL438" s="110"/>
      <c r="AM438" s="141"/>
      <c r="AN438" s="141"/>
    </row>
    <row r="439" spans="1:40" x14ac:dyDescent="0.3">
      <c r="H439" s="192"/>
      <c r="I439" s="192"/>
      <c r="J439" s="217"/>
      <c r="K439" s="217"/>
      <c r="L439" s="192"/>
      <c r="M439" s="192"/>
      <c r="N439" s="192"/>
      <c r="O439" s="192"/>
      <c r="P439" s="192"/>
      <c r="Q439" s="192"/>
      <c r="R439" s="192"/>
      <c r="V439" s="192"/>
      <c r="Y439" s="192"/>
      <c r="Z439" s="217"/>
      <c r="AA439" s="192"/>
      <c r="AB439" s="192"/>
      <c r="AC439" s="192"/>
      <c r="AD439" s="192"/>
      <c r="AE439" s="192"/>
      <c r="AF439" s="192"/>
      <c r="AI439" s="192"/>
      <c r="AJ439" s="192"/>
      <c r="AK439" s="194"/>
      <c r="AL439" s="192"/>
      <c r="AM439" s="141"/>
      <c r="AN439" s="141"/>
    </row>
    <row r="440" spans="1:40" x14ac:dyDescent="0.3">
      <c r="F440" s="192"/>
    </row>
    <row r="441" spans="1:40" x14ac:dyDescent="0.3">
      <c r="F441" s="110"/>
      <c r="H441" s="110"/>
      <c r="I441" s="110"/>
      <c r="J441" s="198"/>
      <c r="K441" s="198"/>
      <c r="L441" s="110"/>
      <c r="M441" s="110"/>
      <c r="N441" s="110"/>
      <c r="O441" s="110"/>
      <c r="P441" s="110"/>
      <c r="Q441" s="110"/>
      <c r="R441" s="110"/>
      <c r="V441" s="110"/>
      <c r="Y441" s="110"/>
      <c r="Z441" s="198"/>
      <c r="AA441" s="110"/>
      <c r="AB441" s="110"/>
      <c r="AC441" s="110"/>
      <c r="AD441" s="110"/>
      <c r="AE441" s="110"/>
      <c r="AF441" s="110"/>
      <c r="AH441" s="110"/>
      <c r="AI441" s="110"/>
      <c r="AJ441" s="110"/>
      <c r="AL441" s="110"/>
    </row>
    <row r="442" spans="1:40" x14ac:dyDescent="0.3">
      <c r="A442" s="99"/>
    </row>
    <row r="444" spans="1:40" x14ac:dyDescent="0.3">
      <c r="H444" s="99"/>
      <c r="I444" s="99"/>
      <c r="Y444" s="99"/>
    </row>
    <row r="446" spans="1:40" x14ac:dyDescent="0.3">
      <c r="L446" s="99"/>
      <c r="M446" s="99"/>
      <c r="AA446" s="99"/>
      <c r="AB446" s="99"/>
    </row>
    <row r="447" spans="1:40" x14ac:dyDescent="0.3">
      <c r="R447" s="99"/>
      <c r="AK447" s="190"/>
      <c r="AL447" s="99"/>
    </row>
    <row r="448" spans="1:40" x14ac:dyDescent="0.3">
      <c r="R448" s="99"/>
      <c r="AK448" s="190"/>
      <c r="AL448" s="99"/>
    </row>
    <row r="449" spans="1:40" x14ac:dyDescent="0.3">
      <c r="A449" s="99"/>
      <c r="R449" s="99"/>
      <c r="AK449" s="190"/>
      <c r="AL449" s="99"/>
    </row>
    <row r="450" spans="1:40" x14ac:dyDescent="0.3">
      <c r="L450" s="99"/>
      <c r="M450" s="99"/>
      <c r="AA450" s="99"/>
      <c r="AB450" s="99"/>
    </row>
    <row r="451" spans="1:40" x14ac:dyDescent="0.3">
      <c r="A451" s="101"/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T451" s="101"/>
      <c r="U451" s="101"/>
      <c r="V451" s="101"/>
      <c r="W451" s="101"/>
      <c r="X451" s="101"/>
      <c r="Y451" s="101"/>
      <c r="Z451" s="101"/>
      <c r="AA451" s="101"/>
      <c r="AB451" s="101"/>
      <c r="AC451" s="101"/>
      <c r="AD451" s="101"/>
      <c r="AE451" s="101"/>
      <c r="AF451" s="101"/>
      <c r="AG451" s="191"/>
      <c r="AH451" s="101"/>
      <c r="AI451" s="101"/>
      <c r="AJ451" s="101"/>
      <c r="AK451" s="191"/>
      <c r="AL451" s="101"/>
      <c r="AM451" s="101"/>
      <c r="AN451" s="101"/>
    </row>
    <row r="452" spans="1:40" x14ac:dyDescent="0.3">
      <c r="L452" s="102"/>
      <c r="M452" s="102"/>
      <c r="N452" s="102"/>
      <c r="O452" s="102"/>
      <c r="R452" s="102"/>
      <c r="AA452" s="102"/>
      <c r="AB452" s="102"/>
      <c r="AC452" s="102"/>
      <c r="AD452" s="102"/>
      <c r="AE452" s="102"/>
      <c r="AF452" s="102"/>
      <c r="AG452" s="151"/>
      <c r="AH452" s="102"/>
      <c r="AK452" s="151"/>
      <c r="AL452" s="102"/>
      <c r="AM452" s="102"/>
      <c r="AN452" s="102"/>
    </row>
    <row r="453" spans="1:40" x14ac:dyDescent="0.3">
      <c r="L453" s="102"/>
      <c r="M453" s="102"/>
      <c r="N453" s="102"/>
      <c r="O453" s="102"/>
      <c r="R453" s="102"/>
      <c r="Z453" s="102"/>
      <c r="AA453" s="102"/>
      <c r="AB453" s="102"/>
      <c r="AC453" s="102"/>
      <c r="AD453" s="102"/>
      <c r="AE453" s="102"/>
      <c r="AF453" s="102"/>
      <c r="AG453" s="151"/>
      <c r="AH453" s="102"/>
      <c r="AK453" s="151"/>
      <c r="AL453" s="102"/>
      <c r="AM453" s="102"/>
      <c r="AN453" s="102"/>
    </row>
    <row r="454" spans="1:40" x14ac:dyDescent="0.3">
      <c r="A454" s="102"/>
      <c r="C454" s="102"/>
      <c r="D454" s="102"/>
      <c r="E454" s="102"/>
      <c r="F454" s="102"/>
      <c r="J454" s="102"/>
      <c r="K454" s="102"/>
      <c r="L454" s="102"/>
      <c r="M454" s="102"/>
      <c r="N454" s="102"/>
      <c r="O454" s="102"/>
      <c r="P454" s="102"/>
      <c r="Q454" s="102"/>
      <c r="R454" s="102"/>
      <c r="T454" s="102"/>
      <c r="U454" s="102"/>
      <c r="V454" s="102"/>
      <c r="Z454" s="102"/>
      <c r="AA454" s="102"/>
      <c r="AB454" s="102"/>
      <c r="AC454" s="102"/>
      <c r="AD454" s="102"/>
      <c r="AE454" s="102"/>
      <c r="AF454" s="102"/>
      <c r="AG454" s="151"/>
      <c r="AH454" s="102"/>
      <c r="AI454" s="102"/>
      <c r="AJ454" s="102"/>
      <c r="AK454" s="151"/>
      <c r="AL454" s="102"/>
      <c r="AM454" s="102"/>
      <c r="AN454" s="102"/>
    </row>
    <row r="455" spans="1:40" x14ac:dyDescent="0.3">
      <c r="A455" s="102"/>
      <c r="C455" s="102"/>
      <c r="D455" s="102"/>
      <c r="E455" s="102"/>
      <c r="F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T455" s="102"/>
      <c r="U455" s="102"/>
      <c r="V455" s="102"/>
      <c r="Y455" s="102"/>
      <c r="Z455" s="102"/>
      <c r="AA455" s="102"/>
      <c r="AB455" s="102"/>
      <c r="AC455" s="102"/>
      <c r="AD455" s="102"/>
      <c r="AE455" s="102"/>
      <c r="AF455" s="102"/>
      <c r="AG455" s="151"/>
      <c r="AH455" s="102"/>
      <c r="AI455" s="102"/>
      <c r="AJ455" s="102"/>
      <c r="AK455" s="151"/>
      <c r="AL455" s="102"/>
      <c r="AM455" s="102"/>
      <c r="AN455" s="102"/>
    </row>
    <row r="456" spans="1:40" x14ac:dyDescent="0.3">
      <c r="C456" s="102"/>
      <c r="D456" s="102"/>
      <c r="E456" s="102"/>
      <c r="F456" s="102"/>
      <c r="H456" s="102"/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T456" s="102"/>
      <c r="U456" s="102"/>
      <c r="V456" s="102"/>
      <c r="Y456" s="102"/>
      <c r="Z456" s="102"/>
      <c r="AA456" s="102"/>
      <c r="AB456" s="102"/>
      <c r="AC456" s="102"/>
      <c r="AD456" s="102"/>
      <c r="AE456" s="102"/>
      <c r="AF456" s="102"/>
      <c r="AG456" s="151"/>
      <c r="AH456" s="102"/>
      <c r="AI456" s="102"/>
      <c r="AJ456" s="102"/>
      <c r="AK456" s="151"/>
      <c r="AL456" s="102"/>
      <c r="AM456" s="102"/>
      <c r="AN456" s="102"/>
    </row>
    <row r="457" spans="1:40" x14ac:dyDescent="0.3">
      <c r="A457" s="101"/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/>
      <c r="AD457" s="101"/>
      <c r="AE457" s="101"/>
      <c r="AF457" s="101"/>
      <c r="AG457" s="191"/>
      <c r="AH457" s="101"/>
      <c r="AI457" s="101"/>
      <c r="AJ457" s="101"/>
      <c r="AK457" s="191"/>
      <c r="AL457" s="101"/>
      <c r="AM457" s="101"/>
      <c r="AN457" s="101"/>
    </row>
    <row r="458" spans="1:40" x14ac:dyDescent="0.3">
      <c r="H458" s="102"/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Y458" s="102"/>
      <c r="Z458" s="102"/>
      <c r="AA458" s="102"/>
      <c r="AB458" s="102"/>
      <c r="AC458" s="102"/>
      <c r="AD458" s="102"/>
      <c r="AE458" s="102"/>
      <c r="AF458" s="102"/>
      <c r="AG458" s="151"/>
      <c r="AH458" s="102"/>
      <c r="AI458" s="102"/>
      <c r="AJ458" s="102"/>
      <c r="AK458" s="151"/>
      <c r="AL458" s="102"/>
      <c r="AM458" s="102"/>
      <c r="AN458" s="102"/>
    </row>
    <row r="459" spans="1:40" x14ac:dyDescent="0.3">
      <c r="C459" s="99"/>
      <c r="D459" s="99"/>
      <c r="E459" s="99"/>
      <c r="T459" s="99"/>
      <c r="U459" s="99"/>
      <c r="V459" s="110"/>
      <c r="W459" s="110"/>
      <c r="X459" s="110"/>
      <c r="Y459" s="110"/>
      <c r="Z459" s="227"/>
    </row>
    <row r="461" spans="1:40" x14ac:dyDescent="0.3">
      <c r="C461" s="99"/>
      <c r="T461" s="99"/>
      <c r="V461" s="110"/>
      <c r="W461" s="110"/>
      <c r="X461" s="110"/>
      <c r="Y461" s="110"/>
      <c r="Z461" s="227"/>
    </row>
    <row r="462" spans="1:40" x14ac:dyDescent="0.3">
      <c r="C462" s="99"/>
      <c r="F462" s="172"/>
      <c r="H462" s="172"/>
      <c r="I462" s="172"/>
      <c r="J462" s="228"/>
      <c r="K462" s="228"/>
      <c r="L462" s="110"/>
      <c r="M462" s="110"/>
      <c r="N462" s="141"/>
      <c r="O462" s="141"/>
      <c r="P462" s="110"/>
      <c r="Q462" s="110"/>
      <c r="R462" s="110"/>
      <c r="T462" s="99"/>
      <c r="V462" s="110"/>
      <c r="W462" s="110"/>
      <c r="X462" s="110"/>
      <c r="Y462" s="110"/>
      <c r="Z462" s="228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141"/>
      <c r="AN462" s="141"/>
    </row>
    <row r="463" spans="1:40" x14ac:dyDescent="0.3">
      <c r="C463" s="99"/>
      <c r="F463" s="172"/>
      <c r="H463" s="172"/>
      <c r="I463" s="172"/>
      <c r="J463" s="228"/>
      <c r="K463" s="228"/>
      <c r="L463" s="110"/>
      <c r="M463" s="110"/>
      <c r="N463" s="141"/>
      <c r="O463" s="141"/>
      <c r="P463" s="110"/>
      <c r="Q463" s="110"/>
      <c r="R463" s="110"/>
      <c r="T463" s="99"/>
      <c r="V463" s="110"/>
      <c r="W463" s="110"/>
      <c r="X463" s="110"/>
      <c r="Y463" s="110"/>
      <c r="Z463" s="228"/>
      <c r="AA463" s="110"/>
      <c r="AB463" s="110"/>
      <c r="AC463" s="141"/>
      <c r="AD463" s="141"/>
      <c r="AE463" s="110"/>
      <c r="AF463" s="110"/>
      <c r="AH463" s="207"/>
      <c r="AI463" s="110"/>
      <c r="AJ463" s="110"/>
      <c r="AL463" s="110"/>
      <c r="AM463" s="141"/>
      <c r="AN463" s="141"/>
    </row>
    <row r="464" spans="1:40" x14ac:dyDescent="0.3">
      <c r="C464" s="99"/>
      <c r="F464" s="172"/>
      <c r="H464" s="172"/>
      <c r="I464" s="172"/>
      <c r="J464" s="228"/>
      <c r="K464" s="228"/>
      <c r="L464" s="110"/>
      <c r="M464" s="110"/>
      <c r="N464" s="141"/>
      <c r="O464" s="141"/>
      <c r="P464" s="110"/>
      <c r="Q464" s="110"/>
      <c r="R464" s="110"/>
      <c r="T464" s="99"/>
      <c r="V464" s="110"/>
      <c r="W464" s="110"/>
      <c r="X464" s="110"/>
      <c r="Y464" s="110"/>
      <c r="Z464" s="228"/>
      <c r="AA464" s="110"/>
      <c r="AB464" s="110"/>
      <c r="AC464" s="141"/>
      <c r="AD464" s="141"/>
      <c r="AE464" s="110"/>
      <c r="AF464" s="110"/>
      <c r="AH464" s="207"/>
      <c r="AI464" s="110"/>
      <c r="AJ464" s="110"/>
      <c r="AL464" s="110"/>
      <c r="AM464" s="141"/>
      <c r="AN464" s="141"/>
    </row>
    <row r="465" spans="1:40" x14ac:dyDescent="0.3">
      <c r="C465" s="99"/>
      <c r="F465" s="172"/>
      <c r="H465" s="172"/>
      <c r="I465" s="172"/>
      <c r="J465" s="228"/>
      <c r="K465" s="228"/>
      <c r="L465" s="110"/>
      <c r="M465" s="110"/>
      <c r="N465" s="141"/>
      <c r="O465" s="141"/>
      <c r="P465" s="110"/>
      <c r="Q465" s="110"/>
      <c r="R465" s="110"/>
      <c r="T465" s="99"/>
      <c r="V465" s="110"/>
      <c r="W465" s="110"/>
      <c r="X465" s="110"/>
      <c r="Y465" s="110"/>
      <c r="Z465" s="228"/>
      <c r="AA465" s="110"/>
      <c r="AB465" s="110"/>
      <c r="AC465" s="141"/>
      <c r="AD465" s="141"/>
      <c r="AE465" s="110"/>
      <c r="AF465" s="110"/>
      <c r="AH465" s="207"/>
      <c r="AI465" s="110"/>
      <c r="AJ465" s="110"/>
      <c r="AL465" s="110"/>
      <c r="AM465" s="141"/>
      <c r="AN465" s="141"/>
    </row>
    <row r="466" spans="1:40" x14ac:dyDescent="0.3">
      <c r="J466" s="163"/>
      <c r="K466" s="163"/>
      <c r="V466" s="110"/>
      <c r="W466" s="110"/>
      <c r="X466" s="110"/>
      <c r="Y466" s="110"/>
      <c r="Z466" s="228"/>
    </row>
    <row r="467" spans="1:40" x14ac:dyDescent="0.3">
      <c r="C467" s="99"/>
      <c r="F467" s="172"/>
      <c r="H467" s="172"/>
      <c r="I467" s="172"/>
      <c r="J467" s="228"/>
      <c r="K467" s="228"/>
      <c r="L467" s="110"/>
      <c r="M467" s="110"/>
      <c r="N467" s="141"/>
      <c r="O467" s="141"/>
      <c r="P467" s="110"/>
      <c r="Q467" s="110"/>
      <c r="R467" s="110"/>
      <c r="T467" s="99"/>
      <c r="V467" s="110"/>
      <c r="W467" s="110"/>
      <c r="X467" s="110"/>
      <c r="Y467" s="110"/>
      <c r="Z467" s="228"/>
      <c r="AA467" s="110"/>
      <c r="AB467" s="110"/>
      <c r="AC467" s="141"/>
      <c r="AD467" s="141"/>
      <c r="AE467" s="110"/>
      <c r="AF467" s="110"/>
      <c r="AH467" s="207"/>
      <c r="AI467" s="110"/>
      <c r="AJ467" s="110"/>
      <c r="AL467" s="110"/>
      <c r="AM467" s="207"/>
      <c r="AN467" s="207"/>
    </row>
    <row r="468" spans="1:40" x14ac:dyDescent="0.3">
      <c r="C468" s="99"/>
      <c r="J468" s="163"/>
      <c r="K468" s="163"/>
      <c r="T468" s="99"/>
      <c r="V468" s="110"/>
      <c r="W468" s="110"/>
      <c r="X468" s="110"/>
      <c r="Y468" s="110"/>
      <c r="Z468" s="228"/>
    </row>
    <row r="469" spans="1:40" x14ac:dyDescent="0.3">
      <c r="C469" s="99"/>
      <c r="F469" s="172"/>
      <c r="H469" s="172"/>
      <c r="I469" s="172"/>
      <c r="J469" s="228"/>
      <c r="K469" s="228"/>
      <c r="L469" s="110"/>
      <c r="M469" s="110"/>
      <c r="N469" s="141"/>
      <c r="O469" s="141"/>
      <c r="P469" s="110"/>
      <c r="Q469" s="110"/>
      <c r="R469" s="110"/>
      <c r="T469" s="99"/>
      <c r="V469" s="110"/>
      <c r="W469" s="110"/>
      <c r="X469" s="110"/>
      <c r="Y469" s="110"/>
      <c r="Z469" s="228"/>
      <c r="AA469" s="110"/>
      <c r="AB469" s="110"/>
      <c r="AC469" s="141"/>
      <c r="AD469" s="141"/>
      <c r="AE469" s="110"/>
      <c r="AF469" s="110"/>
      <c r="AH469" s="207"/>
      <c r="AI469" s="110"/>
      <c r="AJ469" s="110"/>
      <c r="AL469" s="110"/>
      <c r="AM469" s="207"/>
      <c r="AN469" s="207"/>
    </row>
    <row r="470" spans="1:40" x14ac:dyDescent="0.3">
      <c r="J470" s="163"/>
      <c r="K470" s="163"/>
      <c r="Z470" s="163"/>
    </row>
    <row r="471" spans="1:40" x14ac:dyDescent="0.3">
      <c r="C471" s="99"/>
      <c r="J471" s="163"/>
      <c r="K471" s="163"/>
      <c r="T471" s="99"/>
      <c r="V471" s="110"/>
      <c r="W471" s="110"/>
      <c r="X471" s="110"/>
      <c r="Y471" s="110"/>
      <c r="Z471" s="228"/>
    </row>
    <row r="472" spans="1:40" x14ac:dyDescent="0.3">
      <c r="C472" s="99"/>
      <c r="F472" s="172"/>
      <c r="H472" s="172"/>
      <c r="I472" s="172"/>
      <c r="J472" s="228"/>
      <c r="K472" s="228"/>
      <c r="L472" s="110"/>
      <c r="M472" s="110"/>
      <c r="N472" s="141"/>
      <c r="O472" s="141"/>
      <c r="P472" s="110"/>
      <c r="Q472" s="110"/>
      <c r="R472" s="110"/>
      <c r="T472" s="99"/>
      <c r="V472" s="110"/>
      <c r="W472" s="110"/>
      <c r="X472" s="110"/>
      <c r="Y472" s="110"/>
      <c r="Z472" s="228"/>
      <c r="AA472" s="110"/>
      <c r="AB472" s="110"/>
      <c r="AC472" s="141"/>
      <c r="AD472" s="141"/>
      <c r="AE472" s="110"/>
      <c r="AF472" s="110"/>
      <c r="AH472" s="207"/>
      <c r="AI472" s="110"/>
      <c r="AJ472" s="110"/>
      <c r="AL472" s="110"/>
      <c r="AM472" s="207"/>
      <c r="AN472" s="207"/>
    </row>
    <row r="473" spans="1:40" x14ac:dyDescent="0.3">
      <c r="C473" s="99"/>
      <c r="F473" s="172"/>
      <c r="H473" s="172"/>
      <c r="I473" s="172"/>
      <c r="J473" s="228"/>
      <c r="K473" s="228"/>
      <c r="L473" s="110"/>
      <c r="M473" s="110"/>
      <c r="N473" s="141"/>
      <c r="O473" s="141"/>
      <c r="P473" s="110"/>
      <c r="Q473" s="110"/>
      <c r="R473" s="110"/>
      <c r="T473" s="99"/>
      <c r="V473" s="110"/>
      <c r="W473" s="110"/>
      <c r="X473" s="110"/>
      <c r="Y473" s="110"/>
      <c r="Z473" s="228"/>
      <c r="AA473" s="110"/>
      <c r="AB473" s="110"/>
      <c r="AC473" s="141"/>
      <c r="AD473" s="141"/>
      <c r="AE473" s="110"/>
      <c r="AF473" s="110"/>
      <c r="AH473" s="207"/>
      <c r="AI473" s="110"/>
      <c r="AJ473" s="110"/>
      <c r="AL473" s="110"/>
      <c r="AM473" s="207"/>
      <c r="AN473" s="207"/>
    </row>
    <row r="474" spans="1:40" x14ac:dyDescent="0.3">
      <c r="F474" s="192"/>
      <c r="H474" s="192"/>
      <c r="I474" s="192"/>
      <c r="J474" s="228"/>
      <c r="K474" s="228"/>
      <c r="L474" s="192"/>
      <c r="M474" s="192"/>
      <c r="N474" s="192"/>
      <c r="O474" s="192"/>
      <c r="P474" s="192"/>
      <c r="Q474" s="192"/>
      <c r="R474" s="192"/>
      <c r="V474" s="192"/>
      <c r="Y474" s="192"/>
      <c r="Z474" s="217"/>
      <c r="AA474" s="192"/>
      <c r="AB474" s="192"/>
      <c r="AC474" s="192"/>
      <c r="AD474" s="192"/>
      <c r="AE474" s="192"/>
      <c r="AF474" s="192"/>
      <c r="AI474" s="192"/>
      <c r="AJ474" s="192"/>
      <c r="AK474" s="194"/>
      <c r="AL474" s="192"/>
    </row>
    <row r="475" spans="1:40" x14ac:dyDescent="0.3">
      <c r="C475" s="99"/>
      <c r="F475" s="110"/>
      <c r="H475" s="110"/>
      <c r="I475" s="110"/>
      <c r="L475" s="110"/>
      <c r="M475" s="110"/>
      <c r="N475" s="141"/>
      <c r="O475" s="141"/>
      <c r="P475" s="172"/>
      <c r="Q475" s="172"/>
      <c r="R475" s="110"/>
      <c r="T475" s="99"/>
      <c r="V475" s="110"/>
      <c r="W475" s="110"/>
      <c r="X475" s="110"/>
      <c r="Y475" s="110"/>
      <c r="Z475" s="227"/>
      <c r="AA475" s="110"/>
      <c r="AB475" s="110"/>
      <c r="AC475" s="141"/>
      <c r="AD475" s="141"/>
      <c r="AE475" s="110"/>
      <c r="AF475" s="110"/>
      <c r="AH475" s="207"/>
      <c r="AI475" s="172"/>
      <c r="AJ475" s="172"/>
      <c r="AL475" s="110"/>
      <c r="AM475" s="207"/>
      <c r="AN475" s="207"/>
    </row>
    <row r="476" spans="1:40" x14ac:dyDescent="0.3">
      <c r="H476" s="192"/>
      <c r="I476" s="192"/>
      <c r="J476" s="217"/>
      <c r="K476" s="217"/>
      <c r="L476" s="192"/>
      <c r="M476" s="192"/>
      <c r="N476" s="192"/>
      <c r="O476" s="192"/>
      <c r="P476" s="192"/>
      <c r="Q476" s="192"/>
      <c r="R476" s="192"/>
      <c r="V476" s="192"/>
      <c r="Y476" s="192"/>
      <c r="Z476" s="217"/>
      <c r="AA476" s="192"/>
      <c r="AB476" s="192"/>
      <c r="AC476" s="192"/>
      <c r="AD476" s="192"/>
      <c r="AE476" s="192"/>
      <c r="AF476" s="192"/>
      <c r="AI476" s="192"/>
      <c r="AJ476" s="192"/>
      <c r="AK476" s="194"/>
      <c r="AL476" s="192"/>
    </row>
    <row r="477" spans="1:40" x14ac:dyDescent="0.3">
      <c r="F477" s="192"/>
    </row>
    <row r="479" spans="1:40" x14ac:dyDescent="0.3">
      <c r="A479" s="99"/>
    </row>
    <row r="481" spans="1:40" x14ac:dyDescent="0.3">
      <c r="H481" s="99"/>
      <c r="I481" s="99"/>
      <c r="Y481" s="99"/>
    </row>
    <row r="483" spans="1:40" x14ac:dyDescent="0.3">
      <c r="L483" s="99"/>
      <c r="M483" s="99"/>
      <c r="AA483" s="99"/>
      <c r="AB483" s="99"/>
    </row>
    <row r="484" spans="1:40" x14ac:dyDescent="0.3">
      <c r="R484" s="99"/>
      <c r="AK484" s="190"/>
      <c r="AL484" s="99"/>
    </row>
    <row r="485" spans="1:40" x14ac:dyDescent="0.3">
      <c r="R485" s="99"/>
      <c r="AK485" s="190"/>
      <c r="AL485" s="99"/>
    </row>
    <row r="486" spans="1:40" x14ac:dyDescent="0.3">
      <c r="A486" s="99"/>
      <c r="R486" s="99"/>
      <c r="AK486" s="190"/>
      <c r="AL486" s="99"/>
    </row>
    <row r="487" spans="1:40" x14ac:dyDescent="0.3">
      <c r="L487" s="99"/>
      <c r="M487" s="99"/>
      <c r="AA487" s="99"/>
      <c r="AB487" s="99"/>
    </row>
    <row r="488" spans="1:40" x14ac:dyDescent="0.3">
      <c r="A488" s="101"/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T488" s="101"/>
      <c r="U488" s="101"/>
      <c r="V488" s="101"/>
      <c r="W488" s="101"/>
      <c r="X488" s="101"/>
      <c r="Y488" s="101"/>
      <c r="Z488" s="101"/>
      <c r="AA488" s="101"/>
      <c r="AB488" s="101"/>
      <c r="AC488" s="101"/>
      <c r="AD488" s="101"/>
      <c r="AE488" s="101"/>
      <c r="AF488" s="101"/>
      <c r="AG488" s="191"/>
      <c r="AH488" s="101"/>
      <c r="AI488" s="101"/>
      <c r="AJ488" s="101"/>
      <c r="AK488" s="191"/>
      <c r="AL488" s="101"/>
      <c r="AM488" s="101"/>
      <c r="AN488" s="101"/>
    </row>
    <row r="489" spans="1:40" x14ac:dyDescent="0.3">
      <c r="L489" s="102"/>
      <c r="M489" s="102"/>
      <c r="N489" s="102"/>
      <c r="O489" s="102"/>
      <c r="R489" s="102"/>
      <c r="AA489" s="102"/>
      <c r="AB489" s="102"/>
      <c r="AC489" s="102"/>
      <c r="AD489" s="102"/>
      <c r="AE489" s="102"/>
      <c r="AF489" s="102"/>
      <c r="AG489" s="151"/>
      <c r="AH489" s="102"/>
      <c r="AK489" s="151"/>
      <c r="AL489" s="102"/>
      <c r="AM489" s="102"/>
      <c r="AN489" s="102"/>
    </row>
    <row r="490" spans="1:40" x14ac:dyDescent="0.3">
      <c r="L490" s="102"/>
      <c r="M490" s="102"/>
      <c r="N490" s="102"/>
      <c r="O490" s="102"/>
      <c r="R490" s="102"/>
      <c r="Z490" s="102"/>
      <c r="AA490" s="102"/>
      <c r="AB490" s="102"/>
      <c r="AC490" s="102"/>
      <c r="AD490" s="102"/>
      <c r="AE490" s="102"/>
      <c r="AF490" s="102"/>
      <c r="AG490" s="151"/>
      <c r="AH490" s="102"/>
      <c r="AK490" s="151"/>
      <c r="AL490" s="102"/>
      <c r="AM490" s="102"/>
      <c r="AN490" s="102"/>
    </row>
    <row r="491" spans="1:40" x14ac:dyDescent="0.3">
      <c r="A491" s="102"/>
      <c r="C491" s="102"/>
      <c r="D491" s="102"/>
      <c r="E491" s="102"/>
      <c r="F491" s="102"/>
      <c r="J491" s="102"/>
      <c r="K491" s="102"/>
      <c r="L491" s="102"/>
      <c r="M491" s="102"/>
      <c r="N491" s="102"/>
      <c r="O491" s="102"/>
      <c r="P491" s="102"/>
      <c r="Q491" s="102"/>
      <c r="R491" s="102"/>
      <c r="T491" s="102"/>
      <c r="U491" s="102"/>
      <c r="V491" s="102"/>
      <c r="Z491" s="102"/>
      <c r="AA491" s="102"/>
      <c r="AB491" s="102"/>
      <c r="AC491" s="102"/>
      <c r="AD491" s="102"/>
      <c r="AE491" s="102"/>
      <c r="AF491" s="102"/>
      <c r="AG491" s="151"/>
      <c r="AH491" s="102"/>
      <c r="AI491" s="102"/>
      <c r="AJ491" s="102"/>
      <c r="AK491" s="151"/>
      <c r="AL491" s="102"/>
      <c r="AM491" s="102"/>
      <c r="AN491" s="102"/>
    </row>
    <row r="492" spans="1:40" x14ac:dyDescent="0.3">
      <c r="A492" s="102"/>
      <c r="C492" s="102"/>
      <c r="D492" s="102"/>
      <c r="E492" s="102"/>
      <c r="F492" s="102"/>
      <c r="H492" s="102"/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T492" s="102"/>
      <c r="U492" s="102"/>
      <c r="V492" s="102"/>
      <c r="Y492" s="102"/>
      <c r="Z492" s="102"/>
      <c r="AA492" s="102"/>
      <c r="AB492" s="102"/>
      <c r="AC492" s="102"/>
      <c r="AD492" s="102"/>
      <c r="AE492" s="102"/>
      <c r="AF492" s="102"/>
      <c r="AG492" s="151"/>
      <c r="AH492" s="102"/>
      <c r="AI492" s="102"/>
      <c r="AJ492" s="102"/>
      <c r="AK492" s="151"/>
      <c r="AL492" s="102"/>
      <c r="AM492" s="102"/>
      <c r="AN492" s="102"/>
    </row>
    <row r="493" spans="1:40" x14ac:dyDescent="0.3">
      <c r="C493" s="102"/>
      <c r="D493" s="102"/>
      <c r="E493" s="102"/>
      <c r="F493" s="102"/>
      <c r="H493" s="102"/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T493" s="102"/>
      <c r="U493" s="102"/>
      <c r="V493" s="102"/>
      <c r="Y493" s="102"/>
      <c r="Z493" s="102"/>
      <c r="AA493" s="102"/>
      <c r="AB493" s="102"/>
      <c r="AC493" s="102"/>
      <c r="AD493" s="102"/>
      <c r="AE493" s="102"/>
      <c r="AF493" s="102"/>
      <c r="AG493" s="151"/>
      <c r="AH493" s="102"/>
      <c r="AI493" s="102"/>
      <c r="AJ493" s="102"/>
      <c r="AK493" s="151"/>
      <c r="AL493" s="102"/>
      <c r="AM493" s="102"/>
      <c r="AN493" s="102"/>
    </row>
    <row r="494" spans="1:40" x14ac:dyDescent="0.3">
      <c r="A494" s="101"/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91"/>
      <c r="AH494" s="101"/>
      <c r="AI494" s="101"/>
      <c r="AJ494" s="101"/>
      <c r="AK494" s="191"/>
      <c r="AL494" s="101"/>
      <c r="AM494" s="101"/>
      <c r="AN494" s="101"/>
    </row>
    <row r="495" spans="1:40" x14ac:dyDescent="0.3">
      <c r="H495" s="102"/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Y495" s="102"/>
      <c r="Z495" s="102"/>
      <c r="AA495" s="102"/>
      <c r="AB495" s="102"/>
      <c r="AC495" s="102"/>
      <c r="AD495" s="102"/>
      <c r="AE495" s="102"/>
      <c r="AF495" s="102"/>
      <c r="AG495" s="151"/>
      <c r="AH495" s="102"/>
      <c r="AI495" s="102"/>
      <c r="AJ495" s="102"/>
      <c r="AK495" s="151"/>
      <c r="AL495" s="102"/>
      <c r="AM495" s="102"/>
      <c r="AN495" s="102"/>
    </row>
    <row r="496" spans="1:40" x14ac:dyDescent="0.3">
      <c r="C496" s="99"/>
      <c r="D496" s="99"/>
      <c r="E496" s="99"/>
      <c r="T496" s="99"/>
      <c r="U496" s="99"/>
    </row>
    <row r="498" spans="3:40" x14ac:dyDescent="0.3">
      <c r="C498" s="99"/>
      <c r="T498" s="99"/>
    </row>
    <row r="499" spans="3:40" x14ac:dyDescent="0.3">
      <c r="C499" s="99"/>
      <c r="T499" s="99"/>
    </row>
    <row r="500" spans="3:40" x14ac:dyDescent="0.3">
      <c r="C500" s="99"/>
      <c r="F500" s="172"/>
      <c r="H500" s="172"/>
      <c r="I500" s="172"/>
      <c r="J500" s="228"/>
      <c r="K500" s="228"/>
      <c r="L500" s="110"/>
      <c r="M500" s="110"/>
      <c r="N500" s="141"/>
      <c r="O500" s="141"/>
      <c r="P500" s="110"/>
      <c r="Q500" s="110"/>
      <c r="R500" s="110"/>
      <c r="T500" s="99"/>
      <c r="V500" s="110"/>
      <c r="W500" s="110"/>
      <c r="X500" s="110"/>
      <c r="Y500" s="110"/>
      <c r="Z500" s="228"/>
      <c r="AA500" s="110"/>
      <c r="AB500" s="110"/>
      <c r="AC500" s="141"/>
      <c r="AD500" s="141"/>
      <c r="AE500" s="110"/>
      <c r="AF500" s="110"/>
      <c r="AH500" s="207"/>
      <c r="AI500" s="110"/>
      <c r="AJ500" s="110"/>
      <c r="AL500" s="110"/>
      <c r="AM500" s="207"/>
      <c r="AN500" s="207"/>
    </row>
    <row r="501" spans="3:40" x14ac:dyDescent="0.3">
      <c r="C501" s="99"/>
      <c r="F501" s="110"/>
      <c r="H501" s="110"/>
      <c r="I501" s="110"/>
      <c r="J501" s="163"/>
      <c r="K501" s="163"/>
      <c r="L501" s="110"/>
      <c r="M501" s="110"/>
      <c r="N501" s="141"/>
      <c r="O501" s="141"/>
      <c r="P501" s="110"/>
      <c r="Q501" s="110"/>
      <c r="R501" s="110"/>
      <c r="T501" s="99"/>
      <c r="V501" s="110"/>
      <c r="W501" s="110"/>
      <c r="X501" s="110"/>
      <c r="Y501" s="110"/>
      <c r="Z501" s="163"/>
      <c r="AA501" s="110"/>
      <c r="AB501" s="110"/>
      <c r="AC501" s="141"/>
      <c r="AD501" s="141"/>
      <c r="AE501" s="110"/>
      <c r="AF501" s="110"/>
      <c r="AH501" s="207"/>
      <c r="AI501" s="110"/>
      <c r="AJ501" s="110"/>
      <c r="AL501" s="110"/>
      <c r="AM501" s="207"/>
      <c r="AN501" s="207"/>
    </row>
    <row r="502" spans="3:40" x14ac:dyDescent="0.3">
      <c r="C502" s="99"/>
      <c r="F502" s="110"/>
      <c r="H502" s="110"/>
      <c r="I502" s="110"/>
      <c r="J502" s="163"/>
      <c r="K502" s="163"/>
      <c r="L502" s="110"/>
      <c r="M502" s="110"/>
      <c r="N502" s="141"/>
      <c r="O502" s="141"/>
      <c r="P502" s="110"/>
      <c r="Q502" s="110"/>
      <c r="R502" s="110"/>
      <c r="T502" s="99"/>
      <c r="V502" s="110"/>
      <c r="W502" s="110"/>
      <c r="X502" s="110"/>
      <c r="Y502" s="110"/>
      <c r="Z502" s="163"/>
      <c r="AA502" s="110"/>
      <c r="AB502" s="110"/>
      <c r="AC502" s="141"/>
      <c r="AD502" s="141"/>
      <c r="AE502" s="110"/>
      <c r="AF502" s="110"/>
      <c r="AH502" s="207"/>
      <c r="AI502" s="110"/>
      <c r="AJ502" s="110"/>
      <c r="AL502" s="110"/>
      <c r="AM502" s="207"/>
      <c r="AN502" s="207"/>
    </row>
    <row r="503" spans="3:40" x14ac:dyDescent="0.3">
      <c r="C503" s="99"/>
      <c r="F503" s="110"/>
      <c r="H503" s="110"/>
      <c r="I503" s="110"/>
      <c r="J503" s="163"/>
      <c r="K503" s="163"/>
      <c r="T503" s="99"/>
      <c r="V503" s="110"/>
      <c r="Z503" s="163"/>
    </row>
    <row r="504" spans="3:40" x14ac:dyDescent="0.3">
      <c r="C504" s="99"/>
      <c r="F504" s="172"/>
      <c r="H504" s="172"/>
      <c r="I504" s="172"/>
      <c r="J504" s="228"/>
      <c r="K504" s="228"/>
      <c r="L504" s="110"/>
      <c r="M504" s="110"/>
      <c r="N504" s="141"/>
      <c r="O504" s="141"/>
      <c r="P504" s="110"/>
      <c r="Q504" s="110"/>
      <c r="R504" s="110"/>
      <c r="T504" s="99"/>
      <c r="V504" s="110"/>
      <c r="W504" s="110"/>
      <c r="X504" s="110"/>
      <c r="Y504" s="110"/>
      <c r="Z504" s="228"/>
      <c r="AA504" s="110"/>
      <c r="AB504" s="110"/>
      <c r="AC504" s="141"/>
      <c r="AD504" s="141"/>
      <c r="AE504" s="110"/>
      <c r="AF504" s="110"/>
      <c r="AH504" s="207"/>
      <c r="AI504" s="110"/>
      <c r="AJ504" s="110"/>
      <c r="AL504" s="110"/>
      <c r="AM504" s="207"/>
      <c r="AN504" s="207"/>
    </row>
    <row r="505" spans="3:40" x14ac:dyDescent="0.3">
      <c r="C505" s="99"/>
      <c r="F505" s="110"/>
      <c r="H505" s="110"/>
      <c r="I505" s="110"/>
      <c r="J505" s="163"/>
      <c r="K505" s="163"/>
      <c r="T505" s="99"/>
      <c r="V505" s="110"/>
      <c r="W505" s="110"/>
      <c r="X505" s="110"/>
      <c r="Y505" s="110"/>
      <c r="Z505" s="163"/>
      <c r="AC505" s="141"/>
      <c r="AD505" s="141"/>
      <c r="AE505" s="110"/>
      <c r="AF505" s="110"/>
      <c r="AH505" s="207"/>
      <c r="AI505" s="110"/>
      <c r="AJ505" s="110"/>
      <c r="AL505" s="110"/>
      <c r="AM505" s="207"/>
      <c r="AN505" s="207"/>
    </row>
    <row r="506" spans="3:40" x14ac:dyDescent="0.3">
      <c r="C506" s="99"/>
      <c r="F506" s="172"/>
      <c r="H506" s="172"/>
      <c r="I506" s="172"/>
      <c r="J506" s="228"/>
      <c r="K506" s="228"/>
      <c r="L506" s="110"/>
      <c r="M506" s="110"/>
      <c r="N506" s="141"/>
      <c r="O506" s="141"/>
      <c r="P506" s="110"/>
      <c r="Q506" s="110"/>
      <c r="R506" s="110"/>
      <c r="T506" s="99"/>
      <c r="V506" s="110"/>
      <c r="W506" s="110"/>
      <c r="X506" s="110"/>
      <c r="Y506" s="110"/>
      <c r="Z506" s="228"/>
      <c r="AA506" s="110"/>
      <c r="AB506" s="110"/>
      <c r="AC506" s="141"/>
      <c r="AD506" s="141"/>
      <c r="AE506" s="110"/>
      <c r="AF506" s="110"/>
      <c r="AH506" s="207"/>
      <c r="AI506" s="110"/>
      <c r="AJ506" s="110"/>
      <c r="AL506" s="110"/>
      <c r="AM506" s="207"/>
      <c r="AN506" s="207"/>
    </row>
    <row r="507" spans="3:40" x14ac:dyDescent="0.3">
      <c r="C507" s="99"/>
      <c r="F507" s="110"/>
      <c r="H507" s="110"/>
      <c r="I507" s="110"/>
      <c r="J507" s="163"/>
      <c r="K507" s="163"/>
      <c r="L507" s="110"/>
      <c r="M507" s="110"/>
      <c r="N507" s="141"/>
      <c r="O507" s="141"/>
      <c r="P507" s="110"/>
      <c r="Q507" s="110"/>
      <c r="R507" s="110"/>
      <c r="T507" s="99"/>
      <c r="V507" s="110"/>
      <c r="W507" s="110"/>
      <c r="X507" s="110"/>
      <c r="Y507" s="110"/>
      <c r="Z507" s="163"/>
      <c r="AA507" s="110"/>
      <c r="AB507" s="110"/>
      <c r="AC507" s="141"/>
      <c r="AD507" s="141"/>
      <c r="AE507" s="110"/>
      <c r="AF507" s="110"/>
      <c r="AH507" s="207"/>
      <c r="AI507" s="110"/>
      <c r="AJ507" s="110"/>
      <c r="AL507" s="110"/>
      <c r="AM507" s="207"/>
      <c r="AN507" s="207"/>
    </row>
    <row r="508" spans="3:40" x14ac:dyDescent="0.3">
      <c r="F508" s="110"/>
      <c r="H508" s="110"/>
      <c r="I508" s="110"/>
      <c r="J508" s="163"/>
      <c r="K508" s="163"/>
      <c r="Z508" s="163"/>
    </row>
    <row r="509" spans="3:40" x14ac:dyDescent="0.3">
      <c r="C509" s="99"/>
      <c r="F509" s="110"/>
      <c r="H509" s="172"/>
      <c r="I509" s="172"/>
      <c r="J509" s="228"/>
      <c r="K509" s="228"/>
      <c r="L509" s="110"/>
      <c r="M509" s="110"/>
      <c r="N509" s="141"/>
      <c r="O509" s="141"/>
      <c r="P509" s="110"/>
      <c r="Q509" s="110"/>
      <c r="R509" s="110"/>
      <c r="T509" s="99"/>
      <c r="V509" s="110"/>
      <c r="W509" s="110"/>
      <c r="X509" s="110"/>
      <c r="Y509" s="110"/>
      <c r="Z509" s="228"/>
      <c r="AA509" s="110"/>
      <c r="AB509" s="110"/>
      <c r="AC509" s="141"/>
      <c r="AD509" s="141"/>
      <c r="AE509" s="110"/>
      <c r="AF509" s="110"/>
      <c r="AH509" s="207"/>
      <c r="AI509" s="110"/>
      <c r="AJ509" s="110"/>
      <c r="AL509" s="110"/>
      <c r="AM509" s="207"/>
      <c r="AN509" s="207"/>
    </row>
    <row r="510" spans="3:40" x14ac:dyDescent="0.3">
      <c r="F510" s="192"/>
      <c r="H510" s="192"/>
      <c r="I510" s="192"/>
      <c r="J510" s="228"/>
      <c r="K510" s="228"/>
      <c r="L510" s="192"/>
      <c r="M510" s="192"/>
      <c r="N510" s="192"/>
      <c r="O510" s="192"/>
      <c r="P510" s="192"/>
      <c r="Q510" s="192"/>
      <c r="R510" s="192"/>
      <c r="V510" s="192"/>
      <c r="Y510" s="192"/>
      <c r="Z510" s="228"/>
      <c r="AA510" s="192"/>
      <c r="AB510" s="192"/>
      <c r="AC510" s="192"/>
      <c r="AD510" s="192"/>
      <c r="AE510" s="192"/>
      <c r="AF510" s="192"/>
      <c r="AI510" s="192"/>
      <c r="AJ510" s="192"/>
      <c r="AK510" s="194"/>
      <c r="AL510" s="192"/>
    </row>
    <row r="511" spans="3:40" x14ac:dyDescent="0.3">
      <c r="C511" s="99"/>
      <c r="F511" s="110"/>
      <c r="H511" s="110"/>
      <c r="I511" s="110"/>
      <c r="J511" s="163"/>
      <c r="K511" s="163"/>
      <c r="L511" s="110"/>
      <c r="M511" s="110"/>
      <c r="P511" s="110"/>
      <c r="Q511" s="110"/>
      <c r="R511" s="110"/>
      <c r="T511" s="99"/>
      <c r="V511" s="110"/>
      <c r="Y511" s="110"/>
      <c r="Z511" s="163"/>
      <c r="AA511" s="110"/>
      <c r="AB511" s="110"/>
      <c r="AC511" s="207"/>
      <c r="AD511" s="207"/>
      <c r="AE511" s="110"/>
      <c r="AF511" s="110"/>
      <c r="AH511" s="207"/>
      <c r="AI511" s="110"/>
      <c r="AJ511" s="110"/>
      <c r="AL511" s="110"/>
      <c r="AM511" s="207"/>
      <c r="AN511" s="207"/>
    </row>
    <row r="512" spans="3:40" x14ac:dyDescent="0.3">
      <c r="F512" s="192"/>
      <c r="H512" s="192"/>
      <c r="I512" s="192"/>
      <c r="J512" s="228"/>
      <c r="K512" s="228"/>
      <c r="L512" s="192"/>
      <c r="M512" s="192"/>
      <c r="N512" s="192"/>
      <c r="O512" s="192"/>
      <c r="P512" s="192"/>
      <c r="Q512" s="192"/>
      <c r="R512" s="192"/>
      <c r="V512" s="192"/>
      <c r="Y512" s="192"/>
      <c r="Z512" s="228"/>
      <c r="AA512" s="192"/>
      <c r="AB512" s="192"/>
      <c r="AC512" s="192"/>
      <c r="AD512" s="192"/>
      <c r="AE512" s="192"/>
      <c r="AF512" s="192"/>
      <c r="AI512" s="192"/>
      <c r="AJ512" s="192"/>
      <c r="AK512" s="194"/>
      <c r="AL512" s="192"/>
    </row>
    <row r="513" spans="1:40" x14ac:dyDescent="0.3">
      <c r="J513" s="163"/>
      <c r="K513" s="163"/>
      <c r="Z513" s="163"/>
    </row>
    <row r="514" spans="1:40" x14ac:dyDescent="0.3">
      <c r="C514" s="99"/>
      <c r="J514" s="163"/>
      <c r="K514" s="163"/>
      <c r="T514" s="99"/>
      <c r="Z514" s="163"/>
    </row>
    <row r="515" spans="1:40" x14ac:dyDescent="0.3">
      <c r="C515" s="99"/>
      <c r="J515" s="163"/>
      <c r="K515" s="163"/>
      <c r="T515" s="99"/>
      <c r="Z515" s="163"/>
    </row>
    <row r="516" spans="1:40" x14ac:dyDescent="0.3">
      <c r="C516" s="99"/>
      <c r="F516" s="172"/>
      <c r="H516" s="172"/>
      <c r="I516" s="172"/>
      <c r="J516" s="228"/>
      <c r="K516" s="228"/>
      <c r="L516" s="110"/>
      <c r="M516" s="110"/>
      <c r="N516" s="141"/>
      <c r="O516" s="141"/>
      <c r="P516" s="110"/>
      <c r="Q516" s="110"/>
      <c r="R516" s="110"/>
      <c r="T516" s="99"/>
      <c r="V516" s="110"/>
      <c r="W516" s="110"/>
      <c r="X516" s="110"/>
      <c r="Y516" s="110"/>
      <c r="Z516" s="228"/>
      <c r="AA516" s="110"/>
      <c r="AB516" s="110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1:40" x14ac:dyDescent="0.3">
      <c r="C517" s="99"/>
      <c r="J517" s="163"/>
      <c r="K517" s="163"/>
      <c r="T517" s="99"/>
      <c r="Z517" s="163"/>
    </row>
    <row r="518" spans="1:40" x14ac:dyDescent="0.3">
      <c r="C518" s="99"/>
      <c r="F518" s="172"/>
      <c r="H518" s="172"/>
      <c r="I518" s="172"/>
      <c r="J518" s="228"/>
      <c r="K518" s="228"/>
      <c r="L518" s="110"/>
      <c r="M518" s="110"/>
      <c r="N518" s="141"/>
      <c r="O518" s="141"/>
      <c r="P518" s="110"/>
      <c r="Q518" s="110"/>
      <c r="R518" s="110"/>
      <c r="T518" s="99"/>
      <c r="V518" s="110"/>
      <c r="W518" s="110"/>
      <c r="X518" s="110"/>
      <c r="Y518" s="110"/>
      <c r="Z518" s="228"/>
      <c r="AA518" s="110"/>
      <c r="AB518" s="110"/>
      <c r="AC518" s="141"/>
      <c r="AD518" s="141"/>
      <c r="AE518" s="110"/>
      <c r="AF518" s="110"/>
      <c r="AH518" s="207"/>
      <c r="AI518" s="110"/>
      <c r="AJ518" s="110"/>
      <c r="AL518" s="110"/>
      <c r="AM518" s="207"/>
      <c r="AN518" s="207"/>
    </row>
    <row r="519" spans="1:40" x14ac:dyDescent="0.3">
      <c r="F519" s="192"/>
      <c r="H519" s="192"/>
      <c r="I519" s="192"/>
      <c r="J519" s="228"/>
      <c r="K519" s="228"/>
      <c r="L519" s="192"/>
      <c r="M519" s="192"/>
      <c r="N519" s="192"/>
      <c r="O519" s="192"/>
      <c r="P519" s="192"/>
      <c r="Q519" s="192"/>
      <c r="R519" s="192"/>
      <c r="V519" s="192"/>
      <c r="Y519" s="192"/>
      <c r="Z519" s="228"/>
      <c r="AA519" s="192"/>
      <c r="AB519" s="192"/>
      <c r="AC519" s="192"/>
      <c r="AD519" s="192"/>
      <c r="AE519" s="192"/>
      <c r="AF519" s="192"/>
      <c r="AI519" s="192"/>
      <c r="AJ519" s="192"/>
      <c r="AK519" s="194"/>
      <c r="AL519" s="192"/>
    </row>
    <row r="520" spans="1:40" x14ac:dyDescent="0.3">
      <c r="C520" s="99"/>
      <c r="F520" s="110"/>
      <c r="H520" s="110"/>
      <c r="I520" s="110"/>
      <c r="J520" s="163"/>
      <c r="K520" s="163"/>
      <c r="L520" s="110"/>
      <c r="M520" s="110"/>
      <c r="N520" s="207"/>
      <c r="O520" s="207"/>
      <c r="P520" s="110"/>
      <c r="Q520" s="110"/>
      <c r="R520" s="110"/>
      <c r="T520" s="99"/>
      <c r="V520" s="110"/>
      <c r="Y520" s="110"/>
      <c r="Z520" s="163"/>
      <c r="AA520" s="110"/>
      <c r="AB520" s="110"/>
      <c r="AC520" s="207"/>
      <c r="AD520" s="207"/>
      <c r="AE520" s="110"/>
      <c r="AF520" s="110"/>
      <c r="AH520" s="207"/>
      <c r="AI520" s="110"/>
      <c r="AJ520" s="110"/>
      <c r="AL520" s="110"/>
      <c r="AM520" s="207"/>
      <c r="AN520" s="207"/>
    </row>
    <row r="521" spans="1:40" x14ac:dyDescent="0.3">
      <c r="F521" s="192"/>
      <c r="H521" s="192"/>
      <c r="I521" s="192"/>
      <c r="J521" s="228"/>
      <c r="K521" s="228"/>
      <c r="L521" s="192"/>
      <c r="M521" s="192"/>
      <c r="N521" s="192"/>
      <c r="O521" s="192"/>
      <c r="P521" s="192"/>
      <c r="Q521" s="192"/>
      <c r="R521" s="192"/>
      <c r="V521" s="192"/>
      <c r="Y521" s="192"/>
      <c r="Z521" s="217"/>
      <c r="AA521" s="192"/>
      <c r="AB521" s="192"/>
      <c r="AC521" s="192"/>
      <c r="AD521" s="192"/>
      <c r="AE521" s="192"/>
      <c r="AF521" s="192"/>
      <c r="AI521" s="192"/>
      <c r="AJ521" s="192"/>
      <c r="AK521" s="194"/>
      <c r="AL521" s="192"/>
    </row>
    <row r="522" spans="1:40" x14ac:dyDescent="0.3">
      <c r="J522" s="163"/>
      <c r="K522" s="163"/>
    </row>
    <row r="523" spans="1:40" x14ac:dyDescent="0.3">
      <c r="C523" s="99"/>
      <c r="F523" s="110"/>
      <c r="H523" s="110"/>
      <c r="I523" s="110"/>
      <c r="J523" s="163"/>
      <c r="K523" s="163"/>
      <c r="L523" s="110"/>
      <c r="M523" s="110"/>
      <c r="N523" s="141"/>
      <c r="O523" s="141"/>
      <c r="P523" s="172"/>
      <c r="Q523" s="172"/>
      <c r="R523" s="110"/>
      <c r="T523" s="99"/>
      <c r="V523" s="110"/>
      <c r="Y523" s="110"/>
      <c r="AA523" s="110"/>
      <c r="AB523" s="110"/>
      <c r="AC523" s="207"/>
      <c r="AD523" s="207"/>
      <c r="AE523" s="110"/>
      <c r="AF523" s="110"/>
      <c r="AH523" s="207"/>
      <c r="AI523" s="172"/>
      <c r="AJ523" s="172"/>
      <c r="AL523" s="110"/>
      <c r="AM523" s="207"/>
      <c r="AN523" s="207"/>
    </row>
    <row r="524" spans="1:40" x14ac:dyDescent="0.3">
      <c r="H524" s="192"/>
      <c r="I524" s="192"/>
      <c r="J524" s="228"/>
      <c r="K524" s="228"/>
      <c r="L524" s="192"/>
      <c r="M524" s="192"/>
      <c r="N524" s="192"/>
      <c r="O524" s="192"/>
      <c r="P524" s="192"/>
      <c r="Q524" s="192"/>
      <c r="R524" s="192"/>
      <c r="V524" s="192"/>
      <c r="Y524" s="192"/>
      <c r="Z524" s="217"/>
      <c r="AA524" s="192"/>
      <c r="AB524" s="192"/>
      <c r="AC524" s="192"/>
      <c r="AD524" s="192"/>
      <c r="AE524" s="192"/>
      <c r="AF524" s="192"/>
      <c r="AI524" s="192"/>
      <c r="AJ524" s="192"/>
      <c r="AK524" s="194"/>
      <c r="AL524" s="192"/>
    </row>
    <row r="525" spans="1:40" x14ac:dyDescent="0.3">
      <c r="F525" s="192"/>
    </row>
    <row r="527" spans="1:40" x14ac:dyDescent="0.3">
      <c r="A527" s="99"/>
    </row>
    <row r="529" spans="1:40" x14ac:dyDescent="0.3">
      <c r="H529" s="99"/>
      <c r="I529" s="99"/>
      <c r="Y529" s="99"/>
    </row>
    <row r="531" spans="1:40" x14ac:dyDescent="0.3">
      <c r="L531" s="99"/>
      <c r="M531" s="99"/>
      <c r="AA531" s="99"/>
      <c r="AB531" s="99"/>
    </row>
    <row r="532" spans="1:40" x14ac:dyDescent="0.3">
      <c r="R532" s="99"/>
      <c r="AK532" s="190"/>
      <c r="AL532" s="99"/>
    </row>
    <row r="533" spans="1:40" x14ac:dyDescent="0.3">
      <c r="R533" s="99"/>
      <c r="AK533" s="190"/>
      <c r="AL533" s="99"/>
    </row>
    <row r="534" spans="1:40" x14ac:dyDescent="0.3">
      <c r="A534" s="99"/>
      <c r="R534" s="99"/>
      <c r="AK534" s="190"/>
      <c r="AL534" s="99"/>
    </row>
    <row r="535" spans="1:40" x14ac:dyDescent="0.3">
      <c r="L535" s="99"/>
      <c r="M535" s="99"/>
      <c r="AA535" s="99"/>
      <c r="AB535" s="99"/>
    </row>
    <row r="536" spans="1:40" x14ac:dyDescent="0.3">
      <c r="A536" s="101"/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T536" s="101"/>
      <c r="U536" s="101"/>
      <c r="V536" s="101"/>
      <c r="W536" s="101"/>
      <c r="X536" s="101"/>
      <c r="Y536" s="101"/>
      <c r="Z536" s="101"/>
      <c r="AA536" s="101"/>
      <c r="AB536" s="101"/>
      <c r="AC536" s="101"/>
      <c r="AD536" s="101"/>
      <c r="AE536" s="101"/>
      <c r="AF536" s="101"/>
      <c r="AG536" s="191"/>
      <c r="AH536" s="101"/>
      <c r="AI536" s="101"/>
      <c r="AJ536" s="101"/>
      <c r="AK536" s="191"/>
      <c r="AL536" s="101"/>
      <c r="AM536" s="101"/>
      <c r="AN536" s="101"/>
    </row>
    <row r="537" spans="1:40" x14ac:dyDescent="0.3">
      <c r="L537" s="102"/>
      <c r="M537" s="102"/>
      <c r="N537" s="102"/>
      <c r="O537" s="102"/>
      <c r="R537" s="102"/>
      <c r="AA537" s="102"/>
      <c r="AB537" s="102"/>
      <c r="AC537" s="102"/>
      <c r="AD537" s="102"/>
      <c r="AE537" s="102"/>
      <c r="AF537" s="102"/>
      <c r="AG537" s="151"/>
      <c r="AH537" s="102"/>
      <c r="AK537" s="151"/>
      <c r="AL537" s="102"/>
      <c r="AM537" s="102"/>
      <c r="AN537" s="102"/>
    </row>
    <row r="538" spans="1:40" x14ac:dyDescent="0.3">
      <c r="L538" s="102"/>
      <c r="M538" s="102"/>
      <c r="N538" s="102"/>
      <c r="O538" s="102"/>
      <c r="R538" s="102"/>
      <c r="Z538" s="102"/>
      <c r="AA538" s="102"/>
      <c r="AB538" s="102"/>
      <c r="AC538" s="102"/>
      <c r="AD538" s="102"/>
      <c r="AE538" s="102"/>
      <c r="AF538" s="102"/>
      <c r="AG538" s="151"/>
      <c r="AH538" s="102"/>
      <c r="AK538" s="151"/>
      <c r="AL538" s="102"/>
      <c r="AM538" s="102"/>
      <c r="AN538" s="102"/>
    </row>
    <row r="539" spans="1:40" x14ac:dyDescent="0.3">
      <c r="A539" s="102"/>
      <c r="C539" s="102"/>
      <c r="D539" s="102"/>
      <c r="E539" s="102"/>
      <c r="F539" s="102"/>
      <c r="J539" s="102"/>
      <c r="K539" s="102"/>
      <c r="L539" s="102"/>
      <c r="M539" s="102"/>
      <c r="N539" s="102"/>
      <c r="O539" s="102"/>
      <c r="P539" s="102"/>
      <c r="Q539" s="102"/>
      <c r="R539" s="102"/>
      <c r="T539" s="102"/>
      <c r="U539" s="102"/>
      <c r="V539" s="102"/>
      <c r="Z539" s="102"/>
      <c r="AA539" s="102"/>
      <c r="AB539" s="102"/>
      <c r="AC539" s="102"/>
      <c r="AD539" s="102"/>
      <c r="AE539" s="102"/>
      <c r="AF539" s="102"/>
      <c r="AG539" s="151"/>
      <c r="AH539" s="102"/>
      <c r="AI539" s="102"/>
      <c r="AJ539" s="102"/>
      <c r="AK539" s="151"/>
      <c r="AL539" s="102"/>
      <c r="AM539" s="102"/>
      <c r="AN539" s="102"/>
    </row>
    <row r="540" spans="1:40" x14ac:dyDescent="0.3">
      <c r="A540" s="102"/>
      <c r="C540" s="102"/>
      <c r="D540" s="102"/>
      <c r="E540" s="102"/>
      <c r="F540" s="102"/>
      <c r="H540" s="102"/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T540" s="102"/>
      <c r="U540" s="102"/>
      <c r="V540" s="102"/>
      <c r="Y540" s="102"/>
      <c r="Z540" s="102"/>
      <c r="AA540" s="102"/>
      <c r="AB540" s="102"/>
      <c r="AC540" s="102"/>
      <c r="AD540" s="102"/>
      <c r="AE540" s="102"/>
      <c r="AF540" s="102"/>
      <c r="AG540" s="151"/>
      <c r="AH540" s="102"/>
      <c r="AI540" s="102"/>
      <c r="AJ540" s="102"/>
      <c r="AK540" s="151"/>
      <c r="AL540" s="102"/>
      <c r="AM540" s="102"/>
      <c r="AN540" s="102"/>
    </row>
    <row r="541" spans="1:40" x14ac:dyDescent="0.3">
      <c r="C541" s="102"/>
      <c r="D541" s="102"/>
      <c r="E541" s="102"/>
      <c r="F541" s="102"/>
      <c r="H541" s="102"/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T541" s="102"/>
      <c r="U541" s="102"/>
      <c r="V541" s="102"/>
      <c r="Y541" s="102"/>
      <c r="Z541" s="102"/>
      <c r="AA541" s="102"/>
      <c r="AB541" s="102"/>
      <c r="AC541" s="102"/>
      <c r="AD541" s="102"/>
      <c r="AE541" s="102"/>
      <c r="AF541" s="102"/>
      <c r="AG541" s="151"/>
      <c r="AH541" s="102"/>
      <c r="AI541" s="102"/>
      <c r="AJ541" s="102"/>
      <c r="AK541" s="151"/>
      <c r="AL541" s="102"/>
      <c r="AM541" s="102"/>
      <c r="AN541" s="102"/>
    </row>
    <row r="542" spans="1:40" x14ac:dyDescent="0.3">
      <c r="A542" s="101"/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T542" s="101"/>
      <c r="U542" s="101"/>
      <c r="V542" s="101"/>
      <c r="W542" s="101"/>
      <c r="X542" s="101"/>
      <c r="Y542" s="101"/>
      <c r="Z542" s="101"/>
      <c r="AA542" s="101"/>
      <c r="AB542" s="101"/>
      <c r="AC542" s="101"/>
      <c r="AD542" s="101"/>
      <c r="AE542" s="101"/>
      <c r="AF542" s="101"/>
      <c r="AG542" s="191"/>
      <c r="AH542" s="101"/>
      <c r="AI542" s="101"/>
      <c r="AJ542" s="101"/>
      <c r="AK542" s="191"/>
      <c r="AL542" s="101"/>
      <c r="AM542" s="101"/>
      <c r="AN542" s="101"/>
    </row>
    <row r="543" spans="1:40" x14ac:dyDescent="0.3"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Y543" s="102"/>
      <c r="Z543" s="102"/>
      <c r="AA543" s="102"/>
      <c r="AB543" s="102"/>
      <c r="AC543" s="102"/>
      <c r="AD543" s="102"/>
      <c r="AE543" s="102"/>
      <c r="AF543" s="102"/>
      <c r="AG543" s="151"/>
      <c r="AH543" s="102"/>
      <c r="AI543" s="102"/>
      <c r="AJ543" s="102"/>
      <c r="AK543" s="151"/>
      <c r="AL543" s="102"/>
      <c r="AM543" s="102"/>
      <c r="AN543" s="102"/>
    </row>
    <row r="544" spans="1:40" x14ac:dyDescent="0.3">
      <c r="C544" s="99"/>
      <c r="D544" s="99"/>
      <c r="E544" s="99"/>
      <c r="T544" s="99"/>
      <c r="U544" s="99"/>
    </row>
    <row r="546" spans="3:40" x14ac:dyDescent="0.3">
      <c r="C546" s="99"/>
      <c r="D546" s="99"/>
      <c r="E546" s="99"/>
      <c r="T546" s="99"/>
      <c r="U546" s="99"/>
    </row>
    <row r="547" spans="3:40" x14ac:dyDescent="0.3">
      <c r="C547" s="99"/>
      <c r="T547" s="99"/>
    </row>
    <row r="548" spans="3:40" x14ac:dyDescent="0.3">
      <c r="C548" s="99"/>
      <c r="T548" s="99"/>
    </row>
    <row r="549" spans="3:40" x14ac:dyDescent="0.3">
      <c r="C549" s="99"/>
      <c r="H549" s="172"/>
      <c r="I549" s="172"/>
      <c r="J549" s="228"/>
      <c r="K549" s="228"/>
      <c r="L549" s="110"/>
      <c r="M549" s="110"/>
      <c r="N549" s="141"/>
      <c r="O549" s="141"/>
      <c r="P549" s="110"/>
      <c r="Q549" s="110"/>
      <c r="R549" s="110"/>
      <c r="T549" s="99"/>
      <c r="V549" s="110"/>
      <c r="W549" s="110"/>
      <c r="X549" s="110"/>
      <c r="Y549" s="110"/>
      <c r="Z549" s="228"/>
      <c r="AA549" s="110"/>
      <c r="AB549" s="110"/>
      <c r="AC549" s="141"/>
      <c r="AD549" s="141"/>
      <c r="AE549" s="110"/>
      <c r="AF549" s="110"/>
      <c r="AH549" s="207"/>
      <c r="AI549" s="110"/>
      <c r="AJ549" s="110"/>
      <c r="AL549" s="110"/>
      <c r="AM549" s="141"/>
      <c r="AN549" s="141"/>
    </row>
    <row r="550" spans="3:40" x14ac:dyDescent="0.3">
      <c r="C550" s="99"/>
      <c r="F550" s="172"/>
      <c r="J550" s="163"/>
      <c r="K550" s="163"/>
      <c r="T550" s="99"/>
      <c r="V550" s="110"/>
      <c r="W550" s="110"/>
      <c r="X550" s="110"/>
      <c r="Y550" s="110"/>
      <c r="Z550" s="228"/>
    </row>
    <row r="551" spans="3:40" x14ac:dyDescent="0.3">
      <c r="C551" s="99"/>
      <c r="H551" s="172"/>
      <c r="I551" s="172"/>
      <c r="J551" s="228"/>
      <c r="K551" s="228"/>
      <c r="L551" s="110"/>
      <c r="M551" s="110"/>
      <c r="N551" s="141"/>
      <c r="O551" s="141"/>
      <c r="P551" s="110"/>
      <c r="Q551" s="110"/>
      <c r="R551" s="110"/>
      <c r="T551" s="99"/>
      <c r="V551" s="110"/>
      <c r="W551" s="110"/>
      <c r="X551" s="110"/>
      <c r="Y551" s="110"/>
      <c r="Z551" s="228"/>
      <c r="AA551" s="110"/>
      <c r="AB551" s="110"/>
      <c r="AC551" s="141"/>
      <c r="AD551" s="141"/>
      <c r="AE551" s="110"/>
      <c r="AF551" s="110"/>
      <c r="AH551" s="207"/>
      <c r="AI551" s="110"/>
      <c r="AJ551" s="110"/>
      <c r="AL551" s="110"/>
      <c r="AM551" s="141"/>
      <c r="AN551" s="141"/>
    </row>
    <row r="552" spans="3:40" x14ac:dyDescent="0.3">
      <c r="C552" s="99"/>
      <c r="F552" s="172"/>
      <c r="J552" s="163"/>
      <c r="K552" s="163"/>
      <c r="T552" s="99"/>
      <c r="V552" s="110"/>
      <c r="W552" s="110"/>
      <c r="X552" s="110"/>
      <c r="Y552" s="110"/>
      <c r="Z552" s="228"/>
    </row>
    <row r="553" spans="3:40" x14ac:dyDescent="0.3">
      <c r="C553" s="99"/>
      <c r="H553" s="172"/>
      <c r="I553" s="172"/>
      <c r="J553" s="228"/>
      <c r="K553" s="228"/>
      <c r="L553" s="110"/>
      <c r="M553" s="110"/>
      <c r="N553" s="141"/>
      <c r="O553" s="141"/>
      <c r="P553" s="110"/>
      <c r="Q553" s="110"/>
      <c r="R553" s="110"/>
      <c r="T553" s="99"/>
      <c r="V553" s="110"/>
      <c r="W553" s="110"/>
      <c r="X553" s="110"/>
      <c r="Y553" s="110"/>
      <c r="Z553" s="228"/>
      <c r="AA553" s="110"/>
      <c r="AB553" s="110"/>
      <c r="AC553" s="141"/>
      <c r="AD553" s="141"/>
      <c r="AE553" s="110"/>
      <c r="AF553" s="110"/>
      <c r="AH553" s="207"/>
      <c r="AI553" s="110"/>
      <c r="AJ553" s="110"/>
      <c r="AL553" s="110"/>
      <c r="AM553" s="141"/>
      <c r="AN553" s="141"/>
    </row>
    <row r="554" spans="3:40" x14ac:dyDescent="0.3">
      <c r="C554" s="99"/>
      <c r="F554" s="172"/>
      <c r="J554" s="163"/>
      <c r="K554" s="163"/>
      <c r="T554" s="99"/>
      <c r="V554" s="110"/>
      <c r="W554" s="110"/>
      <c r="X554" s="110"/>
      <c r="Y554" s="110"/>
      <c r="Z554" s="228"/>
    </row>
    <row r="555" spans="3:40" x14ac:dyDescent="0.3">
      <c r="C555" s="99"/>
      <c r="H555" s="172"/>
      <c r="I555" s="172"/>
      <c r="J555" s="228"/>
      <c r="K555" s="228"/>
      <c r="L555" s="110"/>
      <c r="M555" s="110"/>
      <c r="N555" s="141"/>
      <c r="O555" s="141"/>
      <c r="P555" s="110"/>
      <c r="Q555" s="110"/>
      <c r="R555" s="110"/>
      <c r="T555" s="99"/>
      <c r="V555" s="110"/>
      <c r="W555" s="110"/>
      <c r="X555" s="110"/>
      <c r="Y555" s="110"/>
      <c r="Z555" s="228"/>
      <c r="AA555" s="110"/>
      <c r="AB555" s="110"/>
      <c r="AC555" s="141"/>
      <c r="AD555" s="141"/>
      <c r="AE555" s="110"/>
      <c r="AF555" s="110"/>
      <c r="AH555" s="207"/>
      <c r="AI555" s="110"/>
      <c r="AJ555" s="110"/>
      <c r="AL555" s="110"/>
      <c r="AM555" s="141"/>
      <c r="AN555" s="141"/>
    </row>
    <row r="556" spans="3:40" x14ac:dyDescent="0.3">
      <c r="C556" s="99"/>
      <c r="F556" s="172"/>
      <c r="J556" s="163"/>
      <c r="K556" s="163"/>
      <c r="T556" s="99"/>
      <c r="V556" s="110"/>
      <c r="W556" s="110"/>
      <c r="X556" s="110"/>
      <c r="Y556" s="110"/>
      <c r="Z556" s="228"/>
    </row>
    <row r="557" spans="3:40" x14ac:dyDescent="0.3">
      <c r="C557" s="99"/>
      <c r="H557" s="172"/>
      <c r="I557" s="172"/>
      <c r="J557" s="228"/>
      <c r="K557" s="228"/>
      <c r="L557" s="110"/>
      <c r="M557" s="110"/>
      <c r="N557" s="141"/>
      <c r="O557" s="141"/>
      <c r="P557" s="110"/>
      <c r="Q557" s="110"/>
      <c r="R557" s="110"/>
      <c r="T557" s="99"/>
      <c r="V557" s="110"/>
      <c r="W557" s="110"/>
      <c r="X557" s="110"/>
      <c r="Y557" s="110"/>
      <c r="Z557" s="228"/>
      <c r="AA557" s="110"/>
      <c r="AB557" s="110"/>
      <c r="AC557" s="141"/>
      <c r="AD557" s="141"/>
      <c r="AE557" s="110"/>
      <c r="AF557" s="110"/>
      <c r="AH557" s="207"/>
      <c r="AI557" s="110"/>
      <c r="AJ557" s="110"/>
      <c r="AL557" s="110"/>
      <c r="AM557" s="141"/>
      <c r="AN557" s="141"/>
    </row>
    <row r="558" spans="3:40" x14ac:dyDescent="0.3">
      <c r="C558" s="99"/>
      <c r="F558" s="172"/>
      <c r="J558" s="163"/>
      <c r="K558" s="163"/>
      <c r="T558" s="99"/>
      <c r="V558" s="110"/>
      <c r="W558" s="110"/>
      <c r="X558" s="110"/>
      <c r="Y558" s="110"/>
      <c r="Z558" s="228"/>
    </row>
    <row r="559" spans="3:40" x14ac:dyDescent="0.3">
      <c r="C559" s="99"/>
      <c r="H559" s="172"/>
      <c r="I559" s="172"/>
      <c r="J559" s="228"/>
      <c r="K559" s="228"/>
      <c r="L559" s="110"/>
      <c r="M559" s="110"/>
      <c r="N559" s="141"/>
      <c r="O559" s="141"/>
      <c r="P559" s="110"/>
      <c r="Q559" s="110"/>
      <c r="R559" s="110"/>
      <c r="T559" s="99"/>
      <c r="V559" s="110"/>
      <c r="W559" s="110"/>
      <c r="X559" s="110"/>
      <c r="Y559" s="110"/>
      <c r="Z559" s="228"/>
      <c r="AA559" s="110"/>
      <c r="AB559" s="110"/>
      <c r="AC559" s="141"/>
      <c r="AD559" s="141"/>
      <c r="AE559" s="110"/>
      <c r="AF559" s="110"/>
      <c r="AH559" s="207"/>
      <c r="AI559" s="110"/>
      <c r="AJ559" s="110"/>
      <c r="AL559" s="110"/>
      <c r="AM559" s="141"/>
      <c r="AN559" s="141"/>
    </row>
    <row r="560" spans="3:40" x14ac:dyDescent="0.3">
      <c r="F560" s="172"/>
      <c r="H560" s="192"/>
      <c r="I560" s="192"/>
      <c r="J560" s="228"/>
      <c r="K560" s="228"/>
      <c r="L560" s="192"/>
      <c r="M560" s="192"/>
      <c r="N560" s="192"/>
      <c r="O560" s="192"/>
      <c r="P560" s="192"/>
      <c r="Q560" s="192"/>
      <c r="R560" s="192"/>
      <c r="V560" s="192"/>
      <c r="Y560" s="192"/>
      <c r="Z560" s="228"/>
      <c r="AA560" s="192"/>
      <c r="AB560" s="192"/>
      <c r="AC560" s="192"/>
      <c r="AD560" s="192"/>
      <c r="AE560" s="192"/>
      <c r="AF560" s="192"/>
      <c r="AI560" s="192"/>
      <c r="AJ560" s="192"/>
      <c r="AK560" s="194"/>
      <c r="AL560" s="192"/>
      <c r="AM560" s="141"/>
      <c r="AN560" s="141"/>
    </row>
    <row r="561" spans="3:40" x14ac:dyDescent="0.3">
      <c r="C561" s="99"/>
      <c r="F561" s="192"/>
      <c r="H561" s="110"/>
      <c r="I561" s="110"/>
      <c r="J561" s="163"/>
      <c r="K561" s="163"/>
      <c r="L561" s="110"/>
      <c r="M561" s="110"/>
      <c r="N561" s="141"/>
      <c r="O561" s="141"/>
      <c r="P561" s="172"/>
      <c r="Q561" s="172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72"/>
      <c r="AJ561" s="172"/>
      <c r="AL561" s="110"/>
      <c r="AM561" s="141"/>
      <c r="AN561" s="141"/>
    </row>
    <row r="562" spans="3:40" x14ac:dyDescent="0.3">
      <c r="F562" s="110"/>
      <c r="H562" s="192"/>
      <c r="I562" s="192"/>
      <c r="J562" s="228"/>
      <c r="K562" s="228"/>
      <c r="L562" s="192"/>
      <c r="M562" s="192"/>
      <c r="N562" s="192"/>
      <c r="O562" s="192"/>
      <c r="P562" s="192"/>
      <c r="Q562" s="192"/>
      <c r="R562" s="192"/>
      <c r="V562" s="192"/>
      <c r="Y562" s="192"/>
      <c r="Z562" s="228"/>
      <c r="AA562" s="192"/>
      <c r="AB562" s="192"/>
      <c r="AC562" s="192"/>
      <c r="AD562" s="192"/>
      <c r="AE562" s="192"/>
      <c r="AF562" s="192"/>
      <c r="AI562" s="192"/>
      <c r="AJ562" s="192"/>
      <c r="AK562" s="194"/>
      <c r="AL562" s="192"/>
    </row>
    <row r="563" spans="3:40" x14ac:dyDescent="0.3">
      <c r="C563" s="99"/>
      <c r="D563" s="99"/>
      <c r="E563" s="99"/>
      <c r="F563" s="192"/>
      <c r="J563" s="163"/>
      <c r="K563" s="163"/>
      <c r="T563" s="99"/>
      <c r="U563" s="99"/>
      <c r="V563" s="110"/>
      <c r="W563" s="110"/>
      <c r="X563" s="110"/>
      <c r="Y563" s="110"/>
      <c r="Z563" s="228"/>
    </row>
    <row r="564" spans="3:40" x14ac:dyDescent="0.3">
      <c r="C564" s="99"/>
      <c r="J564" s="163"/>
      <c r="K564" s="163"/>
      <c r="T564" s="99"/>
      <c r="V564" s="110"/>
      <c r="W564" s="110"/>
      <c r="X564" s="110"/>
      <c r="Y564" s="110"/>
      <c r="Z564" s="228"/>
    </row>
    <row r="565" spans="3:40" x14ac:dyDescent="0.3">
      <c r="C565" s="99"/>
      <c r="J565" s="163"/>
      <c r="K565" s="163"/>
      <c r="T565" s="99"/>
      <c r="V565" s="110"/>
      <c r="W565" s="110"/>
      <c r="X565" s="110"/>
      <c r="Y565" s="110"/>
      <c r="Z565" s="228"/>
    </row>
    <row r="566" spans="3:40" x14ac:dyDescent="0.3">
      <c r="C566" s="99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228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141"/>
      <c r="AN566" s="141"/>
    </row>
    <row r="567" spans="3:40" x14ac:dyDescent="0.3">
      <c r="C567" s="99"/>
      <c r="F567" s="172"/>
      <c r="J567" s="163"/>
      <c r="K567" s="163"/>
      <c r="T567" s="99"/>
      <c r="V567" s="110"/>
      <c r="W567" s="110"/>
      <c r="X567" s="110"/>
      <c r="Y567" s="110"/>
      <c r="Z567" s="228"/>
    </row>
    <row r="568" spans="3:40" x14ac:dyDescent="0.3">
      <c r="C568" s="99"/>
      <c r="H568" s="172"/>
      <c r="I568" s="172"/>
      <c r="J568" s="228"/>
      <c r="K568" s="228"/>
      <c r="L568" s="110"/>
      <c r="M568" s="110"/>
      <c r="N568" s="141"/>
      <c r="O568" s="141"/>
      <c r="P568" s="110"/>
      <c r="Q568" s="110"/>
      <c r="R568" s="110"/>
      <c r="T568" s="99"/>
      <c r="V568" s="110"/>
      <c r="W568" s="110"/>
      <c r="X568" s="110"/>
      <c r="Y568" s="110"/>
      <c r="Z568" s="228"/>
      <c r="AA568" s="110"/>
      <c r="AB568" s="110"/>
      <c r="AC568" s="141"/>
      <c r="AD568" s="141"/>
      <c r="AE568" s="110"/>
      <c r="AF568" s="110"/>
      <c r="AH568" s="207"/>
      <c r="AI568" s="110"/>
      <c r="AJ568" s="110"/>
      <c r="AL568" s="110"/>
      <c r="AM568" s="141"/>
      <c r="AN568" s="141"/>
    </row>
    <row r="569" spans="3:40" x14ac:dyDescent="0.3">
      <c r="F569" s="172"/>
      <c r="H569" s="192"/>
      <c r="I569" s="192"/>
      <c r="J569" s="228"/>
      <c r="K569" s="228"/>
      <c r="L569" s="192"/>
      <c r="M569" s="192"/>
      <c r="N569" s="192"/>
      <c r="O569" s="192"/>
      <c r="P569" s="192"/>
      <c r="Q569" s="192"/>
      <c r="R569" s="192"/>
      <c r="V569" s="192"/>
      <c r="Y569" s="192"/>
      <c r="Z569" s="217"/>
      <c r="AA569" s="192"/>
      <c r="AB569" s="192"/>
      <c r="AC569" s="192"/>
      <c r="AD569" s="192"/>
      <c r="AE569" s="192"/>
      <c r="AF569" s="192"/>
      <c r="AI569" s="192"/>
      <c r="AJ569" s="192"/>
      <c r="AK569" s="194"/>
      <c r="AL569" s="192"/>
    </row>
    <row r="570" spans="3:40" x14ac:dyDescent="0.3">
      <c r="C570" s="99"/>
      <c r="F570" s="192"/>
      <c r="H570" s="110"/>
      <c r="I570" s="110"/>
      <c r="L570" s="110"/>
      <c r="M570" s="110"/>
      <c r="N570" s="141"/>
      <c r="O570" s="141"/>
      <c r="P570" s="172"/>
      <c r="Q570" s="172"/>
      <c r="R570" s="110"/>
      <c r="T570" s="99"/>
      <c r="V570" s="110"/>
      <c r="W570" s="110"/>
      <c r="X570" s="110"/>
      <c r="Y570" s="110"/>
      <c r="Z570" s="227"/>
      <c r="AA570" s="110"/>
      <c r="AB570" s="110"/>
      <c r="AC570" s="141"/>
      <c r="AD570" s="141"/>
      <c r="AE570" s="110"/>
      <c r="AF570" s="110"/>
      <c r="AH570" s="207"/>
      <c r="AI570" s="172"/>
      <c r="AJ570" s="172"/>
      <c r="AL570" s="110"/>
      <c r="AM570" s="141"/>
      <c r="AN570" s="141"/>
    </row>
    <row r="571" spans="3:40" x14ac:dyDescent="0.3">
      <c r="F571" s="110"/>
      <c r="H571" s="192"/>
      <c r="I571" s="192"/>
      <c r="J571" s="217"/>
      <c r="K571" s="217"/>
      <c r="L571" s="192"/>
      <c r="M571" s="192"/>
      <c r="N571" s="192"/>
      <c r="O571" s="192"/>
      <c r="P571" s="192"/>
      <c r="Q571" s="192"/>
      <c r="R571" s="192"/>
      <c r="V571" s="192"/>
      <c r="Y571" s="192"/>
      <c r="Z571" s="217"/>
      <c r="AA571" s="192"/>
      <c r="AB571" s="192"/>
      <c r="AC571" s="192"/>
      <c r="AD571" s="192"/>
      <c r="AE571" s="192"/>
      <c r="AF571" s="192"/>
      <c r="AI571" s="192"/>
      <c r="AJ571" s="192"/>
      <c r="AK571" s="194"/>
      <c r="AL571" s="192"/>
    </row>
    <row r="572" spans="3:40" x14ac:dyDescent="0.3">
      <c r="C572" s="99"/>
      <c r="D572" s="99"/>
      <c r="E572" s="99"/>
      <c r="F572" s="192"/>
      <c r="T572" s="99"/>
      <c r="U572" s="99"/>
      <c r="V572" s="110"/>
      <c r="W572" s="110"/>
      <c r="X572" s="110"/>
      <c r="Y572" s="110"/>
      <c r="Z572" s="227"/>
    </row>
    <row r="573" spans="3:40" x14ac:dyDescent="0.3">
      <c r="C573" s="99"/>
      <c r="T573" s="99"/>
      <c r="V573" s="110"/>
      <c r="W573" s="110"/>
      <c r="X573" s="110"/>
      <c r="Y573" s="110"/>
      <c r="Z573" s="227"/>
    </row>
    <row r="574" spans="3:40" x14ac:dyDescent="0.3">
      <c r="C574" s="99"/>
      <c r="H574" s="172"/>
      <c r="I574" s="172"/>
      <c r="J574" s="227"/>
      <c r="K574" s="227"/>
      <c r="L574" s="110"/>
      <c r="M574" s="110"/>
      <c r="N574" s="141"/>
      <c r="O574" s="141"/>
      <c r="P574" s="110"/>
      <c r="Q574" s="110"/>
      <c r="R574" s="110"/>
      <c r="T574" s="99"/>
      <c r="V574" s="110"/>
      <c r="W574" s="110"/>
      <c r="X574" s="110"/>
      <c r="Y574" s="110"/>
      <c r="Z574" s="227"/>
      <c r="AA574" s="110"/>
      <c r="AB574" s="110"/>
      <c r="AC574" s="141"/>
      <c r="AD574" s="141"/>
      <c r="AE574" s="110"/>
      <c r="AF574" s="110"/>
      <c r="AH574" s="207"/>
      <c r="AI574" s="110"/>
      <c r="AJ574" s="110"/>
      <c r="AL574" s="110"/>
      <c r="AM574" s="141"/>
      <c r="AN574" s="141"/>
    </row>
    <row r="575" spans="3:40" x14ac:dyDescent="0.3">
      <c r="C575" s="99"/>
      <c r="F575" s="172"/>
      <c r="T575" s="99"/>
      <c r="V575" s="110"/>
      <c r="W575" s="110"/>
      <c r="X575" s="110"/>
      <c r="Y575" s="110"/>
      <c r="Z575" s="227"/>
    </row>
    <row r="576" spans="3:40" x14ac:dyDescent="0.3">
      <c r="C576" s="99"/>
      <c r="H576" s="172"/>
      <c r="I576" s="172"/>
      <c r="J576" s="227"/>
      <c r="K576" s="227"/>
      <c r="L576" s="110"/>
      <c r="M576" s="110"/>
      <c r="N576" s="141"/>
      <c r="O576" s="141"/>
      <c r="P576" s="110"/>
      <c r="Q576" s="110"/>
      <c r="R576" s="110"/>
      <c r="T576" s="99"/>
      <c r="V576" s="110"/>
      <c r="W576" s="110"/>
      <c r="X576" s="110"/>
      <c r="Y576" s="110"/>
      <c r="Z576" s="227"/>
      <c r="AA576" s="110"/>
      <c r="AB576" s="110"/>
      <c r="AC576" s="141"/>
      <c r="AD576" s="141"/>
      <c r="AE576" s="110"/>
      <c r="AF576" s="110"/>
      <c r="AH576" s="207"/>
      <c r="AI576" s="110"/>
      <c r="AJ576" s="110"/>
      <c r="AL576" s="110"/>
      <c r="AM576" s="141"/>
      <c r="AN576" s="141"/>
    </row>
    <row r="577" spans="1:40" x14ac:dyDescent="0.3">
      <c r="C577" s="99"/>
      <c r="F577" s="172"/>
      <c r="T577" s="99"/>
      <c r="V577" s="110"/>
      <c r="W577" s="110"/>
      <c r="X577" s="110"/>
      <c r="Y577" s="110"/>
      <c r="Z577" s="227"/>
    </row>
    <row r="578" spans="1:40" x14ac:dyDescent="0.3">
      <c r="C578" s="99"/>
      <c r="H578" s="172"/>
      <c r="I578" s="172"/>
      <c r="J578" s="227"/>
      <c r="K578" s="227"/>
      <c r="L578" s="110"/>
      <c r="M578" s="110"/>
      <c r="N578" s="141"/>
      <c r="O578" s="141"/>
      <c r="P578" s="110"/>
      <c r="Q578" s="110"/>
      <c r="R578" s="110"/>
      <c r="T578" s="99"/>
      <c r="V578" s="110"/>
      <c r="W578" s="110"/>
      <c r="X578" s="110"/>
      <c r="Y578" s="110"/>
      <c r="Z578" s="227"/>
      <c r="AA578" s="110"/>
      <c r="AB578" s="110"/>
      <c r="AC578" s="141"/>
      <c r="AD578" s="141"/>
      <c r="AE578" s="110"/>
      <c r="AF578" s="110"/>
      <c r="AH578" s="207"/>
      <c r="AI578" s="110"/>
      <c r="AJ578" s="110"/>
      <c r="AL578" s="110"/>
      <c r="AM578" s="141"/>
      <c r="AN578" s="141"/>
    </row>
    <row r="579" spans="1:40" x14ac:dyDescent="0.3">
      <c r="C579" s="99"/>
      <c r="F579" s="172"/>
      <c r="T579" s="99"/>
      <c r="V579" s="110"/>
      <c r="W579" s="110"/>
      <c r="X579" s="110"/>
      <c r="Y579" s="110"/>
      <c r="Z579" s="227"/>
    </row>
    <row r="580" spans="1:40" x14ac:dyDescent="0.3">
      <c r="C580" s="99"/>
      <c r="H580" s="172"/>
      <c r="I580" s="172"/>
      <c r="J580" s="227"/>
      <c r="K580" s="227"/>
      <c r="L580" s="110"/>
      <c r="M580" s="110"/>
      <c r="N580" s="141"/>
      <c r="O580" s="141"/>
      <c r="P580" s="110"/>
      <c r="Q580" s="110"/>
      <c r="R580" s="110"/>
      <c r="T580" s="99"/>
      <c r="V580" s="110"/>
      <c r="W580" s="110"/>
      <c r="X580" s="110"/>
      <c r="Y580" s="110"/>
      <c r="Z580" s="227"/>
      <c r="AA580" s="110"/>
      <c r="AB580" s="110"/>
      <c r="AC580" s="141"/>
      <c r="AD580" s="141"/>
      <c r="AE580" s="110"/>
      <c r="AF580" s="110"/>
      <c r="AH580" s="207"/>
      <c r="AI580" s="110"/>
      <c r="AJ580" s="110"/>
      <c r="AL580" s="110"/>
      <c r="AM580" s="141"/>
      <c r="AN580" s="141"/>
    </row>
    <row r="581" spans="1:40" x14ac:dyDescent="0.3">
      <c r="F581" s="172"/>
      <c r="H581" s="192"/>
      <c r="I581" s="192"/>
      <c r="J581" s="217"/>
      <c r="K581" s="217"/>
      <c r="L581" s="192"/>
      <c r="M581" s="192"/>
      <c r="N581" s="192"/>
      <c r="O581" s="192"/>
      <c r="P581" s="192"/>
      <c r="Q581" s="192"/>
      <c r="R581" s="192"/>
      <c r="V581" s="192"/>
      <c r="Y581" s="192"/>
      <c r="Z581" s="217"/>
      <c r="AA581" s="192"/>
      <c r="AB581" s="192"/>
      <c r="AC581" s="192"/>
      <c r="AD581" s="192"/>
      <c r="AE581" s="192"/>
      <c r="AF581" s="192"/>
      <c r="AI581" s="192"/>
      <c r="AJ581" s="192"/>
      <c r="AK581" s="194"/>
      <c r="AL581" s="192"/>
    </row>
    <row r="582" spans="1:40" x14ac:dyDescent="0.3">
      <c r="C582" s="99"/>
      <c r="F582" s="192"/>
      <c r="H582" s="110"/>
      <c r="I582" s="110"/>
      <c r="L582" s="110"/>
      <c r="M582" s="110"/>
      <c r="N582" s="141"/>
      <c r="O582" s="141"/>
      <c r="P582" s="172"/>
      <c r="Q582" s="172"/>
      <c r="R582" s="110"/>
      <c r="T582" s="99"/>
      <c r="V582" s="110"/>
      <c r="W582" s="110"/>
      <c r="X582" s="110"/>
      <c r="Y582" s="110"/>
      <c r="Z582" s="227"/>
      <c r="AA582" s="110"/>
      <c r="AB582" s="110"/>
      <c r="AC582" s="141"/>
      <c r="AD582" s="141"/>
      <c r="AE582" s="110"/>
      <c r="AF582" s="110"/>
      <c r="AH582" s="207"/>
      <c r="AI582" s="172"/>
      <c r="AJ582" s="172"/>
      <c r="AL582" s="110"/>
      <c r="AM582" s="141"/>
      <c r="AN582" s="141"/>
    </row>
    <row r="583" spans="1:40" x14ac:dyDescent="0.3">
      <c r="F583" s="110"/>
      <c r="H583" s="192"/>
      <c r="I583" s="192"/>
      <c r="J583" s="217"/>
      <c r="K583" s="217"/>
      <c r="L583" s="192"/>
      <c r="M583" s="192"/>
      <c r="N583" s="192"/>
      <c r="O583" s="192"/>
      <c r="P583" s="192"/>
      <c r="Q583" s="192"/>
      <c r="R583" s="192"/>
      <c r="V583" s="192"/>
      <c r="Y583" s="192"/>
      <c r="Z583" s="217"/>
      <c r="AA583" s="192"/>
      <c r="AB583" s="192"/>
      <c r="AC583" s="192"/>
      <c r="AD583" s="192"/>
      <c r="AE583" s="192"/>
      <c r="AF583" s="192"/>
      <c r="AI583" s="192"/>
      <c r="AJ583" s="192"/>
      <c r="AK583" s="194"/>
      <c r="AL583" s="192"/>
    </row>
    <row r="584" spans="1:40" x14ac:dyDescent="0.3">
      <c r="C584" s="99"/>
      <c r="F584" s="192"/>
      <c r="H584" s="110"/>
      <c r="I584" s="110"/>
      <c r="L584" s="110"/>
      <c r="M584" s="110"/>
      <c r="N584" s="141"/>
      <c r="O584" s="141"/>
      <c r="P584" s="110"/>
      <c r="Q584" s="110"/>
      <c r="R584" s="110"/>
      <c r="T584" s="99"/>
      <c r="V584" s="110"/>
      <c r="W584" s="110"/>
      <c r="X584" s="110"/>
      <c r="Y584" s="110"/>
      <c r="AA584" s="110"/>
      <c r="AB584" s="110"/>
      <c r="AC584" s="141"/>
      <c r="AD584" s="141"/>
      <c r="AE584" s="110"/>
      <c r="AF584" s="110"/>
      <c r="AH584" s="207"/>
      <c r="AI584" s="110"/>
      <c r="AJ584" s="110"/>
      <c r="AL584" s="110"/>
      <c r="AM584" s="207"/>
      <c r="AN584" s="207"/>
    </row>
    <row r="585" spans="1:40" x14ac:dyDescent="0.3">
      <c r="F585" s="110"/>
      <c r="H585" s="192"/>
      <c r="I585" s="192"/>
      <c r="J585" s="217"/>
      <c r="K585" s="217"/>
      <c r="L585" s="192"/>
      <c r="M585" s="192"/>
      <c r="N585" s="192"/>
      <c r="O585" s="192"/>
      <c r="P585" s="192"/>
      <c r="Q585" s="192"/>
      <c r="R585" s="192"/>
      <c r="V585" s="192"/>
      <c r="Y585" s="192"/>
      <c r="Z585" s="217"/>
      <c r="AA585" s="192"/>
      <c r="AB585" s="192"/>
      <c r="AC585" s="192"/>
      <c r="AD585" s="192"/>
      <c r="AE585" s="192"/>
      <c r="AF585" s="192"/>
      <c r="AI585" s="192"/>
      <c r="AJ585" s="192"/>
      <c r="AK585" s="194"/>
      <c r="AL585" s="192"/>
    </row>
    <row r="587" spans="1:40" x14ac:dyDescent="0.3">
      <c r="F587" s="192"/>
    </row>
    <row r="588" spans="1:40" x14ac:dyDescent="0.3">
      <c r="A588" s="99"/>
    </row>
    <row r="590" spans="1:40" x14ac:dyDescent="0.3">
      <c r="H590" s="99"/>
      <c r="I590" s="99"/>
      <c r="Y590" s="99"/>
    </row>
    <row r="592" spans="1:40" x14ac:dyDescent="0.3">
      <c r="L592" s="99"/>
      <c r="M592" s="99"/>
      <c r="AA592" s="99"/>
      <c r="AB592" s="99"/>
    </row>
    <row r="593" spans="1:40" x14ac:dyDescent="0.3">
      <c r="R593" s="99"/>
      <c r="AK593" s="190"/>
      <c r="AL593" s="99"/>
    </row>
    <row r="594" spans="1:40" x14ac:dyDescent="0.3">
      <c r="R594" s="99"/>
      <c r="AK594" s="190"/>
      <c r="AL594" s="99"/>
    </row>
    <row r="595" spans="1:40" x14ac:dyDescent="0.3">
      <c r="A595" s="99"/>
      <c r="R595" s="99"/>
      <c r="AK595" s="190"/>
      <c r="AL595" s="99"/>
    </row>
    <row r="596" spans="1:40" x14ac:dyDescent="0.3">
      <c r="L596" s="99"/>
      <c r="M596" s="99"/>
      <c r="AA596" s="99"/>
      <c r="AB596" s="99"/>
    </row>
    <row r="597" spans="1:40" x14ac:dyDescent="0.3">
      <c r="A597" s="101"/>
      <c r="B597" s="101"/>
      <c r="C597" s="101"/>
      <c r="D597" s="101"/>
      <c r="E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T597" s="101"/>
      <c r="U597" s="101"/>
      <c r="V597" s="101"/>
      <c r="W597" s="101"/>
      <c r="X597" s="101"/>
      <c r="Y597" s="101"/>
      <c r="Z597" s="101"/>
      <c r="AA597" s="101"/>
      <c r="AB597" s="101"/>
      <c r="AC597" s="101"/>
      <c r="AD597" s="101"/>
      <c r="AE597" s="101"/>
      <c r="AF597" s="101"/>
      <c r="AG597" s="191"/>
      <c r="AH597" s="101"/>
      <c r="AI597" s="101"/>
      <c r="AJ597" s="101"/>
      <c r="AK597" s="191"/>
      <c r="AL597" s="101"/>
      <c r="AM597" s="101"/>
      <c r="AN597" s="101"/>
    </row>
    <row r="598" spans="1:40" x14ac:dyDescent="0.3">
      <c r="F598" s="101"/>
      <c r="L598" s="102"/>
      <c r="M598" s="102"/>
      <c r="N598" s="102"/>
      <c r="O598" s="102"/>
      <c r="R598" s="102"/>
      <c r="AA598" s="102"/>
      <c r="AB598" s="102"/>
      <c r="AC598" s="102"/>
      <c r="AD598" s="102"/>
      <c r="AE598" s="102"/>
      <c r="AF598" s="102"/>
      <c r="AG598" s="151"/>
      <c r="AH598" s="102"/>
      <c r="AK598" s="151"/>
      <c r="AL598" s="102"/>
      <c r="AM598" s="102"/>
      <c r="AN598" s="102"/>
    </row>
    <row r="599" spans="1:40" x14ac:dyDescent="0.3">
      <c r="L599" s="102"/>
      <c r="M599" s="102"/>
      <c r="N599" s="102"/>
      <c r="O599" s="102"/>
      <c r="R599" s="102"/>
      <c r="Z599" s="102"/>
      <c r="AA599" s="102"/>
      <c r="AB599" s="102"/>
      <c r="AC599" s="102"/>
      <c r="AD599" s="102"/>
      <c r="AE599" s="102"/>
      <c r="AF599" s="102"/>
      <c r="AG599" s="151"/>
      <c r="AH599" s="102"/>
      <c r="AK599" s="151"/>
      <c r="AL599" s="102"/>
      <c r="AM599" s="102"/>
      <c r="AN599" s="102"/>
    </row>
    <row r="600" spans="1:40" x14ac:dyDescent="0.3">
      <c r="A600" s="102"/>
      <c r="C600" s="102"/>
      <c r="D600" s="102"/>
      <c r="E600" s="102"/>
      <c r="J600" s="102"/>
      <c r="K600" s="102"/>
      <c r="L600" s="102"/>
      <c r="M600" s="102"/>
      <c r="N600" s="102"/>
      <c r="O600" s="102"/>
      <c r="P600" s="102"/>
      <c r="Q600" s="102"/>
      <c r="R600" s="102"/>
      <c r="T600" s="102"/>
      <c r="U600" s="102"/>
      <c r="V600" s="102"/>
      <c r="Z600" s="102"/>
      <c r="AA600" s="102"/>
      <c r="AB600" s="102"/>
      <c r="AC600" s="102"/>
      <c r="AD600" s="102"/>
      <c r="AE600" s="102"/>
      <c r="AF600" s="102"/>
      <c r="AG600" s="151"/>
      <c r="AH600" s="102"/>
      <c r="AI600" s="102"/>
      <c r="AJ600" s="102"/>
      <c r="AK600" s="151"/>
      <c r="AL600" s="102"/>
      <c r="AM600" s="102"/>
      <c r="AN600" s="102"/>
    </row>
    <row r="601" spans="1:40" x14ac:dyDescent="0.3">
      <c r="A601" s="102"/>
      <c r="C601" s="102"/>
      <c r="D601" s="102"/>
      <c r="E601" s="102"/>
      <c r="F601" s="102"/>
      <c r="H601" s="102"/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T601" s="102"/>
      <c r="U601" s="102"/>
      <c r="V601" s="102"/>
      <c r="Y601" s="102"/>
      <c r="Z601" s="102"/>
      <c r="AA601" s="102"/>
      <c r="AB601" s="102"/>
      <c r="AC601" s="102"/>
      <c r="AD601" s="102"/>
      <c r="AE601" s="102"/>
      <c r="AF601" s="102"/>
      <c r="AG601" s="151"/>
      <c r="AH601" s="102"/>
      <c r="AI601" s="102"/>
      <c r="AJ601" s="102"/>
      <c r="AK601" s="151"/>
      <c r="AL601" s="102"/>
      <c r="AM601" s="102"/>
      <c r="AN601" s="102"/>
    </row>
    <row r="602" spans="1:40" x14ac:dyDescent="0.3">
      <c r="C602" s="102"/>
      <c r="D602" s="102"/>
      <c r="E602" s="102"/>
      <c r="F602" s="102"/>
      <c r="H602" s="102"/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T602" s="102"/>
      <c r="U602" s="102"/>
      <c r="V602" s="102"/>
      <c r="Y602" s="102"/>
      <c r="Z602" s="102"/>
      <c r="AA602" s="102"/>
      <c r="AB602" s="102"/>
      <c r="AC602" s="102"/>
      <c r="AD602" s="102"/>
      <c r="AE602" s="102"/>
      <c r="AF602" s="102"/>
      <c r="AG602" s="151"/>
      <c r="AH602" s="102"/>
      <c r="AI602" s="102"/>
      <c r="AJ602" s="102"/>
      <c r="AK602" s="151"/>
      <c r="AL602" s="102"/>
      <c r="AM602" s="102"/>
      <c r="AN602" s="102"/>
    </row>
    <row r="603" spans="1:40" x14ac:dyDescent="0.3">
      <c r="A603" s="101"/>
      <c r="B603" s="101"/>
      <c r="C603" s="101"/>
      <c r="D603" s="101"/>
      <c r="E603" s="101"/>
      <c r="F603" s="102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T603" s="101"/>
      <c r="U603" s="101"/>
      <c r="V603" s="101"/>
      <c r="W603" s="101"/>
      <c r="X603" s="101"/>
      <c r="Y603" s="101"/>
      <c r="Z603" s="101"/>
      <c r="AA603" s="101"/>
      <c r="AB603" s="101"/>
      <c r="AC603" s="101"/>
      <c r="AD603" s="101"/>
      <c r="AE603" s="101"/>
      <c r="AF603" s="101"/>
      <c r="AG603" s="191"/>
      <c r="AH603" s="101"/>
      <c r="AI603" s="101"/>
      <c r="AJ603" s="101"/>
      <c r="AK603" s="191"/>
      <c r="AL603" s="101"/>
      <c r="AM603" s="101"/>
      <c r="AN603" s="101"/>
    </row>
    <row r="604" spans="1:40" x14ac:dyDescent="0.3">
      <c r="F604" s="101"/>
      <c r="H604" s="102"/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Y604" s="102"/>
      <c r="Z604" s="102"/>
      <c r="AA604" s="102"/>
      <c r="AB604" s="102"/>
      <c r="AC604" s="102"/>
      <c r="AD604" s="102"/>
      <c r="AE604" s="102"/>
      <c r="AF604" s="102"/>
      <c r="AG604" s="151"/>
      <c r="AH604" s="102"/>
      <c r="AI604" s="102"/>
      <c r="AJ604" s="102"/>
      <c r="AK604" s="151"/>
      <c r="AL604" s="102"/>
      <c r="AM604" s="102"/>
      <c r="AN604" s="102"/>
    </row>
    <row r="605" spans="1:40" x14ac:dyDescent="0.3">
      <c r="C605" s="99"/>
      <c r="D605" s="99"/>
      <c r="E605" s="99"/>
      <c r="H605" s="110"/>
      <c r="I605" s="110"/>
      <c r="J605" s="198"/>
      <c r="K605" s="198"/>
      <c r="L605" s="110"/>
      <c r="M605" s="110"/>
      <c r="N605" s="198"/>
      <c r="O605" s="198"/>
      <c r="P605" s="110"/>
      <c r="Q605" s="110"/>
      <c r="R605" s="110"/>
      <c r="T605" s="99"/>
      <c r="U605" s="99"/>
      <c r="V605" s="110"/>
      <c r="Y605" s="110"/>
      <c r="Z605" s="198"/>
      <c r="AA605" s="110"/>
      <c r="AB605" s="110"/>
      <c r="AC605" s="198"/>
      <c r="AD605" s="198"/>
      <c r="AE605" s="110"/>
      <c r="AF605" s="110"/>
      <c r="AH605" s="207"/>
      <c r="AI605" s="110"/>
      <c r="AJ605" s="110"/>
      <c r="AL605" s="110"/>
      <c r="AM605" s="141"/>
      <c r="AN605" s="141"/>
    </row>
    <row r="606" spans="1:40" x14ac:dyDescent="0.3">
      <c r="F606" s="110"/>
      <c r="H606" s="192"/>
      <c r="I606" s="192"/>
      <c r="J606" s="217"/>
      <c r="K606" s="217"/>
      <c r="L606" s="192"/>
      <c r="M606" s="192"/>
      <c r="N606" s="192"/>
      <c r="O606" s="192"/>
      <c r="P606" s="192"/>
      <c r="Q606" s="192"/>
      <c r="R606" s="192"/>
      <c r="V606" s="192"/>
      <c r="Y606" s="192"/>
      <c r="Z606" s="217"/>
      <c r="AA606" s="192"/>
      <c r="AB606" s="192"/>
      <c r="AC606" s="192"/>
      <c r="AD606" s="192"/>
      <c r="AE606" s="192"/>
      <c r="AF606" s="192"/>
      <c r="AI606" s="192"/>
      <c r="AJ606" s="192"/>
      <c r="AK606" s="194"/>
      <c r="AL606" s="192"/>
      <c r="AM606" s="141"/>
      <c r="AN606" s="141"/>
    </row>
    <row r="607" spans="1:40" x14ac:dyDescent="0.3">
      <c r="C607" s="99"/>
      <c r="F607" s="192"/>
      <c r="H607" s="110"/>
      <c r="I607" s="110"/>
      <c r="J607" s="198"/>
      <c r="K607" s="198"/>
      <c r="L607" s="110"/>
      <c r="M607" s="110"/>
      <c r="N607" s="198"/>
      <c r="O607" s="198"/>
      <c r="P607" s="110"/>
      <c r="Q607" s="110"/>
      <c r="R607" s="110"/>
      <c r="T607" s="99"/>
      <c r="V607" s="110"/>
      <c r="Y607" s="110"/>
      <c r="Z607" s="198"/>
      <c r="AA607" s="110"/>
      <c r="AB607" s="110"/>
      <c r="AC607" s="198"/>
      <c r="AD607" s="198"/>
      <c r="AE607" s="110"/>
      <c r="AF607" s="110"/>
      <c r="AH607" s="207"/>
      <c r="AI607" s="110"/>
      <c r="AJ607" s="110"/>
      <c r="AL607" s="110"/>
      <c r="AM607" s="141"/>
      <c r="AN607" s="141"/>
    </row>
    <row r="608" spans="1:40" x14ac:dyDescent="0.3">
      <c r="F608" s="110"/>
      <c r="H608" s="110"/>
      <c r="I608" s="110"/>
      <c r="J608" s="198"/>
      <c r="K608" s="198"/>
      <c r="L608" s="110"/>
      <c r="M608" s="110"/>
      <c r="N608" s="198"/>
      <c r="O608" s="198"/>
      <c r="P608" s="110"/>
      <c r="Q608" s="110"/>
      <c r="R608" s="110"/>
      <c r="V608" s="110"/>
      <c r="Y608" s="110"/>
      <c r="Z608" s="198"/>
      <c r="AA608" s="110"/>
      <c r="AB608" s="110"/>
      <c r="AC608" s="198"/>
      <c r="AD608" s="198"/>
      <c r="AH608" s="207"/>
      <c r="AI608" s="110"/>
      <c r="AJ608" s="110"/>
      <c r="AL608" s="110"/>
      <c r="AM608" s="141"/>
      <c r="AN608" s="141"/>
    </row>
    <row r="609" spans="3:40" x14ac:dyDescent="0.3">
      <c r="C609" s="99"/>
      <c r="D609" s="99"/>
      <c r="E609" s="99"/>
      <c r="F609" s="110"/>
      <c r="H609" s="110"/>
      <c r="I609" s="110"/>
      <c r="J609" s="198"/>
      <c r="K609" s="198"/>
      <c r="L609" s="110"/>
      <c r="M609" s="110"/>
      <c r="N609" s="198"/>
      <c r="O609" s="198"/>
      <c r="P609" s="110"/>
      <c r="Q609" s="110"/>
      <c r="R609" s="110"/>
      <c r="T609" s="99"/>
      <c r="U609" s="99"/>
      <c r="V609" s="110"/>
      <c r="Y609" s="110"/>
      <c r="Z609" s="198"/>
      <c r="AA609" s="110"/>
      <c r="AB609" s="110"/>
      <c r="AC609" s="198"/>
      <c r="AD609" s="198"/>
      <c r="AE609" s="110"/>
      <c r="AF609" s="110"/>
      <c r="AH609" s="207"/>
      <c r="AI609" s="110"/>
      <c r="AJ609" s="110"/>
      <c r="AL609" s="110"/>
      <c r="AM609" s="141"/>
      <c r="AN609" s="141"/>
    </row>
    <row r="610" spans="3:40" x14ac:dyDescent="0.3">
      <c r="C610" s="99"/>
      <c r="D610" s="99"/>
      <c r="E610" s="99"/>
      <c r="F610" s="110"/>
      <c r="H610" s="110"/>
      <c r="I610" s="110"/>
      <c r="J610" s="198"/>
      <c r="K610" s="198"/>
      <c r="L610" s="110"/>
      <c r="M610" s="110"/>
      <c r="N610" s="198"/>
      <c r="O610" s="198"/>
      <c r="P610" s="110"/>
      <c r="Q610" s="110"/>
      <c r="R610" s="110"/>
      <c r="T610" s="99"/>
      <c r="U610" s="99"/>
      <c r="V610" s="110"/>
      <c r="Y610" s="110"/>
      <c r="Z610" s="198"/>
      <c r="AA610" s="110"/>
      <c r="AB610" s="110"/>
      <c r="AC610" s="198"/>
      <c r="AD610" s="198"/>
      <c r="AE610" s="110"/>
      <c r="AF610" s="110"/>
      <c r="AH610" s="207"/>
      <c r="AI610" s="110"/>
      <c r="AJ610" s="110"/>
      <c r="AL610" s="110"/>
      <c r="AM610" s="141"/>
      <c r="AN610" s="141"/>
    </row>
    <row r="611" spans="3:40" x14ac:dyDescent="0.3">
      <c r="C611" s="99"/>
      <c r="D611" s="99"/>
      <c r="E611" s="99"/>
      <c r="F611" s="110"/>
      <c r="H611" s="110"/>
      <c r="I611" s="110"/>
      <c r="J611" s="198"/>
      <c r="K611" s="198"/>
      <c r="L611" s="110"/>
      <c r="M611" s="110"/>
      <c r="N611" s="198"/>
      <c r="O611" s="198"/>
      <c r="P611" s="110"/>
      <c r="Q611" s="110"/>
      <c r="R611" s="110"/>
      <c r="T611" s="99"/>
      <c r="U611" s="99"/>
      <c r="V611" s="110"/>
      <c r="Y611" s="110"/>
      <c r="Z611" s="198"/>
      <c r="AA611" s="110"/>
      <c r="AB611" s="110"/>
      <c r="AC611" s="198"/>
      <c r="AD611" s="198"/>
      <c r="AE611" s="110"/>
      <c r="AF611" s="110"/>
      <c r="AH611" s="207"/>
      <c r="AI611" s="110"/>
      <c r="AJ611" s="110"/>
      <c r="AL611" s="110"/>
      <c r="AM611" s="141"/>
      <c r="AN611" s="141"/>
    </row>
    <row r="612" spans="3:40" x14ac:dyDescent="0.3">
      <c r="C612" s="99"/>
      <c r="D612" s="99"/>
      <c r="E612" s="99"/>
      <c r="F612" s="110"/>
      <c r="H612" s="110"/>
      <c r="I612" s="110"/>
      <c r="J612" s="198"/>
      <c r="K612" s="198"/>
      <c r="L612" s="110"/>
      <c r="M612" s="110"/>
      <c r="N612" s="198"/>
      <c r="O612" s="198"/>
      <c r="P612" s="110"/>
      <c r="Q612" s="110"/>
      <c r="R612" s="110"/>
      <c r="T612" s="99"/>
      <c r="U612" s="99"/>
      <c r="V612" s="110"/>
      <c r="Y612" s="110"/>
      <c r="Z612" s="198"/>
      <c r="AA612" s="110"/>
      <c r="AB612" s="110"/>
      <c r="AC612" s="198"/>
      <c r="AD612" s="198"/>
      <c r="AE612" s="110"/>
      <c r="AF612" s="110"/>
      <c r="AH612" s="207"/>
      <c r="AI612" s="110"/>
      <c r="AJ612" s="110"/>
      <c r="AL612" s="110"/>
      <c r="AM612" s="141"/>
      <c r="AN612" s="141"/>
    </row>
    <row r="613" spans="3:40" x14ac:dyDescent="0.3">
      <c r="C613" s="99"/>
      <c r="D613" s="99"/>
      <c r="E613" s="99"/>
      <c r="F613" s="110"/>
      <c r="H613" s="110"/>
      <c r="I613" s="110"/>
      <c r="J613" s="198"/>
      <c r="K613" s="198"/>
      <c r="L613" s="110"/>
      <c r="M613" s="110"/>
      <c r="N613" s="198"/>
      <c r="O613" s="198"/>
      <c r="P613" s="110"/>
      <c r="Q613" s="110"/>
      <c r="R613" s="110"/>
      <c r="T613" s="99"/>
      <c r="U613" s="99"/>
      <c r="V613" s="110"/>
      <c r="Y613" s="110"/>
      <c r="Z613" s="198"/>
      <c r="AA613" s="110"/>
      <c r="AB613" s="110"/>
      <c r="AC613" s="198"/>
      <c r="AD613" s="198"/>
      <c r="AE613" s="110"/>
      <c r="AF613" s="110"/>
      <c r="AH613" s="207"/>
      <c r="AI613" s="110"/>
      <c r="AJ613" s="110"/>
      <c r="AL613" s="110"/>
      <c r="AM613" s="141"/>
      <c r="AN613" s="141"/>
    </row>
    <row r="614" spans="3:40" x14ac:dyDescent="0.3">
      <c r="C614" s="99"/>
      <c r="D614" s="99"/>
      <c r="E614" s="99"/>
      <c r="F614" s="110"/>
      <c r="H614" s="110"/>
      <c r="I614" s="110"/>
      <c r="J614" s="198"/>
      <c r="K614" s="198"/>
      <c r="L614" s="110"/>
      <c r="M614" s="110"/>
      <c r="N614" s="198"/>
      <c r="O614" s="198"/>
      <c r="P614" s="110"/>
      <c r="Q614" s="110"/>
      <c r="R614" s="110"/>
      <c r="T614" s="99"/>
      <c r="U614" s="99"/>
      <c r="V614" s="110"/>
      <c r="Y614" s="110"/>
      <c r="Z614" s="198"/>
      <c r="AA614" s="110"/>
      <c r="AB614" s="110"/>
      <c r="AC614" s="198"/>
      <c r="AD614" s="198"/>
      <c r="AE614" s="110"/>
      <c r="AF614" s="110"/>
      <c r="AH614" s="207"/>
      <c r="AI614" s="110"/>
      <c r="AJ614" s="110"/>
      <c r="AL614" s="110"/>
      <c r="AM614" s="141"/>
      <c r="AN614" s="141"/>
    </row>
    <row r="615" spans="3:40" x14ac:dyDescent="0.3">
      <c r="F615" s="110"/>
      <c r="H615" s="192"/>
      <c r="I615" s="192"/>
      <c r="J615" s="217"/>
      <c r="K615" s="217"/>
      <c r="L615" s="192"/>
      <c r="M615" s="192"/>
      <c r="N615" s="192"/>
      <c r="O615" s="192"/>
      <c r="P615" s="192"/>
      <c r="Q615" s="192"/>
      <c r="R615" s="192"/>
      <c r="V615" s="192"/>
      <c r="Y615" s="192"/>
      <c r="Z615" s="217"/>
      <c r="AA615" s="192"/>
      <c r="AB615" s="192"/>
      <c r="AC615" s="192"/>
      <c r="AD615" s="192"/>
      <c r="AE615" s="192"/>
      <c r="AF615" s="192"/>
      <c r="AI615" s="192"/>
      <c r="AJ615" s="192"/>
      <c r="AK615" s="194"/>
      <c r="AL615" s="192"/>
      <c r="AM615" s="141"/>
      <c r="AN615" s="141"/>
    </row>
    <row r="616" spans="3:40" x14ac:dyDescent="0.3">
      <c r="C616" s="99"/>
      <c r="F616" s="192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V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F617" s="110"/>
      <c r="H617" s="110"/>
      <c r="I617" s="110"/>
      <c r="J617" s="198"/>
      <c r="K617" s="198"/>
      <c r="L617" s="110"/>
      <c r="M617" s="110"/>
      <c r="N617" s="198"/>
      <c r="O617" s="198"/>
      <c r="P617" s="110"/>
      <c r="Q617" s="110"/>
      <c r="R617" s="110"/>
      <c r="V617" s="110"/>
      <c r="Y617" s="110"/>
      <c r="Z617" s="198"/>
      <c r="AA617" s="110"/>
      <c r="AB617" s="110"/>
      <c r="AC617" s="198"/>
      <c r="AD617" s="198"/>
      <c r="AH617" s="207"/>
      <c r="AI617" s="110"/>
      <c r="AJ617" s="110"/>
      <c r="AL617" s="110"/>
      <c r="AM617" s="141"/>
      <c r="AN617" s="141"/>
    </row>
    <row r="618" spans="3:40" x14ac:dyDescent="0.3">
      <c r="C618" s="99"/>
      <c r="D618" s="99"/>
      <c r="E618" s="99"/>
      <c r="F618" s="110"/>
      <c r="H618" s="110"/>
      <c r="I618" s="110"/>
      <c r="J618" s="198"/>
      <c r="K618" s="198"/>
      <c r="L618" s="110"/>
      <c r="M618" s="110"/>
      <c r="N618" s="198"/>
      <c r="O618" s="198"/>
      <c r="P618" s="110"/>
      <c r="Q618" s="110"/>
      <c r="R618" s="110"/>
      <c r="T618" s="99"/>
      <c r="U618" s="99"/>
      <c r="V618" s="110"/>
      <c r="Y618" s="110"/>
      <c r="Z618" s="198"/>
      <c r="AA618" s="110"/>
      <c r="AB618" s="110"/>
      <c r="AC618" s="198"/>
      <c r="AD618" s="198"/>
      <c r="AE618" s="110"/>
      <c r="AF618" s="110"/>
      <c r="AH618" s="207"/>
      <c r="AI618" s="110"/>
      <c r="AJ618" s="110"/>
      <c r="AL618" s="110"/>
      <c r="AM618" s="141"/>
      <c r="AN618" s="141"/>
    </row>
    <row r="619" spans="3:40" x14ac:dyDescent="0.3">
      <c r="F619" s="110"/>
      <c r="H619" s="192"/>
      <c r="I619" s="192"/>
      <c r="J619" s="217"/>
      <c r="K619" s="217"/>
      <c r="L619" s="192"/>
      <c r="M619" s="192"/>
      <c r="N619" s="192"/>
      <c r="O619" s="192"/>
      <c r="P619" s="192"/>
      <c r="Q619" s="192"/>
      <c r="R619" s="192"/>
      <c r="V619" s="192"/>
      <c r="Y619" s="192"/>
      <c r="Z619" s="217"/>
      <c r="AA619" s="192"/>
      <c r="AB619" s="192"/>
      <c r="AC619" s="192"/>
      <c r="AD619" s="192"/>
      <c r="AE619" s="192"/>
      <c r="AF619" s="192"/>
      <c r="AI619" s="192"/>
      <c r="AJ619" s="192"/>
      <c r="AK619" s="194"/>
      <c r="AL619" s="192"/>
      <c r="AM619" s="141"/>
      <c r="AN619" s="141"/>
    </row>
    <row r="620" spans="3:40" x14ac:dyDescent="0.3">
      <c r="C620" s="99"/>
      <c r="F620" s="192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V620" s="110"/>
      <c r="Y620" s="110"/>
      <c r="Z620" s="198"/>
      <c r="AA620" s="110"/>
      <c r="AB620" s="110"/>
      <c r="AC620" s="198"/>
      <c r="AD620" s="198"/>
      <c r="AE620" s="110"/>
      <c r="AF620" s="110"/>
      <c r="AH620" s="207"/>
      <c r="AI620" s="110"/>
      <c r="AJ620" s="110"/>
      <c r="AL620" s="110"/>
      <c r="AM620" s="141"/>
      <c r="AN620" s="141"/>
    </row>
    <row r="621" spans="3:40" x14ac:dyDescent="0.3">
      <c r="F621" s="110"/>
      <c r="H621" s="110"/>
      <c r="I621" s="110"/>
      <c r="J621" s="198"/>
      <c r="K621" s="198"/>
      <c r="L621" s="110"/>
      <c r="M621" s="110"/>
      <c r="N621" s="198"/>
      <c r="O621" s="198"/>
      <c r="P621" s="110"/>
      <c r="Q621" s="110"/>
      <c r="R621" s="110"/>
      <c r="V621" s="110"/>
      <c r="Y621" s="110"/>
      <c r="Z621" s="198"/>
      <c r="AA621" s="110"/>
      <c r="AB621" s="110"/>
      <c r="AC621" s="198"/>
      <c r="AD621" s="198"/>
      <c r="AH621" s="207"/>
      <c r="AI621" s="110"/>
      <c r="AJ621" s="110"/>
      <c r="AL621" s="110"/>
      <c r="AM621" s="141"/>
      <c r="AN621" s="141"/>
    </row>
    <row r="622" spans="3:40" x14ac:dyDescent="0.3">
      <c r="C622" s="99"/>
      <c r="D622" s="99"/>
      <c r="E622" s="99"/>
      <c r="F622" s="110"/>
      <c r="H622" s="110"/>
      <c r="I622" s="110"/>
      <c r="J622" s="198"/>
      <c r="K622" s="198"/>
      <c r="L622" s="110"/>
      <c r="M622" s="110"/>
      <c r="N622" s="198"/>
      <c r="O622" s="198"/>
      <c r="P622" s="110"/>
      <c r="Q622" s="110"/>
      <c r="R622" s="110"/>
      <c r="T622" s="99"/>
      <c r="U622" s="99"/>
      <c r="V622" s="110"/>
      <c r="Y622" s="110"/>
      <c r="Z622" s="198"/>
      <c r="AA622" s="110"/>
      <c r="AB622" s="110"/>
      <c r="AC622" s="198"/>
      <c r="AD622" s="198"/>
      <c r="AE622" s="110"/>
      <c r="AF622" s="110"/>
      <c r="AH622" s="207"/>
      <c r="AI622" s="110"/>
      <c r="AJ622" s="110"/>
      <c r="AL622" s="110"/>
      <c r="AM622" s="141"/>
      <c r="AN622" s="141"/>
    </row>
    <row r="623" spans="3:40" x14ac:dyDescent="0.3">
      <c r="C623" s="99"/>
      <c r="D623" s="99"/>
      <c r="E623" s="99"/>
      <c r="F623" s="110"/>
      <c r="G623" s="110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T623" s="99"/>
      <c r="U623" s="99"/>
      <c r="V623" s="110"/>
      <c r="W623" s="110"/>
      <c r="X623" s="110"/>
      <c r="Y623" s="110"/>
      <c r="Z623" s="198"/>
      <c r="AA623" s="110"/>
      <c r="AB623" s="110"/>
      <c r="AC623" s="198"/>
      <c r="AD623" s="198"/>
      <c r="AE623" s="110"/>
      <c r="AF623" s="110"/>
      <c r="AH623" s="207"/>
      <c r="AI623" s="110"/>
      <c r="AJ623" s="110"/>
      <c r="AL623" s="110"/>
      <c r="AM623" s="141"/>
      <c r="AN623" s="141"/>
    </row>
    <row r="624" spans="3:40" x14ac:dyDescent="0.3">
      <c r="C624" s="99"/>
      <c r="D624" s="99"/>
      <c r="E624" s="99"/>
      <c r="F624" s="110"/>
      <c r="G624" s="110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T624" s="99"/>
      <c r="U624" s="99"/>
      <c r="V624" s="110"/>
      <c r="W624" s="110"/>
      <c r="X624" s="110"/>
      <c r="Y624" s="110"/>
      <c r="Z624" s="198"/>
      <c r="AA624" s="110"/>
      <c r="AB624" s="110"/>
      <c r="AC624" s="198"/>
      <c r="AD624" s="198"/>
      <c r="AE624" s="110"/>
      <c r="AF624" s="110"/>
      <c r="AH624" s="207"/>
      <c r="AI624" s="110"/>
      <c r="AJ624" s="110"/>
      <c r="AL624" s="110"/>
      <c r="AM624" s="141"/>
      <c r="AN624" s="141"/>
    </row>
    <row r="625" spans="3:40" x14ac:dyDescent="0.3">
      <c r="C625" s="99"/>
      <c r="D625" s="99"/>
      <c r="E625" s="99"/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T625" s="99"/>
      <c r="U625" s="99"/>
      <c r="V625" s="110"/>
      <c r="Y625" s="110"/>
      <c r="Z625" s="198"/>
      <c r="AA625" s="110"/>
      <c r="AB625" s="110"/>
      <c r="AC625" s="198"/>
      <c r="AD625" s="198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C626" s="99"/>
      <c r="D626" s="99"/>
      <c r="E626" s="99"/>
      <c r="F626" s="110"/>
      <c r="H626" s="110"/>
      <c r="I626" s="110"/>
      <c r="J626" s="198"/>
      <c r="K626" s="198"/>
      <c r="L626" s="110"/>
      <c r="M626" s="110"/>
      <c r="N626" s="198"/>
      <c r="O626" s="198"/>
      <c r="P626" s="110"/>
      <c r="Q626" s="110"/>
      <c r="R626" s="110"/>
      <c r="T626" s="99"/>
      <c r="U626" s="99"/>
      <c r="V626" s="110"/>
      <c r="Y626" s="110"/>
      <c r="Z626" s="198"/>
      <c r="AA626" s="110"/>
      <c r="AB626" s="110"/>
      <c r="AC626" s="198"/>
      <c r="AD626" s="198"/>
      <c r="AE626" s="110"/>
      <c r="AF626" s="110"/>
      <c r="AH626" s="207"/>
      <c r="AI626" s="110"/>
      <c r="AJ626" s="110"/>
      <c r="AL626" s="110"/>
      <c r="AM626" s="141"/>
      <c r="AN626" s="141"/>
    </row>
    <row r="627" spans="3:40" x14ac:dyDescent="0.3">
      <c r="C627" s="99"/>
      <c r="D627" s="99"/>
      <c r="E627" s="99"/>
      <c r="F627" s="110"/>
      <c r="H627" s="110"/>
      <c r="I627" s="110"/>
      <c r="J627" s="198"/>
      <c r="K627" s="198"/>
      <c r="L627" s="110"/>
      <c r="M627" s="110"/>
      <c r="N627" s="198"/>
      <c r="O627" s="198"/>
      <c r="P627" s="110"/>
      <c r="Q627" s="110"/>
      <c r="R627" s="110"/>
      <c r="T627" s="99"/>
      <c r="U627" s="99"/>
      <c r="V627" s="110"/>
      <c r="Y627" s="110"/>
      <c r="Z627" s="198"/>
      <c r="AA627" s="110"/>
      <c r="AB627" s="110"/>
      <c r="AC627" s="198"/>
      <c r="AD627" s="198"/>
      <c r="AE627" s="110"/>
      <c r="AF627" s="110"/>
      <c r="AH627" s="207"/>
      <c r="AI627" s="110"/>
      <c r="AJ627" s="110"/>
      <c r="AL627" s="110"/>
      <c r="AM627" s="141"/>
      <c r="AN627" s="141"/>
    </row>
    <row r="628" spans="3:40" x14ac:dyDescent="0.3">
      <c r="C628" s="99"/>
      <c r="D628" s="99"/>
      <c r="E628" s="99"/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T628" s="99"/>
      <c r="U628" s="99"/>
      <c r="V628" s="110"/>
      <c r="Y628" s="110"/>
      <c r="Z628" s="198"/>
      <c r="AA628" s="110"/>
      <c r="AB628" s="110"/>
      <c r="AC628" s="198"/>
      <c r="AD628" s="198"/>
      <c r="AE628" s="110"/>
      <c r="AF628" s="110"/>
      <c r="AH628" s="207"/>
      <c r="AI628" s="110"/>
      <c r="AJ628" s="110"/>
      <c r="AL628" s="110"/>
      <c r="AM628" s="141"/>
      <c r="AN628" s="141"/>
    </row>
    <row r="629" spans="3:40" x14ac:dyDescent="0.3">
      <c r="F629" s="110"/>
      <c r="H629" s="192"/>
      <c r="I629" s="192"/>
      <c r="J629" s="217"/>
      <c r="K629" s="217"/>
      <c r="L629" s="192"/>
      <c r="M629" s="192"/>
      <c r="N629" s="192"/>
      <c r="O629" s="192"/>
      <c r="P629" s="192"/>
      <c r="Q629" s="192"/>
      <c r="R629" s="192"/>
      <c r="V629" s="192"/>
      <c r="Y629" s="192"/>
      <c r="Z629" s="217"/>
      <c r="AA629" s="192"/>
      <c r="AB629" s="192"/>
      <c r="AC629" s="192"/>
      <c r="AD629" s="192"/>
      <c r="AE629" s="192"/>
      <c r="AF629" s="192"/>
      <c r="AI629" s="192"/>
      <c r="AJ629" s="192"/>
      <c r="AK629" s="194"/>
      <c r="AL629" s="192"/>
      <c r="AM629" s="141"/>
      <c r="AN629" s="141"/>
    </row>
    <row r="630" spans="3:40" x14ac:dyDescent="0.3">
      <c r="C630" s="99"/>
      <c r="F630" s="192"/>
      <c r="H630" s="110"/>
      <c r="I630" s="110"/>
      <c r="J630" s="198"/>
      <c r="K630" s="198"/>
      <c r="L630" s="110"/>
      <c r="M630" s="110"/>
      <c r="N630" s="198"/>
      <c r="O630" s="198"/>
      <c r="P630" s="110"/>
      <c r="Q630" s="110"/>
      <c r="R630" s="110"/>
      <c r="T630" s="99"/>
      <c r="V630" s="110"/>
      <c r="Y630" s="110"/>
      <c r="Z630" s="198"/>
      <c r="AA630" s="110"/>
      <c r="AB630" s="110"/>
      <c r="AC630" s="198"/>
      <c r="AD630" s="198"/>
      <c r="AE630" s="110"/>
      <c r="AF630" s="110"/>
      <c r="AH630" s="207"/>
      <c r="AI630" s="110"/>
      <c r="AJ630" s="110"/>
      <c r="AL630" s="110"/>
      <c r="AM630" s="141"/>
      <c r="AN630" s="141"/>
    </row>
    <row r="631" spans="3:40" x14ac:dyDescent="0.3">
      <c r="F631" s="110"/>
      <c r="V631" s="110"/>
      <c r="Y631" s="110"/>
      <c r="Z631" s="217"/>
      <c r="AA631" s="110"/>
      <c r="AB631" s="110"/>
      <c r="AC631" s="110"/>
      <c r="AD631" s="110"/>
      <c r="AE631" s="110"/>
      <c r="AF631" s="110"/>
      <c r="AI631" s="110"/>
      <c r="AJ631" s="110"/>
      <c r="AL631" s="110"/>
      <c r="AM631" s="141"/>
      <c r="AN631" s="141"/>
    </row>
    <row r="632" spans="3:40" x14ac:dyDescent="0.3">
      <c r="C632" s="99"/>
      <c r="D632" s="99"/>
      <c r="E632" s="99"/>
      <c r="L632" s="110"/>
      <c r="M632" s="110"/>
      <c r="N632" s="198"/>
      <c r="O632" s="198"/>
      <c r="R632" s="110"/>
      <c r="T632" s="99"/>
      <c r="U632" s="99"/>
      <c r="AA632" s="110"/>
      <c r="AB632" s="110"/>
      <c r="AC632" s="198"/>
      <c r="AD632" s="198"/>
      <c r="AE632" s="110"/>
      <c r="AF632" s="110"/>
      <c r="AH632" s="207"/>
      <c r="AL632" s="110"/>
      <c r="AM632" s="141"/>
      <c r="AN632" s="141"/>
    </row>
    <row r="633" spans="3:40" x14ac:dyDescent="0.3">
      <c r="D633" s="99"/>
      <c r="E633" s="99"/>
      <c r="H633" s="172"/>
      <c r="I633" s="172"/>
      <c r="J633" s="198"/>
      <c r="K633" s="198"/>
      <c r="L633" s="110"/>
      <c r="M633" s="110"/>
      <c r="N633" s="198"/>
      <c r="O633" s="198"/>
      <c r="P633" s="172"/>
      <c r="Q633" s="172"/>
      <c r="R633" s="110"/>
      <c r="U633" s="99"/>
      <c r="V633" s="110"/>
      <c r="Y633" s="110"/>
      <c r="Z633" s="198"/>
      <c r="AA633" s="110"/>
      <c r="AB633" s="110"/>
      <c r="AC633" s="198"/>
      <c r="AD633" s="198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F634" s="172"/>
      <c r="H634" s="192"/>
      <c r="I634" s="192"/>
      <c r="J634" s="217"/>
      <c r="K634" s="217"/>
      <c r="L634" s="192"/>
      <c r="M634" s="192"/>
      <c r="N634" s="192"/>
      <c r="O634" s="192"/>
      <c r="P634" s="192"/>
      <c r="Q634" s="192"/>
      <c r="R634" s="192"/>
      <c r="V634" s="192"/>
      <c r="Y634" s="192"/>
      <c r="Z634" s="217"/>
      <c r="AA634" s="192"/>
      <c r="AB634" s="192"/>
      <c r="AC634" s="192"/>
      <c r="AD634" s="192"/>
      <c r="AE634" s="192"/>
      <c r="AF634" s="192"/>
      <c r="AI634" s="192"/>
      <c r="AJ634" s="192"/>
      <c r="AK634" s="194"/>
      <c r="AL634" s="192"/>
      <c r="AM634" s="141"/>
      <c r="AN634" s="141"/>
    </row>
    <row r="635" spans="3:40" x14ac:dyDescent="0.3">
      <c r="C635" s="99"/>
      <c r="F635" s="192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T635" s="99"/>
      <c r="V635" s="110"/>
      <c r="Y635" s="110"/>
      <c r="Z635" s="198"/>
      <c r="AA635" s="110"/>
      <c r="AB635" s="110"/>
      <c r="AC635" s="198"/>
      <c r="AD635" s="198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V636" s="110"/>
      <c r="Y636" s="110"/>
      <c r="Z636" s="198"/>
      <c r="AA636" s="110"/>
      <c r="AB636" s="110"/>
      <c r="AC636" s="198"/>
      <c r="AD636" s="198"/>
      <c r="AH636" s="207"/>
      <c r="AI636" s="110"/>
      <c r="AJ636" s="110"/>
      <c r="AL636" s="110"/>
      <c r="AM636" s="141"/>
      <c r="AN636" s="141"/>
    </row>
    <row r="637" spans="3:40" x14ac:dyDescent="0.3">
      <c r="D637" s="99"/>
      <c r="E637" s="99"/>
      <c r="F637" s="110"/>
      <c r="H637" s="110"/>
      <c r="I637" s="110"/>
      <c r="J637" s="198"/>
      <c r="K637" s="198"/>
      <c r="L637" s="172"/>
      <c r="M637" s="172"/>
      <c r="N637" s="198"/>
      <c r="O637" s="198"/>
      <c r="P637" s="110"/>
      <c r="Q637" s="110"/>
      <c r="R637" s="110"/>
      <c r="U637" s="99"/>
      <c r="V637" s="110"/>
      <c r="Y637" s="110"/>
      <c r="Z637" s="198"/>
      <c r="AA637" s="172"/>
      <c r="AB637" s="172"/>
      <c r="AC637" s="198"/>
      <c r="AD637" s="198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D638" s="99"/>
      <c r="E638" s="99"/>
      <c r="F638" s="110"/>
      <c r="H638" s="110"/>
      <c r="I638" s="110"/>
      <c r="J638" s="198"/>
      <c r="K638" s="198"/>
      <c r="L638" s="172"/>
      <c r="M638" s="172"/>
      <c r="N638" s="198"/>
      <c r="O638" s="198"/>
      <c r="P638" s="110"/>
      <c r="Q638" s="110"/>
      <c r="R638" s="110"/>
      <c r="U638" s="99"/>
      <c r="V638" s="110"/>
      <c r="Y638" s="110"/>
      <c r="Z638" s="198"/>
      <c r="AA638" s="172"/>
      <c r="AB638" s="172"/>
      <c r="AC638" s="198"/>
      <c r="AD638" s="198"/>
      <c r="AE638" s="110"/>
      <c r="AF638" s="110"/>
      <c r="AH638" s="207"/>
      <c r="AI638" s="110"/>
      <c r="AJ638" s="110"/>
      <c r="AL638" s="110"/>
      <c r="AM638" s="141"/>
      <c r="AN638" s="141"/>
    </row>
    <row r="639" spans="3:40" x14ac:dyDescent="0.3">
      <c r="D639" s="99"/>
      <c r="E639" s="99"/>
      <c r="F639" s="110"/>
      <c r="H639" s="110"/>
      <c r="I639" s="110"/>
      <c r="J639" s="198"/>
      <c r="K639" s="198"/>
      <c r="L639" s="172"/>
      <c r="M639" s="172"/>
      <c r="N639" s="198"/>
      <c r="O639" s="198"/>
      <c r="P639" s="110"/>
      <c r="Q639" s="110"/>
      <c r="R639" s="110"/>
      <c r="U639" s="99"/>
      <c r="V639" s="110"/>
      <c r="Y639" s="110"/>
      <c r="Z639" s="198"/>
      <c r="AA639" s="172"/>
      <c r="AB639" s="172"/>
      <c r="AC639" s="198"/>
      <c r="AD639" s="198"/>
      <c r="AE639" s="110"/>
      <c r="AF639" s="110"/>
      <c r="AH639" s="207"/>
      <c r="AI639" s="110"/>
      <c r="AJ639" s="110"/>
      <c r="AL639" s="110"/>
      <c r="AM639" s="141"/>
      <c r="AN639" s="141"/>
    </row>
    <row r="640" spans="3:40" x14ac:dyDescent="0.3">
      <c r="F640" s="110"/>
      <c r="H640" s="192"/>
      <c r="I640" s="192"/>
      <c r="J640" s="217"/>
      <c r="K640" s="217"/>
      <c r="L640" s="192"/>
      <c r="M640" s="192"/>
      <c r="N640" s="192"/>
      <c r="O640" s="192"/>
      <c r="P640" s="192"/>
      <c r="Q640" s="192"/>
      <c r="R640" s="192"/>
      <c r="V640" s="192"/>
      <c r="Y640" s="192"/>
      <c r="Z640" s="217"/>
      <c r="AA640" s="192"/>
      <c r="AB640" s="192"/>
      <c r="AC640" s="192"/>
      <c r="AD640" s="192"/>
      <c r="AE640" s="192"/>
      <c r="AF640" s="192"/>
      <c r="AI640" s="192"/>
      <c r="AJ640" s="192"/>
      <c r="AK640" s="194"/>
      <c r="AL640" s="192"/>
      <c r="AM640" s="141"/>
      <c r="AN640" s="141"/>
    </row>
    <row r="641" spans="1:40" x14ac:dyDescent="0.3">
      <c r="C641" s="99"/>
      <c r="F641" s="192"/>
      <c r="H641" s="110"/>
      <c r="I641" s="110"/>
      <c r="J641" s="198"/>
      <c r="K641" s="198"/>
      <c r="L641" s="110"/>
      <c r="M641" s="110"/>
      <c r="N641" s="198"/>
      <c r="O641" s="198"/>
      <c r="P641" s="110"/>
      <c r="Q641" s="110"/>
      <c r="R641" s="110"/>
      <c r="T641" s="99"/>
      <c r="V641" s="110"/>
      <c r="Y641" s="110"/>
      <c r="Z641" s="198"/>
      <c r="AA641" s="110"/>
      <c r="AB641" s="110"/>
      <c r="AC641" s="198"/>
      <c r="AD641" s="198"/>
      <c r="AE641" s="110"/>
      <c r="AF641" s="110"/>
      <c r="AH641" s="207"/>
      <c r="AI641" s="110"/>
      <c r="AJ641" s="110"/>
      <c r="AL641" s="110"/>
      <c r="AM641" s="141"/>
      <c r="AN641" s="141"/>
    </row>
    <row r="642" spans="1:40" x14ac:dyDescent="0.3">
      <c r="F642" s="110"/>
      <c r="H642" s="110"/>
      <c r="I642" s="110"/>
      <c r="J642" s="198"/>
      <c r="K642" s="198"/>
      <c r="L642" s="110"/>
      <c r="M642" s="110"/>
      <c r="N642" s="198"/>
      <c r="O642" s="198"/>
      <c r="P642" s="110"/>
      <c r="Q642" s="110"/>
      <c r="R642" s="110"/>
      <c r="V642" s="110"/>
      <c r="Y642" s="110"/>
      <c r="Z642" s="198"/>
      <c r="AA642" s="110"/>
      <c r="AB642" s="110"/>
      <c r="AC642" s="198"/>
      <c r="AD642" s="198"/>
      <c r="AH642" s="207"/>
      <c r="AI642" s="110"/>
      <c r="AJ642" s="110"/>
      <c r="AL642" s="110"/>
      <c r="AM642" s="141"/>
      <c r="AN642" s="141"/>
    </row>
    <row r="643" spans="1:40" x14ac:dyDescent="0.3">
      <c r="C643" s="99"/>
      <c r="F643" s="110"/>
      <c r="H643" s="110"/>
      <c r="I643" s="110"/>
      <c r="J643" s="198"/>
      <c r="K643" s="198"/>
      <c r="L643" s="110"/>
      <c r="M643" s="110"/>
      <c r="N643" s="198"/>
      <c r="O643" s="198"/>
      <c r="P643" s="110"/>
      <c r="Q643" s="110"/>
      <c r="R643" s="110"/>
      <c r="T643" s="99"/>
      <c r="V643" s="110"/>
      <c r="Y643" s="110"/>
      <c r="Z643" s="198"/>
      <c r="AA643" s="110"/>
      <c r="AB643" s="110"/>
      <c r="AC643" s="198"/>
      <c r="AD643" s="198"/>
      <c r="AE643" s="110"/>
      <c r="AF643" s="110"/>
      <c r="AH643" s="207"/>
      <c r="AI643" s="110"/>
      <c r="AJ643" s="110"/>
      <c r="AL643" s="110"/>
      <c r="AM643" s="141"/>
      <c r="AN643" s="141"/>
    </row>
    <row r="644" spans="1:40" x14ac:dyDescent="0.3">
      <c r="F644" s="110"/>
      <c r="H644" s="192"/>
      <c r="I644" s="192"/>
      <c r="J644" s="217"/>
      <c r="K644" s="217"/>
      <c r="L644" s="192"/>
      <c r="M644" s="192"/>
      <c r="N644" s="192"/>
      <c r="O644" s="192"/>
      <c r="P644" s="192"/>
      <c r="Q644" s="192"/>
      <c r="R644" s="192"/>
      <c r="V644" s="192"/>
      <c r="Y644" s="192"/>
      <c r="Z644" s="217"/>
      <c r="AA644" s="192"/>
      <c r="AB644" s="192"/>
      <c r="AC644" s="192"/>
      <c r="AD644" s="192"/>
      <c r="AE644" s="192"/>
      <c r="AF644" s="192"/>
      <c r="AI644" s="192"/>
      <c r="AJ644" s="192"/>
      <c r="AK644" s="194"/>
      <c r="AL644" s="192"/>
    </row>
    <row r="646" spans="1:40" x14ac:dyDescent="0.3">
      <c r="C646" s="99"/>
      <c r="F646" s="192"/>
      <c r="L646" s="110"/>
      <c r="M646" s="110"/>
      <c r="P646" s="110"/>
      <c r="Q646" s="110"/>
      <c r="R646" s="110"/>
      <c r="T646" s="99"/>
    </row>
    <row r="647" spans="1:40" x14ac:dyDescent="0.3">
      <c r="A647" s="99"/>
      <c r="L647" s="110"/>
      <c r="M647" s="110"/>
      <c r="P647" s="110"/>
      <c r="Q647" s="110"/>
      <c r="R647" s="110"/>
    </row>
    <row r="648" spans="1:40" x14ac:dyDescent="0.3">
      <c r="L648" s="110"/>
      <c r="M648" s="110"/>
      <c r="P648" s="110"/>
      <c r="Q648" s="110"/>
      <c r="R648" s="110"/>
    </row>
    <row r="649" spans="1:40" x14ac:dyDescent="0.3">
      <c r="L649" s="110"/>
      <c r="M649" s="110"/>
      <c r="P649" s="110"/>
      <c r="Q649" s="110"/>
      <c r="R649" s="110"/>
    </row>
    <row r="650" spans="1:40" x14ac:dyDescent="0.3">
      <c r="L650" s="110"/>
      <c r="M650" s="110"/>
      <c r="P650" s="110"/>
      <c r="Q650" s="110"/>
      <c r="R650" s="110"/>
    </row>
    <row r="651" spans="1:40" x14ac:dyDescent="0.3">
      <c r="L651" s="110"/>
      <c r="M651" s="110"/>
      <c r="P651" s="110"/>
      <c r="Q651" s="110"/>
      <c r="R651" s="110"/>
    </row>
    <row r="652" spans="1:40" x14ac:dyDescent="0.3">
      <c r="L652" s="110"/>
      <c r="M652" s="110"/>
      <c r="P652" s="110"/>
      <c r="Q652" s="110"/>
      <c r="R652" s="110"/>
    </row>
    <row r="685" spans="49:49" x14ac:dyDescent="0.3">
      <c r="AW685" s="110"/>
    </row>
    <row r="686" spans="49:49" x14ac:dyDescent="0.3">
      <c r="AW686" s="110"/>
    </row>
    <row r="687" spans="49:49" x14ac:dyDescent="0.3">
      <c r="AW687" s="110"/>
    </row>
    <row r="688" spans="49:49" x14ac:dyDescent="0.3">
      <c r="AW688" s="110"/>
    </row>
    <row r="689" spans="49:49" x14ac:dyDescent="0.3">
      <c r="AW689" s="110"/>
    </row>
    <row r="690" spans="49:49" x14ac:dyDescent="0.3">
      <c r="AW690" s="110"/>
    </row>
    <row r="693" spans="49:49" x14ac:dyDescent="0.3">
      <c r="AW693" s="110"/>
    </row>
    <row r="694" spans="49:49" x14ac:dyDescent="0.3">
      <c r="AW694" s="110"/>
    </row>
    <row r="695" spans="49:49" x14ac:dyDescent="0.3">
      <c r="AW695" s="110"/>
    </row>
    <row r="696" spans="49:49" x14ac:dyDescent="0.3">
      <c r="AW696" s="110"/>
    </row>
    <row r="697" spans="49:49" x14ac:dyDescent="0.3">
      <c r="AW697" s="110"/>
    </row>
    <row r="698" spans="49:49" x14ac:dyDescent="0.3">
      <c r="AW698" s="110"/>
    </row>
    <row r="699" spans="49:49" x14ac:dyDescent="0.3">
      <c r="AW699" s="110"/>
    </row>
    <row r="700" spans="49:49" x14ac:dyDescent="0.3">
      <c r="AW700" s="110"/>
    </row>
    <row r="703" spans="49:49" x14ac:dyDescent="0.3">
      <c r="AW703" s="110"/>
    </row>
    <row r="704" spans="49:49" x14ac:dyDescent="0.3">
      <c r="AW704" s="110"/>
    </row>
    <row r="707" spans="49:56" x14ac:dyDescent="0.3">
      <c r="AW707" s="110"/>
    </row>
    <row r="708" spans="49:56" x14ac:dyDescent="0.3">
      <c r="AW708" s="110"/>
    </row>
    <row r="709" spans="49:56" x14ac:dyDescent="0.3">
      <c r="AW709" s="110"/>
    </row>
    <row r="710" spans="49:56" x14ac:dyDescent="0.3">
      <c r="AW710" s="110"/>
    </row>
    <row r="718" spans="49:56" x14ac:dyDescent="0.3">
      <c r="AY718" s="99"/>
    </row>
    <row r="719" spans="49:56" x14ac:dyDescent="0.3">
      <c r="AY719" s="99"/>
    </row>
    <row r="720" spans="49:56" x14ac:dyDescent="0.3">
      <c r="BD720" s="99"/>
    </row>
    <row r="721" spans="45:69" x14ac:dyDescent="0.3">
      <c r="BD721" s="99"/>
    </row>
    <row r="722" spans="45:69" x14ac:dyDescent="0.3">
      <c r="AS722" s="99"/>
      <c r="BD722" s="99"/>
    </row>
    <row r="724" spans="45:69" x14ac:dyDescent="0.3">
      <c r="AS724" s="101"/>
      <c r="AT724" s="101"/>
      <c r="AU724" s="101"/>
      <c r="AV724" s="101"/>
      <c r="AW724" s="101"/>
      <c r="AX724" s="101"/>
      <c r="AY724" s="101"/>
      <c r="AZ724" s="101"/>
      <c r="BA724" s="101"/>
      <c r="BB724" s="101"/>
      <c r="BC724" s="101"/>
      <c r="BD724" s="101"/>
      <c r="BE724" s="101"/>
    </row>
    <row r="725" spans="45:69" x14ac:dyDescent="0.3">
      <c r="AX725" s="99"/>
    </row>
    <row r="726" spans="45:69" x14ac:dyDescent="0.3">
      <c r="AX726" s="101"/>
      <c r="AY726" s="101"/>
      <c r="AZ726" s="101"/>
      <c r="BA726" s="101"/>
      <c r="BC726" s="102"/>
      <c r="BD726" s="102"/>
    </row>
    <row r="727" spans="45:69" x14ac:dyDescent="0.3">
      <c r="AV727" s="102"/>
      <c r="AW727" s="102"/>
      <c r="AZ727" s="102"/>
      <c r="BA727" s="102"/>
      <c r="BC727" s="102"/>
      <c r="BD727" s="102"/>
      <c r="BE727" s="102"/>
      <c r="BG727" s="101"/>
      <c r="BH727" s="99"/>
      <c r="BK727" s="101"/>
      <c r="BM727" s="101"/>
      <c r="BN727" s="99"/>
      <c r="BQ727" s="101"/>
    </row>
    <row r="728" spans="45:69" x14ac:dyDescent="0.3"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H728" s="102"/>
      <c r="BI728" s="102"/>
      <c r="BJ728" s="102"/>
      <c r="BN728" s="102"/>
      <c r="BO728" s="102"/>
      <c r="BP728" s="102"/>
    </row>
    <row r="729" spans="45:69" x14ac:dyDescent="0.3">
      <c r="AS729" s="102"/>
      <c r="AU729" s="99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G729" s="102"/>
      <c r="BH729" s="102"/>
      <c r="BI729" s="102"/>
      <c r="BJ729" s="102"/>
      <c r="BK729" s="102"/>
      <c r="BM729" s="102"/>
      <c r="BN729" s="102"/>
      <c r="BO729" s="102"/>
      <c r="BP729" s="102"/>
      <c r="BQ729" s="102"/>
    </row>
    <row r="730" spans="45:69" x14ac:dyDescent="0.3">
      <c r="AS730" s="102"/>
      <c r="AU730" s="99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G730" s="102"/>
      <c r="BH730" s="102"/>
      <c r="BI730" s="102"/>
      <c r="BJ730" s="102"/>
      <c r="BK730" s="102"/>
      <c r="BM730" s="102"/>
      <c r="BN730" s="102"/>
      <c r="BO730" s="102"/>
      <c r="BP730" s="102"/>
      <c r="BQ730" s="102"/>
    </row>
    <row r="731" spans="45:69" x14ac:dyDescent="0.3">
      <c r="AS731" s="101"/>
      <c r="AT731" s="101"/>
      <c r="AU731" s="101"/>
      <c r="AV731" s="101"/>
      <c r="AW731" s="101"/>
      <c r="AX731" s="101"/>
      <c r="AY731" s="101"/>
      <c r="AZ731" s="101"/>
      <c r="BA731" s="101"/>
      <c r="BB731" s="101"/>
      <c r="BC731" s="101"/>
      <c r="BD731" s="101"/>
      <c r="BE731" s="101"/>
      <c r="BG731" s="101"/>
      <c r="BH731" s="101"/>
      <c r="BI731" s="101"/>
      <c r="BJ731" s="101"/>
      <c r="BK731" s="101"/>
      <c r="BM731" s="101"/>
      <c r="BN731" s="101"/>
      <c r="BO731" s="101"/>
      <c r="BP731" s="101"/>
      <c r="BQ731" s="101"/>
    </row>
    <row r="732" spans="45:69" x14ac:dyDescent="0.3"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</row>
    <row r="733" spans="45:69" x14ac:dyDescent="0.3">
      <c r="AU733" s="99"/>
      <c r="AV733" s="102"/>
      <c r="AY733" s="198"/>
    </row>
    <row r="734" spans="45:69" x14ac:dyDescent="0.3">
      <c r="AV734" s="102"/>
      <c r="AW734" s="110"/>
      <c r="AX734" s="163"/>
      <c r="AY734" s="163"/>
      <c r="AZ734" s="163"/>
      <c r="BA734" s="141"/>
      <c r="BB734" s="163"/>
      <c r="BC734" s="198"/>
      <c r="BD734" s="198"/>
      <c r="BE734" s="141"/>
      <c r="BG734" s="163"/>
      <c r="BH734" s="163"/>
      <c r="BI734" s="163"/>
      <c r="BJ734" s="163"/>
      <c r="BK734" s="163"/>
      <c r="BM734" s="163"/>
      <c r="BN734" s="163"/>
      <c r="BO734" s="163"/>
      <c r="BP734" s="163"/>
      <c r="BQ734" s="163"/>
    </row>
    <row r="735" spans="45:69" x14ac:dyDescent="0.3">
      <c r="AV735" s="102"/>
      <c r="AW735" s="110"/>
      <c r="AX735" s="163"/>
      <c r="AY735" s="163"/>
      <c r="AZ735" s="163"/>
      <c r="BA735" s="141"/>
      <c r="BB735" s="163"/>
      <c r="BC735" s="198"/>
      <c r="BD735" s="198"/>
      <c r="BE735" s="141"/>
      <c r="BG735" s="163"/>
      <c r="BH735" s="163"/>
      <c r="BI735" s="163"/>
      <c r="BJ735" s="163"/>
      <c r="BK735" s="163"/>
      <c r="BM735" s="163"/>
      <c r="BN735" s="163"/>
      <c r="BO735" s="163"/>
      <c r="BP735" s="163"/>
      <c r="BQ735" s="163"/>
    </row>
    <row r="736" spans="45:69" x14ac:dyDescent="0.3">
      <c r="AV736" s="102"/>
      <c r="AW736" s="110"/>
      <c r="AX736" s="163"/>
      <c r="AY736" s="163"/>
      <c r="AZ736" s="163"/>
      <c r="BA736" s="141"/>
      <c r="BB736" s="163"/>
      <c r="BC736" s="198"/>
      <c r="BD736" s="198"/>
      <c r="BE736" s="141"/>
      <c r="BG736" s="163"/>
      <c r="BH736" s="163"/>
      <c r="BI736" s="163"/>
      <c r="BJ736" s="163"/>
      <c r="BK736" s="163"/>
      <c r="BM736" s="163"/>
      <c r="BN736" s="163"/>
      <c r="BO736" s="163"/>
      <c r="BP736" s="163"/>
      <c r="BQ736" s="163"/>
    </row>
    <row r="737" spans="47:69" x14ac:dyDescent="0.3">
      <c r="AV737" s="102"/>
      <c r="AW737" s="110"/>
      <c r="AX737" s="163"/>
      <c r="AY737" s="163"/>
      <c r="AZ737" s="163"/>
      <c r="BA737" s="141"/>
      <c r="BB737" s="163"/>
      <c r="BC737" s="198"/>
      <c r="BD737" s="198"/>
      <c r="BE737" s="141"/>
      <c r="BG737" s="163"/>
      <c r="BH737" s="163"/>
      <c r="BI737" s="163"/>
      <c r="BJ737" s="163"/>
      <c r="BK737" s="163"/>
      <c r="BM737" s="163"/>
      <c r="BN737" s="163"/>
      <c r="BO737" s="163"/>
      <c r="BP737" s="163"/>
      <c r="BQ737" s="163"/>
    </row>
    <row r="738" spans="47:69" x14ac:dyDescent="0.3">
      <c r="AV738" s="102"/>
      <c r="AW738" s="110"/>
      <c r="AX738" s="163"/>
      <c r="AY738" s="163"/>
      <c r="AZ738" s="163"/>
      <c r="BA738" s="141"/>
      <c r="BB738" s="163"/>
      <c r="BC738" s="198"/>
      <c r="BD738" s="198"/>
      <c r="BE738" s="141"/>
      <c r="BG738" s="163"/>
      <c r="BH738" s="163"/>
      <c r="BI738" s="163"/>
      <c r="BJ738" s="163"/>
      <c r="BK738" s="163"/>
      <c r="BM738" s="163"/>
      <c r="BN738" s="163"/>
      <c r="BO738" s="163"/>
      <c r="BP738" s="163"/>
      <c r="BQ738" s="163"/>
    </row>
    <row r="739" spans="47:69" x14ac:dyDescent="0.3">
      <c r="AV739" s="102"/>
      <c r="AW739" s="110"/>
      <c r="AX739" s="163"/>
      <c r="AY739" s="163"/>
      <c r="AZ739" s="163"/>
      <c r="BA739" s="141"/>
      <c r="BB739" s="163"/>
      <c r="BC739" s="198"/>
      <c r="BD739" s="198"/>
      <c r="BE739" s="141"/>
      <c r="BG739" s="163"/>
      <c r="BH739" s="163"/>
      <c r="BI739" s="163"/>
      <c r="BJ739" s="163"/>
      <c r="BK739" s="163"/>
      <c r="BM739" s="163"/>
      <c r="BN739" s="163"/>
      <c r="BO739" s="163"/>
      <c r="BP739" s="163"/>
      <c r="BQ739" s="163"/>
    </row>
    <row r="740" spans="47:69" x14ac:dyDescent="0.3">
      <c r="AV740" s="102"/>
      <c r="AW740" s="110"/>
      <c r="AX740" s="163"/>
      <c r="AY740" s="163"/>
      <c r="AZ740" s="163"/>
      <c r="BA740" s="141"/>
      <c r="BB740" s="163"/>
      <c r="BC740" s="198"/>
      <c r="BD740" s="198"/>
      <c r="BE740" s="141"/>
      <c r="BG740" s="163"/>
      <c r="BH740" s="163"/>
      <c r="BI740" s="163"/>
      <c r="BJ740" s="163"/>
      <c r="BK740" s="163"/>
      <c r="BM740" s="163"/>
      <c r="BN740" s="163"/>
      <c r="BO740" s="163"/>
      <c r="BP740" s="163"/>
      <c r="BQ740" s="163"/>
    </row>
    <row r="741" spans="47:69" x14ac:dyDescent="0.3">
      <c r="AY741" s="198"/>
      <c r="AZ741" s="163"/>
      <c r="BA741" s="141"/>
      <c r="BB741" s="163"/>
      <c r="BC741" s="198"/>
      <c r="BD741" s="198"/>
      <c r="BE741" s="141"/>
      <c r="BK741" s="163"/>
      <c r="BQ741" s="163"/>
    </row>
    <row r="742" spans="47:69" x14ac:dyDescent="0.3">
      <c r="AV742" s="102"/>
      <c r="AY742" s="198"/>
      <c r="AZ742" s="163"/>
      <c r="BA742" s="141"/>
      <c r="BB742" s="163"/>
      <c r="BC742" s="198"/>
      <c r="BD742" s="198"/>
      <c r="BE742" s="141"/>
      <c r="BK742" s="163"/>
      <c r="BQ742" s="163"/>
    </row>
    <row r="743" spans="47:69" x14ac:dyDescent="0.3">
      <c r="AV743" s="102"/>
      <c r="AW743" s="110"/>
      <c r="AX743" s="163"/>
      <c r="AY743" s="163"/>
      <c r="AZ743" s="163"/>
      <c r="BA743" s="141"/>
      <c r="BB743" s="163"/>
      <c r="BC743" s="198"/>
      <c r="BD743" s="198"/>
      <c r="BE743" s="141"/>
      <c r="BG743" s="163"/>
      <c r="BH743" s="163"/>
      <c r="BI743" s="163"/>
      <c r="BJ743" s="163"/>
      <c r="BK743" s="163"/>
      <c r="BM743" s="163"/>
      <c r="BN743" s="163"/>
      <c r="BO743" s="163"/>
      <c r="BP743" s="163"/>
      <c r="BQ743" s="163"/>
    </row>
    <row r="744" spans="47:69" x14ac:dyDescent="0.3">
      <c r="AV744" s="102"/>
      <c r="AW744" s="110"/>
      <c r="AX744" s="163"/>
      <c r="AY744" s="163"/>
      <c r="AZ744" s="163"/>
      <c r="BA744" s="141"/>
      <c r="BB744" s="163"/>
      <c r="BC744" s="198"/>
      <c r="BD744" s="198"/>
      <c r="BE744" s="141"/>
      <c r="BG744" s="163"/>
      <c r="BH744" s="163"/>
      <c r="BI744" s="163"/>
      <c r="BJ744" s="163"/>
      <c r="BK744" s="163"/>
      <c r="BM744" s="163"/>
      <c r="BN744" s="163"/>
      <c r="BO744" s="163"/>
      <c r="BP744" s="163"/>
      <c r="BQ744" s="163"/>
    </row>
    <row r="745" spans="47:69" x14ac:dyDescent="0.3">
      <c r="AV745" s="102"/>
      <c r="AW745" s="110"/>
      <c r="AX745" s="163"/>
      <c r="AY745" s="163"/>
      <c r="AZ745" s="163"/>
      <c r="BA745" s="141"/>
      <c r="BB745" s="163"/>
      <c r="BC745" s="198"/>
      <c r="BD745" s="198"/>
      <c r="BE745" s="141"/>
      <c r="BG745" s="163"/>
      <c r="BH745" s="163"/>
      <c r="BI745" s="163"/>
      <c r="BJ745" s="163"/>
      <c r="BK745" s="163"/>
      <c r="BM745" s="163"/>
      <c r="BN745" s="163"/>
      <c r="BO745" s="163"/>
      <c r="BP745" s="163"/>
      <c r="BQ745" s="163"/>
    </row>
    <row r="746" spans="47:69" x14ac:dyDescent="0.3">
      <c r="AV746" s="102"/>
      <c r="AW746" s="110"/>
      <c r="AX746" s="163"/>
      <c r="AY746" s="163"/>
      <c r="AZ746" s="163"/>
      <c r="BA746" s="141"/>
      <c r="BB746" s="163"/>
      <c r="BC746" s="198"/>
      <c r="BD746" s="198"/>
      <c r="BE746" s="141"/>
      <c r="BG746" s="163"/>
      <c r="BH746" s="163"/>
      <c r="BI746" s="163"/>
      <c r="BJ746" s="163"/>
      <c r="BK746" s="163"/>
      <c r="BM746" s="163"/>
      <c r="BN746" s="163"/>
      <c r="BO746" s="163"/>
      <c r="BP746" s="163"/>
      <c r="BQ746" s="163"/>
    </row>
    <row r="747" spans="47:69" x14ac:dyDescent="0.3">
      <c r="AV747" s="102"/>
      <c r="AW747" s="110"/>
      <c r="AX747" s="163"/>
      <c r="AY747" s="163"/>
      <c r="AZ747" s="163"/>
      <c r="BA747" s="141"/>
      <c r="BB747" s="163"/>
      <c r="BC747" s="198"/>
      <c r="BD747" s="198"/>
      <c r="BE747" s="141"/>
      <c r="BG747" s="163"/>
      <c r="BH747" s="163"/>
      <c r="BI747" s="163"/>
      <c r="BJ747" s="163"/>
      <c r="BK747" s="163"/>
      <c r="BM747" s="163"/>
      <c r="BN747" s="163"/>
      <c r="BO747" s="163"/>
      <c r="BP747" s="163"/>
      <c r="BQ747" s="163"/>
    </row>
    <row r="748" spans="47:69" x14ac:dyDescent="0.3">
      <c r="AV748" s="102"/>
      <c r="AW748" s="110"/>
      <c r="AX748" s="163"/>
      <c r="AY748" s="163"/>
      <c r="AZ748" s="163"/>
      <c r="BA748" s="141"/>
      <c r="BB748" s="163"/>
      <c r="BC748" s="198"/>
      <c r="BD748" s="198"/>
      <c r="BE748" s="141"/>
      <c r="BG748" s="163"/>
      <c r="BH748" s="163"/>
      <c r="BI748" s="163"/>
      <c r="BJ748" s="163"/>
      <c r="BK748" s="163"/>
      <c r="BM748" s="163"/>
      <c r="BN748" s="163"/>
      <c r="BO748" s="163"/>
      <c r="BP748" s="163"/>
      <c r="BQ748" s="163"/>
    </row>
    <row r="749" spans="47:69" x14ac:dyDescent="0.3">
      <c r="AV749" s="102"/>
      <c r="AW749" s="110"/>
      <c r="AX749" s="163"/>
      <c r="AY749" s="163"/>
      <c r="AZ749" s="163"/>
      <c r="BA749" s="141"/>
      <c r="BB749" s="163"/>
      <c r="BC749" s="198"/>
      <c r="BD749" s="198"/>
      <c r="BE749" s="141"/>
      <c r="BG749" s="163"/>
      <c r="BH749" s="163"/>
      <c r="BI749" s="163"/>
      <c r="BJ749" s="163"/>
      <c r="BK749" s="163"/>
      <c r="BM749" s="163"/>
      <c r="BN749" s="163"/>
      <c r="BO749" s="163"/>
      <c r="BP749" s="163"/>
      <c r="BQ749" s="163"/>
    </row>
    <row r="750" spans="47:69" x14ac:dyDescent="0.3">
      <c r="AV750" s="102"/>
      <c r="AW750" s="110"/>
      <c r="AX750" s="163"/>
      <c r="AY750" s="163"/>
      <c r="AZ750" s="163"/>
      <c r="BA750" s="141"/>
      <c r="BB750" s="163"/>
      <c r="BC750" s="198"/>
      <c r="BD750" s="198"/>
      <c r="BE750" s="141"/>
      <c r="BG750" s="163"/>
      <c r="BH750" s="163"/>
      <c r="BI750" s="163"/>
      <c r="BJ750" s="163"/>
      <c r="BK750" s="163"/>
      <c r="BM750" s="163"/>
      <c r="BN750" s="163"/>
      <c r="BO750" s="163"/>
      <c r="BP750" s="163"/>
      <c r="BQ750" s="163"/>
    </row>
    <row r="751" spans="47:69" x14ac:dyDescent="0.3">
      <c r="AY751" s="198"/>
      <c r="AZ751" s="163"/>
      <c r="BA751" s="141"/>
      <c r="BB751" s="163"/>
      <c r="BC751" s="198"/>
      <c r="BD751" s="198"/>
      <c r="BE751" s="141"/>
      <c r="BK751" s="163"/>
      <c r="BQ751" s="163"/>
    </row>
    <row r="752" spans="47:69" x14ac:dyDescent="0.3">
      <c r="AU752" s="99"/>
      <c r="AZ752" s="163"/>
      <c r="BB752" s="163"/>
      <c r="BG752" s="163"/>
      <c r="BH752" s="163"/>
      <c r="BJ752" s="163"/>
      <c r="BK752" s="163"/>
    </row>
    <row r="753" spans="45:75" x14ac:dyDescent="0.3">
      <c r="AZ753" s="163"/>
      <c r="BB753" s="163"/>
    </row>
    <row r="754" spans="45:75" x14ac:dyDescent="0.3">
      <c r="AS754" s="99"/>
      <c r="AZ754" s="163"/>
      <c r="BB754" s="163"/>
      <c r="BI754" s="163"/>
    </row>
    <row r="755" spans="45:75" x14ac:dyDescent="0.3">
      <c r="AZ755" s="163"/>
      <c r="BB755" s="163"/>
    </row>
    <row r="756" spans="45:75" x14ac:dyDescent="0.3">
      <c r="AY756" s="163"/>
      <c r="BB756" s="163"/>
    </row>
    <row r="757" spans="45:75" x14ac:dyDescent="0.3">
      <c r="AY757" s="99"/>
      <c r="AZ757" s="163"/>
      <c r="BB757" s="163"/>
    </row>
    <row r="758" spans="45:75" x14ac:dyDescent="0.3">
      <c r="AY758" s="99"/>
      <c r="AZ758" s="163"/>
      <c r="BB758" s="163"/>
    </row>
    <row r="759" spans="45:75" x14ac:dyDescent="0.3">
      <c r="AZ759" s="163"/>
      <c r="BB759" s="163"/>
      <c r="BD759" s="99"/>
    </row>
    <row r="760" spans="45:75" x14ac:dyDescent="0.3">
      <c r="AZ760" s="163"/>
      <c r="BB760" s="163"/>
      <c r="BD760" s="99"/>
    </row>
    <row r="761" spans="45:75" x14ac:dyDescent="0.3">
      <c r="AS761" s="99"/>
      <c r="AZ761" s="163"/>
      <c r="BB761" s="163"/>
      <c r="BD761" s="99"/>
    </row>
    <row r="762" spans="45:75" x14ac:dyDescent="0.3">
      <c r="AZ762" s="163"/>
      <c r="BB762" s="163"/>
    </row>
    <row r="763" spans="45:75" x14ac:dyDescent="0.3">
      <c r="AS763" s="101"/>
      <c r="AT763" s="101"/>
      <c r="AU763" s="101"/>
      <c r="AV763" s="101"/>
      <c r="AW763" s="101"/>
      <c r="AX763" s="101"/>
      <c r="AY763" s="101"/>
      <c r="AZ763" s="212"/>
      <c r="BA763" s="101"/>
      <c r="BB763" s="212"/>
      <c r="BC763" s="101"/>
      <c r="BD763" s="101"/>
      <c r="BE763" s="101"/>
    </row>
    <row r="764" spans="45:75" x14ac:dyDescent="0.3">
      <c r="AX764" s="99"/>
      <c r="AZ764" s="163"/>
      <c r="BB764" s="163"/>
    </row>
    <row r="765" spans="45:75" x14ac:dyDescent="0.3">
      <c r="AX765" s="101"/>
      <c r="AY765" s="101"/>
      <c r="AZ765" s="212"/>
      <c r="BA765" s="101"/>
      <c r="BB765" s="163"/>
      <c r="BC765" s="102"/>
      <c r="BD765" s="102"/>
    </row>
    <row r="766" spans="45:75" x14ac:dyDescent="0.3">
      <c r="AV766" s="102"/>
      <c r="AW766" s="102"/>
      <c r="AZ766" s="213"/>
      <c r="BA766" s="102"/>
      <c r="BB766" s="163"/>
      <c r="BC766" s="102"/>
      <c r="BD766" s="102"/>
      <c r="BE766" s="102"/>
      <c r="BG766" s="101"/>
      <c r="BH766" s="101"/>
      <c r="BI766" s="99"/>
      <c r="BM766" s="101"/>
      <c r="BN766" s="101"/>
      <c r="BP766" s="101"/>
      <c r="BQ766" s="101"/>
      <c r="BR766" s="99"/>
      <c r="BV766" s="101"/>
      <c r="BW766" s="101"/>
    </row>
    <row r="767" spans="45:75" x14ac:dyDescent="0.3">
      <c r="AV767" s="102"/>
      <c r="AW767" s="102"/>
      <c r="AX767" s="102"/>
      <c r="AY767" s="102"/>
      <c r="AZ767" s="213"/>
      <c r="BA767" s="102"/>
      <c r="BB767" s="213"/>
      <c r="BC767" s="102"/>
      <c r="BD767" s="102"/>
      <c r="BE767" s="102"/>
      <c r="BH767" s="102"/>
      <c r="BI767" s="102"/>
      <c r="BJ767" s="102"/>
      <c r="BK767" s="102"/>
      <c r="BL767" s="102"/>
      <c r="BM767" s="102"/>
      <c r="BQ767" s="102"/>
      <c r="BR767" s="102"/>
      <c r="BS767" s="102"/>
      <c r="BT767" s="102"/>
      <c r="BU767" s="102"/>
      <c r="BV767" s="102"/>
    </row>
    <row r="768" spans="45:75" x14ac:dyDescent="0.3">
      <c r="AS768" s="102"/>
      <c r="AU768" s="99"/>
      <c r="AV768" s="102"/>
      <c r="AW768" s="102"/>
      <c r="AX768" s="102"/>
      <c r="AY768" s="102"/>
      <c r="AZ768" s="213"/>
      <c r="BA768" s="102"/>
      <c r="BB768" s="213"/>
      <c r="BC768" s="102"/>
      <c r="BD768" s="102"/>
      <c r="BE768" s="102"/>
      <c r="BG768" s="102"/>
      <c r="BH768" s="102"/>
      <c r="BI768" s="102"/>
      <c r="BJ768" s="102"/>
      <c r="BK768" s="102"/>
      <c r="BL768" s="102"/>
      <c r="BM768" s="102"/>
      <c r="BN768" s="102"/>
      <c r="BP768" s="102"/>
      <c r="BQ768" s="102"/>
      <c r="BR768" s="102"/>
      <c r="BS768" s="102"/>
      <c r="BT768" s="102"/>
      <c r="BU768" s="102"/>
      <c r="BV768" s="102"/>
      <c r="BW768" s="102"/>
    </row>
    <row r="769" spans="45:75" x14ac:dyDescent="0.3">
      <c r="AS769" s="102"/>
      <c r="AU769" s="99"/>
      <c r="AV769" s="102"/>
      <c r="AW769" s="102"/>
      <c r="AX769" s="102"/>
      <c r="AY769" s="102"/>
      <c r="AZ769" s="213"/>
      <c r="BA769" s="102"/>
      <c r="BB769" s="213"/>
      <c r="BC769" s="102"/>
      <c r="BD769" s="102"/>
      <c r="BE769" s="102"/>
      <c r="BG769" s="102"/>
      <c r="BH769" s="102"/>
      <c r="BI769" s="102"/>
      <c r="BJ769" s="102"/>
      <c r="BK769" s="102"/>
      <c r="BL769" s="102"/>
      <c r="BM769" s="102"/>
      <c r="BN769" s="102"/>
      <c r="BP769" s="102"/>
      <c r="BQ769" s="102"/>
      <c r="BR769" s="102"/>
      <c r="BS769" s="102"/>
      <c r="BT769" s="102"/>
      <c r="BU769" s="102"/>
      <c r="BV769" s="102"/>
      <c r="BW769" s="102"/>
    </row>
    <row r="770" spans="45:75" x14ac:dyDescent="0.3">
      <c r="AS770" s="101"/>
      <c r="AT770" s="101"/>
      <c r="AU770" s="101"/>
      <c r="AV770" s="101"/>
      <c r="AW770" s="101"/>
      <c r="AX770" s="101"/>
      <c r="AY770" s="101"/>
      <c r="AZ770" s="212"/>
      <c r="BA770" s="101"/>
      <c r="BB770" s="212"/>
      <c r="BC770" s="101"/>
      <c r="BD770" s="101"/>
      <c r="BE770" s="101"/>
      <c r="BG770" s="101"/>
      <c r="BH770" s="101"/>
      <c r="BI770" s="101"/>
      <c r="BJ770" s="101"/>
      <c r="BK770" s="101"/>
      <c r="BL770" s="101"/>
      <c r="BM770" s="101"/>
      <c r="BN770" s="101"/>
      <c r="BP770" s="101"/>
      <c r="BQ770" s="101"/>
      <c r="BR770" s="101"/>
      <c r="BS770" s="101"/>
      <c r="BT770" s="101"/>
      <c r="BU770" s="101"/>
      <c r="BV770" s="101"/>
      <c r="BW770" s="101"/>
    </row>
    <row r="771" spans="45:75" x14ac:dyDescent="0.3">
      <c r="AV771" s="102"/>
      <c r="AW771" s="102"/>
      <c r="AX771" s="102"/>
      <c r="AY771" s="102"/>
      <c r="AZ771" s="213"/>
      <c r="BA771" s="102"/>
      <c r="BB771" s="213"/>
      <c r="BC771" s="102"/>
      <c r="BD771" s="102"/>
      <c r="BE771" s="102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</row>
    <row r="772" spans="45:75" x14ac:dyDescent="0.3">
      <c r="AU772" s="99"/>
      <c r="AW772" s="110"/>
      <c r="AX772" s="163"/>
      <c r="AY772" s="163"/>
      <c r="AZ772" s="163"/>
      <c r="BA772" s="207"/>
      <c r="BB772" s="163"/>
      <c r="BC772" s="163"/>
      <c r="BD772" s="163"/>
      <c r="BE772" s="207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</row>
    <row r="773" spans="45:75" x14ac:dyDescent="0.3">
      <c r="AW773" s="110"/>
      <c r="AX773" s="163"/>
      <c r="AY773" s="163"/>
      <c r="AZ773" s="163"/>
      <c r="BA773" s="207"/>
      <c r="BB773" s="163"/>
      <c r="BC773" s="163"/>
      <c r="BD773" s="163"/>
      <c r="BE773" s="207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</row>
    <row r="774" spans="45:75" x14ac:dyDescent="0.3">
      <c r="AW774" s="110"/>
      <c r="AX774" s="163"/>
      <c r="AY774" s="163"/>
      <c r="AZ774" s="163"/>
      <c r="BA774" s="207"/>
      <c r="BB774" s="163"/>
      <c r="BC774" s="163"/>
      <c r="BD774" s="163"/>
      <c r="BE774" s="207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</row>
    <row r="775" spans="45:75" x14ac:dyDescent="0.3">
      <c r="AW775" s="110"/>
      <c r="AX775" s="163"/>
      <c r="AY775" s="163"/>
      <c r="AZ775" s="163"/>
      <c r="BA775" s="207"/>
      <c r="BB775" s="163"/>
      <c r="BC775" s="163"/>
      <c r="BD775" s="163"/>
      <c r="BE775" s="207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</row>
    <row r="776" spans="45:75" x14ac:dyDescent="0.3">
      <c r="AW776" s="110"/>
      <c r="AX776" s="163"/>
      <c r="AY776" s="163"/>
      <c r="AZ776" s="163"/>
      <c r="BA776" s="207"/>
      <c r="BB776" s="163"/>
      <c r="BC776" s="163"/>
      <c r="BD776" s="163"/>
      <c r="BE776" s="207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</row>
    <row r="777" spans="45:75" x14ac:dyDescent="0.3">
      <c r="AW777" s="110"/>
      <c r="AX777" s="163"/>
      <c r="AY777" s="163"/>
      <c r="AZ777" s="163"/>
      <c r="BA777" s="207"/>
      <c r="BB777" s="163"/>
      <c r="BC777" s="163"/>
      <c r="BD777" s="163"/>
      <c r="BE777" s="207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</row>
    <row r="778" spans="45:75" x14ac:dyDescent="0.3">
      <c r="AW778" s="110"/>
      <c r="AX778" s="163"/>
      <c r="AY778" s="163"/>
      <c r="AZ778" s="163"/>
      <c r="BA778" s="207"/>
      <c r="BB778" s="163"/>
      <c r="BC778" s="163"/>
      <c r="BD778" s="163"/>
      <c r="BE778" s="207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</row>
    <row r="779" spans="45:75" x14ac:dyDescent="0.3">
      <c r="AW779" s="110"/>
      <c r="AX779" s="163"/>
      <c r="AY779" s="163"/>
      <c r="AZ779" s="163"/>
      <c r="BA779" s="207"/>
      <c r="BB779" s="163"/>
      <c r="BC779" s="163"/>
      <c r="BD779" s="163"/>
      <c r="BE779" s="207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</row>
    <row r="780" spans="45:75" x14ac:dyDescent="0.3">
      <c r="AW780" s="110"/>
      <c r="AX780" s="163"/>
      <c r="AY780" s="163"/>
      <c r="AZ780" s="163"/>
      <c r="BA780" s="207"/>
      <c r="BB780" s="163"/>
      <c r="BC780" s="163"/>
      <c r="BD780" s="163"/>
      <c r="BE780" s="207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</row>
    <row r="781" spans="45:75" x14ac:dyDescent="0.3">
      <c r="AW781" s="110"/>
      <c r="AX781" s="163"/>
      <c r="AY781" s="163"/>
      <c r="AZ781" s="163"/>
      <c r="BA781" s="207"/>
      <c r="BB781" s="163"/>
      <c r="BC781" s="163"/>
      <c r="BD781" s="163"/>
      <c r="BE781" s="207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</row>
    <row r="782" spans="45:75" x14ac:dyDescent="0.3">
      <c r="AW782" s="110"/>
      <c r="AX782" s="163"/>
      <c r="AY782" s="163"/>
      <c r="AZ782" s="163"/>
      <c r="BA782" s="207"/>
      <c r="BB782" s="163"/>
      <c r="BC782" s="163"/>
      <c r="BD782" s="163"/>
      <c r="BE782" s="207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</row>
    <row r="783" spans="45:75" x14ac:dyDescent="0.3"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</row>
    <row r="784" spans="45:75" x14ac:dyDescent="0.3"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</row>
    <row r="785" spans="47:75" x14ac:dyDescent="0.3"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</row>
    <row r="786" spans="47:75" x14ac:dyDescent="0.3"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</row>
    <row r="787" spans="47:75" x14ac:dyDescent="0.3">
      <c r="AW787" s="110"/>
      <c r="AX787" s="163"/>
      <c r="AY787" s="163"/>
      <c r="AZ787" s="163"/>
      <c r="BA787" s="207"/>
      <c r="BB787" s="163"/>
      <c r="BC787" s="163"/>
      <c r="BD787" s="163"/>
      <c r="BE787" s="207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</row>
    <row r="788" spans="47:75" x14ac:dyDescent="0.3">
      <c r="AW788" s="110"/>
      <c r="AX788" s="163"/>
      <c r="AY788" s="163"/>
      <c r="AZ788" s="163"/>
      <c r="BA788" s="207"/>
      <c r="BB788" s="163"/>
      <c r="BC788" s="163"/>
      <c r="BD788" s="163"/>
      <c r="BE788" s="207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</row>
    <row r="789" spans="47:75" x14ac:dyDescent="0.3">
      <c r="AW789" s="110"/>
      <c r="AX789" s="163"/>
      <c r="AY789" s="163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</row>
    <row r="790" spans="47:75" x14ac:dyDescent="0.3">
      <c r="AW790" s="110"/>
      <c r="AX790" s="163"/>
      <c r="AY790" s="163"/>
      <c r="AZ790" s="163"/>
      <c r="BA790" s="207"/>
      <c r="BB790" s="163"/>
      <c r="BC790" s="163"/>
      <c r="BD790" s="163"/>
      <c r="BE790" s="207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</row>
    <row r="791" spans="47:75" x14ac:dyDescent="0.3">
      <c r="AW791" s="110"/>
      <c r="AX791" s="163"/>
      <c r="AY791" s="163"/>
      <c r="AZ791" s="163"/>
      <c r="BA791" s="207"/>
      <c r="BB791" s="163"/>
      <c r="BC791" s="163"/>
      <c r="BD791" s="163"/>
      <c r="BE791" s="207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</row>
    <row r="792" spans="47:75" x14ac:dyDescent="0.3">
      <c r="AW792" s="110"/>
      <c r="AX792" s="163"/>
      <c r="AY792" s="163"/>
      <c r="AZ792" s="163"/>
      <c r="BA792" s="207"/>
      <c r="BB792" s="163"/>
      <c r="BC792" s="163"/>
      <c r="BD792" s="163"/>
      <c r="BE792" s="207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</row>
    <row r="793" spans="47:75" x14ac:dyDescent="0.3">
      <c r="AW793" s="110"/>
      <c r="AX793" s="163"/>
      <c r="AY793" s="163"/>
      <c r="AZ793" s="163"/>
      <c r="BA793" s="207"/>
      <c r="BB793" s="163"/>
      <c r="BC793" s="163"/>
      <c r="BD793" s="163"/>
      <c r="BE793" s="207"/>
      <c r="BG793" s="101"/>
      <c r="BH793" s="101"/>
      <c r="BI793" s="99"/>
      <c r="BM793" s="101"/>
      <c r="BN793" s="101"/>
      <c r="BO793" s="163"/>
      <c r="BP793" s="101"/>
      <c r="BQ793" s="101"/>
      <c r="BR793" s="99"/>
      <c r="BV793" s="101"/>
      <c r="BW793" s="101"/>
    </row>
    <row r="794" spans="47:75" x14ac:dyDescent="0.3">
      <c r="AU794" s="99"/>
      <c r="AV794" s="102"/>
      <c r="AW794" s="110"/>
      <c r="AX794" s="163"/>
      <c r="AY794" s="163"/>
      <c r="AZ794" s="163"/>
      <c r="BA794" s="207"/>
      <c r="BB794" s="163"/>
      <c r="BC794" s="163"/>
      <c r="BD794" s="163"/>
      <c r="BE794" s="207"/>
      <c r="BG794" s="213"/>
      <c r="BH794" s="163"/>
      <c r="BI794" s="163"/>
      <c r="BJ794" s="163"/>
      <c r="BK794" s="213"/>
      <c r="BL794" s="214"/>
      <c r="BM794" s="163"/>
      <c r="BN794" s="213"/>
      <c r="BO794" s="163"/>
      <c r="BP794" s="213"/>
      <c r="BQ794" s="163"/>
      <c r="BR794" s="163"/>
      <c r="BS794" s="163"/>
      <c r="BT794" s="213"/>
      <c r="BU794" s="214"/>
      <c r="BV794" s="163"/>
      <c r="BW794" s="213"/>
    </row>
    <row r="795" spans="47:75" x14ac:dyDescent="0.3">
      <c r="AV795" s="102"/>
      <c r="AW795" s="110"/>
      <c r="AX795" s="163"/>
      <c r="AY795" s="163"/>
      <c r="AZ795" s="163"/>
      <c r="BA795" s="207"/>
      <c r="BB795" s="163"/>
      <c r="BC795" s="163"/>
      <c r="BD795" s="163"/>
      <c r="BE795" s="207"/>
      <c r="BG795" s="163"/>
      <c r="BH795" s="163"/>
      <c r="BI795" s="163"/>
      <c r="BJ795" s="163"/>
      <c r="BK795" s="163"/>
      <c r="BL795" s="214"/>
      <c r="BM795" s="163"/>
      <c r="BN795" s="163"/>
      <c r="BO795" s="163"/>
      <c r="BP795" s="163"/>
      <c r="BQ795" s="163"/>
      <c r="BR795" s="163"/>
      <c r="BS795" s="163"/>
      <c r="BT795" s="163"/>
      <c r="BU795" s="214"/>
      <c r="BV795" s="163"/>
      <c r="BW795" s="163"/>
    </row>
    <row r="796" spans="47:75" x14ac:dyDescent="0.3">
      <c r="AV796" s="102"/>
      <c r="AW796" s="110"/>
      <c r="AX796" s="163"/>
      <c r="AY796" s="163"/>
      <c r="AZ796" s="163"/>
      <c r="BA796" s="207"/>
      <c r="BB796" s="163"/>
      <c r="BC796" s="163"/>
      <c r="BD796" s="163"/>
      <c r="BE796" s="207"/>
      <c r="BG796" s="163"/>
      <c r="BH796" s="163"/>
      <c r="BI796" s="163"/>
      <c r="BJ796" s="163"/>
      <c r="BK796" s="163"/>
      <c r="BL796" s="214"/>
      <c r="BM796" s="163"/>
      <c r="BN796" s="163"/>
      <c r="BO796" s="163"/>
      <c r="BP796" s="163"/>
      <c r="BQ796" s="163"/>
      <c r="BR796" s="163"/>
      <c r="BS796" s="163"/>
      <c r="BT796" s="163"/>
      <c r="BU796" s="214"/>
      <c r="BV796" s="163"/>
      <c r="BW796" s="163"/>
    </row>
    <row r="797" spans="47:75" x14ac:dyDescent="0.3">
      <c r="AV797" s="102"/>
      <c r="AW797" s="110"/>
      <c r="AX797" s="163"/>
      <c r="AY797" s="163"/>
      <c r="AZ797" s="163"/>
      <c r="BA797" s="207"/>
      <c r="BB797" s="163"/>
      <c r="BC797" s="163"/>
      <c r="BD797" s="163"/>
      <c r="BE797" s="207"/>
      <c r="BG797" s="163"/>
      <c r="BH797" s="163"/>
      <c r="BI797" s="163"/>
      <c r="BJ797" s="163"/>
      <c r="BK797" s="163"/>
      <c r="BL797" s="214"/>
      <c r="BM797" s="163"/>
      <c r="BN797" s="163"/>
      <c r="BO797" s="163"/>
      <c r="BP797" s="163"/>
      <c r="BQ797" s="163"/>
      <c r="BR797" s="163"/>
      <c r="BS797" s="163"/>
      <c r="BT797" s="163"/>
      <c r="BU797" s="214"/>
      <c r="BV797" s="163"/>
      <c r="BW797" s="163"/>
    </row>
    <row r="798" spans="47:75" x14ac:dyDescent="0.3">
      <c r="AX798" s="163"/>
      <c r="AY798" s="163"/>
      <c r="AZ798" s="163"/>
      <c r="BA798" s="207"/>
      <c r="BB798" s="163"/>
      <c r="BC798" s="163"/>
      <c r="BD798" s="163"/>
      <c r="BE798" s="207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</row>
    <row r="799" spans="47:75" x14ac:dyDescent="0.3">
      <c r="AU799" s="99"/>
    </row>
    <row r="800" spans="47:75" x14ac:dyDescent="0.3">
      <c r="AU800" s="99"/>
      <c r="AZ800" s="163"/>
      <c r="BA800" s="207"/>
      <c r="BB800" s="163"/>
      <c r="BC800" s="163"/>
      <c r="BD800" s="163"/>
      <c r="BE800" s="207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</row>
    <row r="801" spans="45:74" x14ac:dyDescent="0.3">
      <c r="AS801" s="99"/>
      <c r="AZ801" s="163"/>
      <c r="BB801" s="163"/>
    </row>
    <row r="802" spans="45:74" x14ac:dyDescent="0.3">
      <c r="AZ802" s="163"/>
      <c r="BB802" s="163"/>
      <c r="BO802" s="163"/>
      <c r="BP802" s="163"/>
      <c r="BQ802" s="163"/>
      <c r="BR802" s="163"/>
      <c r="BS802" s="163"/>
      <c r="BT802" s="163"/>
      <c r="BU802" s="163"/>
      <c r="BV802" s="163"/>
    </row>
    <row r="803" spans="45:74" x14ac:dyDescent="0.3">
      <c r="AY803" s="163"/>
      <c r="AZ803" s="163"/>
      <c r="BB803" s="163"/>
      <c r="BO803" s="163"/>
      <c r="BP803" s="163"/>
      <c r="BQ803" s="163"/>
      <c r="BR803" s="163"/>
      <c r="BS803" s="163"/>
      <c r="BT803" s="163"/>
      <c r="BU803" s="163"/>
      <c r="BV803" s="163"/>
    </row>
    <row r="804" spans="45:74" x14ac:dyDescent="0.3">
      <c r="AY804" s="99"/>
      <c r="AZ804" s="163"/>
      <c r="BB804" s="163"/>
      <c r="BO804" s="163"/>
      <c r="BP804" s="163"/>
      <c r="BQ804" s="163"/>
      <c r="BR804" s="163"/>
      <c r="BS804" s="163"/>
      <c r="BT804" s="163"/>
      <c r="BU804" s="163"/>
      <c r="BV804" s="163"/>
    </row>
    <row r="805" spans="45:74" x14ac:dyDescent="0.3">
      <c r="AY805" s="99"/>
      <c r="AZ805" s="163"/>
      <c r="BB805" s="163"/>
      <c r="BO805" s="163"/>
      <c r="BP805" s="163"/>
      <c r="BQ805" s="163"/>
      <c r="BR805" s="163"/>
      <c r="BS805" s="163"/>
      <c r="BT805" s="163"/>
      <c r="BU805" s="163"/>
      <c r="BV805" s="163"/>
    </row>
    <row r="806" spans="45:74" x14ac:dyDescent="0.3">
      <c r="AZ806" s="163"/>
      <c r="BB806" s="163"/>
      <c r="BD806" s="99"/>
      <c r="BO806" s="163"/>
      <c r="BP806" s="163"/>
      <c r="BQ806" s="163"/>
      <c r="BR806" s="163"/>
      <c r="BS806" s="163"/>
      <c r="BT806" s="163"/>
      <c r="BU806" s="163"/>
      <c r="BV806" s="163"/>
    </row>
    <row r="807" spans="45:74" x14ac:dyDescent="0.3">
      <c r="AZ807" s="163"/>
      <c r="BB807" s="163"/>
      <c r="BD807" s="99"/>
      <c r="BO807" s="163"/>
      <c r="BP807" s="163"/>
      <c r="BQ807" s="163"/>
      <c r="BR807" s="163"/>
      <c r="BS807" s="163"/>
      <c r="BT807" s="163"/>
      <c r="BU807" s="163"/>
      <c r="BV807" s="163"/>
    </row>
    <row r="808" spans="45:74" x14ac:dyDescent="0.3">
      <c r="AS808" s="99"/>
      <c r="AZ808" s="163"/>
      <c r="BB808" s="163"/>
      <c r="BD808" s="99"/>
      <c r="BO808" s="163"/>
      <c r="BP808" s="163"/>
      <c r="BQ808" s="163"/>
      <c r="BR808" s="163"/>
      <c r="BS808" s="163"/>
      <c r="BT808" s="163"/>
      <c r="BU808" s="163"/>
      <c r="BV808" s="163"/>
    </row>
    <row r="809" spans="45:74" x14ac:dyDescent="0.3">
      <c r="AZ809" s="163"/>
      <c r="BB809" s="163"/>
      <c r="BO809" s="163"/>
      <c r="BP809" s="163"/>
      <c r="BQ809" s="163"/>
      <c r="BR809" s="163"/>
      <c r="BS809" s="163"/>
      <c r="BT809" s="163"/>
      <c r="BU809" s="163"/>
      <c r="BV809" s="163"/>
    </row>
    <row r="810" spans="45:74" x14ac:dyDescent="0.3">
      <c r="AS810" s="101"/>
      <c r="AT810" s="101"/>
      <c r="AU810" s="101"/>
      <c r="AV810" s="101"/>
      <c r="AW810" s="101"/>
      <c r="AX810" s="101"/>
      <c r="AY810" s="101"/>
      <c r="AZ810" s="212"/>
      <c r="BA810" s="101"/>
      <c r="BB810" s="212"/>
      <c r="BC810" s="101"/>
      <c r="BD810" s="101"/>
      <c r="BE810" s="101"/>
      <c r="BO810" s="163"/>
      <c r="BP810" s="163"/>
      <c r="BQ810" s="163"/>
      <c r="BR810" s="163"/>
      <c r="BS810" s="163"/>
      <c r="BT810" s="163"/>
      <c r="BU810" s="163"/>
      <c r="BV810" s="163"/>
    </row>
    <row r="811" spans="45:74" x14ac:dyDescent="0.3">
      <c r="AX811" s="99"/>
      <c r="AZ811" s="163"/>
      <c r="BB811" s="163"/>
      <c r="BO811" s="163"/>
      <c r="BP811" s="163"/>
      <c r="BQ811" s="163"/>
      <c r="BR811" s="163"/>
      <c r="BS811" s="163"/>
      <c r="BT811" s="163"/>
      <c r="BU811" s="163"/>
      <c r="BV811" s="163"/>
    </row>
    <row r="812" spans="45:74" x14ac:dyDescent="0.3">
      <c r="AX812" s="101"/>
      <c r="AY812" s="101"/>
      <c r="AZ812" s="212"/>
      <c r="BA812" s="101"/>
      <c r="BB812" s="163"/>
      <c r="BC812" s="102"/>
      <c r="BD812" s="102"/>
      <c r="BO812" s="163"/>
      <c r="BP812" s="163"/>
      <c r="BQ812" s="163"/>
      <c r="BR812" s="163"/>
      <c r="BS812" s="163"/>
      <c r="BT812" s="163"/>
      <c r="BU812" s="163"/>
      <c r="BV812" s="163"/>
    </row>
    <row r="813" spans="45:74" x14ac:dyDescent="0.3">
      <c r="AV813" s="102"/>
      <c r="AW813" s="102"/>
      <c r="AZ813" s="213"/>
      <c r="BA813" s="102"/>
      <c r="BB813" s="163"/>
      <c r="BC813" s="102"/>
      <c r="BD813" s="102"/>
      <c r="BE813" s="102"/>
      <c r="BG813" s="101"/>
      <c r="BH813" s="99"/>
      <c r="BK813" s="101"/>
      <c r="BM813" s="101"/>
      <c r="BN813" s="99"/>
      <c r="BQ813" s="101"/>
    </row>
    <row r="814" spans="45:74" x14ac:dyDescent="0.3">
      <c r="AV814" s="102"/>
      <c r="AW814" s="102"/>
      <c r="AX814" s="102"/>
      <c r="AY814" s="102"/>
      <c r="AZ814" s="213"/>
      <c r="BA814" s="102"/>
      <c r="BB814" s="213"/>
      <c r="BC814" s="102"/>
      <c r="BD814" s="102"/>
      <c r="BE814" s="102"/>
      <c r="BH814" s="102"/>
      <c r="BI814" s="102"/>
      <c r="BN814" s="102"/>
      <c r="BO814" s="102"/>
    </row>
    <row r="815" spans="45:74" x14ac:dyDescent="0.3">
      <c r="AS815" s="102"/>
      <c r="AU815" s="99"/>
      <c r="AV815" s="102"/>
      <c r="AW815" s="102"/>
      <c r="AX815" s="102"/>
      <c r="AY815" s="102"/>
      <c r="AZ815" s="213"/>
      <c r="BA815" s="102"/>
      <c r="BB815" s="213"/>
      <c r="BC815" s="102"/>
      <c r="BD815" s="102"/>
      <c r="BE815" s="102"/>
      <c r="BG815" s="102"/>
      <c r="BH815" s="102"/>
      <c r="BI815" s="102"/>
      <c r="BJ815" s="102"/>
      <c r="BK815" s="102"/>
      <c r="BM815" s="102"/>
      <c r="BN815" s="102"/>
      <c r="BO815" s="102"/>
      <c r="BP815" s="102"/>
      <c r="BQ815" s="102"/>
    </row>
    <row r="816" spans="45:74" x14ac:dyDescent="0.3">
      <c r="AS816" s="102"/>
      <c r="AU816" s="99"/>
      <c r="AV816" s="102"/>
      <c r="AW816" s="102"/>
      <c r="AX816" s="102"/>
      <c r="AY816" s="102"/>
      <c r="AZ816" s="213"/>
      <c r="BA816" s="102"/>
      <c r="BB816" s="213"/>
      <c r="BC816" s="102"/>
      <c r="BD816" s="102"/>
      <c r="BE816" s="102"/>
      <c r="BG816" s="102"/>
      <c r="BH816" s="102"/>
      <c r="BI816" s="102"/>
      <c r="BJ816" s="102"/>
      <c r="BK816" s="102"/>
      <c r="BM816" s="102"/>
      <c r="BN816" s="102"/>
      <c r="BO816" s="102"/>
      <c r="BP816" s="102"/>
      <c r="BQ816" s="102"/>
    </row>
    <row r="817" spans="45:71" x14ac:dyDescent="0.3">
      <c r="AS817" s="101"/>
      <c r="AT817" s="101"/>
      <c r="AU817" s="101"/>
      <c r="AV817" s="101"/>
      <c r="AW817" s="101"/>
      <c r="AX817" s="101"/>
      <c r="AY817" s="101"/>
      <c r="AZ817" s="212"/>
      <c r="BA817" s="101"/>
      <c r="BB817" s="212"/>
      <c r="BC817" s="101"/>
      <c r="BD817" s="101"/>
      <c r="BE817" s="101"/>
      <c r="BG817" s="101"/>
      <c r="BH817" s="101"/>
      <c r="BI817" s="101"/>
      <c r="BJ817" s="101"/>
      <c r="BK817" s="101"/>
      <c r="BM817" s="101"/>
      <c r="BN817" s="101"/>
      <c r="BO817" s="101"/>
      <c r="BP817" s="101"/>
      <c r="BQ817" s="101"/>
    </row>
    <row r="818" spans="45:71" x14ac:dyDescent="0.3">
      <c r="AV818" s="102"/>
      <c r="AW818" s="102"/>
      <c r="AX818" s="102"/>
      <c r="AY818" s="102"/>
      <c r="AZ818" s="213"/>
      <c r="BA818" s="102"/>
      <c r="BB818" s="213"/>
      <c r="BC818" s="102"/>
      <c r="BD818" s="102"/>
      <c r="BE818" s="102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</row>
    <row r="819" spans="45:71" x14ac:dyDescent="0.3">
      <c r="AT819" s="99"/>
      <c r="AV819" s="110"/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</row>
    <row r="820" spans="45:71" x14ac:dyDescent="0.3">
      <c r="AV820" s="110"/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</row>
    <row r="821" spans="45:71" x14ac:dyDescent="0.3">
      <c r="AV821" s="110"/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</row>
    <row r="822" spans="45:71" x14ac:dyDescent="0.3">
      <c r="AV822" s="110"/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</row>
    <row r="823" spans="45:71" x14ac:dyDescent="0.3">
      <c r="AV823" s="110"/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</row>
    <row r="824" spans="45:71" x14ac:dyDescent="0.3">
      <c r="AV824" s="110"/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</row>
    <row r="825" spans="45:71" x14ac:dyDescent="0.3">
      <c r="AV825" s="110"/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</row>
    <row r="826" spans="45:71" x14ac:dyDescent="0.3">
      <c r="AV826" s="110"/>
      <c r="AW826" s="110"/>
      <c r="AX826" s="163"/>
      <c r="AY826" s="163"/>
      <c r="AZ826" s="163"/>
      <c r="BA826" s="207"/>
      <c r="BB826" s="163"/>
      <c r="BC826" s="163"/>
      <c r="BD826" s="163"/>
      <c r="BE826" s="207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</row>
    <row r="827" spans="45:71" x14ac:dyDescent="0.3">
      <c r="AV827" s="110"/>
      <c r="AW827" s="110"/>
      <c r="AX827" s="163"/>
      <c r="AY827" s="163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</row>
    <row r="828" spans="45:71" x14ac:dyDescent="0.3">
      <c r="AV828" s="110"/>
      <c r="AW828" s="110"/>
      <c r="AX828" s="163"/>
      <c r="AY828" s="163"/>
      <c r="AZ828" s="163"/>
      <c r="BA828" s="207"/>
      <c r="BB828" s="163"/>
      <c r="BC828" s="163"/>
      <c r="BD828" s="163"/>
      <c r="BE828" s="207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</row>
    <row r="829" spans="45:71" x14ac:dyDescent="0.3">
      <c r="AV829" s="110"/>
      <c r="AW829" s="110"/>
      <c r="AX829" s="163"/>
      <c r="AY829" s="163"/>
      <c r="AZ829" s="163"/>
      <c r="BA829" s="207"/>
      <c r="BB829" s="163"/>
      <c r="BC829" s="163"/>
      <c r="BD829" s="163"/>
      <c r="BE829" s="207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</row>
    <row r="830" spans="45:71" x14ac:dyDescent="0.3">
      <c r="AV830" s="110"/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</row>
    <row r="831" spans="45:71" x14ac:dyDescent="0.3"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</row>
    <row r="832" spans="45:71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</row>
    <row r="833" spans="46:71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</row>
    <row r="834" spans="46:71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</row>
    <row r="835" spans="46:71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</row>
    <row r="836" spans="46:71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</row>
    <row r="837" spans="46:71" x14ac:dyDescent="0.3">
      <c r="AZ837" s="163"/>
      <c r="BB837" s="163"/>
      <c r="BC837" s="163"/>
      <c r="BD837" s="163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</row>
    <row r="838" spans="46:71" x14ac:dyDescent="0.3">
      <c r="AT838" s="99"/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</row>
    <row r="839" spans="46:71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</row>
    <row r="840" spans="46:71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</row>
    <row r="841" spans="46:71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</row>
    <row r="842" spans="46:71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</row>
    <row r="843" spans="46:71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</row>
    <row r="844" spans="46:71" x14ac:dyDescent="0.3">
      <c r="AV844" s="110"/>
      <c r="AW844" s="110"/>
      <c r="AX844" s="163"/>
      <c r="AY844" s="163"/>
      <c r="AZ844" s="163"/>
      <c r="BA844" s="207"/>
      <c r="BB844" s="163"/>
      <c r="BC844" s="163"/>
      <c r="BD844" s="163"/>
      <c r="BE844" s="207"/>
    </row>
    <row r="845" spans="46:71" x14ac:dyDescent="0.3">
      <c r="AV845" s="110"/>
      <c r="AW845" s="110"/>
      <c r="AX845" s="163"/>
      <c r="AY845" s="163"/>
      <c r="AZ845" s="163"/>
      <c r="BA845" s="207"/>
      <c r="BB845" s="163"/>
      <c r="BC845" s="163"/>
      <c r="BD845" s="163"/>
      <c r="BE845" s="207"/>
    </row>
    <row r="846" spans="46:71" x14ac:dyDescent="0.3"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</row>
    <row r="847" spans="46:71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</row>
    <row r="848" spans="46:71" x14ac:dyDescent="0.3">
      <c r="AV848" s="110"/>
      <c r="AW848" s="110"/>
      <c r="AX848" s="163"/>
      <c r="AY848" s="163"/>
      <c r="AZ848" s="163"/>
      <c r="BA848" s="207"/>
      <c r="BB848" s="163"/>
      <c r="BC848" s="163"/>
      <c r="BD848" s="163"/>
      <c r="BE848" s="207"/>
    </row>
    <row r="849" spans="45:57" x14ac:dyDescent="0.3">
      <c r="AV849" s="110"/>
      <c r="AW849" s="110"/>
      <c r="AX849" s="163"/>
      <c r="AY849" s="163"/>
      <c r="AZ849" s="163"/>
      <c r="BA849" s="207"/>
      <c r="BB849" s="163"/>
      <c r="BC849" s="163"/>
      <c r="BD849" s="163"/>
      <c r="BE849" s="207"/>
    </row>
    <row r="850" spans="45:57" x14ac:dyDescent="0.3">
      <c r="AV850" s="110"/>
      <c r="AW850" s="110"/>
      <c r="AX850" s="163"/>
      <c r="AY850" s="163"/>
      <c r="AZ850" s="163"/>
      <c r="BA850" s="207"/>
      <c r="BB850" s="163"/>
      <c r="BC850" s="163"/>
      <c r="BD850" s="163"/>
      <c r="BE850" s="207"/>
    </row>
    <row r="851" spans="45:57" x14ac:dyDescent="0.3">
      <c r="AV851" s="110"/>
      <c r="AW851" s="110"/>
      <c r="AX851" s="163"/>
      <c r="AY851" s="163"/>
      <c r="AZ851" s="163"/>
      <c r="BA851" s="207"/>
      <c r="BB851" s="163"/>
      <c r="BC851" s="163"/>
      <c r="BD851" s="163"/>
      <c r="BE851" s="207"/>
    </row>
    <row r="852" spans="45:57" x14ac:dyDescent="0.3">
      <c r="AV852" s="110"/>
      <c r="AW852" s="110"/>
      <c r="AX852" s="163"/>
      <c r="AY852" s="163"/>
      <c r="AZ852" s="163"/>
      <c r="BA852" s="207"/>
      <c r="BB852" s="163"/>
      <c r="BC852" s="163"/>
      <c r="BD852" s="163"/>
      <c r="BE852" s="207"/>
    </row>
    <row r="853" spans="45:57" x14ac:dyDescent="0.3">
      <c r="AV853" s="110"/>
      <c r="AW853" s="110"/>
      <c r="AX853" s="163"/>
      <c r="AY853" s="163"/>
      <c r="AZ853" s="163"/>
      <c r="BA853" s="207"/>
      <c r="BB853" s="163"/>
      <c r="BC853" s="163"/>
      <c r="BD853" s="163"/>
      <c r="BE853" s="207"/>
    </row>
    <row r="854" spans="45:57" x14ac:dyDescent="0.3">
      <c r="AV854" s="110"/>
      <c r="AW854" s="110"/>
      <c r="AX854" s="163"/>
      <c r="AY854" s="163"/>
      <c r="AZ854" s="163"/>
      <c r="BA854" s="207"/>
      <c r="BB854" s="163"/>
      <c r="BC854" s="163"/>
      <c r="BD854" s="163"/>
      <c r="BE854" s="207"/>
    </row>
    <row r="855" spans="45:57" x14ac:dyDescent="0.3">
      <c r="AV855" s="110"/>
      <c r="AW855" s="110"/>
      <c r="AX855" s="163"/>
      <c r="AY855" s="163"/>
      <c r="AZ855" s="163"/>
      <c r="BA855" s="207"/>
      <c r="BB855" s="163"/>
      <c r="BC855" s="163"/>
      <c r="BD855" s="163"/>
      <c r="BE855" s="207"/>
    </row>
    <row r="856" spans="45:57" x14ac:dyDescent="0.3">
      <c r="BB856" s="163"/>
    </row>
    <row r="857" spans="45:57" x14ac:dyDescent="0.3">
      <c r="AU857" s="99"/>
      <c r="BB857" s="163"/>
    </row>
    <row r="858" spans="45:57" x14ac:dyDescent="0.3">
      <c r="AU858" s="99"/>
    </row>
    <row r="859" spans="45:57" x14ac:dyDescent="0.3">
      <c r="AU859" s="99"/>
      <c r="BB859" s="163"/>
    </row>
    <row r="860" spans="45:57" x14ac:dyDescent="0.3">
      <c r="AS860" s="99"/>
      <c r="AZ860" s="163"/>
      <c r="BB860" s="163"/>
    </row>
    <row r="861" spans="45:57" x14ac:dyDescent="0.3">
      <c r="AZ861" s="163"/>
      <c r="BB861" s="163"/>
    </row>
    <row r="862" spans="45:57" x14ac:dyDescent="0.3">
      <c r="AY862" s="163"/>
      <c r="AZ862" s="163"/>
      <c r="BB862" s="163"/>
    </row>
    <row r="863" spans="45:57" x14ac:dyDescent="0.3">
      <c r="AY863" s="99"/>
      <c r="AZ863" s="163"/>
      <c r="BB863" s="163"/>
    </row>
    <row r="864" spans="45:57" x14ac:dyDescent="0.3">
      <c r="AY864" s="99"/>
      <c r="AZ864" s="163"/>
      <c r="BB864" s="163"/>
    </row>
    <row r="865" spans="45:57" x14ac:dyDescent="0.3">
      <c r="AZ865" s="163"/>
      <c r="BB865" s="163"/>
      <c r="BD865" s="99"/>
    </row>
    <row r="866" spans="45:57" x14ac:dyDescent="0.3">
      <c r="AZ866" s="163"/>
      <c r="BB866" s="163"/>
      <c r="BD866" s="99"/>
    </row>
    <row r="867" spans="45:57" x14ac:dyDescent="0.3">
      <c r="AS867" s="99"/>
      <c r="AZ867" s="163"/>
      <c r="BB867" s="163"/>
      <c r="BD867" s="99"/>
    </row>
    <row r="868" spans="45:57" x14ac:dyDescent="0.3">
      <c r="AZ868" s="163"/>
      <c r="BB868" s="163"/>
    </row>
    <row r="869" spans="45:57" x14ac:dyDescent="0.3">
      <c r="AS869" s="101"/>
      <c r="AT869" s="101"/>
      <c r="AU869" s="101"/>
      <c r="AV869" s="101"/>
      <c r="AW869" s="101"/>
      <c r="AX869" s="101"/>
      <c r="AY869" s="101"/>
      <c r="AZ869" s="212"/>
      <c r="BA869" s="101"/>
      <c r="BB869" s="212"/>
      <c r="BC869" s="101"/>
      <c r="BD869" s="101"/>
      <c r="BE869" s="101"/>
    </row>
    <row r="870" spans="45:57" x14ac:dyDescent="0.3">
      <c r="AX870" s="99"/>
      <c r="AZ870" s="163"/>
      <c r="BB870" s="163"/>
    </row>
    <row r="871" spans="45:57" x14ac:dyDescent="0.3">
      <c r="AX871" s="101"/>
      <c r="AY871" s="101"/>
      <c r="AZ871" s="212"/>
      <c r="BA871" s="101"/>
      <c r="BB871" s="163"/>
      <c r="BC871" s="102"/>
      <c r="BD871" s="102"/>
    </row>
    <row r="872" spans="45:57" x14ac:dyDescent="0.3">
      <c r="AV872" s="102"/>
      <c r="AW872" s="102"/>
      <c r="AZ872" s="213"/>
      <c r="BA872" s="102"/>
      <c r="BB872" s="163"/>
      <c r="BC872" s="102"/>
      <c r="BD872" s="102"/>
      <c r="BE872" s="102"/>
    </row>
    <row r="873" spans="45:57" x14ac:dyDescent="0.3">
      <c r="AV873" s="102"/>
      <c r="AW873" s="102"/>
      <c r="AX873" s="102"/>
      <c r="AY873" s="102"/>
      <c r="AZ873" s="213"/>
      <c r="BA873" s="102"/>
      <c r="BB873" s="213"/>
      <c r="BC873" s="102"/>
      <c r="BD873" s="102"/>
      <c r="BE873" s="102"/>
    </row>
    <row r="874" spans="45:57" x14ac:dyDescent="0.3">
      <c r="AS874" s="102"/>
      <c r="AU874" s="99"/>
      <c r="AV874" s="102"/>
      <c r="AW874" s="102"/>
      <c r="AX874" s="102"/>
      <c r="AY874" s="102"/>
      <c r="AZ874" s="213"/>
      <c r="BA874" s="102"/>
      <c r="BB874" s="213"/>
      <c r="BC874" s="102"/>
      <c r="BD874" s="102"/>
      <c r="BE874" s="102"/>
    </row>
    <row r="875" spans="45:57" x14ac:dyDescent="0.3">
      <c r="AS875" s="102"/>
      <c r="AU875" s="99"/>
      <c r="AV875" s="102"/>
      <c r="AW875" s="102"/>
      <c r="AX875" s="102"/>
      <c r="AY875" s="102"/>
      <c r="AZ875" s="213"/>
      <c r="BA875" s="102"/>
      <c r="BB875" s="213"/>
      <c r="BC875" s="102"/>
      <c r="BD875" s="102"/>
      <c r="BE875" s="102"/>
    </row>
    <row r="876" spans="45:57" x14ac:dyDescent="0.3">
      <c r="AS876" s="101"/>
      <c r="AT876" s="101"/>
      <c r="AU876" s="101"/>
      <c r="AV876" s="101"/>
      <c r="AW876" s="101"/>
      <c r="AX876" s="101"/>
      <c r="AY876" s="101"/>
      <c r="AZ876" s="212"/>
      <c r="BA876" s="101"/>
      <c r="BB876" s="212"/>
      <c r="BC876" s="101"/>
      <c r="BD876" s="101"/>
      <c r="BE876" s="101"/>
    </row>
    <row r="877" spans="45:57" x14ac:dyDescent="0.3">
      <c r="AV877" s="102"/>
      <c r="AW877" s="102"/>
      <c r="AX877" s="102"/>
      <c r="AY877" s="102"/>
      <c r="AZ877" s="213"/>
      <c r="BA877" s="102"/>
      <c r="BB877" s="213"/>
      <c r="BC877" s="102"/>
      <c r="BD877" s="102"/>
      <c r="BE877" s="102"/>
    </row>
    <row r="878" spans="45:57" x14ac:dyDescent="0.3">
      <c r="AT878" s="99"/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</row>
    <row r="879" spans="45:57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</row>
    <row r="880" spans="45:57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</row>
    <row r="881" spans="46:57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</row>
    <row r="882" spans="46:57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</row>
    <row r="883" spans="46:57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</row>
    <row r="884" spans="46:57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</row>
    <row r="885" spans="46:57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6:57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6:57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8" spans="46:57" x14ac:dyDescent="0.3">
      <c r="AV888" s="110"/>
      <c r="AW888" s="110"/>
      <c r="BB888" s="163"/>
    </row>
    <row r="889" spans="46:57" x14ac:dyDescent="0.3">
      <c r="AT889" s="99"/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6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6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6:57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6:57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6:57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6:57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6:57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5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5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900" spans="45:57" x14ac:dyDescent="0.3">
      <c r="AU900" s="99"/>
    </row>
    <row r="901" spans="45:57" x14ac:dyDescent="0.3">
      <c r="AU901" s="99"/>
    </row>
    <row r="902" spans="45:57" x14ac:dyDescent="0.3">
      <c r="AU902" s="99"/>
    </row>
    <row r="903" spans="45:57" x14ac:dyDescent="0.3">
      <c r="AS903" s="99"/>
    </row>
    <row r="924" spans="52:71" x14ac:dyDescent="0.3">
      <c r="AZ924" s="163"/>
      <c r="BB924" s="163"/>
      <c r="BC924" s="163"/>
      <c r="BD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</row>
    <row r="925" spans="52:71" x14ac:dyDescent="0.3">
      <c r="AZ925" s="163"/>
      <c r="BB925" s="163"/>
      <c r="BC925" s="163"/>
      <c r="BD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</row>
    <row r="926" spans="52:71" x14ac:dyDescent="0.3">
      <c r="AZ926" s="163"/>
      <c r="BB926" s="163"/>
      <c r="BC926" s="163"/>
      <c r="BD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</row>
    <row r="927" spans="52:71" x14ac:dyDescent="0.3">
      <c r="AZ927" s="163"/>
      <c r="BB927" s="163"/>
      <c r="BC927" s="163"/>
      <c r="BD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</row>
    <row r="928" spans="52:71" x14ac:dyDescent="0.3">
      <c r="AZ928" s="163"/>
      <c r="BB928" s="163"/>
      <c r="BC928" s="163"/>
      <c r="BD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</row>
    <row r="929" spans="52:71" x14ac:dyDescent="0.3">
      <c r="AZ929" s="163"/>
      <c r="BB929" s="163"/>
      <c r="BC929" s="163"/>
      <c r="BD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</row>
    <row r="930" spans="52:71" x14ac:dyDescent="0.3">
      <c r="AZ930" s="163"/>
      <c r="BB930" s="163"/>
      <c r="BC930" s="163"/>
      <c r="BD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</row>
    <row r="931" spans="52:71" x14ac:dyDescent="0.3">
      <c r="AZ931" s="163"/>
      <c r="BB931" s="163"/>
      <c r="BC931" s="163"/>
      <c r="BD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</row>
    <row r="932" spans="52:71" x14ac:dyDescent="0.3">
      <c r="AZ932" s="163"/>
      <c r="BB932" s="163"/>
      <c r="BC932" s="163"/>
      <c r="BD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</row>
    <row r="933" spans="52:71" x14ac:dyDescent="0.3">
      <c r="AZ933" s="163"/>
      <c r="BB933" s="163"/>
      <c r="BC933" s="163"/>
      <c r="BD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</row>
    <row r="934" spans="52:71" x14ac:dyDescent="0.3">
      <c r="AZ934" s="163"/>
      <c r="BB934" s="163"/>
      <c r="BC934" s="163"/>
      <c r="BD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</row>
    <row r="935" spans="52:71" x14ac:dyDescent="0.3">
      <c r="AZ935" s="163"/>
      <c r="BB935" s="163"/>
      <c r="BC935" s="163"/>
      <c r="BD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</row>
    <row r="936" spans="52:71" x14ac:dyDescent="0.3">
      <c r="AZ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</row>
    <row r="937" spans="52:71" x14ac:dyDescent="0.3">
      <c r="AZ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</row>
    <row r="938" spans="52:71" x14ac:dyDescent="0.3">
      <c r="AZ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</row>
    <row r="939" spans="52:71" x14ac:dyDescent="0.3">
      <c r="AZ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</row>
    <row r="940" spans="52:71" x14ac:dyDescent="0.3">
      <c r="AZ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</row>
    <row r="941" spans="52:71" x14ac:dyDescent="0.3">
      <c r="AZ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</row>
    <row r="942" spans="52:71" x14ac:dyDescent="0.3">
      <c r="AZ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</row>
    <row r="943" spans="52:71" x14ac:dyDescent="0.3">
      <c r="AZ943" s="163"/>
    </row>
    <row r="944" spans="52:71" x14ac:dyDescent="0.3">
      <c r="AZ944" s="163"/>
    </row>
    <row r="958" spans="1:1" x14ac:dyDescent="0.3">
      <c r="A958" s="99"/>
    </row>
    <row r="961" spans="1:28" x14ac:dyDescent="0.3">
      <c r="Y961" s="99"/>
    </row>
    <row r="962" spans="1:28" x14ac:dyDescent="0.3">
      <c r="A962" s="99"/>
      <c r="H962" s="99"/>
      <c r="I962" s="99"/>
    </row>
    <row r="963" spans="1:28" x14ac:dyDescent="0.3">
      <c r="A963" s="99"/>
      <c r="V963" s="102"/>
      <c r="AA963" s="102"/>
      <c r="AB963" s="102"/>
    </row>
    <row r="964" spans="1:28" x14ac:dyDescent="0.3">
      <c r="A964" s="99"/>
      <c r="V964" s="101"/>
      <c r="AA964" s="101"/>
      <c r="AB964" s="101"/>
    </row>
    <row r="965" spans="1:28" x14ac:dyDescent="0.3">
      <c r="A965" s="99"/>
      <c r="U965" s="99"/>
      <c r="AA965" s="102"/>
      <c r="AB965" s="102"/>
    </row>
    <row r="966" spans="1:28" x14ac:dyDescent="0.3">
      <c r="A966" s="99"/>
    </row>
    <row r="967" spans="1:28" x14ac:dyDescent="0.3">
      <c r="A967" s="99"/>
      <c r="U967" s="99"/>
      <c r="AA967" s="102"/>
      <c r="AB967" s="102"/>
    </row>
    <row r="968" spans="1:28" x14ac:dyDescent="0.3">
      <c r="A968" s="99"/>
    </row>
    <row r="969" spans="1:28" x14ac:dyDescent="0.3">
      <c r="A969" s="99"/>
      <c r="U969" s="99"/>
      <c r="V969" s="231"/>
      <c r="AA969" s="102"/>
      <c r="AB969" s="102"/>
    </row>
    <row r="970" spans="1:28" x14ac:dyDescent="0.3">
      <c r="A970" s="99"/>
    </row>
    <row r="971" spans="1:28" x14ac:dyDescent="0.3">
      <c r="A971" s="99"/>
      <c r="U971" s="99"/>
      <c r="AA971" s="102"/>
      <c r="AB971" s="102"/>
    </row>
    <row r="972" spans="1:28" x14ac:dyDescent="0.3">
      <c r="A972" s="99"/>
    </row>
    <row r="973" spans="1:28" x14ac:dyDescent="0.3">
      <c r="A973" s="99"/>
      <c r="U973" s="99"/>
      <c r="AA973" s="102"/>
      <c r="AB973" s="102"/>
    </row>
    <row r="974" spans="1:28" x14ac:dyDescent="0.3">
      <c r="A974" s="99"/>
    </row>
    <row r="975" spans="1:28" x14ac:dyDescent="0.3">
      <c r="A975" s="99"/>
    </row>
    <row r="976" spans="1:28" x14ac:dyDescent="0.3">
      <c r="A976" s="99"/>
    </row>
    <row r="977" spans="1:9" x14ac:dyDescent="0.3">
      <c r="A977" s="99"/>
    </row>
    <row r="978" spans="1:9" x14ac:dyDescent="0.3">
      <c r="A978" s="99"/>
    </row>
    <row r="979" spans="1:9" x14ac:dyDescent="0.3">
      <c r="A979" s="99"/>
    </row>
    <row r="980" spans="1:9" x14ac:dyDescent="0.3">
      <c r="A980" s="99"/>
    </row>
    <row r="981" spans="1:9" x14ac:dyDescent="0.3">
      <c r="A981" s="99"/>
    </row>
    <row r="982" spans="1:9" x14ac:dyDescent="0.3">
      <c r="A982" s="99"/>
    </row>
    <row r="983" spans="1:9" x14ac:dyDescent="0.3">
      <c r="A983" s="99"/>
    </row>
    <row r="984" spans="1:9" x14ac:dyDescent="0.3">
      <c r="A984" s="99"/>
      <c r="H984" s="99"/>
      <c r="I984" s="99"/>
    </row>
    <row r="987" spans="1:9" x14ac:dyDescent="0.3">
      <c r="A987" s="99"/>
    </row>
    <row r="990" spans="1:9" x14ac:dyDescent="0.3">
      <c r="A990" s="99"/>
    </row>
    <row r="993" spans="1:1" x14ac:dyDescent="0.3">
      <c r="A993" s="99"/>
    </row>
    <row r="994" spans="1:1" x14ac:dyDescent="0.3">
      <c r="A994" s="99"/>
    </row>
    <row r="995" spans="1:1" x14ac:dyDescent="0.3">
      <c r="A995" s="99"/>
    </row>
    <row r="996" spans="1:1" x14ac:dyDescent="0.3">
      <c r="A996" s="99"/>
    </row>
    <row r="997" spans="1:1" x14ac:dyDescent="0.3">
      <c r="A997" s="99"/>
    </row>
    <row r="998" spans="1:1" x14ac:dyDescent="0.3">
      <c r="A998" s="99"/>
    </row>
    <row r="999" spans="1:1" x14ac:dyDescent="0.3">
      <c r="A999" s="99"/>
    </row>
    <row r="1000" spans="1:1" x14ac:dyDescent="0.3">
      <c r="A1000" s="99"/>
    </row>
    <row r="1001" spans="1:1" x14ac:dyDescent="0.3">
      <c r="A1001" s="99"/>
    </row>
    <row r="1002" spans="1:1" x14ac:dyDescent="0.3">
      <c r="A1002" s="99"/>
    </row>
    <row r="1003" spans="1:1" x14ac:dyDescent="0.3">
      <c r="A1003" s="99"/>
    </row>
    <row r="1004" spans="1:1" x14ac:dyDescent="0.3">
      <c r="A1004" s="99"/>
    </row>
    <row r="1005" spans="1:1" x14ac:dyDescent="0.3">
      <c r="A1005" s="99"/>
    </row>
    <row r="1006" spans="1:1" x14ac:dyDescent="0.3">
      <c r="A1006" s="99"/>
    </row>
    <row r="1007" spans="1:1" x14ac:dyDescent="0.3">
      <c r="A1007" s="99"/>
    </row>
    <row r="1008" spans="1:1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1" spans="1:1" x14ac:dyDescent="0.3">
      <c r="A1021" s="99"/>
    </row>
    <row r="1022" spans="1:1" x14ac:dyDescent="0.3">
      <c r="A1022" s="99"/>
    </row>
    <row r="1023" spans="1:1" x14ac:dyDescent="0.3">
      <c r="A1023" s="99"/>
    </row>
    <row r="1024" spans="1:1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32" spans="1:1" x14ac:dyDescent="0.3">
      <c r="A1032" s="99"/>
    </row>
    <row r="1033" spans="1:1" x14ac:dyDescent="0.3">
      <c r="A1033" s="99"/>
    </row>
    <row r="1036" spans="1:1" x14ac:dyDescent="0.3">
      <c r="A1036" s="99"/>
    </row>
    <row r="1038" spans="1:1" x14ac:dyDescent="0.3">
      <c r="A1038" s="99"/>
    </row>
    <row r="1040" spans="1:1" x14ac:dyDescent="0.3">
      <c r="A1040" s="99"/>
    </row>
    <row r="1042" spans="1:1" x14ac:dyDescent="0.3">
      <c r="A1042" s="99"/>
    </row>
    <row r="1045" spans="1:1" x14ac:dyDescent="0.3">
      <c r="A1045" s="99"/>
    </row>
    <row r="1046" spans="1:1" x14ac:dyDescent="0.3">
      <c r="A1046" s="99"/>
    </row>
    <row r="1047" spans="1:1" x14ac:dyDescent="0.3">
      <c r="A1047" s="99"/>
    </row>
    <row r="1048" spans="1:1" x14ac:dyDescent="0.3">
      <c r="A1048" s="99"/>
    </row>
    <row r="1049" spans="1:1" x14ac:dyDescent="0.3">
      <c r="A1049" s="99"/>
    </row>
    <row r="1050" spans="1:1" x14ac:dyDescent="0.3">
      <c r="A1050" s="99"/>
    </row>
    <row r="1051" spans="1:1" x14ac:dyDescent="0.3">
      <c r="A1051" s="99"/>
    </row>
    <row r="1052" spans="1:1" x14ac:dyDescent="0.3">
      <c r="A1052" s="99"/>
    </row>
  </sheetData>
  <printOptions horizontalCentered="1"/>
  <pageMargins left="0.5" right="0.5" top="1" bottom="0" header="0" footer="0"/>
  <pageSetup scale="65" orientation="landscape" r:id="rId1"/>
  <headerFooter alignWithMargins="0"/>
  <rowBreaks count="16" manualBreakCount="16">
    <brk id="66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syncVertical="1" syncRef="A1" transitionEvaluation="1" transitionEntry="1" codeName="Sheet17">
    <pageSetUpPr fitToPage="1"/>
  </sheetPr>
  <dimension ref="A1:BX1063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42.75" style="98" customWidth="1"/>
    <col min="5" max="5" width="0.91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1.332031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91406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39" style="98" customWidth="1"/>
    <col min="24" max="24" width="0.582031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1.91406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V5" s="192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V6" s="192"/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17 OF "&amp;TEXT(Page_Num_2.3,"00")</f>
        <v>PAGE 17 OF 24</v>
      </c>
      <c r="V7" s="228"/>
      <c r="AK7" s="190"/>
      <c r="AL7" s="99"/>
    </row>
    <row r="8" spans="1:40" x14ac:dyDescent="0.3">
      <c r="A8" s="99" t="s">
        <v>170</v>
      </c>
      <c r="R8" s="99" t="s">
        <v>3</v>
      </c>
      <c r="V8" s="228"/>
      <c r="AK8" s="190"/>
      <c r="AL8" s="99"/>
    </row>
    <row r="9" spans="1:40" x14ac:dyDescent="0.3">
      <c r="A9" s="134" t="str">
        <f>TIME</f>
        <v>6 Months Actual and 6 Months Projected with Riders</v>
      </c>
      <c r="N9" s="99"/>
      <c r="R9" s="98" t="str">
        <f>WIT</f>
        <v>B. L. Sailers</v>
      </c>
      <c r="V9" s="228"/>
      <c r="AK9" s="190"/>
      <c r="AL9" s="99"/>
    </row>
    <row r="10" spans="1:40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V10" s="228"/>
      <c r="W10" s="97"/>
      <c r="AA10" s="99"/>
      <c r="AB10" s="99"/>
    </row>
    <row r="11" spans="1:40" x14ac:dyDescent="0.3">
      <c r="A11" s="101"/>
      <c r="B11" s="101"/>
      <c r="C11" s="101"/>
      <c r="D11" s="101"/>
      <c r="E11" s="101"/>
      <c r="F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T11" s="101"/>
      <c r="U11" s="101"/>
      <c r="V11" s="228"/>
      <c r="W11" s="99"/>
      <c r="X11" s="101"/>
      <c r="Y11" s="101"/>
      <c r="Z11" s="101"/>
      <c r="AA11" s="101"/>
      <c r="AB11" s="101"/>
      <c r="AC11" s="101"/>
      <c r="AD11" s="101"/>
      <c r="AE11" s="101"/>
      <c r="AF11" s="101"/>
      <c r="AG11" s="191"/>
      <c r="AH11" s="101"/>
      <c r="AI11" s="101"/>
      <c r="AJ11" s="101"/>
      <c r="AK11" s="191"/>
      <c r="AL11" s="101"/>
      <c r="AM11" s="101"/>
      <c r="AN11" s="101"/>
    </row>
    <row r="12" spans="1:40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V12" s="228"/>
      <c r="W12" s="97"/>
      <c r="AA12" s="102"/>
      <c r="AB12" s="102"/>
      <c r="AC12" s="102"/>
      <c r="AD12" s="102"/>
      <c r="AE12" s="102"/>
      <c r="AF12" s="102"/>
      <c r="AG12" s="151"/>
      <c r="AH12" s="102"/>
      <c r="AK12" s="151"/>
      <c r="AL12" s="102"/>
      <c r="AM12" s="102"/>
      <c r="AN12" s="102"/>
    </row>
    <row r="13" spans="1:40" x14ac:dyDescent="0.3">
      <c r="L13" s="102" t="s">
        <v>12</v>
      </c>
      <c r="M13" s="102"/>
      <c r="N13" s="102" t="s">
        <v>13</v>
      </c>
      <c r="O13" s="102"/>
      <c r="R13" s="102" t="s">
        <v>11</v>
      </c>
      <c r="V13" s="228"/>
      <c r="W13" s="99"/>
      <c r="Z13" s="102"/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102"/>
      <c r="U14" s="102"/>
      <c r="V14" s="102"/>
      <c r="Z14" s="102"/>
      <c r="AA14" s="102"/>
      <c r="AB14" s="102"/>
      <c r="AC14" s="102"/>
      <c r="AD14" s="102"/>
      <c r="AE14" s="102"/>
      <c r="AF14" s="102"/>
      <c r="AG14" s="151"/>
      <c r="AH14" s="102"/>
      <c r="AI14" s="102"/>
      <c r="AJ14" s="102"/>
      <c r="AK14" s="151"/>
      <c r="AL14" s="102"/>
      <c r="AM14" s="102"/>
      <c r="AN14" s="102"/>
    </row>
    <row r="15" spans="1:40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324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102"/>
      <c r="U15" s="102"/>
      <c r="V15" s="102"/>
      <c r="Y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91"/>
      <c r="AH16" s="101"/>
      <c r="AI16" s="101"/>
      <c r="AJ16" s="101"/>
      <c r="AK16" s="191"/>
      <c r="AL16" s="101"/>
      <c r="AM16" s="101"/>
      <c r="AN16" s="101"/>
    </row>
    <row r="17" spans="1:43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69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3" x14ac:dyDescent="0.3">
      <c r="A18" s="98">
        <v>1</v>
      </c>
      <c r="C18" s="124" t="s">
        <v>86</v>
      </c>
      <c r="D18" s="169" t="s">
        <v>218</v>
      </c>
      <c r="E18" s="9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99"/>
      <c r="U18" s="99"/>
      <c r="Y18" s="102"/>
    </row>
    <row r="19" spans="1:43" x14ac:dyDescent="0.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99"/>
      <c r="Y19" s="102"/>
    </row>
    <row r="20" spans="1:43" x14ac:dyDescent="0.3">
      <c r="A20" s="98">
        <v>2</v>
      </c>
      <c r="C20" s="169" t="s">
        <v>219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43" x14ac:dyDescent="0.3">
      <c r="A21" s="98">
        <v>3</v>
      </c>
      <c r="C21" s="169" t="s">
        <v>220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10"/>
      <c r="V21" s="192"/>
      <c r="Y21" s="110"/>
      <c r="Z21" s="172"/>
      <c r="AA21" s="110"/>
      <c r="AB21" s="110"/>
      <c r="AC21" s="141"/>
      <c r="AD21" s="141"/>
      <c r="AE21" s="110"/>
      <c r="AF21" s="110"/>
      <c r="AI21" s="110"/>
      <c r="AJ21" s="110"/>
      <c r="AL21" s="110"/>
    </row>
    <row r="22" spans="1:43" x14ac:dyDescent="0.3">
      <c r="A22" s="98">
        <v>4</v>
      </c>
      <c r="C22" s="116" t="s">
        <v>88</v>
      </c>
      <c r="F22" s="172">
        <v>0</v>
      </c>
      <c r="G22" s="1"/>
      <c r="H22" s="172">
        <f>ROUND(F22*786/12,0)</f>
        <v>0</v>
      </c>
      <c r="I22" s="147"/>
      <c r="J22" s="228">
        <f>ROUND(AC72+(AC72*LT_COS_RATE),2)</f>
        <v>16.579999999999998</v>
      </c>
      <c r="K22" s="242"/>
      <c r="L22" s="106">
        <f>ROUND((F22*J22),0)</f>
        <v>0</v>
      </c>
      <c r="M22" s="106"/>
      <c r="N22" s="175">
        <f>ROUND((L22/L$45)*100,1)</f>
        <v>0</v>
      </c>
      <c r="O22" s="175"/>
      <c r="P22" s="106">
        <f>ROUND($P$45/$H$45*H22,0)</f>
        <v>0</v>
      </c>
      <c r="Q22" s="106"/>
      <c r="R22" s="106">
        <f>L22+P22</f>
        <v>0</v>
      </c>
      <c r="S22" s="110"/>
      <c r="V22" s="192"/>
      <c r="Y22" s="232"/>
      <c r="Z22" s="217"/>
      <c r="AA22" s="192"/>
      <c r="AB22" s="192"/>
      <c r="AC22" s="192"/>
      <c r="AD22" s="192"/>
      <c r="AE22" s="192"/>
      <c r="AF22" s="192"/>
      <c r="AI22" s="192"/>
      <c r="AJ22" s="192"/>
      <c r="AK22" s="194"/>
      <c r="AL22" s="192"/>
      <c r="AM22" s="141"/>
      <c r="AN22" s="141"/>
    </row>
    <row r="23" spans="1:43" x14ac:dyDescent="0.3">
      <c r="A23" s="98">
        <v>5</v>
      </c>
      <c r="C23" s="116" t="s">
        <v>87</v>
      </c>
      <c r="F23" s="110">
        <v>139</v>
      </c>
      <c r="G23" s="1"/>
      <c r="H23" s="172">
        <f>ROUND(F23*786/12,0)</f>
        <v>9105</v>
      </c>
      <c r="I23" s="106"/>
      <c r="J23" s="228">
        <f>ROUND(AC73+(AC73*LT_COS_RATE),2)</f>
        <v>13.21</v>
      </c>
      <c r="K23" s="3"/>
      <c r="L23" s="106">
        <f>ROUND((F23*J23),0)</f>
        <v>1836</v>
      </c>
      <c r="M23" s="106"/>
      <c r="N23" s="175">
        <f>ROUND((L23/L$45)*100,1)</f>
        <v>1.7</v>
      </c>
      <c r="O23" s="175"/>
      <c r="P23" s="106">
        <f>ROUND($P$45/$H$45*H23,0)</f>
        <v>32</v>
      </c>
      <c r="Q23" s="106"/>
      <c r="R23" s="106">
        <f>L23+P23</f>
        <v>1868</v>
      </c>
      <c r="S23" s="110"/>
      <c r="V23" s="172"/>
      <c r="Y23" s="232"/>
      <c r="Z23" s="217"/>
      <c r="AA23" s="110"/>
      <c r="AB23" s="110"/>
      <c r="AC23" s="141"/>
      <c r="AD23" s="141"/>
      <c r="AE23" s="110"/>
      <c r="AF23" s="110"/>
      <c r="AI23" s="110"/>
      <c r="AJ23" s="110"/>
      <c r="AL23" s="110"/>
      <c r="AM23" s="141"/>
      <c r="AN23" s="141"/>
    </row>
    <row r="24" spans="1:43" x14ac:dyDescent="0.3">
      <c r="A24" s="98">
        <v>6</v>
      </c>
      <c r="C24" s="169" t="s">
        <v>221</v>
      </c>
      <c r="F24" s="110"/>
      <c r="G24" s="1"/>
      <c r="H24" s="106"/>
      <c r="I24" s="106"/>
      <c r="J24" s="163"/>
      <c r="K24" s="3"/>
      <c r="L24" s="106"/>
      <c r="M24" s="106"/>
      <c r="N24" s="175"/>
      <c r="O24" s="175"/>
      <c r="P24" s="106"/>
      <c r="Q24" s="106"/>
      <c r="R24" s="106"/>
      <c r="S24" s="110"/>
      <c r="V24" s="172"/>
      <c r="Y24" s="228"/>
      <c r="Z24" s="217"/>
      <c r="AA24" s="110"/>
      <c r="AB24" s="110"/>
      <c r="AC24" s="141"/>
      <c r="AD24" s="141"/>
      <c r="AE24" s="110"/>
      <c r="AF24" s="110"/>
      <c r="AI24" s="110"/>
      <c r="AJ24" s="110"/>
      <c r="AL24" s="110"/>
      <c r="AM24" s="141"/>
      <c r="AN24" s="141"/>
    </row>
    <row r="25" spans="1:43" x14ac:dyDescent="0.3">
      <c r="A25" s="98">
        <v>7</v>
      </c>
      <c r="C25" s="116" t="s">
        <v>222</v>
      </c>
      <c r="F25" s="110"/>
      <c r="G25" s="1"/>
      <c r="H25" s="106"/>
      <c r="I25" s="106"/>
      <c r="J25" s="163"/>
      <c r="K25" s="3"/>
      <c r="L25" s="1"/>
      <c r="M25" s="1"/>
      <c r="N25" s="1"/>
      <c r="O25" s="1"/>
      <c r="P25" s="1"/>
      <c r="Q25" s="1"/>
      <c r="R25" s="1"/>
      <c r="Y25" s="163"/>
    </row>
    <row r="26" spans="1:43" x14ac:dyDescent="0.3">
      <c r="A26" s="98">
        <v>8</v>
      </c>
      <c r="C26" s="116" t="s">
        <v>223</v>
      </c>
      <c r="F26" s="172">
        <v>348</v>
      </c>
      <c r="G26" s="1"/>
      <c r="H26" s="172">
        <f>ROUND(F26*1215/12,0)</f>
        <v>35235</v>
      </c>
      <c r="I26" s="147"/>
      <c r="J26" s="228">
        <f>ROUND(AC76+(AC76*LT_COS_RATE),2)</f>
        <v>30.29</v>
      </c>
      <c r="K26" s="242"/>
      <c r="L26" s="106">
        <f>ROUND((F26*J26),0)</f>
        <v>10541</v>
      </c>
      <c r="M26" s="106"/>
      <c r="N26" s="175">
        <f>ROUND((L26/L$45)*100,1)</f>
        <v>9.6</v>
      </c>
      <c r="O26" s="175"/>
      <c r="P26" s="106">
        <f>ROUND($P$45/$H$45*H26,0)</f>
        <v>123</v>
      </c>
      <c r="Q26" s="106"/>
      <c r="R26" s="106">
        <f>L26+P26</f>
        <v>10664</v>
      </c>
      <c r="S26" s="110"/>
      <c r="Y26" s="232"/>
    </row>
    <row r="27" spans="1:43" x14ac:dyDescent="0.3">
      <c r="A27" s="98">
        <v>9</v>
      </c>
      <c r="C27" s="169" t="s">
        <v>224</v>
      </c>
      <c r="F27" s="172"/>
      <c r="G27" s="1"/>
      <c r="H27" s="147"/>
      <c r="I27" s="147"/>
      <c r="J27" s="228"/>
      <c r="K27" s="242"/>
      <c r="L27" s="106"/>
      <c r="M27" s="106"/>
      <c r="N27" s="175"/>
      <c r="O27" s="175"/>
      <c r="P27" s="106"/>
      <c r="Q27" s="106"/>
      <c r="R27" s="106"/>
      <c r="Y27" s="163"/>
    </row>
    <row r="28" spans="1:43" x14ac:dyDescent="0.3">
      <c r="A28" s="98">
        <v>10</v>
      </c>
      <c r="C28" s="99" t="s">
        <v>225</v>
      </c>
      <c r="F28" s="110">
        <v>372</v>
      </c>
      <c r="G28" s="1"/>
      <c r="H28" s="172">
        <f>ROUND(F28*786/12,0)</f>
        <v>24366</v>
      </c>
      <c r="I28" s="106"/>
      <c r="J28" s="228">
        <f>ROUND(AC78+(AC78*LT_COS_RATE),2)</f>
        <v>13.09</v>
      </c>
      <c r="K28" s="242"/>
      <c r="L28" s="106">
        <f>ROUND((F28*J28),0)</f>
        <v>4869</v>
      </c>
      <c r="M28" s="106"/>
      <c r="N28" s="175">
        <f>ROUND((L28/L$45)*100,1)</f>
        <v>4.5</v>
      </c>
      <c r="O28" s="175"/>
      <c r="P28" s="106">
        <f>ROUND($P$45/$H$45*H28,0)</f>
        <v>85</v>
      </c>
      <c r="Q28" s="106"/>
      <c r="R28" s="106">
        <f>L28+P28</f>
        <v>4954</v>
      </c>
      <c r="S28" s="110"/>
      <c r="Y28" s="232"/>
    </row>
    <row r="29" spans="1:43" x14ac:dyDescent="0.3">
      <c r="A29" s="98">
        <v>11</v>
      </c>
      <c r="C29" s="99" t="s">
        <v>226</v>
      </c>
      <c r="F29" s="110">
        <v>6746</v>
      </c>
      <c r="G29" s="1"/>
      <c r="H29" s="172">
        <f>ROUND(F29*453/12,0)</f>
        <v>254662</v>
      </c>
      <c r="I29" s="106"/>
      <c r="J29" s="228">
        <f>ROUND(AC79+(AC79*LT_COS_RATE),2)</f>
        <v>12.09</v>
      </c>
      <c r="K29" s="242"/>
      <c r="L29" s="106">
        <f>ROUND((F29*J29),0)</f>
        <v>81559</v>
      </c>
      <c r="M29" s="106"/>
      <c r="N29" s="175">
        <f>ROUND((L29/L$45)*100,1)</f>
        <v>74.599999999999994</v>
      </c>
      <c r="O29" s="175"/>
      <c r="P29" s="106">
        <f>ROUND($P$45/$H$45*H29,0)</f>
        <v>888</v>
      </c>
      <c r="Q29" s="106"/>
      <c r="R29" s="106">
        <f>L29+P29</f>
        <v>82447</v>
      </c>
      <c r="S29" s="110"/>
      <c r="Y29" s="232"/>
    </row>
    <row r="30" spans="1:43" x14ac:dyDescent="0.3">
      <c r="A30" s="98">
        <v>12</v>
      </c>
      <c r="C30" s="116" t="s">
        <v>217</v>
      </c>
      <c r="F30" s="110">
        <v>408</v>
      </c>
      <c r="G30" s="1"/>
      <c r="H30" s="172">
        <f>ROUND(F30*1914/12,0)</f>
        <v>65076</v>
      </c>
      <c r="I30" s="106"/>
      <c r="J30" s="228">
        <f>ROUND(AC80+(AC80*LT_COS_RATE),2)</f>
        <v>20.420000000000002</v>
      </c>
      <c r="K30" s="3"/>
      <c r="L30" s="106">
        <f>ROUND((F30*J30),0)</f>
        <v>8331</v>
      </c>
      <c r="M30" s="106"/>
      <c r="N30" s="175">
        <f>ROUND((L30/L$45)*100,1)</f>
        <v>7.6</v>
      </c>
      <c r="O30" s="175"/>
      <c r="P30" s="117">
        <f>P31-P22-P23-P26-P28-P29</f>
        <v>226</v>
      </c>
      <c r="Q30" s="106"/>
      <c r="R30" s="106">
        <f>L30+P30</f>
        <v>8557</v>
      </c>
      <c r="S30" s="110"/>
      <c r="Y30" s="232"/>
    </row>
    <row r="31" spans="1:43" ht="20.100000000000001" customHeight="1" x14ac:dyDescent="0.3">
      <c r="A31" s="98">
        <v>13</v>
      </c>
      <c r="C31" s="124" t="s">
        <v>90</v>
      </c>
      <c r="F31" s="112">
        <f>SUM(F22:F30)</f>
        <v>8013</v>
      </c>
      <c r="G31" s="1"/>
      <c r="H31" s="112">
        <f>SUM(H22:H30)</f>
        <v>388444</v>
      </c>
      <c r="I31" s="106"/>
      <c r="J31" s="163"/>
      <c r="K31" s="3"/>
      <c r="L31" s="112">
        <f>SUM(L22:L30)</f>
        <v>107136</v>
      </c>
      <c r="M31" s="106"/>
      <c r="N31" s="193">
        <f>ROUND((L31/L$45)*100,1)</f>
        <v>97.9</v>
      </c>
      <c r="O31" s="1"/>
      <c r="P31" s="112">
        <f>ROUND($P$45/$H$45*H31,0)</f>
        <v>1354</v>
      </c>
      <c r="Q31" s="106"/>
      <c r="R31" s="112">
        <f>SUM(R22:R30)</f>
        <v>108490</v>
      </c>
      <c r="T31" s="97"/>
      <c r="U31" s="97"/>
      <c r="V31" s="97"/>
      <c r="W31" s="97"/>
      <c r="X31" s="97"/>
      <c r="Y31" s="320"/>
      <c r="Z31" s="97"/>
      <c r="AA31" s="97"/>
      <c r="AB31" s="97"/>
      <c r="AC31" s="97"/>
      <c r="AD31" s="97"/>
      <c r="AE31" s="97"/>
      <c r="AF31" s="97"/>
      <c r="AG31" s="149"/>
      <c r="AH31" s="97"/>
      <c r="AI31" s="97"/>
      <c r="AJ31" s="97"/>
      <c r="AK31" s="149"/>
      <c r="AL31" s="97"/>
      <c r="AM31" s="97"/>
      <c r="AN31" s="97"/>
      <c r="AO31" s="97"/>
      <c r="AP31" s="97"/>
      <c r="AQ31" s="149"/>
    </row>
    <row r="32" spans="1:43" x14ac:dyDescent="0.3">
      <c r="F32" s="1"/>
      <c r="G32" s="1"/>
      <c r="H32" s="1"/>
      <c r="I32" s="1"/>
      <c r="J32" s="163"/>
      <c r="K32" s="3"/>
      <c r="L32" s="1"/>
      <c r="M32" s="1"/>
      <c r="N32" s="1"/>
      <c r="O32" s="1"/>
      <c r="P32" s="1"/>
      <c r="Q32" s="1"/>
      <c r="R32" s="1"/>
      <c r="Y32" s="163"/>
      <c r="AO32" s="99"/>
      <c r="AP32" s="99"/>
    </row>
    <row r="33" spans="1:76" x14ac:dyDescent="0.3">
      <c r="A33" s="98">
        <v>14</v>
      </c>
      <c r="C33" s="169" t="s">
        <v>227</v>
      </c>
      <c r="F33" s="1"/>
      <c r="G33" s="1"/>
      <c r="H33" s="1"/>
      <c r="I33" s="1"/>
      <c r="J33" s="163"/>
      <c r="K33" s="3"/>
      <c r="L33" s="1"/>
      <c r="M33" s="1"/>
      <c r="N33" s="1"/>
      <c r="O33" s="1"/>
      <c r="P33" s="1"/>
      <c r="Q33" s="1"/>
      <c r="R33" s="1"/>
      <c r="T33" s="99"/>
      <c r="Y33" s="163"/>
    </row>
    <row r="34" spans="1:76" x14ac:dyDescent="0.3">
      <c r="A34" s="98">
        <v>15</v>
      </c>
      <c r="C34" s="169" t="s">
        <v>220</v>
      </c>
      <c r="F34" s="1"/>
      <c r="G34" s="1"/>
      <c r="H34" s="1"/>
      <c r="I34" s="1"/>
      <c r="J34" s="163"/>
      <c r="K34" s="3"/>
      <c r="L34" s="1"/>
      <c r="M34" s="1"/>
      <c r="N34" s="1"/>
      <c r="O34" s="1"/>
      <c r="P34" s="1"/>
      <c r="Q34" s="1"/>
      <c r="R34" s="1"/>
      <c r="T34" s="99"/>
      <c r="Y34" s="163"/>
    </row>
    <row r="35" spans="1:76" x14ac:dyDescent="0.3">
      <c r="A35" s="98">
        <v>16</v>
      </c>
      <c r="C35" s="116" t="s">
        <v>88</v>
      </c>
      <c r="F35" s="172">
        <v>0</v>
      </c>
      <c r="G35" s="1"/>
      <c r="H35" s="172">
        <f>ROUND(F35*616/12,0)</f>
        <v>0</v>
      </c>
      <c r="I35" s="147"/>
      <c r="J35" s="228">
        <f>ROUND(AC85+(AC85*LT_COS_RATE),2)</f>
        <v>10.039999999999999</v>
      </c>
      <c r="K35" s="242"/>
      <c r="L35" s="106">
        <f>ROUND((F35*J35),0)</f>
        <v>0</v>
      </c>
      <c r="M35" s="106"/>
      <c r="N35" s="175">
        <f>ROUND((L35/L$45)*100,1)</f>
        <v>0</v>
      </c>
      <c r="O35" s="175"/>
      <c r="P35" s="106">
        <f>ROUND($P$45/$H$45*H35,0)</f>
        <v>0</v>
      </c>
      <c r="Q35" s="106"/>
      <c r="R35" s="106">
        <f>L35+P35</f>
        <v>0</v>
      </c>
      <c r="S35" s="110"/>
      <c r="Y35" s="232"/>
      <c r="AE35" s="102"/>
      <c r="AF35" s="102"/>
      <c r="AG35" s="151"/>
      <c r="AH35" s="102"/>
      <c r="AI35" s="102"/>
      <c r="AJ35" s="102"/>
      <c r="AK35" s="151"/>
      <c r="AL35" s="102"/>
      <c r="AO35" s="102"/>
      <c r="AP35" s="102"/>
      <c r="AQ35" s="151"/>
    </row>
    <row r="36" spans="1:76" x14ac:dyDescent="0.3">
      <c r="A36" s="98">
        <v>17</v>
      </c>
      <c r="C36" s="116" t="s">
        <v>87</v>
      </c>
      <c r="F36" s="172">
        <v>60</v>
      </c>
      <c r="G36" s="1"/>
      <c r="H36" s="172">
        <f>ROUND(F36*786/12,0)</f>
        <v>3930</v>
      </c>
      <c r="I36" s="147"/>
      <c r="J36" s="228">
        <f>ROUND(AC86+(AC86*LT_COS_RATE),2)</f>
        <v>12.77</v>
      </c>
      <c r="K36" s="242"/>
      <c r="L36" s="106">
        <f>ROUND((F36*J36),0)</f>
        <v>766</v>
      </c>
      <c r="M36" s="106"/>
      <c r="N36" s="236">
        <f>ROUND((L36/L$45)*100,1)</f>
        <v>0.7</v>
      </c>
      <c r="O36" s="175"/>
      <c r="P36" s="117">
        <f>ROUND($P$45/$H$45*H36,0)</f>
        <v>14</v>
      </c>
      <c r="Q36" s="106"/>
      <c r="R36" s="106">
        <f>L36+P36</f>
        <v>780</v>
      </c>
      <c r="S36" s="110"/>
      <c r="V36" s="102"/>
      <c r="W36" s="102"/>
      <c r="X36" s="102"/>
      <c r="Y36" s="232"/>
      <c r="AA36" s="102"/>
      <c r="AB36" s="102"/>
      <c r="AC36" s="102"/>
      <c r="AD36" s="102"/>
      <c r="AE36" s="102"/>
      <c r="AF36" s="102"/>
      <c r="AG36" s="151"/>
      <c r="AH36" s="102"/>
      <c r="AI36" s="102"/>
      <c r="AJ36" s="102"/>
      <c r="AK36" s="151"/>
      <c r="AL36" s="102"/>
      <c r="AM36" s="102"/>
      <c r="AN36" s="102"/>
      <c r="AO36" s="102"/>
      <c r="AP36" s="102"/>
      <c r="AQ36" s="151"/>
      <c r="AS36" s="110"/>
      <c r="AT36" s="110"/>
      <c r="AU36" s="141"/>
      <c r="BX36" s="220"/>
    </row>
    <row r="37" spans="1:76" ht="20.100000000000001" customHeight="1" x14ac:dyDescent="0.3">
      <c r="A37" s="98">
        <v>18</v>
      </c>
      <c r="C37" s="169" t="s">
        <v>228</v>
      </c>
      <c r="F37" s="112">
        <f>SUM(F35:F36)</f>
        <v>60</v>
      </c>
      <c r="G37" s="1"/>
      <c r="H37" s="112">
        <f>SUM(H35:H36)</f>
        <v>3930</v>
      </c>
      <c r="I37" s="106"/>
      <c r="J37" s="3"/>
      <c r="K37" s="3"/>
      <c r="L37" s="112">
        <f>SUM(L35:L36)</f>
        <v>766</v>
      </c>
      <c r="M37" s="106"/>
      <c r="N37" s="193">
        <f>ROUND((L37/L$45)*100,1)</f>
        <v>0.7</v>
      </c>
      <c r="O37" s="138"/>
      <c r="P37" s="112">
        <f>ROUND($P$45/$H$45*H37,0)</f>
        <v>14</v>
      </c>
      <c r="Q37" s="106"/>
      <c r="R37" s="112">
        <f>SUM(R35:R36)</f>
        <v>780</v>
      </c>
      <c r="Y37" s="163"/>
      <c r="AA37" s="102"/>
      <c r="AB37" s="102"/>
      <c r="AC37" s="102"/>
      <c r="AD37" s="102"/>
      <c r="AE37" s="102"/>
      <c r="AF37" s="102"/>
      <c r="AG37" s="151"/>
      <c r="AH37" s="102"/>
      <c r="AI37" s="102"/>
      <c r="AJ37" s="102"/>
      <c r="AK37" s="151"/>
      <c r="AL37" s="102"/>
      <c r="AM37" s="102"/>
      <c r="AN37" s="102"/>
      <c r="AO37" s="102"/>
      <c r="AP37" s="102"/>
      <c r="AQ37" s="151"/>
      <c r="AS37" s="110"/>
      <c r="AT37" s="110"/>
      <c r="AU37" s="226"/>
    </row>
    <row r="38" spans="1:76" ht="20.100000000000001" customHeight="1" x14ac:dyDescent="0.3">
      <c r="A38" s="98">
        <v>19</v>
      </c>
      <c r="C38" s="169" t="s">
        <v>466</v>
      </c>
      <c r="F38" s="112">
        <f>F37+F31</f>
        <v>8073</v>
      </c>
      <c r="G38" s="1"/>
      <c r="H38" s="112">
        <f>H37+H31</f>
        <v>392374</v>
      </c>
      <c r="I38" s="106"/>
      <c r="J38" s="3"/>
      <c r="K38" s="3"/>
      <c r="L38" s="112">
        <f>L37+L31</f>
        <v>107902</v>
      </c>
      <c r="M38" s="106"/>
      <c r="N38" s="193">
        <f>ROUND((L38/L$45)*100,1)</f>
        <v>98.6</v>
      </c>
      <c r="O38" s="138"/>
      <c r="P38" s="112">
        <f>P37+P31</f>
        <v>1368</v>
      </c>
      <c r="Q38" s="106"/>
      <c r="R38" s="112">
        <f>R37+R31</f>
        <v>109270</v>
      </c>
      <c r="Y38" s="163"/>
      <c r="AA38" s="102"/>
      <c r="AB38" s="102"/>
      <c r="AC38" s="102"/>
      <c r="AD38" s="102"/>
      <c r="AE38" s="102"/>
      <c r="AF38" s="102"/>
      <c r="AG38" s="151"/>
      <c r="AH38" s="102"/>
      <c r="AI38" s="102"/>
      <c r="AJ38" s="102"/>
      <c r="AK38" s="151"/>
      <c r="AL38" s="102"/>
      <c r="AM38" s="102"/>
      <c r="AN38" s="102"/>
      <c r="AO38" s="102"/>
      <c r="AP38" s="102"/>
      <c r="AQ38" s="151"/>
      <c r="AS38" s="110"/>
      <c r="AT38" s="110"/>
      <c r="AU38" s="226"/>
    </row>
    <row r="39" spans="1:76" ht="15.75" customHeight="1" x14ac:dyDescent="0.3">
      <c r="C39" s="169"/>
      <c r="F39" s="106"/>
      <c r="G39" s="1"/>
      <c r="H39" s="106"/>
      <c r="I39" s="106"/>
      <c r="J39" s="3"/>
      <c r="K39" s="3"/>
      <c r="L39" s="106"/>
      <c r="M39" s="106"/>
      <c r="N39" s="175"/>
      <c r="O39" s="138"/>
      <c r="P39" s="106"/>
      <c r="Q39" s="106"/>
      <c r="R39" s="106"/>
      <c r="Y39" s="163"/>
      <c r="AA39" s="102"/>
      <c r="AB39" s="102"/>
      <c r="AC39" s="102"/>
      <c r="AD39" s="102"/>
      <c r="AE39" s="102"/>
      <c r="AF39" s="102"/>
      <c r="AG39" s="151"/>
      <c r="AH39" s="102"/>
      <c r="AI39" s="102"/>
      <c r="AJ39" s="102"/>
      <c r="AK39" s="151"/>
      <c r="AL39" s="102"/>
      <c r="AM39" s="102"/>
      <c r="AN39" s="102"/>
      <c r="AO39" s="102"/>
      <c r="AP39" s="102"/>
      <c r="AQ39" s="151"/>
      <c r="AS39" s="110"/>
      <c r="AT39" s="110"/>
      <c r="AU39" s="226"/>
    </row>
    <row r="40" spans="1:76" ht="15.75" customHeight="1" x14ac:dyDescent="0.3">
      <c r="A40" s="98">
        <v>20</v>
      </c>
      <c r="C40" s="124" t="s">
        <v>465</v>
      </c>
      <c r="F40" s="106"/>
      <c r="G40" s="1"/>
      <c r="H40" s="106"/>
      <c r="I40" s="106"/>
      <c r="J40" s="3"/>
      <c r="K40" s="3"/>
      <c r="L40" s="106"/>
      <c r="M40" s="106"/>
      <c r="N40" s="175"/>
      <c r="O40" s="138"/>
      <c r="P40" s="106"/>
      <c r="Q40" s="106"/>
      <c r="R40" s="106"/>
      <c r="Y40" s="163"/>
      <c r="AA40" s="102"/>
      <c r="AB40" s="102"/>
      <c r="AC40" s="102"/>
      <c r="AD40" s="102"/>
      <c r="AE40" s="102"/>
      <c r="AF40" s="102"/>
      <c r="AG40" s="151"/>
      <c r="AH40" s="102"/>
      <c r="AI40" s="102"/>
      <c r="AJ40" s="102"/>
      <c r="AK40" s="151"/>
      <c r="AL40" s="102"/>
      <c r="AM40" s="102"/>
      <c r="AN40" s="102"/>
      <c r="AO40" s="102"/>
      <c r="AP40" s="102"/>
      <c r="AQ40" s="151"/>
      <c r="AS40" s="110"/>
      <c r="AT40" s="110"/>
      <c r="AU40" s="226"/>
    </row>
    <row r="41" spans="1:76" ht="15.75" customHeight="1" x14ac:dyDescent="0.3">
      <c r="A41" s="98">
        <v>21</v>
      </c>
      <c r="C41" s="176" t="str">
        <f>ESM_Name</f>
        <v>ENVIRONMENTAL SURCHARGE MECHANISM RIDER (ESM)</v>
      </c>
      <c r="F41" s="106"/>
      <c r="G41" s="1"/>
      <c r="H41" s="106"/>
      <c r="I41" s="106"/>
      <c r="J41" s="304">
        <f>PRO_ESM_NONRES</f>
        <v>5.3681872802409589E-3</v>
      </c>
      <c r="K41" s="3"/>
      <c r="L41" s="106">
        <f>ROUND((R38-(PRO_BASE_FUEL*H38)+R42)*J41,0)</f>
        <v>521</v>
      </c>
      <c r="M41" s="106"/>
      <c r="N41" s="175">
        <f>ROUND((L41/L$45)*100,1)</f>
        <v>0.5</v>
      </c>
      <c r="O41" s="138"/>
      <c r="P41" s="106"/>
      <c r="Q41" s="106"/>
      <c r="R41" s="106">
        <f>L41+P41</f>
        <v>521</v>
      </c>
      <c r="Y41" s="163"/>
      <c r="AA41" s="102"/>
      <c r="AB41" s="102"/>
      <c r="AC41" s="102"/>
      <c r="AD41" s="102"/>
      <c r="AE41" s="102"/>
      <c r="AF41" s="102"/>
      <c r="AG41" s="151"/>
      <c r="AH41" s="102"/>
      <c r="AI41" s="102"/>
      <c r="AJ41" s="102"/>
      <c r="AK41" s="151"/>
      <c r="AL41" s="102"/>
      <c r="AM41" s="102"/>
      <c r="AN41" s="102"/>
      <c r="AO41" s="102"/>
      <c r="AP41" s="102"/>
      <c r="AQ41" s="151"/>
      <c r="AS41" s="110"/>
      <c r="AT41" s="110"/>
      <c r="AU41" s="226"/>
    </row>
    <row r="42" spans="1:76" ht="15.75" customHeight="1" x14ac:dyDescent="0.3">
      <c r="A42" s="98">
        <v>22</v>
      </c>
      <c r="C42" s="176" t="str">
        <f>PSM_Name</f>
        <v>PROFIT SHARING MECHANISM (PSM)</v>
      </c>
      <c r="F42" s="106"/>
      <c r="G42" s="1"/>
      <c r="H42" s="106"/>
      <c r="I42" s="106"/>
      <c r="J42" s="218">
        <f>PRO_PSM</f>
        <v>2.4750000000000002E-3</v>
      </c>
      <c r="K42" s="3"/>
      <c r="L42" s="117">
        <f>ROUND($H$38*J42,0)</f>
        <v>971</v>
      </c>
      <c r="M42" s="106"/>
      <c r="N42" s="156">
        <f>ROUND((L42/L$45)*100,1)</f>
        <v>0.9</v>
      </c>
      <c r="O42" s="138"/>
      <c r="P42" s="117"/>
      <c r="Q42" s="106"/>
      <c r="R42" s="117">
        <f>L42+P42</f>
        <v>971</v>
      </c>
      <c r="Y42" s="163"/>
      <c r="AA42" s="102"/>
      <c r="AB42" s="102"/>
      <c r="AC42" s="102"/>
      <c r="AD42" s="102"/>
      <c r="AE42" s="102"/>
      <c r="AF42" s="102"/>
      <c r="AG42" s="151"/>
      <c r="AH42" s="102"/>
      <c r="AI42" s="102"/>
      <c r="AJ42" s="102"/>
      <c r="AK42" s="151"/>
      <c r="AL42" s="102"/>
      <c r="AM42" s="102"/>
      <c r="AN42" s="102"/>
      <c r="AO42" s="102"/>
      <c r="AP42" s="102"/>
      <c r="AQ42" s="151"/>
      <c r="AS42" s="110"/>
      <c r="AT42" s="110"/>
      <c r="AU42" s="226"/>
    </row>
    <row r="43" spans="1:76" ht="20.100000000000001" customHeight="1" x14ac:dyDescent="0.3">
      <c r="A43" s="98">
        <v>23</v>
      </c>
      <c r="C43" s="124" t="s">
        <v>461</v>
      </c>
      <c r="F43" s="117"/>
      <c r="G43" s="1"/>
      <c r="H43" s="117"/>
      <c r="I43" s="106"/>
      <c r="J43" s="3"/>
      <c r="K43" s="3"/>
      <c r="L43" s="112">
        <f>SUM(L41:L42)</f>
        <v>1492</v>
      </c>
      <c r="M43" s="106"/>
      <c r="N43" s="158">
        <f>ROUND((L43/L$45)*100,1)</f>
        <v>1.4</v>
      </c>
      <c r="O43" s="138"/>
      <c r="P43" s="112"/>
      <c r="Q43" s="106"/>
      <c r="R43" s="112">
        <f>SUM(R41:R42)</f>
        <v>1492</v>
      </c>
      <c r="Y43" s="163"/>
      <c r="AA43" s="102"/>
      <c r="AB43" s="102"/>
      <c r="AC43" s="102"/>
      <c r="AD43" s="102"/>
      <c r="AE43" s="102"/>
      <c r="AF43" s="102"/>
      <c r="AG43" s="151"/>
      <c r="AH43" s="102"/>
      <c r="AI43" s="102"/>
      <c r="AJ43" s="102"/>
      <c r="AK43" s="151"/>
      <c r="AL43" s="102"/>
      <c r="AM43" s="102"/>
      <c r="AN43" s="102"/>
      <c r="AO43" s="102"/>
      <c r="AP43" s="102"/>
      <c r="AQ43" s="151"/>
      <c r="AS43" s="110"/>
      <c r="AT43" s="110"/>
      <c r="AU43" s="226"/>
    </row>
    <row r="44" spans="1:76" ht="15.75" customHeight="1" x14ac:dyDescent="0.3">
      <c r="C44" s="169"/>
      <c r="F44" s="106"/>
      <c r="G44" s="1"/>
      <c r="H44" s="106"/>
      <c r="I44" s="106"/>
      <c r="J44" s="3"/>
      <c r="K44" s="3"/>
      <c r="L44" s="106"/>
      <c r="M44" s="106"/>
      <c r="N44" s="175"/>
      <c r="O44" s="138"/>
      <c r="P44" s="106"/>
      <c r="Q44" s="106"/>
      <c r="R44" s="106"/>
      <c r="V44" s="234"/>
      <c r="Y44" s="163"/>
      <c r="AA44" s="102"/>
      <c r="AB44" s="102"/>
      <c r="AC44" s="102"/>
      <c r="AD44" s="102"/>
      <c r="AE44" s="102"/>
      <c r="AF44" s="102"/>
      <c r="AG44" s="151"/>
      <c r="AH44" s="102"/>
      <c r="AI44" s="102"/>
      <c r="AJ44" s="102"/>
      <c r="AK44" s="151"/>
      <c r="AL44" s="102"/>
      <c r="AM44" s="102"/>
      <c r="AN44" s="102"/>
      <c r="AO44" s="102"/>
      <c r="AP44" s="102"/>
      <c r="AQ44" s="151"/>
      <c r="AS44" s="110"/>
      <c r="AT44" s="110"/>
      <c r="AU44" s="226"/>
    </row>
    <row r="45" spans="1:76" ht="20.100000000000001" customHeight="1" thickBot="1" x14ac:dyDescent="0.35">
      <c r="A45" s="98">
        <v>24</v>
      </c>
      <c r="C45" s="124" t="s">
        <v>467</v>
      </c>
      <c r="F45" s="120">
        <f>F31+F37</f>
        <v>8073</v>
      </c>
      <c r="G45" s="1"/>
      <c r="H45" s="120">
        <f>H31+H37</f>
        <v>392374</v>
      </c>
      <c r="I45" s="106"/>
      <c r="J45" s="3"/>
      <c r="K45" s="3"/>
      <c r="L45" s="120">
        <f>L43+L38</f>
        <v>109394</v>
      </c>
      <c r="M45" s="106"/>
      <c r="N45" s="197">
        <v>100</v>
      </c>
      <c r="O45" s="175"/>
      <c r="P45" s="120">
        <f>ROUND(H45*CUR_FAC,0)</f>
        <v>1368</v>
      </c>
      <c r="Q45" s="147"/>
      <c r="R45" s="120">
        <f>R43+R38</f>
        <v>110762</v>
      </c>
      <c r="Y45" s="163"/>
      <c r="AS45" s="110"/>
      <c r="AT45" s="110"/>
      <c r="AU45" s="141"/>
    </row>
    <row r="46" spans="1:76" ht="16.2" thickTop="1" x14ac:dyDescent="0.3"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Y46" s="110"/>
      <c r="AO46" s="110"/>
      <c r="AP46" s="110"/>
      <c r="AS46" s="110"/>
      <c r="AT46" s="110"/>
      <c r="AU46" s="141"/>
    </row>
    <row r="47" spans="1:76" x14ac:dyDescent="0.3">
      <c r="C47" s="178" t="s">
        <v>76</v>
      </c>
      <c r="V47" s="99"/>
      <c r="Y47" s="110"/>
      <c r="AA47" s="110"/>
      <c r="AB47" s="110"/>
      <c r="AC47" s="181"/>
      <c r="AD47" s="181"/>
      <c r="AE47" s="110"/>
      <c r="AF47" s="110"/>
      <c r="AH47" s="141"/>
      <c r="AI47" s="110"/>
      <c r="AJ47" s="110"/>
      <c r="AL47" s="207"/>
      <c r="AM47" s="110"/>
      <c r="AN47" s="110"/>
      <c r="AO47" s="110"/>
      <c r="AP47" s="110"/>
      <c r="AR47" s="110"/>
      <c r="AS47" s="110"/>
      <c r="AT47" s="110"/>
      <c r="AU47" s="141"/>
    </row>
    <row r="48" spans="1:76" x14ac:dyDescent="0.3">
      <c r="C48" s="178" t="str">
        <f>"(2) REFLECTS FUEL COMPONENT OF "&amp;TEXT(PRO_FAC,"$0.000000;($0.000000)")&amp;" PER KWH."</f>
        <v>(2) REFLECTS FUEL COMPONENT OF $0.003487 PER KWH.</v>
      </c>
      <c r="V48" s="99"/>
      <c r="Y48" s="110"/>
      <c r="AA48" s="110"/>
      <c r="AB48" s="110"/>
      <c r="AC48" s="181"/>
      <c r="AD48" s="181"/>
      <c r="AE48" s="110"/>
      <c r="AF48" s="110"/>
      <c r="AH48" s="141"/>
      <c r="AI48" s="110"/>
      <c r="AJ48" s="110"/>
      <c r="AL48" s="207"/>
      <c r="AM48" s="110"/>
      <c r="AN48" s="110"/>
      <c r="AO48" s="110"/>
      <c r="AP48" s="110"/>
      <c r="AR48" s="110"/>
      <c r="AS48" s="110"/>
      <c r="AT48" s="110"/>
      <c r="AU48" s="141"/>
    </row>
    <row r="49" spans="1:47" x14ac:dyDescent="0.3">
      <c r="A49" s="99"/>
      <c r="C49" s="178" t="str">
        <f>"(3) REFLECTS FUEL COST RECOVERY INCLUDED IN BASE RATES OF "&amp;TEXT(PRO_BASE_FUEL,"$0.000000;($0.000000)")&amp;"  PER KWH."</f>
        <v>(3) REFLECTS FUEL COST RECOVERY INCLUDED IN BASE RATES OF $0.033780  PER KWH.</v>
      </c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149"/>
      <c r="AH49" s="97"/>
      <c r="AI49" s="97"/>
      <c r="AJ49" s="97"/>
      <c r="AK49" s="149"/>
      <c r="AR49" s="110"/>
      <c r="AS49" s="110"/>
      <c r="AT49" s="110"/>
      <c r="AU49" s="141"/>
    </row>
    <row r="50" spans="1:47" x14ac:dyDescent="0.3">
      <c r="H50" s="99"/>
      <c r="I50" s="99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149"/>
      <c r="AH50" s="97"/>
      <c r="AI50" s="97"/>
      <c r="AJ50" s="97"/>
      <c r="AK50" s="149"/>
      <c r="AR50" s="110"/>
    </row>
    <row r="51" spans="1:47" x14ac:dyDescent="0.3">
      <c r="L51" s="99"/>
      <c r="M51" s="99"/>
      <c r="T51" s="97" t="str">
        <f>NAME</f>
        <v>DUKE ENERGY KENTUCKY, INC.</v>
      </c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149"/>
      <c r="AH51" s="97"/>
      <c r="AI51" s="97"/>
      <c r="AJ51" s="97"/>
      <c r="AK51" s="149"/>
      <c r="AL51" s="97"/>
      <c r="AM51" s="97"/>
      <c r="AN51" s="97"/>
      <c r="AO51" s="97"/>
      <c r="AP51" s="97"/>
      <c r="AQ51" s="149"/>
      <c r="AR51" s="172"/>
    </row>
    <row r="52" spans="1:47" x14ac:dyDescent="0.3">
      <c r="F52" s="110"/>
      <c r="H52" s="110"/>
      <c r="I52" s="110"/>
      <c r="J52" s="163"/>
      <c r="K52" s="163"/>
      <c r="L52" s="192"/>
      <c r="M52" s="312"/>
      <c r="N52" s="141"/>
      <c r="O52" s="141"/>
      <c r="P52" s="110"/>
      <c r="Q52" s="110"/>
      <c r="R52" s="110"/>
      <c r="T52" s="97" t="str">
        <f>CASE_NO</f>
        <v>CASE NO.   2024-00354</v>
      </c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149"/>
      <c r="AH52" s="97"/>
      <c r="AI52" s="97"/>
      <c r="AJ52" s="97"/>
      <c r="AK52" s="149"/>
      <c r="AL52" s="97"/>
      <c r="AM52" s="97"/>
      <c r="AN52" s="97"/>
      <c r="AO52" s="97"/>
      <c r="AP52" s="97"/>
      <c r="AQ52" s="149"/>
      <c r="AR52" s="172"/>
    </row>
    <row r="53" spans="1:47" x14ac:dyDescent="0.3"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92"/>
      <c r="T53" s="97" t="str">
        <f>TITLE</f>
        <v>ANNUALIZED BASE YEAR REVENUES AT PROPOSED VS. MOST CURRENT RATES</v>
      </c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149"/>
      <c r="AH53" s="97"/>
      <c r="AI53" s="97"/>
      <c r="AJ53" s="97"/>
      <c r="AK53" s="149"/>
      <c r="AL53" s="97"/>
      <c r="AM53" s="97"/>
      <c r="AN53" s="97"/>
      <c r="AO53" s="97"/>
      <c r="AP53" s="97"/>
      <c r="AQ53" s="149"/>
      <c r="AR53" s="172"/>
    </row>
    <row r="54" spans="1:47" x14ac:dyDescent="0.3"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T54" s="97" t="str">
        <f>DATE</f>
        <v>FOR THE TWELVE MONTHS ENDED February 28, 2025</v>
      </c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149"/>
      <c r="AH54" s="97"/>
      <c r="AI54" s="97"/>
      <c r="AJ54" s="97"/>
      <c r="AK54" s="149"/>
      <c r="AL54" s="97"/>
      <c r="AM54" s="97"/>
      <c r="AN54" s="97"/>
      <c r="AO54" s="97"/>
      <c r="AP54" s="97"/>
      <c r="AQ54" s="149"/>
      <c r="AR54" s="110"/>
    </row>
    <row r="55" spans="1:47" x14ac:dyDescent="0.3">
      <c r="A55" s="99"/>
      <c r="R55" s="99"/>
      <c r="T55" s="97" t="str">
        <f>SERVICE</f>
        <v>(ELECTRIC SERVICE)</v>
      </c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149"/>
      <c r="AH55" s="97"/>
      <c r="AI55" s="97"/>
      <c r="AJ55" s="97"/>
      <c r="AK55" s="149"/>
      <c r="AL55" s="97"/>
      <c r="AM55" s="97"/>
      <c r="AN55" s="97"/>
      <c r="AO55" s="97"/>
      <c r="AP55" s="97"/>
      <c r="AQ55" s="149"/>
      <c r="AR55" s="110"/>
    </row>
    <row r="56" spans="1:47" x14ac:dyDescent="0.3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T56" s="98" t="str">
        <f>DATA_PERIOD</f>
        <v>DATA: __X__ BASE PERIOD   ____FORECASTED PERIOD</v>
      </c>
      <c r="AO56" s="99" t="s">
        <v>157</v>
      </c>
      <c r="AQ56" s="190"/>
    </row>
    <row r="57" spans="1:47" x14ac:dyDescent="0.3">
      <c r="L57" s="102"/>
      <c r="M57" s="102"/>
      <c r="N57" s="102"/>
      <c r="O57" s="102"/>
      <c r="R57" s="102"/>
      <c r="T57" s="98" t="str">
        <f>TYPE</f>
        <v>TYPE OF FILING: _X_ ORIGINAL   ___UPDATED  ___ REVISED</v>
      </c>
      <c r="AO57" s="116" t="str">
        <f>"PAGE 17 OF "&amp;TEXT(Page_Num_2.2,"00")</f>
        <v>PAGE 17 OF 24</v>
      </c>
      <c r="AQ57" s="190"/>
    </row>
    <row r="58" spans="1:47" x14ac:dyDescent="0.3">
      <c r="C58" s="102"/>
      <c r="D58" s="102"/>
      <c r="E58" s="102"/>
      <c r="F58" s="102"/>
      <c r="H58" s="102"/>
      <c r="I58" s="102"/>
      <c r="J58" s="102"/>
      <c r="K58" s="102"/>
      <c r="L58" s="102"/>
      <c r="M58" s="102"/>
      <c r="N58" s="102"/>
      <c r="O58" s="102"/>
      <c r="P58" s="102"/>
      <c r="Q58" s="102"/>
      <c r="R58" s="102"/>
      <c r="T58" s="99" t="s">
        <v>170</v>
      </c>
      <c r="AO58" s="99" t="s">
        <v>3</v>
      </c>
      <c r="AQ58" s="190"/>
    </row>
    <row r="59" spans="1:47" x14ac:dyDescent="0.3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T59" s="134" t="str">
        <f>TIME</f>
        <v>6 Months Actual and 6 Months Projected with Riders</v>
      </c>
      <c r="AG59" s="190"/>
      <c r="AO59" s="98" t="str">
        <f>WIT</f>
        <v>B. L. Sailers</v>
      </c>
    </row>
    <row r="60" spans="1:47" x14ac:dyDescent="0.3"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T60" s="97" t="s">
        <v>130</v>
      </c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149"/>
      <c r="AH60" s="97"/>
      <c r="AI60" s="97"/>
      <c r="AJ60" s="97"/>
      <c r="AK60" s="149"/>
      <c r="AL60" s="97"/>
      <c r="AM60" s="97"/>
      <c r="AN60" s="97"/>
      <c r="AO60" s="97"/>
      <c r="AP60" s="97"/>
      <c r="AQ60" s="149"/>
    </row>
    <row r="61" spans="1:47" x14ac:dyDescent="0.3">
      <c r="C61" s="99"/>
      <c r="D61" s="99"/>
      <c r="E61" s="99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0"/>
      <c r="AF61" s="100"/>
      <c r="AG61" s="150"/>
      <c r="AH61" s="100"/>
      <c r="AI61" s="100"/>
      <c r="AJ61" s="100"/>
      <c r="AK61" s="150"/>
      <c r="AL61" s="100"/>
      <c r="AM61" s="100"/>
      <c r="AN61" s="101"/>
      <c r="AO61" s="101"/>
      <c r="AP61" s="101"/>
      <c r="AQ61" s="191"/>
    </row>
    <row r="62" spans="1:47" ht="18" customHeight="1" x14ac:dyDescent="0.3">
      <c r="C62" s="99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02" t="s">
        <v>8</v>
      </c>
      <c r="AF62" s="102"/>
      <c r="AG62" s="151" t="s">
        <v>7</v>
      </c>
      <c r="AH62" s="102"/>
      <c r="AI62" s="102" t="s">
        <v>9</v>
      </c>
      <c r="AJ62" s="102"/>
      <c r="AK62" s="151" t="s">
        <v>10</v>
      </c>
      <c r="AL62" s="102"/>
      <c r="AN62" s="174"/>
      <c r="AO62" s="254" t="s">
        <v>8</v>
      </c>
      <c r="AP62" s="254"/>
      <c r="AQ62" s="255" t="s">
        <v>11</v>
      </c>
    </row>
    <row r="63" spans="1:47" x14ac:dyDescent="0.3">
      <c r="AC63" s="102" t="s">
        <v>14</v>
      </c>
      <c r="AD63" s="102"/>
      <c r="AE63" s="102" t="s">
        <v>12</v>
      </c>
      <c r="AF63" s="102"/>
      <c r="AG63" s="151" t="s">
        <v>13</v>
      </c>
      <c r="AH63" s="102"/>
      <c r="AI63" s="102" t="s">
        <v>15</v>
      </c>
      <c r="AJ63" s="102"/>
      <c r="AK63" s="151" t="s">
        <v>16</v>
      </c>
      <c r="AL63" s="102"/>
      <c r="AO63" s="102" t="s">
        <v>11</v>
      </c>
      <c r="AP63" s="102"/>
      <c r="AQ63" s="151" t="s">
        <v>9</v>
      </c>
    </row>
    <row r="64" spans="1:47" x14ac:dyDescent="0.3">
      <c r="C64" s="99"/>
      <c r="F64" s="172"/>
      <c r="H64" s="172"/>
      <c r="I64" s="172"/>
      <c r="J64" s="181"/>
      <c r="K64" s="181"/>
      <c r="L64" s="110"/>
      <c r="M64" s="110"/>
      <c r="N64" s="141"/>
      <c r="O64" s="141"/>
      <c r="R64" s="110"/>
      <c r="T64" s="102" t="s">
        <v>17</v>
      </c>
      <c r="V64" s="102" t="s">
        <v>18</v>
      </c>
      <c r="W64" s="102" t="s">
        <v>19</v>
      </c>
      <c r="X64" s="102"/>
      <c r="Y64" s="102" t="s">
        <v>20</v>
      </c>
      <c r="AC64" s="102" t="s">
        <v>8</v>
      </c>
      <c r="AD64" s="102"/>
      <c r="AE64" s="102" t="s">
        <v>593</v>
      </c>
      <c r="AF64" s="102"/>
      <c r="AG64" s="151" t="s">
        <v>593</v>
      </c>
      <c r="AH64" s="102"/>
      <c r="AI64" s="103" t="s">
        <v>708</v>
      </c>
      <c r="AJ64" s="102"/>
      <c r="AK64" s="152" t="s">
        <v>708</v>
      </c>
      <c r="AL64" s="102"/>
      <c r="AM64" s="102" t="s">
        <v>593</v>
      </c>
      <c r="AN64" s="102"/>
      <c r="AO64" s="102" t="s">
        <v>9</v>
      </c>
      <c r="AP64" s="102"/>
      <c r="AQ64" s="151" t="s">
        <v>21</v>
      </c>
    </row>
    <row r="65" spans="3:49" x14ac:dyDescent="0.3">
      <c r="C65" s="99"/>
      <c r="F65" s="172"/>
      <c r="H65" s="172"/>
      <c r="I65" s="172"/>
      <c r="J65" s="181"/>
      <c r="K65" s="181"/>
      <c r="L65" s="110"/>
      <c r="M65" s="110"/>
      <c r="N65" s="141"/>
      <c r="O65" s="141"/>
      <c r="R65" s="110"/>
      <c r="T65" s="102" t="s">
        <v>22</v>
      </c>
      <c r="V65" s="102" t="s">
        <v>23</v>
      </c>
      <c r="W65" s="102" t="s">
        <v>24</v>
      </c>
      <c r="X65" s="102"/>
      <c r="Y65" s="102" t="s">
        <v>25</v>
      </c>
      <c r="AA65" s="102" t="s">
        <v>26</v>
      </c>
      <c r="AB65" s="102"/>
      <c r="AC65" s="103" t="s">
        <v>324</v>
      </c>
      <c r="AD65" s="102"/>
      <c r="AE65" s="102" t="s">
        <v>9</v>
      </c>
      <c r="AF65" s="102"/>
      <c r="AG65" s="151" t="s">
        <v>9</v>
      </c>
      <c r="AH65" s="102"/>
      <c r="AI65" s="131" t="s">
        <v>29</v>
      </c>
      <c r="AJ65" s="131"/>
      <c r="AK65" s="165" t="s">
        <v>30</v>
      </c>
      <c r="AL65" s="102"/>
      <c r="AM65" s="102" t="s">
        <v>323</v>
      </c>
      <c r="AN65" s="102"/>
      <c r="AO65" s="131" t="s">
        <v>31</v>
      </c>
      <c r="AP65" s="131"/>
      <c r="AQ65" s="165" t="s">
        <v>32</v>
      </c>
    </row>
    <row r="66" spans="3:49" x14ac:dyDescent="0.3">
      <c r="C66" s="99"/>
      <c r="F66" s="172"/>
      <c r="H66" s="172"/>
      <c r="I66" s="172"/>
      <c r="J66" s="181"/>
      <c r="K66" s="181"/>
      <c r="L66" s="110"/>
      <c r="M66" s="110"/>
      <c r="N66" s="141"/>
      <c r="O66" s="141"/>
      <c r="R66" s="110"/>
      <c r="V66" s="131" t="s">
        <v>33</v>
      </c>
      <c r="W66" s="131" t="s">
        <v>34</v>
      </c>
      <c r="X66" s="131"/>
      <c r="Y66" s="131" t="s">
        <v>35</v>
      </c>
      <c r="Z66" s="134"/>
      <c r="AA66" s="131" t="s">
        <v>36</v>
      </c>
      <c r="AB66" s="131"/>
      <c r="AC66" s="131" t="s">
        <v>42</v>
      </c>
      <c r="AD66" s="131"/>
      <c r="AE66" s="131" t="s">
        <v>43</v>
      </c>
      <c r="AF66" s="131"/>
      <c r="AG66" s="165" t="s">
        <v>44</v>
      </c>
      <c r="AH66" s="131"/>
      <c r="AI66" s="131" t="s">
        <v>45</v>
      </c>
      <c r="AJ66" s="131"/>
      <c r="AK66" s="165" t="s">
        <v>46</v>
      </c>
      <c r="AL66" s="131"/>
      <c r="AM66" s="131" t="s">
        <v>40</v>
      </c>
      <c r="AN66" s="131"/>
      <c r="AO66" s="131" t="s">
        <v>47</v>
      </c>
      <c r="AP66" s="131"/>
      <c r="AQ66" s="165" t="s">
        <v>48</v>
      </c>
      <c r="AU66" s="102"/>
      <c r="AW66" s="98" t="s">
        <v>299</v>
      </c>
    </row>
    <row r="67" spans="3:49" ht="17.100000000000001" customHeight="1" x14ac:dyDescent="0.3">
      <c r="F67" s="192"/>
      <c r="H67" s="110"/>
      <c r="I67" s="110"/>
      <c r="J67" s="217"/>
      <c r="K67" s="217"/>
      <c r="L67" s="192"/>
      <c r="M67" s="192"/>
      <c r="N67" s="192"/>
      <c r="O67" s="192"/>
      <c r="P67" s="192"/>
      <c r="Q67" s="192"/>
      <c r="R67" s="192"/>
      <c r="T67" s="174"/>
      <c r="U67" s="174"/>
      <c r="V67" s="174"/>
      <c r="W67" s="174"/>
      <c r="X67" s="174"/>
      <c r="Y67" s="174"/>
      <c r="Z67" s="174"/>
      <c r="AA67" s="258" t="s">
        <v>49</v>
      </c>
      <c r="AB67" s="258"/>
      <c r="AC67" s="257" t="s">
        <v>69</v>
      </c>
      <c r="AD67" s="258"/>
      <c r="AE67" s="258" t="s">
        <v>50</v>
      </c>
      <c r="AF67" s="258"/>
      <c r="AG67" s="259" t="s">
        <v>51</v>
      </c>
      <c r="AH67" s="258"/>
      <c r="AI67" s="258" t="s">
        <v>50</v>
      </c>
      <c r="AJ67" s="258"/>
      <c r="AK67" s="259" t="s">
        <v>51</v>
      </c>
      <c r="AL67" s="258"/>
      <c r="AM67" s="258" t="s">
        <v>50</v>
      </c>
      <c r="AN67" s="258"/>
      <c r="AO67" s="258" t="s">
        <v>50</v>
      </c>
      <c r="AP67" s="258"/>
      <c r="AQ67" s="259" t="s">
        <v>51</v>
      </c>
      <c r="AU67" s="102"/>
    </row>
    <row r="68" spans="3:49" x14ac:dyDescent="0.3">
      <c r="C68" s="99"/>
      <c r="F68" s="110"/>
      <c r="H68" s="110"/>
      <c r="I68" s="110"/>
      <c r="J68" s="217"/>
      <c r="K68" s="217"/>
      <c r="L68" s="110"/>
      <c r="M68" s="110"/>
      <c r="N68" s="141"/>
      <c r="O68" s="141"/>
      <c r="P68" s="110"/>
      <c r="Q68" s="110"/>
      <c r="R68" s="110"/>
      <c r="T68" s="98">
        <v>1</v>
      </c>
      <c r="V68" s="124" t="s">
        <v>86</v>
      </c>
      <c r="W68" s="169" t="s">
        <v>218</v>
      </c>
      <c r="X68" s="99"/>
      <c r="Y68" s="1"/>
      <c r="Z68" s="1"/>
      <c r="AA68" s="1"/>
      <c r="AB68" s="1"/>
      <c r="AC68" s="1"/>
      <c r="AD68" s="1"/>
      <c r="AE68" s="1"/>
      <c r="AF68" s="1"/>
      <c r="AG68" s="154"/>
      <c r="AH68" s="1"/>
      <c r="AI68" s="1"/>
      <c r="AJ68" s="1"/>
      <c r="AK68" s="154"/>
      <c r="AL68" s="1"/>
      <c r="AM68" s="1"/>
      <c r="AN68" s="1"/>
      <c r="AO68" s="1"/>
      <c r="AP68" s="1"/>
      <c r="AQ68" s="154"/>
      <c r="AU68" s="102"/>
    </row>
    <row r="69" spans="3:49" x14ac:dyDescent="0.3">
      <c r="C69" s="99"/>
      <c r="F69" s="172"/>
      <c r="H69" s="172"/>
      <c r="I69" s="172"/>
      <c r="J69" s="227"/>
      <c r="K69" s="227"/>
      <c r="L69" s="110"/>
      <c r="M69" s="110"/>
      <c r="N69" s="141"/>
      <c r="O69" s="141"/>
      <c r="P69" s="110"/>
      <c r="Q69" s="110"/>
      <c r="R69" s="110"/>
      <c r="S69" s="110"/>
      <c r="Y69" s="1"/>
      <c r="Z69" s="1"/>
      <c r="AA69" s="1"/>
      <c r="AB69" s="1"/>
      <c r="AC69" s="1"/>
      <c r="AD69" s="1"/>
      <c r="AE69" s="1"/>
      <c r="AF69" s="1"/>
      <c r="AG69" s="154"/>
      <c r="AH69" s="1"/>
      <c r="AI69" s="1"/>
      <c r="AJ69" s="1"/>
      <c r="AK69" s="154"/>
      <c r="AL69" s="1"/>
      <c r="AM69" s="1"/>
      <c r="AN69" s="1"/>
      <c r="AO69" s="1"/>
      <c r="AP69" s="1"/>
      <c r="AQ69" s="154"/>
    </row>
    <row r="70" spans="3:49" x14ac:dyDescent="0.3">
      <c r="C70" s="99"/>
      <c r="F70" s="172"/>
      <c r="H70" s="172"/>
      <c r="I70" s="172"/>
      <c r="J70" s="181"/>
      <c r="K70" s="181"/>
      <c r="L70" s="110"/>
      <c r="M70" s="110"/>
      <c r="N70" s="141"/>
      <c r="O70" s="141"/>
      <c r="P70" s="110"/>
      <c r="Q70" s="110"/>
      <c r="R70" s="110"/>
      <c r="T70" s="98">
        <v>2</v>
      </c>
      <c r="V70" s="169" t="s">
        <v>219</v>
      </c>
      <c r="Y70" s="1"/>
      <c r="Z70" s="1"/>
      <c r="AA70" s="1"/>
      <c r="AB70" s="1"/>
      <c r="AC70" s="1"/>
      <c r="AD70" s="1"/>
      <c r="AE70" s="1"/>
      <c r="AF70" s="1"/>
      <c r="AG70" s="154"/>
      <c r="AH70" s="1"/>
      <c r="AI70" s="1"/>
      <c r="AJ70" s="1"/>
      <c r="AK70" s="154"/>
      <c r="AL70" s="1"/>
      <c r="AM70" s="1"/>
      <c r="AN70" s="1"/>
      <c r="AO70" s="1"/>
      <c r="AP70" s="1"/>
      <c r="AQ70" s="154"/>
    </row>
    <row r="71" spans="3:49" x14ac:dyDescent="0.3">
      <c r="C71" s="99"/>
      <c r="F71" s="172"/>
      <c r="H71" s="172"/>
      <c r="I71" s="172"/>
      <c r="J71" s="181"/>
      <c r="K71" s="181"/>
      <c r="L71" s="110"/>
      <c r="M71" s="110"/>
      <c r="N71" s="141"/>
      <c r="O71" s="141"/>
      <c r="P71" s="110"/>
      <c r="Q71" s="110"/>
      <c r="R71" s="110"/>
      <c r="T71" s="98">
        <v>3</v>
      </c>
      <c r="V71" s="169" t="s">
        <v>220</v>
      </c>
      <c r="Y71" s="1"/>
      <c r="Z71" s="1"/>
      <c r="AA71" s="1"/>
      <c r="AB71" s="1"/>
      <c r="AC71" s="1"/>
      <c r="AD71" s="1"/>
      <c r="AE71" s="1"/>
      <c r="AF71" s="1"/>
      <c r="AG71" s="154"/>
      <c r="AH71" s="1"/>
      <c r="AI71" s="1"/>
      <c r="AJ71" s="1"/>
      <c r="AK71" s="154"/>
      <c r="AL71" s="1"/>
      <c r="AM71" s="1"/>
      <c r="AN71" s="1"/>
      <c r="AO71" s="1"/>
      <c r="AP71" s="1"/>
      <c r="AQ71" s="154"/>
    </row>
    <row r="72" spans="3:49" x14ac:dyDescent="0.3">
      <c r="C72" s="99"/>
      <c r="F72" s="110"/>
      <c r="H72" s="110"/>
      <c r="I72" s="110"/>
      <c r="J72" s="217"/>
      <c r="K72" s="217"/>
      <c r="L72" s="110"/>
      <c r="M72" s="110"/>
      <c r="N72" s="141"/>
      <c r="O72" s="141"/>
      <c r="P72" s="110"/>
      <c r="Q72" s="110"/>
      <c r="R72" s="110"/>
      <c r="T72" s="98">
        <v>4</v>
      </c>
      <c r="V72" s="116" t="s">
        <v>88</v>
      </c>
      <c r="Y72" s="106">
        <f>F22</f>
        <v>0</v>
      </c>
      <c r="Z72" s="106"/>
      <c r="AA72" s="106">
        <f>H22</f>
        <v>0</v>
      </c>
      <c r="AB72" s="106"/>
      <c r="AC72" s="228">
        <v>14.51</v>
      </c>
      <c r="AD72" s="242"/>
      <c r="AE72" s="106">
        <f>ROUND((Y72*AC72),0)</f>
        <v>0</v>
      </c>
      <c r="AF72" s="106"/>
      <c r="AG72" s="154">
        <f>ROUND((AE72/AE$95)*100,1)</f>
        <v>0</v>
      </c>
      <c r="AH72" s="175"/>
      <c r="AI72" s="106">
        <f>L22-AE72</f>
        <v>0</v>
      </c>
      <c r="AJ72" s="106"/>
      <c r="AK72" s="154">
        <v>0</v>
      </c>
      <c r="AL72" s="138"/>
      <c r="AM72" s="106">
        <f>ROUND($AM$95/$AA$95*AA72,0)</f>
        <v>0</v>
      </c>
      <c r="AN72" s="106"/>
      <c r="AO72" s="106">
        <f>AE72+AM72</f>
        <v>0</v>
      </c>
      <c r="AP72" s="106"/>
      <c r="AQ72" s="154">
        <v>0</v>
      </c>
      <c r="AU72" s="163"/>
      <c r="AW72" s="172">
        <v>616</v>
      </c>
    </row>
    <row r="73" spans="3:49" x14ac:dyDescent="0.3">
      <c r="C73" s="99"/>
      <c r="F73" s="110"/>
      <c r="H73" s="110"/>
      <c r="I73" s="110"/>
      <c r="J73" s="217"/>
      <c r="K73" s="217"/>
      <c r="L73" s="110"/>
      <c r="M73" s="110"/>
      <c r="N73" s="110"/>
      <c r="O73" s="110"/>
      <c r="P73" s="110"/>
      <c r="Q73" s="110"/>
      <c r="R73" s="110"/>
      <c r="T73" s="98">
        <v>5</v>
      </c>
      <c r="V73" s="116" t="s">
        <v>87</v>
      </c>
      <c r="Y73" s="106">
        <f>F23</f>
        <v>139</v>
      </c>
      <c r="Z73" s="106"/>
      <c r="AA73" s="106">
        <f>H23</f>
        <v>9105</v>
      </c>
      <c r="AB73" s="106"/>
      <c r="AC73" s="163">
        <v>11.56</v>
      </c>
      <c r="AD73" s="3"/>
      <c r="AE73" s="106">
        <f>ROUND((Y73*AC73),0)</f>
        <v>1607</v>
      </c>
      <c r="AF73" s="106"/>
      <c r="AG73" s="154">
        <f>ROUND((AE73/AE$95)*100,1)</f>
        <v>1.7</v>
      </c>
      <c r="AH73" s="175"/>
      <c r="AI73" s="106">
        <f>L23-AE73</f>
        <v>229</v>
      </c>
      <c r="AJ73" s="106"/>
      <c r="AK73" s="154">
        <v>0</v>
      </c>
      <c r="AL73" s="138"/>
      <c r="AM73" s="106">
        <f>ROUND($AM$95/$AA$95*AA73,0)</f>
        <v>32</v>
      </c>
      <c r="AN73" s="106"/>
      <c r="AO73" s="106">
        <f>AE73+AM73</f>
        <v>1639</v>
      </c>
      <c r="AP73" s="106"/>
      <c r="AQ73" s="154">
        <v>0</v>
      </c>
      <c r="AU73" s="163"/>
      <c r="AW73" s="110">
        <v>786</v>
      </c>
    </row>
    <row r="74" spans="3:49" x14ac:dyDescent="0.3">
      <c r="C74" s="99"/>
      <c r="F74" s="110"/>
      <c r="H74" s="172"/>
      <c r="I74" s="172"/>
      <c r="J74" s="228"/>
      <c r="K74" s="228"/>
      <c r="L74" s="110"/>
      <c r="M74" s="110"/>
      <c r="N74" s="141"/>
      <c r="O74" s="141"/>
      <c r="P74" s="110"/>
      <c r="Q74" s="110"/>
      <c r="R74" s="110"/>
      <c r="T74" s="98">
        <v>6</v>
      </c>
      <c r="V74" s="169" t="s">
        <v>221</v>
      </c>
      <c r="Y74" s="106"/>
      <c r="Z74" s="106"/>
      <c r="AA74" s="106"/>
      <c r="AB74" s="106"/>
      <c r="AC74" s="163"/>
      <c r="AD74" s="3"/>
      <c r="AE74" s="106"/>
      <c r="AF74" s="106"/>
      <c r="AG74" s="154"/>
      <c r="AH74" s="175"/>
      <c r="AI74" s="106"/>
      <c r="AJ74" s="106"/>
      <c r="AK74" s="154"/>
      <c r="AL74" s="138"/>
      <c r="AM74" s="106"/>
      <c r="AN74" s="106"/>
      <c r="AO74" s="106"/>
      <c r="AP74" s="106"/>
      <c r="AQ74" s="154"/>
      <c r="AW74" s="110"/>
    </row>
    <row r="75" spans="3:49" x14ac:dyDescent="0.3">
      <c r="F75" s="110"/>
      <c r="H75" s="110"/>
      <c r="I75" s="110"/>
      <c r="J75" s="217"/>
      <c r="K75" s="217"/>
      <c r="L75" s="192"/>
      <c r="M75" s="192"/>
      <c r="N75" s="192"/>
      <c r="O75" s="192"/>
      <c r="P75" s="192"/>
      <c r="Q75" s="192"/>
      <c r="R75" s="192"/>
      <c r="T75" s="98">
        <v>7</v>
      </c>
      <c r="V75" s="116" t="s">
        <v>222</v>
      </c>
      <c r="Y75" s="106"/>
      <c r="Z75" s="1"/>
      <c r="AA75" s="1"/>
      <c r="AB75" s="1"/>
      <c r="AC75" s="163"/>
      <c r="AD75" s="3"/>
      <c r="AE75" s="1"/>
      <c r="AF75" s="1"/>
      <c r="AG75" s="154"/>
      <c r="AH75" s="1"/>
      <c r="AI75" s="1"/>
      <c r="AJ75" s="1"/>
      <c r="AK75" s="154"/>
      <c r="AL75" s="1"/>
      <c r="AM75" s="1"/>
      <c r="AN75" s="1"/>
      <c r="AO75" s="1"/>
      <c r="AP75" s="1"/>
      <c r="AQ75" s="154"/>
      <c r="AW75" s="110"/>
    </row>
    <row r="76" spans="3:49" x14ac:dyDescent="0.3">
      <c r="C76" s="99"/>
      <c r="F76" s="110"/>
      <c r="H76" s="110"/>
      <c r="I76" s="110"/>
      <c r="J76" s="198"/>
      <c r="K76" s="198"/>
      <c r="L76" s="110"/>
      <c r="M76" s="110"/>
      <c r="N76" s="141"/>
      <c r="O76" s="141"/>
      <c r="P76" s="110"/>
      <c r="Q76" s="110"/>
      <c r="R76" s="110"/>
      <c r="T76" s="98">
        <v>8</v>
      </c>
      <c r="V76" s="116" t="s">
        <v>223</v>
      </c>
      <c r="Y76" s="106">
        <f>F26</f>
        <v>348</v>
      </c>
      <c r="Z76" s="106"/>
      <c r="AA76" s="106">
        <f>H26</f>
        <v>35235</v>
      </c>
      <c r="AB76" s="106"/>
      <c r="AC76" s="228">
        <v>26.51</v>
      </c>
      <c r="AD76" s="242"/>
      <c r="AE76" s="106">
        <f>ROUND((Y76*AC76),0)</f>
        <v>9225</v>
      </c>
      <c r="AF76" s="106"/>
      <c r="AG76" s="154">
        <f>ROUND((AE76/AE$95)*100,1)</f>
        <v>9.6</v>
      </c>
      <c r="AH76" s="175"/>
      <c r="AI76" s="106">
        <f>L26-AE76</f>
        <v>1316</v>
      </c>
      <c r="AJ76" s="106"/>
      <c r="AK76" s="154">
        <f>ROUND((AI76/AE76)*100,1)</f>
        <v>14.3</v>
      </c>
      <c r="AL76" s="138"/>
      <c r="AM76" s="106">
        <f>ROUND($AM$95/$AA$95*AA76,0)</f>
        <v>123</v>
      </c>
      <c r="AN76" s="106"/>
      <c r="AO76" s="106">
        <f>AE76+AM76</f>
        <v>9348</v>
      </c>
      <c r="AP76" s="106"/>
      <c r="AQ76" s="154">
        <f>ROUND((AI76/AO76)*100,1)</f>
        <v>14.1</v>
      </c>
      <c r="AU76" s="163"/>
      <c r="AW76" s="172">
        <v>1215</v>
      </c>
    </row>
    <row r="77" spans="3:49" x14ac:dyDescent="0.3">
      <c r="C77" s="99"/>
      <c r="F77" s="110"/>
      <c r="H77" s="110"/>
      <c r="I77" s="110"/>
      <c r="J77" s="198"/>
      <c r="K77" s="198"/>
      <c r="L77" s="110"/>
      <c r="M77" s="110"/>
      <c r="N77" s="141"/>
      <c r="O77" s="141"/>
      <c r="P77" s="110"/>
      <c r="Q77" s="110"/>
      <c r="R77" s="110"/>
      <c r="T77" s="98">
        <v>9</v>
      </c>
      <c r="V77" s="169" t="s">
        <v>224</v>
      </c>
      <c r="Y77" s="106"/>
      <c r="Z77" s="106"/>
      <c r="AA77" s="106"/>
      <c r="AB77" s="106"/>
      <c r="AC77" s="163"/>
      <c r="AD77" s="3"/>
      <c r="AE77" s="1"/>
      <c r="AF77" s="1"/>
      <c r="AG77" s="154"/>
      <c r="AH77" s="175"/>
      <c r="AI77" s="106"/>
      <c r="AJ77" s="106"/>
      <c r="AK77" s="154"/>
      <c r="AL77" s="138"/>
      <c r="AM77" s="106"/>
      <c r="AN77" s="106"/>
      <c r="AO77" s="106"/>
      <c r="AP77" s="106"/>
      <c r="AQ77" s="154"/>
      <c r="AW77" s="172"/>
    </row>
    <row r="78" spans="3:49" x14ac:dyDescent="0.3">
      <c r="C78" s="99"/>
      <c r="F78" s="110"/>
      <c r="H78" s="172"/>
      <c r="I78" s="172"/>
      <c r="J78" s="222"/>
      <c r="K78" s="222"/>
      <c r="L78" s="110"/>
      <c r="M78" s="110"/>
      <c r="N78" s="141"/>
      <c r="O78" s="141"/>
      <c r="P78" s="110"/>
      <c r="Q78" s="110"/>
      <c r="R78" s="110"/>
      <c r="T78" s="98">
        <v>10</v>
      </c>
      <c r="V78" s="99" t="s">
        <v>225</v>
      </c>
      <c r="Y78" s="106">
        <f>F28</f>
        <v>372</v>
      </c>
      <c r="Z78" s="106"/>
      <c r="AA78" s="106">
        <f>H28</f>
        <v>24366</v>
      </c>
      <c r="AB78" s="106"/>
      <c r="AC78" s="228">
        <v>11.46</v>
      </c>
      <c r="AD78" s="242"/>
      <c r="AE78" s="106">
        <f>ROUND((Y78*AC78),0)</f>
        <v>4263</v>
      </c>
      <c r="AF78" s="106"/>
      <c r="AG78" s="154">
        <f>ROUND((AE78/AE$95)*100,1)</f>
        <v>4.4000000000000004</v>
      </c>
      <c r="AH78" s="175"/>
      <c r="AI78" s="106">
        <f>L28-AE78</f>
        <v>606</v>
      </c>
      <c r="AJ78" s="106"/>
      <c r="AK78" s="154">
        <f>ROUND((AI78/AE78)*100,1)</f>
        <v>14.2</v>
      </c>
      <c r="AL78" s="138"/>
      <c r="AM78" s="106">
        <f>ROUND($AM$95/$AA$95*AA78,0)</f>
        <v>85</v>
      </c>
      <c r="AN78" s="106"/>
      <c r="AO78" s="106">
        <f>AE78+AM78</f>
        <v>4348</v>
      </c>
      <c r="AP78" s="106"/>
      <c r="AQ78" s="154">
        <f>ROUND((AI78/AO78)*100,1)</f>
        <v>13.9</v>
      </c>
      <c r="AU78" s="163"/>
      <c r="AW78" s="110">
        <v>786</v>
      </c>
    </row>
    <row r="79" spans="3:49" x14ac:dyDescent="0.3">
      <c r="F79" s="192"/>
      <c r="H79" s="192"/>
      <c r="I79" s="192"/>
      <c r="J79" s="217"/>
      <c r="K79" s="217"/>
      <c r="L79" s="192"/>
      <c r="M79" s="192"/>
      <c r="N79" s="192"/>
      <c r="O79" s="192"/>
      <c r="P79" s="192"/>
      <c r="Q79" s="192"/>
      <c r="R79" s="192"/>
      <c r="T79" s="98">
        <v>11</v>
      </c>
      <c r="V79" s="99" t="s">
        <v>226</v>
      </c>
      <c r="Y79" s="106">
        <f>F29</f>
        <v>6746</v>
      </c>
      <c r="Z79" s="106"/>
      <c r="AA79" s="106">
        <f>H29</f>
        <v>254662</v>
      </c>
      <c r="AB79" s="106"/>
      <c r="AC79" s="163">
        <v>10.58</v>
      </c>
      <c r="AD79" s="3"/>
      <c r="AE79" s="106">
        <f>ROUND((Y79*AC79),0)</f>
        <v>71373</v>
      </c>
      <c r="AF79" s="106"/>
      <c r="AG79" s="154">
        <f>ROUND((AE79/AE$95)*100,1)-0.1</f>
        <v>74.300000000000011</v>
      </c>
      <c r="AH79" s="175"/>
      <c r="AI79" s="106">
        <f>L29-AE79</f>
        <v>10186</v>
      </c>
      <c r="AJ79" s="106"/>
      <c r="AK79" s="154">
        <f>ROUND((AI79/AE79)*100,1)</f>
        <v>14.3</v>
      </c>
      <c r="AL79" s="138"/>
      <c r="AM79" s="106">
        <f>ROUND($AM$95/$AA$95*AA79,0)-1</f>
        <v>887</v>
      </c>
      <c r="AN79" s="106"/>
      <c r="AO79" s="106">
        <f>AE79+AM79</f>
        <v>72260</v>
      </c>
      <c r="AP79" s="106"/>
      <c r="AQ79" s="154">
        <f>ROUND((AI79/AO79)*100,1)</f>
        <v>14.1</v>
      </c>
      <c r="AU79" s="163"/>
      <c r="AW79" s="110">
        <v>453</v>
      </c>
    </row>
    <row r="80" spans="3:49" x14ac:dyDescent="0.3">
      <c r="F80" s="192"/>
      <c r="H80" s="192"/>
      <c r="I80" s="192"/>
      <c r="J80" s="217"/>
      <c r="K80" s="217"/>
      <c r="L80" s="192"/>
      <c r="M80" s="192"/>
      <c r="N80" s="192"/>
      <c r="O80" s="192"/>
      <c r="P80" s="192"/>
      <c r="Q80" s="192"/>
      <c r="R80" s="192"/>
      <c r="S80" s="110"/>
      <c r="T80" s="98">
        <v>12</v>
      </c>
      <c r="V80" s="116" t="s">
        <v>217</v>
      </c>
      <c r="Y80" s="106">
        <f>F30</f>
        <v>408</v>
      </c>
      <c r="Z80" s="1"/>
      <c r="AA80" s="106">
        <f>H30</f>
        <v>65076</v>
      </c>
      <c r="AB80" s="1"/>
      <c r="AC80" s="163">
        <v>17.87</v>
      </c>
      <c r="AD80" s="3"/>
      <c r="AE80" s="106">
        <f>ROUND((Y80*AC80),0)</f>
        <v>7291</v>
      </c>
      <c r="AF80" s="1"/>
      <c r="AG80" s="154">
        <f>ROUND((AE80/AE$95)*100,1)</f>
        <v>7.6</v>
      </c>
      <c r="AH80" s="1"/>
      <c r="AI80" s="106">
        <f>L30-AE80</f>
        <v>1040</v>
      </c>
      <c r="AJ80" s="1"/>
      <c r="AK80" s="156">
        <f>ROUND((AI80/AE80)*100,1)</f>
        <v>14.3</v>
      </c>
      <c r="AL80" s="1"/>
      <c r="AM80" s="117">
        <f>ROUND($AM$95/$AA$95*AA80,0)</f>
        <v>227</v>
      </c>
      <c r="AN80" s="1"/>
      <c r="AO80" s="106">
        <f>AE80+AM80</f>
        <v>7518</v>
      </c>
      <c r="AP80" s="1"/>
      <c r="AQ80" s="156">
        <f>ROUND((AI80/AO80)*100,1)</f>
        <v>13.8</v>
      </c>
      <c r="AU80" s="163"/>
      <c r="AW80" s="110">
        <v>1914</v>
      </c>
    </row>
    <row r="81" spans="3:49" ht="20.100000000000001" customHeight="1" x14ac:dyDescent="0.3">
      <c r="C81" s="99"/>
      <c r="F81" s="172"/>
      <c r="H81" s="172"/>
      <c r="I81" s="172"/>
      <c r="J81" s="181"/>
      <c r="K81" s="181"/>
      <c r="L81" s="110"/>
      <c r="M81" s="110"/>
      <c r="N81" s="141"/>
      <c r="O81" s="141"/>
      <c r="R81" s="110"/>
      <c r="T81" s="98">
        <v>13</v>
      </c>
      <c r="V81" s="124" t="s">
        <v>90</v>
      </c>
      <c r="Y81" s="112">
        <f>SUM(Y72:Y80)</f>
        <v>8013</v>
      </c>
      <c r="Z81" s="1"/>
      <c r="AA81" s="112">
        <f>SUM(AA72:AA80)</f>
        <v>388444</v>
      </c>
      <c r="AB81" s="106"/>
      <c r="AC81" s="163"/>
      <c r="AD81" s="3"/>
      <c r="AE81" s="112">
        <f>SUM(AE72:AE80)</f>
        <v>93759</v>
      </c>
      <c r="AF81" s="106"/>
      <c r="AG81" s="158">
        <f>SUM(AG72:AG80)</f>
        <v>97.600000000000009</v>
      </c>
      <c r="AH81" s="138"/>
      <c r="AI81" s="112">
        <f>SUM(AI72:AI80)</f>
        <v>13377</v>
      </c>
      <c r="AJ81" s="106"/>
      <c r="AK81" s="156">
        <f>ROUND((AI81/AE81)*100,1)</f>
        <v>14.3</v>
      </c>
      <c r="AL81" s="138"/>
      <c r="AM81" s="112">
        <f>ROUND($AM$95/$AA$95*AA81,0)</f>
        <v>1354</v>
      </c>
      <c r="AN81" s="106"/>
      <c r="AO81" s="112">
        <f>AE81+AM81</f>
        <v>95113</v>
      </c>
      <c r="AP81" s="106"/>
      <c r="AQ81" s="156">
        <f>ROUND((AI81/AO81)*100,1)</f>
        <v>14.1</v>
      </c>
      <c r="AW81" s="110"/>
    </row>
    <row r="82" spans="3:49" x14ac:dyDescent="0.3">
      <c r="F82" s="192"/>
      <c r="H82" s="110"/>
      <c r="I82" s="110"/>
      <c r="J82" s="217"/>
      <c r="K82" s="217"/>
      <c r="L82" s="192"/>
      <c r="M82" s="192"/>
      <c r="N82" s="192"/>
      <c r="O82" s="192"/>
      <c r="P82" s="192"/>
      <c r="Q82" s="192"/>
      <c r="R82" s="192"/>
      <c r="Y82" s="1"/>
      <c r="Z82" s="1"/>
      <c r="AA82" s="1"/>
      <c r="AB82" s="1"/>
      <c r="AC82" s="163"/>
      <c r="AD82" s="3"/>
      <c r="AE82" s="1"/>
      <c r="AF82" s="1"/>
      <c r="AG82" s="154"/>
      <c r="AH82" s="1"/>
      <c r="AI82" s="1"/>
      <c r="AJ82" s="1"/>
      <c r="AK82" s="154"/>
      <c r="AL82" s="1"/>
      <c r="AM82" s="1"/>
      <c r="AN82" s="1"/>
      <c r="AO82" s="1"/>
      <c r="AP82" s="1"/>
      <c r="AQ82" s="154"/>
    </row>
    <row r="83" spans="3:49" x14ac:dyDescent="0.3">
      <c r="F83" s="192"/>
      <c r="H83" s="110"/>
      <c r="I83" s="110"/>
      <c r="J83" s="217"/>
      <c r="K83" s="217"/>
      <c r="L83" s="192"/>
      <c r="M83" s="192"/>
      <c r="N83" s="192"/>
      <c r="O83" s="192"/>
      <c r="P83" s="192"/>
      <c r="Q83" s="192"/>
      <c r="R83" s="192"/>
      <c r="T83" s="98">
        <v>14</v>
      </c>
      <c r="V83" s="169" t="s">
        <v>227</v>
      </c>
      <c r="Y83" s="1"/>
      <c r="Z83" s="1"/>
      <c r="AA83" s="1"/>
      <c r="AB83" s="1"/>
      <c r="AC83" s="163"/>
      <c r="AD83" s="3"/>
      <c r="AE83" s="1"/>
      <c r="AF83" s="1"/>
      <c r="AG83" s="154"/>
      <c r="AH83" s="1"/>
      <c r="AI83" s="1"/>
      <c r="AJ83" s="1"/>
      <c r="AK83" s="154"/>
      <c r="AL83" s="1"/>
      <c r="AM83" s="1"/>
      <c r="AN83" s="1"/>
      <c r="AO83" s="1"/>
      <c r="AP83" s="1"/>
      <c r="AQ83" s="154"/>
    </row>
    <row r="84" spans="3:49" x14ac:dyDescent="0.3">
      <c r="F84" s="192"/>
      <c r="H84" s="110"/>
      <c r="I84" s="110"/>
      <c r="J84" s="217"/>
      <c r="K84" s="217"/>
      <c r="L84" s="192"/>
      <c r="M84" s="192"/>
      <c r="N84" s="192"/>
      <c r="O84" s="192"/>
      <c r="P84" s="192"/>
      <c r="Q84" s="192"/>
      <c r="R84" s="192"/>
      <c r="T84" s="98">
        <v>15</v>
      </c>
      <c r="V84" s="169" t="s">
        <v>220</v>
      </c>
      <c r="Y84" s="1"/>
      <c r="Z84" s="1"/>
      <c r="AA84" s="1"/>
      <c r="AB84" s="1"/>
      <c r="AC84" s="163"/>
      <c r="AD84" s="3"/>
      <c r="AE84" s="1"/>
      <c r="AF84" s="1"/>
      <c r="AG84" s="154"/>
      <c r="AH84" s="1"/>
      <c r="AI84" s="1"/>
      <c r="AJ84" s="1"/>
      <c r="AK84" s="154"/>
      <c r="AL84" s="1"/>
      <c r="AM84" s="1"/>
      <c r="AN84" s="1"/>
      <c r="AO84" s="1"/>
      <c r="AP84" s="1"/>
      <c r="AQ84" s="154"/>
    </row>
    <row r="85" spans="3:49" x14ac:dyDescent="0.3">
      <c r="F85" s="192"/>
      <c r="H85" s="110"/>
      <c r="I85" s="110"/>
      <c r="J85" s="217"/>
      <c r="K85" s="217"/>
      <c r="L85" s="192"/>
      <c r="M85" s="192"/>
      <c r="N85" s="192"/>
      <c r="O85" s="192"/>
      <c r="P85" s="192"/>
      <c r="Q85" s="192"/>
      <c r="R85" s="192"/>
      <c r="T85" s="98">
        <v>16</v>
      </c>
      <c r="V85" s="116" t="s">
        <v>88</v>
      </c>
      <c r="Y85" s="106">
        <f>F35</f>
        <v>0</v>
      </c>
      <c r="Z85" s="1"/>
      <c r="AA85" s="106">
        <f>H35</f>
        <v>0</v>
      </c>
      <c r="AB85" s="1"/>
      <c r="AC85" s="163">
        <v>8.7899999999999991</v>
      </c>
      <c r="AD85" s="3"/>
      <c r="AE85" s="106">
        <f>ROUND((Y85*AC85),0)</f>
        <v>0</v>
      </c>
      <c r="AF85" s="1"/>
      <c r="AG85" s="154">
        <f>ROUND((AE85/AE$95)*100,1)</f>
        <v>0</v>
      </c>
      <c r="AH85" s="1"/>
      <c r="AI85" s="106">
        <f>L35-AE85</f>
        <v>0</v>
      </c>
      <c r="AJ85" s="1"/>
      <c r="AK85" s="154">
        <v>0</v>
      </c>
      <c r="AL85" s="1"/>
      <c r="AM85" s="106">
        <f>ROUND($AM$95/$AA$95*AA85,0)</f>
        <v>0</v>
      </c>
      <c r="AN85" s="1"/>
      <c r="AO85" s="106">
        <f>AE85+AM85</f>
        <v>0</v>
      </c>
      <c r="AP85" s="1"/>
      <c r="AQ85" s="154">
        <v>0</v>
      </c>
      <c r="AU85" s="163"/>
      <c r="AW85" s="172">
        <v>616</v>
      </c>
    </row>
    <row r="86" spans="3:49" x14ac:dyDescent="0.3">
      <c r="C86" s="99"/>
      <c r="F86" s="172"/>
      <c r="H86" s="172"/>
      <c r="I86" s="172"/>
      <c r="J86" s="227"/>
      <c r="K86" s="227"/>
      <c r="L86" s="110"/>
      <c r="M86" s="110"/>
      <c r="N86" s="141"/>
      <c r="O86" s="141"/>
      <c r="P86" s="110"/>
      <c r="Q86" s="110"/>
      <c r="R86" s="110"/>
      <c r="S86" s="110"/>
      <c r="T86" s="98">
        <v>17</v>
      </c>
      <c r="V86" s="116" t="s">
        <v>87</v>
      </c>
      <c r="Y86" s="106">
        <f>F36</f>
        <v>60</v>
      </c>
      <c r="Z86" s="1"/>
      <c r="AA86" s="106">
        <f>H36</f>
        <v>3930</v>
      </c>
      <c r="AB86" s="1"/>
      <c r="AC86" s="163">
        <v>11.18</v>
      </c>
      <c r="AD86" s="3"/>
      <c r="AE86" s="106">
        <f>ROUND((Y86*AC86),0)</f>
        <v>671</v>
      </c>
      <c r="AF86" s="1"/>
      <c r="AG86" s="156">
        <f>ROUND((AE86/AE$95)*100,1)</f>
        <v>0.7</v>
      </c>
      <c r="AH86" s="1"/>
      <c r="AI86" s="106">
        <f>L36-AE86</f>
        <v>95</v>
      </c>
      <c r="AJ86" s="1"/>
      <c r="AK86" s="156">
        <v>0</v>
      </c>
      <c r="AL86" s="1"/>
      <c r="AM86" s="117">
        <f>ROUND($AM$95/$AA$95*AA86,0)</f>
        <v>14</v>
      </c>
      <c r="AN86" s="1"/>
      <c r="AO86" s="106">
        <f>AE86+AM86</f>
        <v>685</v>
      </c>
      <c r="AP86" s="1"/>
      <c r="AQ86" s="156">
        <v>0</v>
      </c>
      <c r="AU86" s="163"/>
      <c r="AW86" s="172">
        <v>786</v>
      </c>
    </row>
    <row r="87" spans="3:49" ht="20.100000000000001" customHeight="1" x14ac:dyDescent="0.3">
      <c r="C87" s="99"/>
      <c r="F87" s="172"/>
      <c r="H87" s="172"/>
      <c r="I87" s="172"/>
      <c r="J87" s="181"/>
      <c r="K87" s="181"/>
      <c r="L87" s="110"/>
      <c r="M87" s="110"/>
      <c r="N87" s="141"/>
      <c r="O87" s="141"/>
      <c r="P87" s="110"/>
      <c r="Q87" s="110"/>
      <c r="R87" s="110"/>
      <c r="T87" s="98">
        <v>18</v>
      </c>
      <c r="V87" s="169" t="s">
        <v>228</v>
      </c>
      <c r="Y87" s="112">
        <f>SUM(Y85:Y86)</f>
        <v>60</v>
      </c>
      <c r="Z87" s="1"/>
      <c r="AA87" s="112">
        <f>SUM(AA85:AA86)</f>
        <v>3930</v>
      </c>
      <c r="AB87" s="106"/>
      <c r="AC87" s="242"/>
      <c r="AD87" s="242"/>
      <c r="AE87" s="112">
        <f>SUM(AE85:AE86)</f>
        <v>671</v>
      </c>
      <c r="AF87" s="106"/>
      <c r="AG87" s="154">
        <f>ROUND((AE87/AE$95)*100,1)</f>
        <v>0.7</v>
      </c>
      <c r="AH87" s="175"/>
      <c r="AI87" s="112">
        <f>SUM(AI85:AI86)</f>
        <v>95</v>
      </c>
      <c r="AJ87" s="106"/>
      <c r="AK87" s="156">
        <f>ROUND((AI87/AE87)*100,1)</f>
        <v>14.2</v>
      </c>
      <c r="AL87" s="138"/>
      <c r="AM87" s="112">
        <f>ROUND($AM$95/$AA$95*AA87,0)</f>
        <v>14</v>
      </c>
      <c r="AN87" s="106"/>
      <c r="AO87" s="112">
        <f>SUM(AO85:AO86)</f>
        <v>685</v>
      </c>
      <c r="AP87" s="106"/>
      <c r="AQ87" s="156">
        <f>ROUND((AI87/AO87)*100,1)</f>
        <v>13.9</v>
      </c>
      <c r="AW87" s="106"/>
    </row>
    <row r="88" spans="3:49" ht="20.100000000000001" customHeight="1" x14ac:dyDescent="0.3">
      <c r="C88" s="99"/>
      <c r="F88" s="172"/>
      <c r="H88" s="172"/>
      <c r="I88" s="172"/>
      <c r="J88" s="181"/>
      <c r="K88" s="181"/>
      <c r="L88" s="110"/>
      <c r="M88" s="110"/>
      <c r="N88" s="141"/>
      <c r="O88" s="141"/>
      <c r="P88" s="110"/>
      <c r="Q88" s="110"/>
      <c r="R88" s="110"/>
      <c r="T88" s="98">
        <v>19</v>
      </c>
      <c r="V88" s="169" t="s">
        <v>466</v>
      </c>
      <c r="Y88" s="112">
        <f>Y87+Y81</f>
        <v>8073</v>
      </c>
      <c r="Z88" s="1"/>
      <c r="AA88" s="112">
        <f>AA87+AA81</f>
        <v>392374</v>
      </c>
      <c r="AB88" s="106"/>
      <c r="AC88" s="242"/>
      <c r="AD88" s="242"/>
      <c r="AE88" s="112">
        <f>AE87+AE81</f>
        <v>94430</v>
      </c>
      <c r="AF88" s="106"/>
      <c r="AG88" s="158">
        <f>ROUND((AE88/AE$95)*100,1)</f>
        <v>98.4</v>
      </c>
      <c r="AH88" s="175"/>
      <c r="AI88" s="112">
        <f>AI87+AI81</f>
        <v>13472</v>
      </c>
      <c r="AJ88" s="106"/>
      <c r="AK88" s="158">
        <f>ROUND((AI88/AE88)*100,1)</f>
        <v>14.3</v>
      </c>
      <c r="AL88" s="138"/>
      <c r="AM88" s="112">
        <f>AM87+AM81</f>
        <v>1368</v>
      </c>
      <c r="AN88" s="106"/>
      <c r="AO88" s="112">
        <f>AO87+AO81</f>
        <v>95798</v>
      </c>
      <c r="AP88" s="106"/>
      <c r="AQ88" s="156">
        <f>ROUND((AI88/AO88)*100,1)</f>
        <v>14.1</v>
      </c>
      <c r="AW88" s="106"/>
    </row>
    <row r="89" spans="3:49" ht="15.75" customHeight="1" x14ac:dyDescent="0.3">
      <c r="C89" s="99"/>
      <c r="F89" s="172"/>
      <c r="H89" s="172"/>
      <c r="I89" s="172"/>
      <c r="J89" s="181"/>
      <c r="K89" s="181"/>
      <c r="L89" s="110"/>
      <c r="M89" s="110"/>
      <c r="N89" s="141"/>
      <c r="O89" s="141"/>
      <c r="P89" s="110"/>
      <c r="Q89" s="110"/>
      <c r="R89" s="110"/>
      <c r="V89" s="169"/>
      <c r="Y89" s="106"/>
      <c r="Z89" s="1"/>
      <c r="AA89" s="106"/>
      <c r="AB89" s="106"/>
      <c r="AC89" s="242"/>
      <c r="AD89" s="242"/>
      <c r="AE89" s="106"/>
      <c r="AF89" s="106"/>
      <c r="AG89" s="154"/>
      <c r="AH89" s="175"/>
      <c r="AI89" s="106"/>
      <c r="AJ89" s="106"/>
      <c r="AK89" s="154"/>
      <c r="AL89" s="138"/>
      <c r="AM89" s="106"/>
      <c r="AN89" s="106"/>
      <c r="AO89" s="106"/>
      <c r="AP89" s="106"/>
      <c r="AQ89" s="154"/>
      <c r="AW89" s="106"/>
    </row>
    <row r="90" spans="3:49" ht="15.75" customHeight="1" x14ac:dyDescent="0.3">
      <c r="C90" s="99"/>
      <c r="F90" s="172"/>
      <c r="H90" s="172"/>
      <c r="I90" s="172"/>
      <c r="J90" s="181"/>
      <c r="K90" s="181"/>
      <c r="L90" s="110"/>
      <c r="M90" s="110"/>
      <c r="N90" s="141"/>
      <c r="O90" s="141"/>
      <c r="P90" s="110"/>
      <c r="Q90" s="110"/>
      <c r="R90" s="110"/>
      <c r="T90" s="98">
        <f>A40</f>
        <v>20</v>
      </c>
      <c r="V90" s="124" t="s">
        <v>465</v>
      </c>
      <c r="Y90" s="106"/>
      <c r="Z90" s="1"/>
      <c r="AA90" s="106"/>
      <c r="AB90" s="106"/>
      <c r="AC90" s="242"/>
      <c r="AD90" s="242"/>
      <c r="AE90" s="106"/>
      <c r="AF90" s="106"/>
      <c r="AG90" s="154"/>
      <c r="AH90" s="175"/>
      <c r="AI90" s="106"/>
      <c r="AJ90" s="106"/>
      <c r="AK90" s="154"/>
      <c r="AL90" s="138"/>
      <c r="AM90" s="106"/>
      <c r="AN90" s="106"/>
      <c r="AO90" s="106"/>
      <c r="AP90" s="106"/>
      <c r="AQ90" s="154"/>
      <c r="AW90" s="106"/>
    </row>
    <row r="91" spans="3:49" ht="15.75" customHeight="1" x14ac:dyDescent="0.3">
      <c r="C91" s="99"/>
      <c r="F91" s="172"/>
      <c r="H91" s="172"/>
      <c r="I91" s="172"/>
      <c r="J91" s="181"/>
      <c r="K91" s="181"/>
      <c r="L91" s="110"/>
      <c r="M91" s="110"/>
      <c r="N91" s="141"/>
      <c r="O91" s="141"/>
      <c r="P91" s="110"/>
      <c r="Q91" s="110"/>
      <c r="R91" s="110"/>
      <c r="T91" s="98">
        <f>A41</f>
        <v>21</v>
      </c>
      <c r="V91" s="176" t="str">
        <f>C41</f>
        <v>ENVIRONMENTAL SURCHARGE MECHANISM RIDER (ESM)</v>
      </c>
      <c r="Y91" s="106"/>
      <c r="Z91" s="1"/>
      <c r="AA91" s="106"/>
      <c r="AB91" s="106"/>
      <c r="AC91" s="304">
        <f>CUR_ESM_NonRes</f>
        <v>6.3863133253205971E-3</v>
      </c>
      <c r="AD91" s="242"/>
      <c r="AE91" s="106">
        <f>ROUND((AO88-(CUR_BASE_FUEL*AA88)+AO92)*AC91,0)</f>
        <v>533</v>
      </c>
      <c r="AF91" s="106"/>
      <c r="AG91" s="154">
        <f>ROUND((AE91/AE$95)*100,1)</f>
        <v>0.6</v>
      </c>
      <c r="AH91" s="175"/>
      <c r="AI91" s="106">
        <f>L41-AE91</f>
        <v>-12</v>
      </c>
      <c r="AJ91" s="106"/>
      <c r="AK91" s="154">
        <f>IF(AE91=0,0,ROUND((AI91/AE91)*100,1))</f>
        <v>-2.2999999999999998</v>
      </c>
      <c r="AL91" s="138"/>
      <c r="AM91" s="106"/>
      <c r="AN91" s="106"/>
      <c r="AO91" s="106">
        <f>AE91+AM91</f>
        <v>533</v>
      </c>
      <c r="AP91" s="106"/>
      <c r="AQ91" s="154">
        <f>IF(AO91=0,0,ROUND((AI91/AO91)*100,1))</f>
        <v>-2.2999999999999998</v>
      </c>
      <c r="AW91" s="106"/>
    </row>
    <row r="92" spans="3:49" ht="15.75" customHeight="1" x14ac:dyDescent="0.3">
      <c r="C92" s="99"/>
      <c r="F92" s="172"/>
      <c r="H92" s="172"/>
      <c r="I92" s="172"/>
      <c r="J92" s="181"/>
      <c r="K92" s="181"/>
      <c r="L92" s="110"/>
      <c r="M92" s="110"/>
      <c r="N92" s="141"/>
      <c r="O92" s="141"/>
      <c r="P92" s="110"/>
      <c r="Q92" s="110"/>
      <c r="R92" s="110"/>
      <c r="T92" s="98">
        <f>A42</f>
        <v>22</v>
      </c>
      <c r="V92" s="176" t="str">
        <f>C42</f>
        <v>PROFIT SHARING MECHANISM (PSM)</v>
      </c>
      <c r="Y92" s="106"/>
      <c r="Z92" s="1"/>
      <c r="AA92" s="106"/>
      <c r="AB92" s="106"/>
      <c r="AC92" s="184">
        <f>RS_PSM</f>
        <v>2.4750000000000002E-3</v>
      </c>
      <c r="AD92" s="242"/>
      <c r="AE92" s="117">
        <f>ROUND($AA$88*AC92,0)</f>
        <v>971</v>
      </c>
      <c r="AF92" s="106"/>
      <c r="AG92" s="156">
        <f>ROUND((AE92/AE$95)*100,1)</f>
        <v>1</v>
      </c>
      <c r="AH92" s="175"/>
      <c r="AI92" s="106">
        <f>L42-AE92</f>
        <v>0</v>
      </c>
      <c r="AJ92" s="106"/>
      <c r="AK92" s="156">
        <f>ROUND((AI92/AE92)*100,1)</f>
        <v>0</v>
      </c>
      <c r="AL92" s="138"/>
      <c r="AM92" s="106"/>
      <c r="AN92" s="106"/>
      <c r="AO92" s="106">
        <f>AE92+AM92</f>
        <v>971</v>
      </c>
      <c r="AP92" s="106"/>
      <c r="AQ92" s="156">
        <f>ROUND((AI92/AO92)*100,1)</f>
        <v>0</v>
      </c>
      <c r="AW92" s="106"/>
    </row>
    <row r="93" spans="3:49" ht="20.100000000000001" customHeight="1" x14ac:dyDescent="0.3">
      <c r="C93" s="99"/>
      <c r="F93" s="172"/>
      <c r="H93" s="172"/>
      <c r="I93" s="172"/>
      <c r="J93" s="181"/>
      <c r="K93" s="181"/>
      <c r="L93" s="110"/>
      <c r="M93" s="110"/>
      <c r="N93" s="141"/>
      <c r="O93" s="141"/>
      <c r="P93" s="110"/>
      <c r="Q93" s="110"/>
      <c r="R93" s="110"/>
      <c r="T93" s="98">
        <f>A43</f>
        <v>23</v>
      </c>
      <c r="V93" s="124" t="s">
        <v>461</v>
      </c>
      <c r="Y93" s="117"/>
      <c r="Z93" s="1"/>
      <c r="AA93" s="117"/>
      <c r="AB93" s="106"/>
      <c r="AC93" s="242"/>
      <c r="AD93" s="242"/>
      <c r="AE93" s="112">
        <f>SUM(AE91:AE92)</f>
        <v>1504</v>
      </c>
      <c r="AF93" s="106"/>
      <c r="AG93" s="158">
        <f>ROUND((AE93/AE$95)*100,1)</f>
        <v>1.6</v>
      </c>
      <c r="AH93" s="175"/>
      <c r="AI93" s="112">
        <f>SUM(AI91:AI92)</f>
        <v>-12</v>
      </c>
      <c r="AJ93" s="106"/>
      <c r="AK93" s="158">
        <f>ROUND((AI93/AE93)*100,1)</f>
        <v>-0.8</v>
      </c>
      <c r="AL93" s="138"/>
      <c r="AM93" s="112"/>
      <c r="AN93" s="106"/>
      <c r="AO93" s="112">
        <f>SUM(AO91:AO92)</f>
        <v>1504</v>
      </c>
      <c r="AP93" s="106"/>
      <c r="AQ93" s="156">
        <f>ROUND((AI93/AO93)*100,1)</f>
        <v>-0.8</v>
      </c>
      <c r="AW93" s="106"/>
    </row>
    <row r="94" spans="3:49" ht="15.75" customHeight="1" x14ac:dyDescent="0.3">
      <c r="C94" s="99"/>
      <c r="F94" s="172"/>
      <c r="H94" s="172"/>
      <c r="I94" s="172"/>
      <c r="J94" s="181"/>
      <c r="K94" s="181"/>
      <c r="L94" s="110"/>
      <c r="M94" s="110"/>
      <c r="N94" s="141"/>
      <c r="O94" s="141"/>
      <c r="P94" s="110"/>
      <c r="Q94" s="110"/>
      <c r="R94" s="110"/>
      <c r="V94" s="169"/>
      <c r="Y94" s="106"/>
      <c r="Z94" s="1"/>
      <c r="AA94" s="106"/>
      <c r="AB94" s="106"/>
      <c r="AC94" s="242"/>
      <c r="AD94" s="242"/>
      <c r="AE94" s="106"/>
      <c r="AF94" s="106"/>
      <c r="AG94" s="154"/>
      <c r="AH94" s="175"/>
      <c r="AI94" s="106"/>
      <c r="AJ94" s="106"/>
      <c r="AK94" s="154"/>
      <c r="AL94" s="138"/>
      <c r="AM94" s="106"/>
      <c r="AN94" s="106"/>
      <c r="AO94" s="106"/>
      <c r="AP94" s="106"/>
      <c r="AQ94" s="154"/>
      <c r="AW94" s="106"/>
    </row>
    <row r="95" spans="3:49" ht="20.100000000000001" customHeight="1" thickBot="1" x14ac:dyDescent="0.35">
      <c r="C95" s="99"/>
      <c r="F95" s="110"/>
      <c r="H95" s="110"/>
      <c r="I95" s="110"/>
      <c r="J95" s="198"/>
      <c r="K95" s="198"/>
      <c r="L95" s="110"/>
      <c r="M95" s="110"/>
      <c r="N95" s="141"/>
      <c r="O95" s="141"/>
      <c r="P95" s="110"/>
      <c r="Q95" s="110"/>
      <c r="R95" s="110"/>
      <c r="T95" s="98">
        <f>A45</f>
        <v>24</v>
      </c>
      <c r="V95" s="124" t="s">
        <v>467</v>
      </c>
      <c r="Y95" s="120">
        <f>Y88</f>
        <v>8073</v>
      </c>
      <c r="Z95" s="1"/>
      <c r="AA95" s="120">
        <f>AA88</f>
        <v>392374</v>
      </c>
      <c r="AB95" s="106"/>
      <c r="AC95" s="1"/>
      <c r="AD95" s="1"/>
      <c r="AE95" s="120">
        <f>AE88+AE93</f>
        <v>95934</v>
      </c>
      <c r="AF95" s="106"/>
      <c r="AG95" s="162">
        <v>100</v>
      </c>
      <c r="AH95" s="138"/>
      <c r="AI95" s="120">
        <f>AI88+AI93</f>
        <v>13460</v>
      </c>
      <c r="AJ95" s="106"/>
      <c r="AK95" s="162">
        <f>ROUND((AI95/AE95)*100,1)</f>
        <v>14</v>
      </c>
      <c r="AL95" s="138"/>
      <c r="AM95" s="249">
        <f>ROUND(AA95*CUR_FAC,0)</f>
        <v>1368</v>
      </c>
      <c r="AN95" s="147"/>
      <c r="AO95" s="120">
        <f>AO88+AO93</f>
        <v>97302</v>
      </c>
      <c r="AP95" s="106"/>
      <c r="AQ95" s="162">
        <f>ROUND((AI95/AO95)*100,1)</f>
        <v>13.8</v>
      </c>
      <c r="AW95" s="106"/>
    </row>
    <row r="96" spans="3:49" ht="16.2" thickTop="1" x14ac:dyDescent="0.3">
      <c r="C96" s="99"/>
      <c r="F96" s="110"/>
      <c r="H96" s="110"/>
      <c r="I96" s="110"/>
      <c r="J96" s="198"/>
      <c r="K96" s="198"/>
      <c r="L96" s="110"/>
      <c r="M96" s="110"/>
      <c r="N96" s="141"/>
      <c r="O96" s="141"/>
      <c r="P96" s="110"/>
      <c r="Q96" s="110"/>
      <c r="R96" s="110"/>
      <c r="Y96" s="1"/>
      <c r="Z96" s="1"/>
      <c r="AA96" s="1"/>
      <c r="AB96" s="1"/>
      <c r="AC96" s="1"/>
      <c r="AD96" s="1"/>
      <c r="AE96" s="1"/>
      <c r="AF96" s="1"/>
      <c r="AG96" s="154"/>
      <c r="AH96" s="1"/>
      <c r="AI96" s="1"/>
      <c r="AJ96" s="1"/>
      <c r="AK96" s="154"/>
      <c r="AL96" s="1"/>
      <c r="AM96" s="1"/>
      <c r="AN96" s="1"/>
      <c r="AO96" s="1"/>
      <c r="AP96" s="1"/>
      <c r="AQ96" s="154"/>
    </row>
    <row r="97" spans="1:40" x14ac:dyDescent="0.3">
      <c r="C97" s="99"/>
      <c r="F97" s="172"/>
      <c r="H97" s="172"/>
      <c r="I97" s="172"/>
      <c r="J97" s="222"/>
      <c r="K97" s="222"/>
      <c r="L97" s="110"/>
      <c r="M97" s="110"/>
      <c r="N97" s="141"/>
      <c r="O97" s="141"/>
      <c r="P97" s="110"/>
      <c r="Q97" s="110"/>
      <c r="R97" s="110"/>
      <c r="V97" s="178" t="s">
        <v>76</v>
      </c>
    </row>
    <row r="98" spans="1:40" x14ac:dyDescent="0.3">
      <c r="C98" s="99"/>
      <c r="F98" s="172"/>
      <c r="H98" s="172"/>
      <c r="I98" s="172"/>
      <c r="J98" s="222"/>
      <c r="K98" s="222"/>
      <c r="L98" s="110"/>
      <c r="M98" s="110"/>
      <c r="N98" s="141"/>
      <c r="O98" s="141"/>
      <c r="P98" s="110"/>
      <c r="Q98" s="110"/>
      <c r="R98" s="110"/>
      <c r="V98" s="178" t="str">
        <f>"(2) REFLECTS FUEL COMPONENT OF "&amp;TEXT(CUR_FAC,"$0.000000;($0.000000)")&amp;" PER KWH."</f>
        <v>(2) REFLECTS FUEL COMPONENT OF $0.003487 PER KWH.</v>
      </c>
    </row>
    <row r="99" spans="1:40" x14ac:dyDescent="0.3">
      <c r="F99" s="192"/>
      <c r="H99" s="192"/>
      <c r="I99" s="192"/>
      <c r="J99" s="217"/>
      <c r="K99" s="217"/>
      <c r="L99" s="192"/>
      <c r="M99" s="192"/>
      <c r="N99" s="192"/>
      <c r="O99" s="192"/>
      <c r="P99" s="192"/>
      <c r="Q99" s="192"/>
      <c r="R99" s="192"/>
      <c r="T99" s="99"/>
      <c r="V99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00" spans="1:40" x14ac:dyDescent="0.3">
      <c r="C100" s="99"/>
      <c r="F100" s="110"/>
      <c r="H100" s="110"/>
      <c r="I100" s="110"/>
      <c r="J100" s="217"/>
      <c r="K100" s="217"/>
      <c r="L100" s="110"/>
      <c r="M100" s="110"/>
      <c r="N100" s="141"/>
      <c r="O100" s="141"/>
      <c r="P100" s="110"/>
      <c r="Q100" s="110"/>
      <c r="R100" s="110"/>
      <c r="S100" s="110"/>
      <c r="T100" s="99"/>
      <c r="V100" s="110"/>
      <c r="Y100" s="110"/>
      <c r="Z100" s="228"/>
      <c r="AA100" s="110"/>
      <c r="AB100" s="110"/>
      <c r="AC100" s="141"/>
      <c r="AD100" s="141"/>
      <c r="AE100" s="110"/>
      <c r="AF100" s="110"/>
      <c r="AH100" s="207"/>
      <c r="AI100" s="110"/>
      <c r="AJ100" s="110"/>
      <c r="AL100" s="110"/>
      <c r="AM100" s="141"/>
      <c r="AN100" s="141"/>
    </row>
    <row r="101" spans="1:40" x14ac:dyDescent="0.3">
      <c r="F101" s="192"/>
      <c r="H101" s="192"/>
      <c r="I101" s="192"/>
      <c r="J101" s="217"/>
      <c r="K101" s="217"/>
      <c r="L101" s="192"/>
      <c r="M101" s="192"/>
      <c r="N101" s="192"/>
      <c r="O101" s="192"/>
      <c r="P101" s="192"/>
      <c r="Q101" s="192"/>
      <c r="R101" s="192"/>
      <c r="S101" s="110"/>
      <c r="T101" s="99"/>
      <c r="Y101" s="110"/>
      <c r="Z101" s="228"/>
      <c r="AA101" s="110"/>
      <c r="AB101" s="110"/>
      <c r="AC101" s="141"/>
      <c r="AD101" s="141"/>
      <c r="AE101" s="110"/>
      <c r="AF101" s="110"/>
      <c r="AH101" s="207"/>
      <c r="AI101" s="110"/>
      <c r="AJ101" s="110"/>
      <c r="AL101" s="110"/>
      <c r="AM101" s="141"/>
      <c r="AN101" s="141"/>
    </row>
    <row r="102" spans="1:40" x14ac:dyDescent="0.3">
      <c r="C102" s="99"/>
      <c r="V102" s="110"/>
      <c r="Y102" s="110"/>
      <c r="Z102" s="217"/>
      <c r="AA102" s="192"/>
      <c r="AB102" s="192"/>
      <c r="AC102" s="192"/>
      <c r="AD102" s="192"/>
      <c r="AE102" s="192"/>
      <c r="AF102" s="192"/>
      <c r="AI102" s="192"/>
      <c r="AJ102" s="192"/>
      <c r="AK102" s="194"/>
      <c r="AL102" s="192"/>
      <c r="AM102" s="141"/>
      <c r="AN102" s="141"/>
    </row>
    <row r="103" spans="1:40" x14ac:dyDescent="0.3">
      <c r="C103" s="99"/>
      <c r="F103" s="110"/>
      <c r="H103" s="110"/>
      <c r="I103" s="110"/>
      <c r="L103" s="110"/>
      <c r="M103" s="110"/>
      <c r="N103" s="141"/>
      <c r="O103" s="141"/>
      <c r="P103" s="172"/>
      <c r="Q103" s="172"/>
      <c r="R103" s="110"/>
      <c r="T103" s="99"/>
      <c r="V103" s="110"/>
      <c r="Y103" s="110"/>
      <c r="Z103" s="198"/>
      <c r="AA103" s="110"/>
      <c r="AB103" s="110"/>
      <c r="AC103" s="141"/>
      <c r="AD103" s="141"/>
      <c r="AE103" s="110"/>
      <c r="AF103" s="110"/>
      <c r="AH103" s="207"/>
      <c r="AI103" s="110"/>
      <c r="AJ103" s="110"/>
      <c r="AL103" s="110"/>
      <c r="AM103" s="141"/>
      <c r="AN103" s="141"/>
    </row>
    <row r="104" spans="1:40" x14ac:dyDescent="0.3">
      <c r="F104" s="192"/>
      <c r="H104" s="192"/>
      <c r="I104" s="192"/>
      <c r="J104" s="217"/>
      <c r="K104" s="217"/>
      <c r="L104" s="192"/>
      <c r="M104" s="192"/>
      <c r="N104" s="192"/>
      <c r="O104" s="192"/>
      <c r="P104" s="192"/>
      <c r="Q104" s="192"/>
      <c r="R104" s="192"/>
      <c r="V104" s="110"/>
      <c r="Y104" s="110"/>
      <c r="Z104" s="217"/>
      <c r="AA104" s="192"/>
      <c r="AB104" s="192"/>
      <c r="AC104" s="192"/>
      <c r="AD104" s="192"/>
      <c r="AE104" s="192"/>
      <c r="AF104" s="192"/>
      <c r="AI104" s="192"/>
      <c r="AJ104" s="192"/>
      <c r="AK104" s="194"/>
      <c r="AL104" s="192"/>
      <c r="AM104" s="141"/>
      <c r="AN104" s="141"/>
    </row>
    <row r="105" spans="1:40" x14ac:dyDescent="0.3">
      <c r="T105" s="99"/>
      <c r="V105" s="110"/>
      <c r="Y105" s="110"/>
      <c r="Z105" s="198"/>
      <c r="AA105" s="110"/>
      <c r="AB105" s="110"/>
      <c r="AC105" s="141"/>
      <c r="AD105" s="141"/>
      <c r="AE105" s="110"/>
      <c r="AF105" s="110"/>
      <c r="AH105" s="207"/>
      <c r="AI105" s="110"/>
      <c r="AJ105" s="110"/>
      <c r="AL105" s="110"/>
      <c r="AM105" s="141"/>
      <c r="AN105" s="141"/>
    </row>
    <row r="106" spans="1:40" x14ac:dyDescent="0.3">
      <c r="C106" s="99"/>
      <c r="L106" s="110"/>
      <c r="M106" s="110"/>
      <c r="N106" s="110"/>
      <c r="O106" s="110"/>
      <c r="P106" s="110"/>
      <c r="Q106" s="110"/>
      <c r="R106" s="110"/>
      <c r="S106" s="110"/>
      <c r="T106" s="99"/>
      <c r="V106" s="172"/>
      <c r="Y106" s="110"/>
      <c r="Z106" s="222"/>
      <c r="AA106" s="110"/>
      <c r="AB106" s="110"/>
      <c r="AC106" s="141"/>
      <c r="AD106" s="141"/>
      <c r="AE106" s="110"/>
      <c r="AF106" s="110"/>
      <c r="AH106" s="207"/>
      <c r="AI106" s="110"/>
      <c r="AJ106" s="110"/>
      <c r="AL106" s="110"/>
      <c r="AM106" s="141"/>
      <c r="AN106" s="141"/>
    </row>
    <row r="107" spans="1:40" x14ac:dyDescent="0.3">
      <c r="A107" s="99"/>
      <c r="V107" s="192"/>
      <c r="Y107" s="192"/>
      <c r="Z107" s="217"/>
      <c r="AA107" s="192"/>
      <c r="AB107" s="192"/>
      <c r="AC107" s="192"/>
      <c r="AD107" s="192"/>
      <c r="AE107" s="192"/>
      <c r="AF107" s="192"/>
      <c r="AI107" s="192"/>
      <c r="AJ107" s="192"/>
      <c r="AK107" s="194"/>
      <c r="AL107" s="192"/>
      <c r="AM107" s="141"/>
      <c r="AN107" s="141"/>
    </row>
    <row r="108" spans="1:40" x14ac:dyDescent="0.3">
      <c r="T108" s="99"/>
      <c r="V108" s="110"/>
      <c r="Y108" s="110"/>
      <c r="Z108" s="217"/>
      <c r="AA108" s="110"/>
      <c r="AB108" s="110"/>
      <c r="AC108" s="141"/>
      <c r="AD108" s="141"/>
      <c r="AE108" s="110"/>
      <c r="AF108" s="110"/>
      <c r="AH108" s="141"/>
      <c r="AI108" s="110"/>
      <c r="AJ108" s="110"/>
      <c r="AL108" s="110"/>
      <c r="AM108" s="141"/>
      <c r="AN108" s="141"/>
    </row>
    <row r="109" spans="1:40" x14ac:dyDescent="0.3">
      <c r="H109" s="99"/>
      <c r="I109" s="99"/>
      <c r="V109" s="192"/>
      <c r="Y109" s="192"/>
      <c r="Z109" s="217"/>
      <c r="AA109" s="192"/>
      <c r="AB109" s="192"/>
      <c r="AC109" s="192"/>
      <c r="AD109" s="192"/>
      <c r="AE109" s="192"/>
      <c r="AF109" s="192"/>
      <c r="AI109" s="192"/>
      <c r="AJ109" s="192"/>
      <c r="AK109" s="194"/>
      <c r="AL109" s="192"/>
      <c r="AM109" s="141"/>
      <c r="AN109" s="141"/>
    </row>
    <row r="110" spans="1:40" x14ac:dyDescent="0.3">
      <c r="T110" s="99"/>
    </row>
    <row r="111" spans="1:40" x14ac:dyDescent="0.3">
      <c r="L111" s="99"/>
      <c r="M111" s="99"/>
      <c r="AA111" s="99"/>
      <c r="AB111" s="99"/>
    </row>
    <row r="112" spans="1:40" x14ac:dyDescent="0.3">
      <c r="R112" s="99"/>
      <c r="AK112" s="190"/>
      <c r="AL112" s="99"/>
    </row>
    <row r="113" spans="1:40" x14ac:dyDescent="0.3">
      <c r="R113" s="99"/>
      <c r="AK113" s="190"/>
      <c r="AL113" s="99"/>
    </row>
    <row r="114" spans="1:40" x14ac:dyDescent="0.3">
      <c r="A114" s="99"/>
      <c r="R114" s="99"/>
      <c r="AK114" s="190"/>
      <c r="AL114" s="99"/>
    </row>
    <row r="115" spans="1:40" x14ac:dyDescent="0.3">
      <c r="L115" s="99"/>
      <c r="M115" s="99"/>
      <c r="AA115" s="99"/>
      <c r="AB115" s="99"/>
    </row>
    <row r="116" spans="1:40" x14ac:dyDescent="0.3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91"/>
      <c r="AH116" s="101"/>
      <c r="AI116" s="101"/>
      <c r="AJ116" s="101"/>
      <c r="AK116" s="191"/>
      <c r="AL116" s="101"/>
      <c r="AM116" s="101"/>
      <c r="AN116" s="101"/>
    </row>
    <row r="117" spans="1:40" x14ac:dyDescent="0.3">
      <c r="L117" s="102"/>
      <c r="M117" s="102"/>
      <c r="N117" s="102"/>
      <c r="O117" s="102"/>
      <c r="R117" s="102"/>
      <c r="AA117" s="102"/>
      <c r="AB117" s="102"/>
      <c r="AC117" s="102"/>
      <c r="AD117" s="102"/>
      <c r="AE117" s="102"/>
      <c r="AF117" s="102"/>
      <c r="AG117" s="151"/>
      <c r="AH117" s="102"/>
      <c r="AK117" s="151"/>
      <c r="AL117" s="102"/>
      <c r="AM117" s="102"/>
      <c r="AN117" s="102"/>
    </row>
    <row r="118" spans="1:40" x14ac:dyDescent="0.3">
      <c r="L118" s="102"/>
      <c r="M118" s="102"/>
      <c r="N118" s="102"/>
      <c r="O118" s="102"/>
      <c r="R118" s="102"/>
      <c r="Z118" s="102"/>
      <c r="AA118" s="102"/>
      <c r="AB118" s="102"/>
      <c r="AC118" s="102"/>
      <c r="AD118" s="102"/>
      <c r="AE118" s="102"/>
      <c r="AF118" s="102"/>
      <c r="AG118" s="151"/>
      <c r="AH118" s="102"/>
      <c r="AK118" s="151"/>
      <c r="AL118" s="102"/>
      <c r="AM118" s="102"/>
      <c r="AN118" s="102"/>
    </row>
    <row r="119" spans="1:40" x14ac:dyDescent="0.3">
      <c r="A119" s="102"/>
      <c r="C119" s="102"/>
      <c r="D119" s="102"/>
      <c r="E119" s="102"/>
      <c r="F119" s="102"/>
      <c r="J119" s="102"/>
      <c r="K119" s="102"/>
      <c r="L119" s="102"/>
      <c r="M119" s="102"/>
      <c r="N119" s="102"/>
      <c r="O119" s="102"/>
      <c r="P119" s="102"/>
      <c r="Q119" s="102"/>
      <c r="R119" s="102"/>
      <c r="T119" s="102"/>
      <c r="U119" s="102"/>
      <c r="V119" s="102"/>
      <c r="Z119" s="102"/>
      <c r="AA119" s="102"/>
      <c r="AB119" s="102"/>
      <c r="AC119" s="102"/>
      <c r="AD119" s="102"/>
      <c r="AE119" s="102"/>
      <c r="AF119" s="102"/>
      <c r="AG119" s="151"/>
      <c r="AH119" s="102"/>
      <c r="AI119" s="102"/>
      <c r="AJ119" s="102"/>
      <c r="AK119" s="151"/>
      <c r="AL119" s="102"/>
      <c r="AM119" s="102"/>
      <c r="AN119" s="102"/>
    </row>
    <row r="120" spans="1:40" x14ac:dyDescent="0.3">
      <c r="A120" s="102"/>
      <c r="C120" s="102"/>
      <c r="D120" s="102"/>
      <c r="E120" s="102"/>
      <c r="F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T120" s="102"/>
      <c r="U120" s="102"/>
      <c r="V120" s="102"/>
      <c r="Y120" s="102"/>
      <c r="Z120" s="102"/>
      <c r="AA120" s="102"/>
      <c r="AB120" s="102"/>
      <c r="AC120" s="102"/>
      <c r="AD120" s="102"/>
      <c r="AE120" s="102"/>
      <c r="AF120" s="102"/>
      <c r="AG120" s="151"/>
      <c r="AH120" s="102"/>
      <c r="AI120" s="102"/>
      <c r="AJ120" s="102"/>
      <c r="AK120" s="151"/>
      <c r="AL120" s="102"/>
      <c r="AM120" s="102"/>
      <c r="AN120" s="102"/>
    </row>
    <row r="121" spans="1:40" x14ac:dyDescent="0.3">
      <c r="C121" s="102"/>
      <c r="D121" s="102"/>
      <c r="E121" s="102"/>
      <c r="F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T121" s="102"/>
      <c r="U121" s="102"/>
      <c r="V121" s="102"/>
      <c r="Y121" s="102"/>
      <c r="Z121" s="102"/>
      <c r="AA121" s="102"/>
      <c r="AB121" s="102"/>
      <c r="AC121" s="102"/>
      <c r="AD121" s="102"/>
      <c r="AE121" s="102"/>
      <c r="AF121" s="102"/>
      <c r="AG121" s="151"/>
      <c r="AH121" s="102"/>
      <c r="AI121" s="102"/>
      <c r="AJ121" s="102"/>
      <c r="AK121" s="151"/>
      <c r="AL121" s="102"/>
      <c r="AM121" s="102"/>
      <c r="AN121" s="102"/>
    </row>
    <row r="122" spans="1:40" x14ac:dyDescent="0.3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91"/>
      <c r="AH122" s="101"/>
      <c r="AI122" s="101"/>
      <c r="AJ122" s="101"/>
      <c r="AK122" s="191"/>
      <c r="AL122" s="101"/>
      <c r="AM122" s="101"/>
      <c r="AN122" s="101"/>
    </row>
    <row r="123" spans="1:40" x14ac:dyDescent="0.3"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Y123" s="102"/>
      <c r="Z123" s="102"/>
      <c r="AA123" s="102"/>
      <c r="AB123" s="102"/>
      <c r="AC123" s="102"/>
      <c r="AD123" s="102"/>
      <c r="AE123" s="102"/>
      <c r="AF123" s="102"/>
      <c r="AG123" s="151"/>
      <c r="AH123" s="102"/>
      <c r="AI123" s="102"/>
      <c r="AJ123" s="102"/>
      <c r="AK123" s="151"/>
      <c r="AL123" s="102"/>
      <c r="AM123" s="102"/>
      <c r="AN123" s="102"/>
    </row>
    <row r="124" spans="1:40" x14ac:dyDescent="0.3">
      <c r="C124" s="99"/>
      <c r="D124" s="99"/>
      <c r="E124" s="99"/>
      <c r="T124" s="99"/>
      <c r="U124" s="99"/>
    </row>
    <row r="125" spans="1:40" x14ac:dyDescent="0.3">
      <c r="D125" s="99"/>
      <c r="E125" s="99"/>
      <c r="U125" s="99"/>
    </row>
    <row r="127" spans="1:40" x14ac:dyDescent="0.3">
      <c r="C127" s="99"/>
      <c r="F127" s="172"/>
      <c r="H127" s="172"/>
      <c r="I127" s="172"/>
      <c r="J127" s="181"/>
      <c r="K127" s="181"/>
      <c r="L127" s="110"/>
      <c r="M127" s="110"/>
      <c r="N127" s="141"/>
      <c r="O127" s="141"/>
      <c r="R127" s="110"/>
      <c r="T127" s="99"/>
      <c r="V127" s="110"/>
      <c r="Y127" s="172"/>
      <c r="Z127" s="181"/>
      <c r="AA127" s="110"/>
      <c r="AB127" s="110"/>
      <c r="AC127" s="141"/>
      <c r="AD127" s="141"/>
      <c r="AE127" s="110"/>
      <c r="AF127" s="110"/>
      <c r="AG127" s="224"/>
      <c r="AH127" s="225"/>
      <c r="AL127" s="110"/>
      <c r="AM127" s="226"/>
      <c r="AN127" s="226"/>
    </row>
    <row r="128" spans="1:40" x14ac:dyDescent="0.3">
      <c r="C128" s="99"/>
      <c r="F128" s="172"/>
      <c r="H128" s="172"/>
      <c r="I128" s="172"/>
      <c r="J128" s="181"/>
      <c r="K128" s="181"/>
      <c r="L128" s="110"/>
      <c r="M128" s="110"/>
      <c r="N128" s="141"/>
      <c r="O128" s="141"/>
      <c r="R128" s="110"/>
      <c r="T128" s="99"/>
      <c r="V128" s="110"/>
      <c r="Y128" s="172"/>
      <c r="Z128" s="181"/>
      <c r="AA128" s="110"/>
      <c r="AB128" s="110"/>
      <c r="AC128" s="141"/>
      <c r="AD128" s="141"/>
      <c r="AE128" s="110"/>
      <c r="AF128" s="110"/>
      <c r="AH128" s="207"/>
      <c r="AL128" s="110"/>
      <c r="AM128" s="141"/>
      <c r="AN128" s="141"/>
    </row>
    <row r="129" spans="3:40" x14ac:dyDescent="0.3">
      <c r="F129" s="192"/>
      <c r="H129" s="110"/>
      <c r="I129" s="110"/>
      <c r="J129" s="217"/>
      <c r="K129" s="217"/>
      <c r="L129" s="192"/>
      <c r="M129" s="192"/>
      <c r="N129" s="192"/>
      <c r="O129" s="192"/>
      <c r="P129" s="192"/>
      <c r="Q129" s="192"/>
      <c r="R129" s="192"/>
      <c r="V129" s="192"/>
      <c r="Y129" s="110"/>
      <c r="Z129" s="217"/>
      <c r="AA129" s="192"/>
      <c r="AB129" s="192"/>
      <c r="AC129" s="192"/>
      <c r="AD129" s="192"/>
      <c r="AE129" s="192"/>
      <c r="AF129" s="192"/>
      <c r="AI129" s="192"/>
      <c r="AJ129" s="192"/>
      <c r="AK129" s="194"/>
      <c r="AL129" s="192"/>
      <c r="AM129" s="141"/>
      <c r="AN129" s="141"/>
    </row>
    <row r="130" spans="3:40" x14ac:dyDescent="0.3">
      <c r="C130" s="99"/>
      <c r="F130" s="110"/>
      <c r="H130" s="110"/>
      <c r="I130" s="110"/>
      <c r="J130" s="217"/>
      <c r="K130" s="217"/>
      <c r="L130" s="110"/>
      <c r="M130" s="110"/>
      <c r="N130" s="141"/>
      <c r="O130" s="141"/>
      <c r="P130" s="110"/>
      <c r="Q130" s="110"/>
      <c r="R130" s="110"/>
      <c r="T130" s="99"/>
      <c r="V130" s="110"/>
      <c r="Y130" s="110"/>
      <c r="Z130" s="198"/>
      <c r="AA130" s="110"/>
      <c r="AB130" s="110"/>
      <c r="AC130" s="141"/>
      <c r="AD130" s="141"/>
      <c r="AE130" s="110"/>
      <c r="AF130" s="110"/>
      <c r="AH130" s="207"/>
      <c r="AI130" s="110"/>
      <c r="AJ130" s="110"/>
      <c r="AL130" s="110"/>
      <c r="AM130" s="141"/>
      <c r="AN130" s="141"/>
    </row>
    <row r="131" spans="3:40" x14ac:dyDescent="0.3">
      <c r="F131" s="192"/>
      <c r="H131" s="110"/>
      <c r="I131" s="110"/>
      <c r="J131" s="217"/>
      <c r="K131" s="217"/>
      <c r="L131" s="192"/>
      <c r="M131" s="192"/>
      <c r="N131" s="192"/>
      <c r="O131" s="192"/>
      <c r="P131" s="192"/>
      <c r="Q131" s="192"/>
      <c r="R131" s="192"/>
      <c r="V131" s="192"/>
      <c r="Y131" s="110"/>
      <c r="Z131" s="217"/>
      <c r="AA131" s="192"/>
      <c r="AB131" s="192"/>
      <c r="AC131" s="192"/>
      <c r="AD131" s="192"/>
      <c r="AE131" s="192"/>
      <c r="AF131" s="192"/>
      <c r="AI131" s="192"/>
      <c r="AJ131" s="192"/>
      <c r="AK131" s="194"/>
      <c r="AL131" s="192"/>
      <c r="AM131" s="141"/>
      <c r="AN131" s="141"/>
    </row>
    <row r="132" spans="3:40" x14ac:dyDescent="0.3">
      <c r="F132" s="110"/>
      <c r="H132" s="110"/>
      <c r="I132" s="110"/>
      <c r="J132" s="217"/>
      <c r="K132" s="217"/>
      <c r="L132" s="110"/>
      <c r="M132" s="110"/>
      <c r="N132" s="141"/>
      <c r="O132" s="141"/>
      <c r="P132" s="110"/>
      <c r="Q132" s="110"/>
      <c r="R132" s="110"/>
      <c r="V132" s="110"/>
      <c r="Y132" s="110"/>
      <c r="Z132" s="198"/>
      <c r="AA132" s="110"/>
      <c r="AB132" s="110"/>
      <c r="AC132" s="141"/>
      <c r="AD132" s="141"/>
      <c r="AE132" s="110"/>
      <c r="AF132" s="110"/>
      <c r="AH132" s="207"/>
      <c r="AI132" s="110"/>
      <c r="AJ132" s="110"/>
      <c r="AL132" s="110"/>
      <c r="AM132" s="141"/>
      <c r="AN132" s="141"/>
    </row>
    <row r="133" spans="3:40" x14ac:dyDescent="0.3">
      <c r="C133" s="99"/>
      <c r="F133" s="172"/>
      <c r="H133" s="172"/>
      <c r="I133" s="172"/>
      <c r="J133" s="181"/>
      <c r="K133" s="181"/>
      <c r="L133" s="110"/>
      <c r="M133" s="110"/>
      <c r="N133" s="141"/>
      <c r="O133" s="141"/>
      <c r="P133" s="110"/>
      <c r="Q133" s="110"/>
      <c r="R133" s="110"/>
      <c r="T133" s="99"/>
      <c r="V133" s="172"/>
      <c r="Y133" s="110"/>
      <c r="Z133" s="181"/>
      <c r="AA133" s="110"/>
      <c r="AB133" s="110"/>
      <c r="AC133" s="141"/>
      <c r="AD133" s="141"/>
      <c r="AE133" s="110"/>
      <c r="AF133" s="110"/>
      <c r="AG133" s="224"/>
      <c r="AH133" s="225"/>
      <c r="AI133" s="110"/>
      <c r="AJ133" s="110"/>
      <c r="AL133" s="110"/>
      <c r="AM133" s="226"/>
      <c r="AN133" s="226"/>
    </row>
    <row r="134" spans="3:40" x14ac:dyDescent="0.3">
      <c r="C134" s="99"/>
      <c r="F134" s="172"/>
      <c r="H134" s="172"/>
      <c r="I134" s="172"/>
      <c r="J134" s="181"/>
      <c r="K134" s="181"/>
      <c r="L134" s="110"/>
      <c r="M134" s="110"/>
      <c r="N134" s="141"/>
      <c r="O134" s="141"/>
      <c r="P134" s="110"/>
      <c r="Q134" s="110"/>
      <c r="R134" s="110"/>
      <c r="T134" s="99"/>
      <c r="V134" s="172"/>
      <c r="Y134" s="110"/>
      <c r="Z134" s="181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F135" s="110"/>
      <c r="H135" s="192"/>
      <c r="I135" s="192"/>
      <c r="J135" s="217"/>
      <c r="K135" s="217"/>
      <c r="L135" s="192"/>
      <c r="M135" s="192"/>
      <c r="N135" s="192"/>
      <c r="O135" s="192"/>
      <c r="P135" s="192"/>
      <c r="Q135" s="192"/>
      <c r="R135" s="192"/>
      <c r="V135" s="110"/>
      <c r="Y135" s="192"/>
      <c r="Z135" s="217"/>
      <c r="AA135" s="192"/>
      <c r="AB135" s="192"/>
      <c r="AC135" s="192"/>
      <c r="AD135" s="192"/>
      <c r="AE135" s="192"/>
      <c r="AF135" s="192"/>
      <c r="AI135" s="192"/>
      <c r="AJ135" s="192"/>
      <c r="AK135" s="194"/>
      <c r="AL135" s="192"/>
      <c r="AM135" s="141"/>
      <c r="AN135" s="141"/>
    </row>
    <row r="136" spans="3:40" x14ac:dyDescent="0.3">
      <c r="C136" s="99"/>
      <c r="F136" s="110"/>
      <c r="H136" s="110"/>
      <c r="I136" s="110"/>
      <c r="J136" s="217"/>
      <c r="K136" s="217"/>
      <c r="L136" s="110"/>
      <c r="M136" s="110"/>
      <c r="N136" s="141"/>
      <c r="O136" s="141"/>
      <c r="P136" s="110"/>
      <c r="Q136" s="110"/>
      <c r="R136" s="110"/>
      <c r="T136" s="99"/>
      <c r="V136" s="110"/>
      <c r="Y136" s="110"/>
      <c r="Z136" s="217"/>
      <c r="AA136" s="110"/>
      <c r="AB136" s="110"/>
      <c r="AC136" s="141"/>
      <c r="AD136" s="141"/>
      <c r="AE136" s="110"/>
      <c r="AF136" s="110"/>
      <c r="AH136" s="207"/>
      <c r="AI136" s="110"/>
      <c r="AJ136" s="110"/>
      <c r="AL136" s="110"/>
      <c r="AM136" s="141"/>
      <c r="AN136" s="141"/>
    </row>
    <row r="137" spans="3:40" x14ac:dyDescent="0.3">
      <c r="F137" s="110"/>
      <c r="H137" s="192"/>
      <c r="I137" s="192"/>
      <c r="J137" s="217"/>
      <c r="K137" s="217"/>
      <c r="L137" s="192"/>
      <c r="M137" s="192"/>
      <c r="N137" s="192"/>
      <c r="O137" s="192"/>
      <c r="P137" s="192"/>
      <c r="Q137" s="192"/>
      <c r="R137" s="192"/>
      <c r="V137" s="110"/>
      <c r="Y137" s="192"/>
      <c r="Z137" s="217"/>
      <c r="AA137" s="192"/>
      <c r="AB137" s="192"/>
      <c r="AC137" s="192"/>
      <c r="AD137" s="192"/>
      <c r="AE137" s="192"/>
      <c r="AF137" s="192"/>
      <c r="AI137" s="192"/>
      <c r="AJ137" s="192"/>
      <c r="AK137" s="194"/>
      <c r="AL137" s="192"/>
      <c r="AM137" s="141"/>
      <c r="AN137" s="141"/>
    </row>
    <row r="138" spans="3:40" x14ac:dyDescent="0.3">
      <c r="F138" s="110"/>
      <c r="H138" s="110"/>
      <c r="I138" s="110"/>
      <c r="J138" s="217"/>
      <c r="K138" s="217"/>
      <c r="L138" s="110"/>
      <c r="M138" s="110"/>
      <c r="N138" s="110"/>
      <c r="O138" s="110"/>
      <c r="P138" s="110"/>
      <c r="Q138" s="110"/>
      <c r="R138" s="110"/>
      <c r="V138" s="110"/>
      <c r="Y138" s="110"/>
      <c r="Z138" s="217"/>
      <c r="AA138" s="110"/>
      <c r="AB138" s="110"/>
      <c r="AC138" s="110"/>
      <c r="AD138" s="110"/>
      <c r="AE138" s="110"/>
      <c r="AF138" s="110"/>
      <c r="AH138" s="207"/>
      <c r="AI138" s="110"/>
      <c r="AJ138" s="110"/>
      <c r="AL138" s="110"/>
      <c r="AM138" s="141"/>
      <c r="AN138" s="141"/>
    </row>
    <row r="139" spans="3:40" x14ac:dyDescent="0.3">
      <c r="C139" s="99"/>
      <c r="F139" s="172"/>
      <c r="H139" s="172"/>
      <c r="I139" s="172"/>
      <c r="J139" s="222"/>
      <c r="K139" s="222"/>
      <c r="L139" s="110"/>
      <c r="M139" s="110"/>
      <c r="N139" s="141"/>
      <c r="O139" s="141"/>
      <c r="P139" s="172"/>
      <c r="Q139" s="172"/>
      <c r="R139" s="110"/>
      <c r="T139" s="99"/>
      <c r="V139" s="172"/>
      <c r="Y139" s="172"/>
      <c r="Z139" s="227"/>
      <c r="AA139" s="110"/>
      <c r="AB139" s="110"/>
      <c r="AC139" s="141"/>
      <c r="AD139" s="141"/>
      <c r="AE139" s="110"/>
      <c r="AF139" s="110"/>
      <c r="AH139" s="207"/>
      <c r="AI139" s="172"/>
      <c r="AJ139" s="172"/>
      <c r="AL139" s="110"/>
      <c r="AM139" s="141"/>
      <c r="AN139" s="141"/>
    </row>
    <row r="140" spans="3:40" x14ac:dyDescent="0.3">
      <c r="C140" s="99"/>
      <c r="F140" s="172"/>
      <c r="H140" s="172"/>
      <c r="I140" s="172"/>
      <c r="J140" s="222"/>
      <c r="K140" s="222"/>
      <c r="L140" s="110"/>
      <c r="M140" s="110"/>
      <c r="N140" s="141"/>
      <c r="O140" s="141"/>
      <c r="P140" s="172"/>
      <c r="Q140" s="172"/>
      <c r="R140" s="110"/>
      <c r="T140" s="99"/>
      <c r="V140" s="172"/>
      <c r="Y140" s="110"/>
      <c r="Z140" s="216"/>
      <c r="AA140" s="110"/>
      <c r="AB140" s="110"/>
      <c r="AC140" s="141"/>
      <c r="AD140" s="141"/>
      <c r="AE140" s="110"/>
      <c r="AF140" s="110"/>
      <c r="AH140" s="207"/>
      <c r="AI140" s="172"/>
      <c r="AJ140" s="172"/>
      <c r="AL140" s="110"/>
      <c r="AM140" s="141"/>
      <c r="AN140" s="141"/>
    </row>
    <row r="141" spans="3:40" x14ac:dyDescent="0.3">
      <c r="C141" s="99"/>
      <c r="F141" s="172"/>
      <c r="H141" s="172"/>
      <c r="I141" s="172"/>
      <c r="J141" s="222"/>
      <c r="K141" s="222"/>
      <c r="L141" s="110"/>
      <c r="M141" s="110"/>
      <c r="N141" s="141"/>
      <c r="O141" s="141"/>
      <c r="P141" s="172"/>
      <c r="Q141" s="172"/>
      <c r="R141" s="110"/>
      <c r="T141" s="99"/>
      <c r="V141" s="172"/>
      <c r="Y141" s="110"/>
      <c r="Z141" s="216"/>
      <c r="AA141" s="110"/>
      <c r="AB141" s="110"/>
      <c r="AC141" s="141"/>
      <c r="AD141" s="141"/>
      <c r="AE141" s="110"/>
      <c r="AF141" s="110"/>
      <c r="AH141" s="207"/>
      <c r="AI141" s="172"/>
      <c r="AJ141" s="172"/>
      <c r="AL141" s="110"/>
      <c r="AM141" s="141"/>
      <c r="AN141" s="141"/>
    </row>
    <row r="142" spans="3:40" x14ac:dyDescent="0.3">
      <c r="F142" s="192"/>
      <c r="H142" s="192"/>
      <c r="I142" s="192"/>
      <c r="J142" s="217"/>
      <c r="K142" s="217"/>
      <c r="L142" s="192"/>
      <c r="M142" s="192"/>
      <c r="N142" s="192"/>
      <c r="O142" s="192"/>
      <c r="P142" s="192"/>
      <c r="Q142" s="192"/>
      <c r="R142" s="192"/>
      <c r="V142" s="192"/>
      <c r="Y142" s="192"/>
      <c r="Z142" s="217"/>
      <c r="AA142" s="192"/>
      <c r="AB142" s="192"/>
      <c r="AC142" s="192"/>
      <c r="AD142" s="192"/>
      <c r="AE142" s="192"/>
      <c r="AF142" s="192"/>
      <c r="AI142" s="192"/>
      <c r="AJ142" s="192"/>
      <c r="AK142" s="194"/>
      <c r="AL142" s="192"/>
      <c r="AM142" s="141"/>
      <c r="AN142" s="141"/>
    </row>
    <row r="143" spans="3:40" x14ac:dyDescent="0.3">
      <c r="C143" s="99"/>
      <c r="F143" s="110"/>
      <c r="H143" s="110"/>
      <c r="I143" s="110"/>
      <c r="J143" s="198"/>
      <c r="K143" s="198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198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F144" s="192"/>
      <c r="H144" s="192"/>
      <c r="I144" s="192"/>
      <c r="J144" s="217"/>
      <c r="K144" s="217"/>
      <c r="L144" s="192"/>
      <c r="M144" s="192"/>
      <c r="N144" s="192"/>
      <c r="O144" s="192"/>
      <c r="P144" s="192"/>
      <c r="Q144" s="192"/>
      <c r="R144" s="192"/>
      <c r="V144" s="192"/>
      <c r="Y144" s="192"/>
      <c r="Z144" s="217"/>
      <c r="AA144" s="192"/>
      <c r="AB144" s="192"/>
      <c r="AC144" s="192"/>
      <c r="AD144" s="192"/>
      <c r="AE144" s="192"/>
      <c r="AF144" s="192"/>
      <c r="AI144" s="192"/>
      <c r="AJ144" s="192"/>
      <c r="AK144" s="194"/>
      <c r="AL144" s="192"/>
      <c r="AM144" s="141"/>
      <c r="AN144" s="141"/>
    </row>
    <row r="145" spans="1:40" x14ac:dyDescent="0.3">
      <c r="C145" s="99"/>
      <c r="F145" s="110"/>
      <c r="H145" s="110"/>
      <c r="I145" s="110"/>
      <c r="J145" s="198"/>
      <c r="K145" s="198"/>
      <c r="L145" s="110"/>
      <c r="M145" s="110"/>
      <c r="N145" s="141"/>
      <c r="O145" s="141"/>
      <c r="P145" s="110"/>
      <c r="Q145" s="110"/>
      <c r="R145" s="110"/>
      <c r="T145" s="99"/>
      <c r="V145" s="110"/>
      <c r="Y145" s="110"/>
      <c r="Z145" s="198"/>
      <c r="AA145" s="110"/>
      <c r="AB145" s="110"/>
      <c r="AC145" s="141"/>
      <c r="AD145" s="141"/>
      <c r="AE145" s="110"/>
      <c r="AF145" s="110"/>
      <c r="AH145" s="207"/>
      <c r="AI145" s="110"/>
      <c r="AJ145" s="110"/>
      <c r="AL145" s="110"/>
      <c r="AM145" s="141"/>
      <c r="AN145" s="141"/>
    </row>
    <row r="146" spans="1:40" x14ac:dyDescent="0.3">
      <c r="C146" s="99"/>
      <c r="F146" s="110"/>
      <c r="H146" s="110"/>
      <c r="I146" s="110"/>
      <c r="J146" s="198"/>
      <c r="K146" s="198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19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1:40" x14ac:dyDescent="0.3">
      <c r="F147" s="192"/>
      <c r="H147" s="192"/>
      <c r="I147" s="192"/>
      <c r="J147" s="217"/>
      <c r="K147" s="217"/>
      <c r="L147" s="192"/>
      <c r="M147" s="192"/>
      <c r="N147" s="192"/>
      <c r="O147" s="192"/>
      <c r="P147" s="192"/>
      <c r="Q147" s="192"/>
      <c r="R147" s="192"/>
      <c r="V147" s="192"/>
      <c r="Y147" s="192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10"/>
      <c r="AN147" s="110"/>
    </row>
    <row r="148" spans="1:40" x14ac:dyDescent="0.3">
      <c r="F148" s="110"/>
      <c r="H148" s="110"/>
      <c r="I148" s="110"/>
      <c r="J148" s="198"/>
      <c r="K148" s="198"/>
      <c r="L148" s="110"/>
      <c r="M148" s="110"/>
      <c r="N148" s="110"/>
      <c r="O148" s="110"/>
      <c r="P148" s="110"/>
      <c r="Q148" s="110"/>
      <c r="R148" s="110"/>
      <c r="V148" s="110"/>
      <c r="Y148" s="110"/>
      <c r="Z148" s="198"/>
      <c r="AA148" s="110"/>
      <c r="AB148" s="110"/>
      <c r="AC148" s="110"/>
      <c r="AD148" s="110"/>
    </row>
    <row r="149" spans="1:40" x14ac:dyDescent="0.3">
      <c r="C149" s="99"/>
      <c r="F149" s="110"/>
      <c r="H149" s="110"/>
      <c r="I149" s="110"/>
      <c r="J149" s="198"/>
      <c r="K149" s="198"/>
      <c r="L149" s="110"/>
      <c r="M149" s="110"/>
      <c r="N149" s="110"/>
      <c r="O149" s="110"/>
      <c r="P149" s="110"/>
      <c r="Q149" s="110"/>
      <c r="R149" s="110"/>
      <c r="T149" s="99"/>
      <c r="V149" s="110"/>
      <c r="Y149" s="110"/>
      <c r="Z149" s="198"/>
      <c r="AA149" s="110"/>
      <c r="AB149" s="110"/>
      <c r="AC149" s="110"/>
      <c r="AD149" s="110"/>
    </row>
    <row r="150" spans="1:40" x14ac:dyDescent="0.3">
      <c r="A150" s="99"/>
    </row>
    <row r="152" spans="1:40" x14ac:dyDescent="0.3">
      <c r="H152" s="99"/>
      <c r="I152" s="99"/>
      <c r="Y152" s="99"/>
    </row>
    <row r="154" spans="1:40" x14ac:dyDescent="0.3">
      <c r="L154" s="99"/>
      <c r="M154" s="99"/>
      <c r="AA154" s="99"/>
      <c r="AB154" s="99"/>
    </row>
    <row r="155" spans="1:40" x14ac:dyDescent="0.3">
      <c r="R155" s="99"/>
      <c r="AK155" s="190"/>
      <c r="AL155" s="99"/>
    </row>
    <row r="156" spans="1:40" x14ac:dyDescent="0.3">
      <c r="R156" s="99"/>
      <c r="AK156" s="190"/>
      <c r="AL156" s="99"/>
    </row>
    <row r="157" spans="1:40" x14ac:dyDescent="0.3">
      <c r="A157" s="99"/>
      <c r="R157" s="99"/>
      <c r="AK157" s="190"/>
      <c r="AL157" s="99"/>
    </row>
    <row r="158" spans="1:40" x14ac:dyDescent="0.3">
      <c r="L158" s="99"/>
      <c r="M158" s="99"/>
      <c r="AA158" s="99"/>
      <c r="AB158" s="99"/>
    </row>
    <row r="159" spans="1:40" x14ac:dyDescent="0.3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91"/>
      <c r="AH159" s="101"/>
      <c r="AI159" s="101"/>
      <c r="AJ159" s="101"/>
      <c r="AK159" s="191"/>
      <c r="AL159" s="101"/>
      <c r="AM159" s="101"/>
      <c r="AN159" s="101"/>
    </row>
    <row r="160" spans="1:40" x14ac:dyDescent="0.3">
      <c r="L160" s="102"/>
      <c r="M160" s="102"/>
      <c r="N160" s="102"/>
      <c r="O160" s="102"/>
      <c r="R160" s="102"/>
      <c r="AA160" s="102"/>
      <c r="AB160" s="102"/>
      <c r="AC160" s="102"/>
      <c r="AD160" s="102"/>
      <c r="AE160" s="102"/>
      <c r="AF160" s="102"/>
      <c r="AG160" s="151"/>
      <c r="AH160" s="102"/>
      <c r="AK160" s="151"/>
      <c r="AL160" s="102"/>
      <c r="AM160" s="102"/>
      <c r="AN160" s="102"/>
    </row>
    <row r="161" spans="1:40" x14ac:dyDescent="0.3">
      <c r="L161" s="102"/>
      <c r="M161" s="102"/>
      <c r="N161" s="102"/>
      <c r="O161" s="102"/>
      <c r="R161" s="102"/>
      <c r="Z161" s="102"/>
      <c r="AA161" s="102"/>
      <c r="AB161" s="102"/>
      <c r="AC161" s="102"/>
      <c r="AD161" s="102"/>
      <c r="AE161" s="102"/>
      <c r="AF161" s="102"/>
      <c r="AG161" s="151"/>
      <c r="AH161" s="102"/>
      <c r="AK161" s="151"/>
      <c r="AL161" s="102"/>
      <c r="AM161" s="102"/>
      <c r="AN161" s="102"/>
    </row>
    <row r="162" spans="1:40" x14ac:dyDescent="0.3">
      <c r="A162" s="102"/>
      <c r="C162" s="102"/>
      <c r="D162" s="102"/>
      <c r="E162" s="102"/>
      <c r="F162" s="102"/>
      <c r="J162" s="102"/>
      <c r="K162" s="102"/>
      <c r="L162" s="102"/>
      <c r="M162" s="102"/>
      <c r="N162" s="102"/>
      <c r="O162" s="102"/>
      <c r="P162" s="102"/>
      <c r="Q162" s="102"/>
      <c r="R162" s="102"/>
      <c r="T162" s="102"/>
      <c r="U162" s="102"/>
      <c r="V162" s="102"/>
      <c r="Z162" s="102"/>
      <c r="AA162" s="102"/>
      <c r="AB162" s="102"/>
      <c r="AC162" s="102"/>
      <c r="AD162" s="102"/>
      <c r="AE162" s="102"/>
      <c r="AF162" s="102"/>
      <c r="AG162" s="151"/>
      <c r="AH162" s="102"/>
      <c r="AI162" s="102"/>
      <c r="AJ162" s="102"/>
      <c r="AK162" s="151"/>
      <c r="AL162" s="102"/>
      <c r="AM162" s="102"/>
      <c r="AN162" s="102"/>
    </row>
    <row r="163" spans="1:40" x14ac:dyDescent="0.3">
      <c r="A163" s="102"/>
      <c r="C163" s="102"/>
      <c r="D163" s="102"/>
      <c r="E163" s="102"/>
      <c r="F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02"/>
      <c r="R163" s="102"/>
      <c r="T163" s="102"/>
      <c r="U163" s="102"/>
      <c r="V163" s="102"/>
      <c r="Y163" s="102"/>
      <c r="Z163" s="102"/>
      <c r="AA163" s="102"/>
      <c r="AB163" s="102"/>
      <c r="AC163" s="102"/>
      <c r="AD163" s="102"/>
      <c r="AE163" s="102"/>
      <c r="AF163" s="102"/>
      <c r="AG163" s="151"/>
      <c r="AH163" s="102"/>
      <c r="AI163" s="102"/>
      <c r="AJ163" s="102"/>
      <c r="AK163" s="151"/>
      <c r="AL163" s="102"/>
      <c r="AM163" s="102"/>
      <c r="AN163" s="102"/>
    </row>
    <row r="164" spans="1:40" x14ac:dyDescent="0.3">
      <c r="C164" s="102"/>
      <c r="D164" s="102"/>
      <c r="E164" s="102"/>
      <c r="F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02"/>
      <c r="R164" s="102"/>
      <c r="T164" s="102"/>
      <c r="U164" s="102"/>
      <c r="V164" s="102"/>
      <c r="Y164" s="102"/>
      <c r="Z164" s="102"/>
      <c r="AA164" s="102"/>
      <c r="AB164" s="102"/>
      <c r="AC164" s="102"/>
      <c r="AD164" s="102"/>
      <c r="AE164" s="102"/>
      <c r="AF164" s="102"/>
      <c r="AG164" s="151"/>
      <c r="AH164" s="102"/>
      <c r="AI164" s="102"/>
      <c r="AJ164" s="102"/>
      <c r="AK164" s="151"/>
      <c r="AL164" s="102"/>
      <c r="AM164" s="102"/>
      <c r="AN164" s="102"/>
    </row>
    <row r="165" spans="1:40" x14ac:dyDescent="0.3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91"/>
      <c r="AH165" s="101"/>
      <c r="AI165" s="101"/>
      <c r="AJ165" s="101"/>
      <c r="AK165" s="191"/>
      <c r="AL165" s="101"/>
      <c r="AM165" s="101"/>
      <c r="AN165" s="101"/>
    </row>
    <row r="166" spans="1:40" x14ac:dyDescent="0.3"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Y166" s="102"/>
      <c r="Z166" s="102"/>
      <c r="AA166" s="102"/>
      <c r="AB166" s="102"/>
      <c r="AC166" s="102"/>
      <c r="AD166" s="102"/>
      <c r="AE166" s="102"/>
      <c r="AF166" s="102"/>
      <c r="AG166" s="151"/>
      <c r="AH166" s="102"/>
      <c r="AI166" s="102"/>
      <c r="AJ166" s="102"/>
      <c r="AK166" s="151"/>
      <c r="AL166" s="102"/>
      <c r="AM166" s="102"/>
      <c r="AN166" s="102"/>
    </row>
    <row r="167" spans="1:40" x14ac:dyDescent="0.3">
      <c r="C167" s="99"/>
      <c r="D167" s="99"/>
      <c r="E167" s="99"/>
      <c r="T167" s="99"/>
      <c r="U167" s="99"/>
    </row>
    <row r="169" spans="1:40" x14ac:dyDescent="0.3">
      <c r="C169" s="99"/>
      <c r="F169" s="172"/>
      <c r="H169" s="220"/>
      <c r="I169" s="220"/>
      <c r="J169" s="181"/>
      <c r="K169" s="181"/>
      <c r="L169" s="110"/>
      <c r="M169" s="110"/>
      <c r="R169" s="110"/>
      <c r="T169" s="99"/>
      <c r="V169" s="110"/>
      <c r="Z169" s="181"/>
      <c r="AA169" s="110"/>
      <c r="AB169" s="110"/>
      <c r="AE169" s="110"/>
      <c r="AF169" s="110"/>
      <c r="AG169" s="224"/>
      <c r="AH169" s="225"/>
      <c r="AI169" s="110"/>
      <c r="AJ169" s="110"/>
      <c r="AL169" s="110"/>
      <c r="AM169" s="226"/>
      <c r="AN169" s="226"/>
    </row>
    <row r="170" spans="1:40" x14ac:dyDescent="0.3">
      <c r="F170" s="172"/>
      <c r="H170" s="220"/>
      <c r="I170" s="220"/>
      <c r="J170" s="220"/>
      <c r="K170" s="220"/>
      <c r="R170" s="110"/>
      <c r="V170" s="110"/>
      <c r="Z170" s="220"/>
    </row>
    <row r="171" spans="1:40" x14ac:dyDescent="0.3">
      <c r="C171" s="99"/>
      <c r="F171" s="172"/>
      <c r="H171" s="172"/>
      <c r="I171" s="172"/>
      <c r="J171" s="222"/>
      <c r="K171" s="222"/>
      <c r="L171" s="110"/>
      <c r="M171" s="110"/>
      <c r="N171" s="141"/>
      <c r="O171" s="141"/>
      <c r="P171" s="172"/>
      <c r="Q171" s="172"/>
      <c r="R171" s="110"/>
      <c r="T171" s="99"/>
      <c r="V171" s="110"/>
      <c r="Y171" s="110"/>
      <c r="Z171" s="216"/>
      <c r="AA171" s="110"/>
      <c r="AB171" s="110"/>
      <c r="AC171" s="141"/>
      <c r="AD171" s="141"/>
      <c r="AE171" s="110"/>
      <c r="AF171" s="110"/>
      <c r="AH171" s="207"/>
      <c r="AI171" s="172"/>
      <c r="AJ171" s="172"/>
      <c r="AL171" s="110"/>
      <c r="AM171" s="141"/>
      <c r="AN171" s="141"/>
    </row>
    <row r="172" spans="1:40" x14ac:dyDescent="0.3">
      <c r="F172" s="192"/>
      <c r="H172" s="192"/>
      <c r="I172" s="192"/>
      <c r="J172" s="217"/>
      <c r="K172" s="217"/>
      <c r="L172" s="192"/>
      <c r="M172" s="192"/>
      <c r="N172" s="192"/>
      <c r="O172" s="192"/>
      <c r="P172" s="192"/>
      <c r="Q172" s="192"/>
      <c r="R172" s="192"/>
      <c r="V172" s="192"/>
      <c r="Y172" s="192"/>
      <c r="Z172" s="217"/>
      <c r="AA172" s="192"/>
      <c r="AB172" s="192"/>
      <c r="AC172" s="192"/>
      <c r="AD172" s="192"/>
      <c r="AE172" s="192"/>
      <c r="AF172" s="192"/>
      <c r="AI172" s="192"/>
      <c r="AJ172" s="192"/>
      <c r="AK172" s="194"/>
      <c r="AL172" s="192"/>
    </row>
    <row r="173" spans="1:40" x14ac:dyDescent="0.3">
      <c r="D173" s="99"/>
      <c r="E173" s="99"/>
      <c r="F173" s="110"/>
      <c r="H173" s="110"/>
      <c r="I173" s="110"/>
      <c r="J173" s="198"/>
      <c r="K173" s="198"/>
      <c r="L173" s="110"/>
      <c r="M173" s="110"/>
      <c r="N173" s="141"/>
      <c r="O173" s="141"/>
      <c r="P173" s="110"/>
      <c r="Q173" s="110"/>
      <c r="R173" s="110"/>
      <c r="U173" s="99"/>
      <c r="V173" s="110"/>
      <c r="Y173" s="110"/>
      <c r="Z173" s="198"/>
      <c r="AA173" s="110"/>
      <c r="AB173" s="110"/>
      <c r="AC173" s="141"/>
      <c r="AD173" s="141"/>
      <c r="AE173" s="110"/>
      <c r="AF173" s="110"/>
      <c r="AH173" s="207"/>
      <c r="AI173" s="110"/>
      <c r="AJ173" s="110"/>
      <c r="AL173" s="110"/>
      <c r="AM173" s="141"/>
      <c r="AN173" s="141"/>
    </row>
    <row r="174" spans="1:40" x14ac:dyDescent="0.3">
      <c r="F174" s="192"/>
      <c r="H174" s="192"/>
      <c r="I174" s="192"/>
      <c r="J174" s="217"/>
      <c r="K174" s="217"/>
      <c r="L174" s="192"/>
      <c r="M174" s="192"/>
      <c r="N174" s="192"/>
      <c r="O174" s="192"/>
      <c r="P174" s="192"/>
      <c r="Q174" s="192"/>
      <c r="R174" s="192"/>
      <c r="V174" s="192"/>
      <c r="Y174" s="192"/>
      <c r="Z174" s="217"/>
      <c r="AA174" s="192"/>
      <c r="AB174" s="192"/>
      <c r="AC174" s="192"/>
      <c r="AD174" s="192"/>
      <c r="AE174" s="192"/>
      <c r="AF174" s="192"/>
      <c r="AI174" s="192"/>
      <c r="AJ174" s="192"/>
      <c r="AK174" s="194"/>
      <c r="AL174" s="192"/>
    </row>
    <row r="175" spans="1:40" x14ac:dyDescent="0.3">
      <c r="R175" s="110"/>
    </row>
    <row r="176" spans="1:40" x14ac:dyDescent="0.3">
      <c r="R176" s="110"/>
    </row>
    <row r="177" spans="1:40" x14ac:dyDescent="0.3">
      <c r="R177" s="110"/>
    </row>
    <row r="178" spans="1:40" x14ac:dyDescent="0.3">
      <c r="C178" s="99"/>
      <c r="D178" s="99"/>
      <c r="E178" s="99"/>
      <c r="H178" s="110"/>
      <c r="I178" s="110"/>
      <c r="J178" s="198"/>
      <c r="K178" s="198"/>
      <c r="L178" s="110"/>
      <c r="M178" s="110"/>
      <c r="N178" s="141"/>
      <c r="O178" s="141"/>
      <c r="P178" s="110"/>
      <c r="Q178" s="110"/>
      <c r="R178" s="110"/>
      <c r="T178" s="99"/>
      <c r="U178" s="99"/>
      <c r="Y178" s="110"/>
      <c r="Z178" s="198"/>
      <c r="AA178" s="110"/>
      <c r="AB178" s="110"/>
      <c r="AC178" s="141"/>
      <c r="AD178" s="141"/>
    </row>
    <row r="179" spans="1:40" x14ac:dyDescent="0.3">
      <c r="H179" s="110"/>
      <c r="I179" s="110"/>
      <c r="J179" s="198"/>
      <c r="K179" s="198"/>
      <c r="L179" s="110"/>
      <c r="M179" s="110"/>
      <c r="N179" s="141"/>
      <c r="O179" s="141"/>
      <c r="P179" s="110"/>
      <c r="Q179" s="110"/>
      <c r="R179" s="110"/>
      <c r="Y179" s="110"/>
      <c r="Z179" s="198"/>
      <c r="AA179" s="110"/>
      <c r="AB179" s="110"/>
      <c r="AC179" s="141"/>
      <c r="AD179" s="141"/>
    </row>
    <row r="180" spans="1:40" x14ac:dyDescent="0.3">
      <c r="C180" s="99"/>
      <c r="F180" s="172"/>
      <c r="H180" s="172"/>
      <c r="I180" s="172"/>
      <c r="J180" s="208"/>
      <c r="K180" s="208"/>
      <c r="L180" s="172"/>
      <c r="M180" s="172"/>
      <c r="N180" s="141"/>
      <c r="O180" s="141"/>
      <c r="P180" s="110"/>
      <c r="Q180" s="110"/>
      <c r="R180" s="110"/>
      <c r="T180" s="99"/>
      <c r="V180" s="110"/>
      <c r="Y180" s="110"/>
      <c r="Z180" s="208"/>
      <c r="AA180" s="110"/>
      <c r="AB180" s="110"/>
      <c r="AC180" s="141"/>
      <c r="AD180" s="141"/>
      <c r="AE180" s="110"/>
      <c r="AF180" s="110"/>
      <c r="AH180" s="207"/>
      <c r="AI180" s="110"/>
      <c r="AJ180" s="110"/>
      <c r="AL180" s="110"/>
      <c r="AM180" s="141"/>
      <c r="AN180" s="141"/>
    </row>
    <row r="181" spans="1:40" x14ac:dyDescent="0.3">
      <c r="F181" s="172"/>
      <c r="H181" s="220"/>
      <c r="I181" s="220"/>
      <c r="J181" s="220"/>
      <c r="K181" s="220"/>
      <c r="R181" s="110"/>
      <c r="V181" s="110"/>
      <c r="Z181" s="220"/>
    </row>
    <row r="182" spans="1:40" x14ac:dyDescent="0.3">
      <c r="C182" s="99"/>
      <c r="F182" s="172"/>
      <c r="H182" s="172"/>
      <c r="I182" s="172"/>
      <c r="J182" s="181"/>
      <c r="K182" s="181"/>
      <c r="L182" s="110"/>
      <c r="M182" s="110"/>
      <c r="N182" s="141"/>
      <c r="O182" s="141"/>
      <c r="P182" s="110"/>
      <c r="Q182" s="110"/>
      <c r="R182" s="110"/>
      <c r="T182" s="99"/>
      <c r="V182" s="110"/>
      <c r="Y182" s="110"/>
      <c r="Z182" s="181"/>
      <c r="AA182" s="110"/>
      <c r="AB182" s="110"/>
      <c r="AC182" s="141"/>
      <c r="AD182" s="141"/>
      <c r="AE182" s="110"/>
      <c r="AF182" s="110"/>
      <c r="AH182" s="207"/>
      <c r="AI182" s="110"/>
      <c r="AJ182" s="110"/>
      <c r="AL182" s="110"/>
      <c r="AM182" s="141"/>
      <c r="AN182" s="141"/>
    </row>
    <row r="183" spans="1:40" x14ac:dyDescent="0.3">
      <c r="F183" s="172"/>
      <c r="H183" s="220"/>
      <c r="I183" s="220"/>
      <c r="J183" s="220"/>
      <c r="K183" s="220"/>
      <c r="R183" s="110"/>
      <c r="V183" s="110"/>
      <c r="Z183" s="220"/>
    </row>
    <row r="184" spans="1:40" x14ac:dyDescent="0.3">
      <c r="C184" s="99"/>
      <c r="F184" s="172"/>
      <c r="H184" s="172"/>
      <c r="I184" s="172"/>
      <c r="J184" s="222"/>
      <c r="K184" s="222"/>
      <c r="L184" s="110"/>
      <c r="M184" s="110"/>
      <c r="N184" s="141"/>
      <c r="O184" s="141"/>
      <c r="P184" s="110"/>
      <c r="Q184" s="110"/>
      <c r="R184" s="110"/>
      <c r="T184" s="99"/>
      <c r="V184" s="110"/>
      <c r="Y184" s="110"/>
      <c r="Z184" s="216"/>
      <c r="AA184" s="110"/>
      <c r="AB184" s="110"/>
      <c r="AC184" s="141"/>
      <c r="AD184" s="141"/>
      <c r="AE184" s="110"/>
      <c r="AF184" s="110"/>
      <c r="AH184" s="207"/>
      <c r="AI184" s="110"/>
      <c r="AJ184" s="110"/>
      <c r="AL184" s="110"/>
      <c r="AM184" s="141"/>
      <c r="AN184" s="141"/>
    </row>
    <row r="185" spans="1:40" x14ac:dyDescent="0.3">
      <c r="F185" s="192"/>
      <c r="H185" s="192"/>
      <c r="I185" s="192"/>
      <c r="J185" s="217"/>
      <c r="K185" s="217"/>
      <c r="L185" s="192"/>
      <c r="M185" s="192"/>
      <c r="N185" s="192"/>
      <c r="O185" s="192"/>
      <c r="P185" s="192"/>
      <c r="Q185" s="192"/>
      <c r="R185" s="192"/>
      <c r="S185" s="110"/>
      <c r="V185" s="192"/>
      <c r="Y185" s="192"/>
      <c r="Z185" s="217"/>
      <c r="AA185" s="192"/>
      <c r="AB185" s="192"/>
      <c r="AC185" s="192"/>
      <c r="AD185" s="192"/>
      <c r="AE185" s="192"/>
      <c r="AF185" s="192"/>
      <c r="AI185" s="192"/>
      <c r="AJ185" s="192"/>
      <c r="AK185" s="194"/>
      <c r="AL185" s="192"/>
    </row>
    <row r="186" spans="1:40" x14ac:dyDescent="0.3">
      <c r="D186" s="99"/>
      <c r="E186" s="99"/>
      <c r="F186" s="110"/>
      <c r="H186" s="110"/>
      <c r="I186" s="110"/>
      <c r="J186" s="198"/>
      <c r="K186" s="198"/>
      <c r="L186" s="110"/>
      <c r="M186" s="110"/>
      <c r="N186" s="141"/>
      <c r="O186" s="141"/>
      <c r="P186" s="172"/>
      <c r="Q186" s="172"/>
      <c r="R186" s="110"/>
      <c r="S186" s="110"/>
      <c r="U186" s="99"/>
      <c r="V186" s="110"/>
      <c r="Y186" s="110"/>
      <c r="Z186" s="198"/>
      <c r="AA186" s="110"/>
      <c r="AB186" s="110"/>
      <c r="AC186" s="141"/>
      <c r="AD186" s="141"/>
      <c r="AE186" s="110"/>
      <c r="AF186" s="110"/>
      <c r="AH186" s="207"/>
      <c r="AI186" s="172"/>
      <c r="AJ186" s="172"/>
      <c r="AL186" s="110"/>
      <c r="AM186" s="141"/>
      <c r="AN186" s="141"/>
    </row>
    <row r="187" spans="1:40" x14ac:dyDescent="0.3">
      <c r="F187" s="192"/>
      <c r="H187" s="192"/>
      <c r="I187" s="192"/>
      <c r="J187" s="217"/>
      <c r="K187" s="217"/>
      <c r="L187" s="192"/>
      <c r="M187" s="192"/>
      <c r="N187" s="192"/>
      <c r="O187" s="192"/>
      <c r="P187" s="192"/>
      <c r="Q187" s="192"/>
      <c r="R187" s="192"/>
      <c r="S187" s="110"/>
      <c r="V187" s="192"/>
      <c r="Y187" s="192"/>
      <c r="Z187" s="217"/>
      <c r="AA187" s="192"/>
      <c r="AB187" s="192"/>
      <c r="AC187" s="192"/>
      <c r="AD187" s="192"/>
      <c r="AE187" s="192"/>
      <c r="AF187" s="192"/>
      <c r="AI187" s="192"/>
      <c r="AJ187" s="192"/>
      <c r="AK187" s="194"/>
      <c r="AL187" s="192"/>
    </row>
    <row r="188" spans="1:40" x14ac:dyDescent="0.3">
      <c r="R188" s="110"/>
    </row>
    <row r="189" spans="1:40" x14ac:dyDescent="0.3">
      <c r="F189" s="110"/>
      <c r="H189" s="110"/>
      <c r="I189" s="110"/>
      <c r="J189" s="198"/>
      <c r="K189" s="198"/>
      <c r="L189" s="110"/>
      <c r="M189" s="110"/>
      <c r="N189" s="110"/>
      <c r="O189" s="110"/>
      <c r="P189" s="110"/>
      <c r="Q189" s="110"/>
      <c r="R189" s="110"/>
      <c r="V189" s="110"/>
      <c r="Y189" s="110"/>
      <c r="Z189" s="198"/>
      <c r="AA189" s="110"/>
      <c r="AB189" s="110"/>
      <c r="AC189" s="110"/>
      <c r="AD189" s="110"/>
    </row>
    <row r="190" spans="1:40" x14ac:dyDescent="0.3">
      <c r="C190" s="99"/>
      <c r="F190" s="110"/>
      <c r="H190" s="110"/>
      <c r="I190" s="110"/>
      <c r="J190" s="198"/>
      <c r="K190" s="198"/>
      <c r="L190" s="110"/>
      <c r="M190" s="110"/>
      <c r="N190" s="110"/>
      <c r="O190" s="110"/>
      <c r="P190" s="110"/>
      <c r="Q190" s="110"/>
      <c r="R190" s="110"/>
      <c r="T190" s="99"/>
      <c r="V190" s="110"/>
      <c r="Y190" s="110"/>
      <c r="Z190" s="198"/>
      <c r="AA190" s="110"/>
      <c r="AB190" s="110"/>
      <c r="AC190" s="110"/>
      <c r="AD190" s="110"/>
    </row>
    <row r="191" spans="1:40" x14ac:dyDescent="0.3">
      <c r="C191" s="99"/>
      <c r="T191" s="99"/>
    </row>
    <row r="192" spans="1:40" x14ac:dyDescent="0.3">
      <c r="A192" s="99"/>
    </row>
    <row r="195" spans="1:40" x14ac:dyDescent="0.3">
      <c r="H195" s="99"/>
      <c r="I195" s="99"/>
      <c r="Y195" s="99"/>
    </row>
    <row r="197" spans="1:40" x14ac:dyDescent="0.3">
      <c r="L197" s="99"/>
      <c r="M197" s="99"/>
      <c r="AA197" s="99"/>
      <c r="AB197" s="99"/>
    </row>
    <row r="198" spans="1:40" x14ac:dyDescent="0.3">
      <c r="R198" s="99"/>
      <c r="AK198" s="190"/>
      <c r="AL198" s="99"/>
    </row>
    <row r="199" spans="1:40" x14ac:dyDescent="0.3">
      <c r="R199" s="99"/>
      <c r="AK199" s="190"/>
      <c r="AL199" s="99"/>
    </row>
    <row r="200" spans="1:40" x14ac:dyDescent="0.3">
      <c r="A200" s="99"/>
      <c r="R200" s="99"/>
      <c r="AK200" s="190"/>
      <c r="AL200" s="99"/>
    </row>
    <row r="201" spans="1:40" x14ac:dyDescent="0.3">
      <c r="L201" s="99"/>
      <c r="M201" s="99"/>
      <c r="AA201" s="99"/>
      <c r="AB201" s="99"/>
    </row>
    <row r="202" spans="1:40" x14ac:dyDescent="0.3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91"/>
      <c r="AH202" s="101"/>
      <c r="AI202" s="101"/>
      <c r="AJ202" s="101"/>
      <c r="AK202" s="191"/>
      <c r="AL202" s="101"/>
      <c r="AM202" s="101"/>
      <c r="AN202" s="101"/>
    </row>
    <row r="203" spans="1:40" x14ac:dyDescent="0.3">
      <c r="L203" s="102"/>
      <c r="M203" s="102"/>
      <c r="N203" s="102"/>
      <c r="O203" s="102"/>
      <c r="R203" s="102"/>
      <c r="AA203" s="102"/>
      <c r="AB203" s="102"/>
      <c r="AC203" s="102"/>
      <c r="AD203" s="102"/>
      <c r="AE203" s="102"/>
      <c r="AF203" s="102"/>
      <c r="AG203" s="151"/>
      <c r="AH203" s="102"/>
      <c r="AK203" s="151"/>
      <c r="AL203" s="102"/>
      <c r="AM203" s="102"/>
      <c r="AN203" s="102"/>
    </row>
    <row r="204" spans="1:40" x14ac:dyDescent="0.3">
      <c r="L204" s="102"/>
      <c r="M204" s="102"/>
      <c r="N204" s="102"/>
      <c r="O204" s="102"/>
      <c r="R204" s="102"/>
      <c r="Z204" s="102"/>
      <c r="AA204" s="102"/>
      <c r="AB204" s="102"/>
      <c r="AC204" s="102"/>
      <c r="AD204" s="102"/>
      <c r="AE204" s="102"/>
      <c r="AF204" s="102"/>
      <c r="AG204" s="151"/>
      <c r="AH204" s="102"/>
      <c r="AK204" s="151"/>
      <c r="AL204" s="102"/>
      <c r="AM204" s="102"/>
      <c r="AN204" s="102"/>
    </row>
    <row r="205" spans="1:40" x14ac:dyDescent="0.3">
      <c r="A205" s="102"/>
      <c r="C205" s="102"/>
      <c r="D205" s="102"/>
      <c r="E205" s="102"/>
      <c r="F205" s="102"/>
      <c r="J205" s="102"/>
      <c r="K205" s="102"/>
      <c r="L205" s="102"/>
      <c r="M205" s="102"/>
      <c r="N205" s="102"/>
      <c r="O205" s="102"/>
      <c r="P205" s="102"/>
      <c r="Q205" s="102"/>
      <c r="R205" s="102"/>
      <c r="T205" s="102"/>
      <c r="U205" s="102"/>
      <c r="V205" s="102"/>
      <c r="Z205" s="102"/>
      <c r="AA205" s="102"/>
      <c r="AB205" s="102"/>
      <c r="AC205" s="102"/>
      <c r="AD205" s="102"/>
      <c r="AE205" s="102"/>
      <c r="AF205" s="102"/>
      <c r="AG205" s="151"/>
      <c r="AH205" s="102"/>
      <c r="AI205" s="102"/>
      <c r="AJ205" s="102"/>
      <c r="AK205" s="151"/>
      <c r="AL205" s="102"/>
      <c r="AM205" s="102"/>
      <c r="AN205" s="102"/>
    </row>
    <row r="206" spans="1:40" x14ac:dyDescent="0.3">
      <c r="A206" s="102"/>
      <c r="C206" s="102"/>
      <c r="D206" s="102"/>
      <c r="E206" s="102"/>
      <c r="F206" s="102"/>
      <c r="H206" s="102"/>
      <c r="I206" s="102"/>
      <c r="J206" s="102"/>
      <c r="K206" s="102"/>
      <c r="L206" s="102"/>
      <c r="M206" s="102"/>
      <c r="N206" s="102"/>
      <c r="O206" s="102"/>
      <c r="P206" s="102"/>
      <c r="Q206" s="102"/>
      <c r="R206" s="102"/>
      <c r="T206" s="102"/>
      <c r="U206" s="102"/>
      <c r="V206" s="102"/>
      <c r="Y206" s="102"/>
      <c r="Z206" s="102"/>
      <c r="AA206" s="102"/>
      <c r="AB206" s="102"/>
      <c r="AC206" s="102"/>
      <c r="AD206" s="102"/>
      <c r="AE206" s="102"/>
      <c r="AF206" s="102"/>
      <c r="AG206" s="151"/>
      <c r="AH206" s="102"/>
      <c r="AI206" s="102"/>
      <c r="AJ206" s="102"/>
      <c r="AK206" s="151"/>
      <c r="AL206" s="102"/>
      <c r="AM206" s="102"/>
      <c r="AN206" s="102"/>
    </row>
    <row r="207" spans="1:40" x14ac:dyDescent="0.3">
      <c r="C207" s="102"/>
      <c r="D207" s="102"/>
      <c r="E207" s="102"/>
      <c r="F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T207" s="102"/>
      <c r="U207" s="102"/>
      <c r="V207" s="102"/>
      <c r="Y207" s="102"/>
      <c r="Z207" s="102"/>
      <c r="AA207" s="102"/>
      <c r="AB207" s="102"/>
      <c r="AC207" s="102"/>
      <c r="AD207" s="102"/>
      <c r="AE207" s="102"/>
      <c r="AF207" s="102"/>
      <c r="AG207" s="151"/>
      <c r="AH207" s="102"/>
      <c r="AI207" s="102"/>
      <c r="AJ207" s="102"/>
      <c r="AK207" s="151"/>
      <c r="AL207" s="102"/>
      <c r="AM207" s="102"/>
      <c r="AN207" s="102"/>
    </row>
    <row r="208" spans="1:40" x14ac:dyDescent="0.3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91"/>
      <c r="AH208" s="101"/>
      <c r="AI208" s="101"/>
      <c r="AJ208" s="101"/>
      <c r="AK208" s="191"/>
      <c r="AL208" s="101"/>
      <c r="AM208" s="101"/>
      <c r="AN208" s="101"/>
    </row>
    <row r="209" spans="3:40" x14ac:dyDescent="0.3"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Y209" s="102"/>
      <c r="Z209" s="102"/>
      <c r="AA209" s="102"/>
      <c r="AB209" s="102"/>
      <c r="AC209" s="102"/>
      <c r="AD209" s="102"/>
      <c r="AE209" s="102"/>
      <c r="AF209" s="102"/>
      <c r="AG209" s="151"/>
      <c r="AH209" s="102"/>
      <c r="AI209" s="102"/>
      <c r="AJ209" s="102"/>
      <c r="AK209" s="151"/>
      <c r="AL209" s="102"/>
      <c r="AM209" s="102"/>
      <c r="AN209" s="102"/>
    </row>
    <row r="210" spans="3:40" x14ac:dyDescent="0.3">
      <c r="C210" s="99"/>
      <c r="D210" s="99"/>
      <c r="E210" s="99"/>
      <c r="T210" s="99"/>
      <c r="U210" s="99"/>
    </row>
    <row r="211" spans="3:40" x14ac:dyDescent="0.3">
      <c r="D211" s="99"/>
      <c r="E211" s="99"/>
      <c r="U211" s="99"/>
    </row>
    <row r="213" spans="3:40" x14ac:dyDescent="0.3">
      <c r="C213" s="99"/>
      <c r="F213" s="110"/>
      <c r="J213" s="209"/>
      <c r="K213" s="209"/>
      <c r="L213" s="110"/>
      <c r="M213" s="110"/>
      <c r="R213" s="110"/>
      <c r="T213" s="99"/>
      <c r="V213" s="110"/>
      <c r="Z213" s="209"/>
      <c r="AA213" s="110"/>
      <c r="AB213" s="110"/>
      <c r="AL213" s="110"/>
    </row>
    <row r="214" spans="3:40" x14ac:dyDescent="0.3">
      <c r="F214" s="110"/>
      <c r="R214" s="110"/>
      <c r="V214" s="110"/>
      <c r="AL214" s="110"/>
    </row>
    <row r="215" spans="3:40" x14ac:dyDescent="0.3">
      <c r="C215" s="99"/>
      <c r="F215" s="172"/>
      <c r="H215" s="172"/>
      <c r="I215" s="172"/>
      <c r="J215" s="181"/>
      <c r="K215" s="181"/>
      <c r="L215" s="110"/>
      <c r="M215" s="110"/>
      <c r="N215" s="141"/>
      <c r="O215" s="141"/>
      <c r="P215" s="110"/>
      <c r="Q215" s="110"/>
      <c r="R215" s="110"/>
      <c r="T215" s="99"/>
      <c r="V215" s="110"/>
      <c r="Y215" s="110"/>
      <c r="Z215" s="181"/>
      <c r="AA215" s="110"/>
      <c r="AB215" s="110"/>
      <c r="AC215" s="141"/>
      <c r="AD215" s="141"/>
      <c r="AE215" s="110"/>
      <c r="AF215" s="110"/>
      <c r="AH215" s="207"/>
      <c r="AI215" s="110"/>
      <c r="AJ215" s="110"/>
      <c r="AL215" s="110"/>
      <c r="AM215" s="141"/>
      <c r="AN215" s="141"/>
    </row>
    <row r="216" spans="3:40" x14ac:dyDescent="0.3">
      <c r="C216" s="99"/>
      <c r="F216" s="172"/>
      <c r="H216" s="220"/>
      <c r="I216" s="220"/>
      <c r="J216" s="181"/>
      <c r="K216" s="181"/>
      <c r="L216" s="110"/>
      <c r="M216" s="110"/>
      <c r="N216" s="141"/>
      <c r="O216" s="141"/>
      <c r="P216" s="110"/>
      <c r="Q216" s="110"/>
      <c r="R216" s="110"/>
      <c r="T216" s="99"/>
      <c r="V216" s="110"/>
      <c r="Y216" s="110"/>
      <c r="Z216" s="181"/>
      <c r="AA216" s="110"/>
      <c r="AB216" s="110"/>
      <c r="AC216" s="141"/>
      <c r="AD216" s="141"/>
      <c r="AE216" s="110"/>
      <c r="AF216" s="110"/>
      <c r="AH216" s="207"/>
      <c r="AI216" s="110"/>
      <c r="AJ216" s="110"/>
      <c r="AL216" s="110"/>
      <c r="AM216" s="141"/>
      <c r="AN216" s="141"/>
    </row>
    <row r="217" spans="3:40" x14ac:dyDescent="0.3">
      <c r="F217" s="192"/>
      <c r="H217" s="110"/>
      <c r="I217" s="110"/>
      <c r="J217" s="217"/>
      <c r="K217" s="217"/>
      <c r="L217" s="192"/>
      <c r="M217" s="192"/>
      <c r="N217" s="192"/>
      <c r="O217" s="192"/>
      <c r="P217" s="192"/>
      <c r="Q217" s="192"/>
      <c r="R217" s="192"/>
      <c r="V217" s="192"/>
      <c r="Y217" s="110"/>
      <c r="Z217" s="217"/>
      <c r="AA217" s="192"/>
      <c r="AB217" s="192"/>
      <c r="AC217" s="192"/>
      <c r="AD217" s="192"/>
      <c r="AE217" s="192"/>
      <c r="AF217" s="192"/>
      <c r="AI217" s="192"/>
      <c r="AJ217" s="192"/>
      <c r="AK217" s="194"/>
      <c r="AL217" s="192"/>
    </row>
    <row r="218" spans="3:40" x14ac:dyDescent="0.3">
      <c r="C218" s="99"/>
      <c r="F218" s="110"/>
      <c r="H218" s="110"/>
      <c r="I218" s="110"/>
      <c r="J218" s="198"/>
      <c r="K218" s="198"/>
      <c r="L218" s="110"/>
      <c r="M218" s="110"/>
      <c r="N218" s="141"/>
      <c r="O218" s="141"/>
      <c r="P218" s="110"/>
      <c r="Q218" s="110"/>
      <c r="R218" s="110"/>
      <c r="T218" s="99"/>
      <c r="V218" s="110"/>
      <c r="Y218" s="110"/>
      <c r="Z218" s="198"/>
      <c r="AA218" s="110"/>
      <c r="AB218" s="110"/>
      <c r="AC218" s="141"/>
      <c r="AD218" s="141"/>
      <c r="AE218" s="110"/>
      <c r="AF218" s="110"/>
      <c r="AH218" s="207"/>
      <c r="AI218" s="110"/>
      <c r="AJ218" s="110"/>
      <c r="AL218" s="110"/>
      <c r="AM218" s="141"/>
      <c r="AN218" s="141"/>
    </row>
    <row r="219" spans="3:40" x14ac:dyDescent="0.3">
      <c r="F219" s="192"/>
      <c r="H219" s="110"/>
      <c r="I219" s="110"/>
      <c r="J219" s="217"/>
      <c r="K219" s="217"/>
      <c r="L219" s="192"/>
      <c r="M219" s="192"/>
      <c r="N219" s="192"/>
      <c r="O219" s="192"/>
      <c r="P219" s="192"/>
      <c r="Q219" s="192"/>
      <c r="R219" s="192"/>
      <c r="V219" s="192"/>
      <c r="Y219" s="110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</row>
    <row r="220" spans="3:40" x14ac:dyDescent="0.3">
      <c r="F220" s="110"/>
      <c r="R220" s="110"/>
      <c r="V220" s="110"/>
      <c r="AL220" s="110"/>
    </row>
    <row r="221" spans="3:40" x14ac:dyDescent="0.3">
      <c r="C221" s="99"/>
      <c r="F221" s="110"/>
      <c r="R221" s="110"/>
      <c r="T221" s="99"/>
      <c r="V221" s="110"/>
      <c r="AL221" s="110"/>
    </row>
    <row r="222" spans="3:40" x14ac:dyDescent="0.3">
      <c r="F222" s="110"/>
      <c r="R222" s="110"/>
      <c r="V222" s="110"/>
      <c r="AL222" s="110"/>
    </row>
    <row r="223" spans="3:40" x14ac:dyDescent="0.3">
      <c r="C223" s="99"/>
      <c r="F223" s="110"/>
      <c r="H223" s="172"/>
      <c r="I223" s="172"/>
      <c r="J223" s="222"/>
      <c r="K223" s="222"/>
      <c r="L223" s="110"/>
      <c r="M223" s="110"/>
      <c r="N223" s="141"/>
      <c r="O223" s="141"/>
      <c r="P223" s="172"/>
      <c r="Q223" s="172"/>
      <c r="R223" s="110"/>
      <c r="T223" s="99"/>
      <c r="V223" s="110"/>
      <c r="Y223" s="110"/>
      <c r="Z223" s="216"/>
      <c r="AA223" s="110"/>
      <c r="AB223" s="110"/>
      <c r="AC223" s="141"/>
      <c r="AD223" s="141"/>
      <c r="AE223" s="110"/>
      <c r="AF223" s="110"/>
      <c r="AH223" s="207"/>
      <c r="AI223" s="172"/>
      <c r="AJ223" s="172"/>
      <c r="AL223" s="110"/>
      <c r="AM223" s="141"/>
      <c r="AN223" s="141"/>
    </row>
    <row r="224" spans="3:40" x14ac:dyDescent="0.3">
      <c r="H224" s="192"/>
      <c r="I224" s="192"/>
      <c r="J224" s="217"/>
      <c r="K224" s="217"/>
      <c r="L224" s="192"/>
      <c r="M224" s="192"/>
      <c r="N224" s="192"/>
      <c r="O224" s="192"/>
      <c r="P224" s="192"/>
      <c r="Q224" s="192"/>
      <c r="R224" s="192"/>
      <c r="V224" s="192"/>
      <c r="Y224" s="192"/>
      <c r="Z224" s="217"/>
      <c r="AA224" s="192"/>
      <c r="AB224" s="192"/>
      <c r="AC224" s="192"/>
      <c r="AD224" s="192"/>
      <c r="AE224" s="192"/>
      <c r="AF224" s="192"/>
      <c r="AI224" s="192"/>
      <c r="AJ224" s="192"/>
      <c r="AK224" s="194"/>
      <c r="AL224" s="192"/>
    </row>
    <row r="225" spans="1:40" x14ac:dyDescent="0.3">
      <c r="F225" s="192"/>
    </row>
    <row r="226" spans="1:40" x14ac:dyDescent="0.3">
      <c r="C226" s="99"/>
      <c r="F226" s="110"/>
      <c r="H226" s="110"/>
      <c r="I226" s="110"/>
      <c r="J226" s="209"/>
      <c r="K226" s="209"/>
      <c r="L226" s="110"/>
      <c r="M226" s="110"/>
      <c r="N226" s="141"/>
      <c r="O226" s="141"/>
      <c r="P226" s="110"/>
      <c r="Q226" s="110"/>
      <c r="R226" s="110"/>
      <c r="T226" s="99"/>
      <c r="V226" s="110"/>
      <c r="Y226" s="110"/>
      <c r="Z226" s="209"/>
      <c r="AA226" s="110"/>
      <c r="AB226" s="110"/>
      <c r="AC226" s="141"/>
      <c r="AD226" s="141"/>
      <c r="AE226" s="110"/>
      <c r="AF226" s="110"/>
      <c r="AH226" s="207"/>
      <c r="AI226" s="110"/>
      <c r="AJ226" s="110"/>
      <c r="AL226" s="110"/>
      <c r="AM226" s="141"/>
      <c r="AN226" s="141"/>
    </row>
    <row r="227" spans="1:40" x14ac:dyDescent="0.3">
      <c r="F227" s="192"/>
      <c r="H227" s="192"/>
      <c r="I227" s="192"/>
      <c r="J227" s="217"/>
      <c r="K227" s="217"/>
      <c r="L227" s="192"/>
      <c r="M227" s="192"/>
      <c r="N227" s="192"/>
      <c r="O227" s="192"/>
      <c r="P227" s="192"/>
      <c r="Q227" s="192"/>
      <c r="R227" s="192"/>
      <c r="V227" s="192"/>
      <c r="Y227" s="192"/>
      <c r="Z227" s="217"/>
      <c r="AA227" s="192"/>
      <c r="AB227" s="192"/>
      <c r="AC227" s="192"/>
      <c r="AD227" s="192"/>
      <c r="AE227" s="192"/>
      <c r="AF227" s="192"/>
      <c r="AI227" s="192"/>
      <c r="AJ227" s="192"/>
      <c r="AK227" s="194"/>
      <c r="AL227" s="192"/>
    </row>
    <row r="228" spans="1:40" x14ac:dyDescent="0.3">
      <c r="R228" s="110"/>
      <c r="AH228" s="110"/>
    </row>
    <row r="229" spans="1:40" x14ac:dyDescent="0.3">
      <c r="F229" s="110"/>
      <c r="H229" s="110"/>
      <c r="I229" s="110"/>
      <c r="J229" s="198"/>
      <c r="K229" s="198"/>
      <c r="L229" s="110"/>
      <c r="M229" s="110"/>
      <c r="N229" s="110"/>
      <c r="O229" s="110"/>
      <c r="P229" s="110"/>
      <c r="Q229" s="110"/>
      <c r="R229" s="110"/>
      <c r="V229" s="110"/>
      <c r="Y229" s="110"/>
      <c r="Z229" s="198"/>
      <c r="AA229" s="110"/>
      <c r="AB229" s="110"/>
      <c r="AC229" s="110"/>
      <c r="AD229" s="110"/>
      <c r="AE229" s="110"/>
      <c r="AF229" s="110"/>
      <c r="AH229" s="110"/>
    </row>
    <row r="230" spans="1:40" x14ac:dyDescent="0.3">
      <c r="C230" s="99"/>
      <c r="F230" s="110"/>
      <c r="H230" s="110"/>
      <c r="I230" s="110"/>
      <c r="J230" s="198"/>
      <c r="K230" s="198"/>
      <c r="L230" s="110"/>
      <c r="M230" s="110"/>
      <c r="N230" s="110"/>
      <c r="O230" s="110"/>
      <c r="P230" s="110"/>
      <c r="Q230" s="110"/>
      <c r="R230" s="110"/>
      <c r="T230" s="99"/>
      <c r="V230" s="110"/>
      <c r="Y230" s="110"/>
      <c r="Z230" s="198"/>
      <c r="AA230" s="110"/>
      <c r="AB230" s="110"/>
      <c r="AC230" s="110"/>
      <c r="AD230" s="110"/>
      <c r="AE230" s="110"/>
      <c r="AF230" s="110"/>
      <c r="AH230" s="110"/>
    </row>
    <row r="231" spans="1:40" x14ac:dyDescent="0.3">
      <c r="A231" s="99"/>
    </row>
    <row r="234" spans="1:40" x14ac:dyDescent="0.3">
      <c r="H234" s="99"/>
      <c r="I234" s="99"/>
      <c r="Y234" s="99"/>
    </row>
    <row r="236" spans="1:40" x14ac:dyDescent="0.3">
      <c r="L236" s="99"/>
      <c r="M236" s="99"/>
      <c r="AA236" s="99"/>
      <c r="AB236" s="99"/>
    </row>
    <row r="237" spans="1:40" x14ac:dyDescent="0.3">
      <c r="R237" s="99"/>
      <c r="AK237" s="190"/>
      <c r="AL237" s="99"/>
    </row>
    <row r="238" spans="1:40" x14ac:dyDescent="0.3">
      <c r="R238" s="99"/>
      <c r="AK238" s="190"/>
      <c r="AL238" s="99"/>
    </row>
    <row r="239" spans="1:40" x14ac:dyDescent="0.3">
      <c r="A239" s="99"/>
      <c r="R239" s="99"/>
      <c r="AK239" s="190"/>
      <c r="AL239" s="99"/>
    </row>
    <row r="240" spans="1:40" x14ac:dyDescent="0.3">
      <c r="L240" s="99"/>
      <c r="M240" s="99"/>
      <c r="AA240" s="99"/>
      <c r="AB240" s="99"/>
    </row>
    <row r="241" spans="1:40" x14ac:dyDescent="0.3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91"/>
      <c r="AH241" s="101"/>
      <c r="AI241" s="101"/>
      <c r="AJ241" s="101"/>
      <c r="AK241" s="191"/>
      <c r="AL241" s="101"/>
      <c r="AM241" s="101"/>
      <c r="AN241" s="101"/>
    </row>
    <row r="242" spans="1:40" x14ac:dyDescent="0.3">
      <c r="L242" s="102"/>
      <c r="M242" s="102"/>
      <c r="N242" s="102"/>
      <c r="O242" s="102"/>
      <c r="R242" s="102"/>
      <c r="AA242" s="102"/>
      <c r="AB242" s="102"/>
      <c r="AC242" s="102"/>
      <c r="AD242" s="102"/>
      <c r="AE242" s="102"/>
      <c r="AF242" s="102"/>
      <c r="AG242" s="151"/>
      <c r="AH242" s="102"/>
      <c r="AK242" s="151"/>
      <c r="AL242" s="102"/>
      <c r="AM242" s="102"/>
      <c r="AN242" s="102"/>
    </row>
    <row r="243" spans="1:40" x14ac:dyDescent="0.3">
      <c r="L243" s="102"/>
      <c r="M243" s="102"/>
      <c r="N243" s="102"/>
      <c r="O243" s="102"/>
      <c r="R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K243" s="151"/>
      <c r="AL243" s="102"/>
      <c r="AM243" s="102"/>
      <c r="AN243" s="102"/>
    </row>
    <row r="244" spans="1:40" x14ac:dyDescent="0.3">
      <c r="A244" s="102"/>
      <c r="C244" s="102"/>
      <c r="D244" s="102"/>
      <c r="E244" s="102"/>
      <c r="F244" s="102"/>
      <c r="J244" s="102"/>
      <c r="K244" s="102"/>
      <c r="L244" s="102"/>
      <c r="M244" s="102"/>
      <c r="N244" s="102"/>
      <c r="O244" s="102"/>
      <c r="P244" s="102"/>
      <c r="Q244" s="102"/>
      <c r="R244" s="102"/>
      <c r="T244" s="102"/>
      <c r="U244" s="102"/>
      <c r="V244" s="102"/>
      <c r="Z244" s="102"/>
      <c r="AA244" s="102"/>
      <c r="AB244" s="102"/>
      <c r="AC244" s="102"/>
      <c r="AD244" s="102"/>
      <c r="AE244" s="102"/>
      <c r="AF244" s="102"/>
      <c r="AG244" s="151"/>
      <c r="AH244" s="102"/>
      <c r="AI244" s="102"/>
      <c r="AJ244" s="102"/>
      <c r="AK244" s="151"/>
      <c r="AL244" s="102"/>
      <c r="AM244" s="102"/>
      <c r="AN244" s="102"/>
    </row>
    <row r="245" spans="1:40" x14ac:dyDescent="0.3">
      <c r="A245" s="102"/>
      <c r="C245" s="102"/>
      <c r="D245" s="102"/>
      <c r="E245" s="102"/>
      <c r="F245" s="102"/>
      <c r="H245" s="102"/>
      <c r="I245" s="102"/>
      <c r="J245" s="102"/>
      <c r="K245" s="102"/>
      <c r="L245" s="102"/>
      <c r="M245" s="102"/>
      <c r="N245" s="102"/>
      <c r="O245" s="102"/>
      <c r="P245" s="102"/>
      <c r="Q245" s="102"/>
      <c r="R245" s="102"/>
      <c r="T245" s="102"/>
      <c r="U245" s="102"/>
      <c r="V245" s="102"/>
      <c r="Y245" s="102"/>
      <c r="Z245" s="102"/>
      <c r="AA245" s="102"/>
      <c r="AB245" s="102"/>
      <c r="AC245" s="102"/>
      <c r="AD245" s="102"/>
      <c r="AE245" s="102"/>
      <c r="AF245" s="102"/>
      <c r="AG245" s="151"/>
      <c r="AH245" s="102"/>
      <c r="AI245" s="102"/>
      <c r="AJ245" s="102"/>
      <c r="AK245" s="151"/>
      <c r="AL245" s="102"/>
      <c r="AM245" s="102"/>
      <c r="AN245" s="102"/>
    </row>
    <row r="246" spans="1:40" x14ac:dyDescent="0.3">
      <c r="C246" s="102"/>
      <c r="D246" s="102"/>
      <c r="E246" s="102"/>
      <c r="F246" s="102"/>
      <c r="H246" s="102"/>
      <c r="I246" s="102"/>
      <c r="J246" s="102"/>
      <c r="K246" s="102"/>
      <c r="L246" s="102"/>
      <c r="M246" s="102"/>
      <c r="N246" s="102"/>
      <c r="O246" s="102"/>
      <c r="P246" s="102"/>
      <c r="Q246" s="102"/>
      <c r="R246" s="102"/>
      <c r="T246" s="102"/>
      <c r="U246" s="102"/>
      <c r="V246" s="102"/>
      <c r="Y246" s="102"/>
      <c r="Z246" s="102"/>
      <c r="AA246" s="102"/>
      <c r="AB246" s="102"/>
      <c r="AC246" s="102"/>
      <c r="AD246" s="102"/>
      <c r="AE246" s="102"/>
      <c r="AF246" s="102"/>
      <c r="AG246" s="151"/>
      <c r="AH246" s="102"/>
      <c r="AI246" s="102"/>
      <c r="AJ246" s="102"/>
      <c r="AK246" s="151"/>
      <c r="AL246" s="102"/>
      <c r="AM246" s="102"/>
      <c r="AN246" s="102"/>
    </row>
    <row r="247" spans="1:40" x14ac:dyDescent="0.3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91"/>
      <c r="AH247" s="101"/>
      <c r="AI247" s="101"/>
      <c r="AJ247" s="101"/>
      <c r="AK247" s="191"/>
      <c r="AL247" s="101"/>
      <c r="AM247" s="101"/>
      <c r="AN247" s="101"/>
    </row>
    <row r="248" spans="1:40" x14ac:dyDescent="0.3">
      <c r="H248" s="102"/>
      <c r="I248" s="102"/>
      <c r="J248" s="102"/>
      <c r="K248" s="102"/>
      <c r="L248" s="102"/>
      <c r="M248" s="102"/>
      <c r="N248" s="102"/>
      <c r="O248" s="102"/>
      <c r="P248" s="102"/>
      <c r="Q248" s="102"/>
      <c r="R248" s="102"/>
      <c r="Y248" s="102"/>
      <c r="Z248" s="102"/>
      <c r="AA248" s="102"/>
      <c r="AB248" s="102"/>
      <c r="AC248" s="102"/>
      <c r="AD248" s="102"/>
      <c r="AE248" s="102"/>
      <c r="AF248" s="102"/>
      <c r="AG248" s="151"/>
      <c r="AH248" s="102"/>
      <c r="AI248" s="102"/>
      <c r="AJ248" s="102"/>
      <c r="AK248" s="151"/>
      <c r="AL248" s="102"/>
      <c r="AM248" s="102"/>
      <c r="AN248" s="102"/>
    </row>
    <row r="249" spans="1:40" x14ac:dyDescent="0.3">
      <c r="C249" s="99"/>
      <c r="D249" s="99"/>
      <c r="E249" s="99"/>
      <c r="T249" s="99"/>
      <c r="U249" s="99"/>
    </row>
    <row r="250" spans="1:40" x14ac:dyDescent="0.3">
      <c r="C250" s="99"/>
      <c r="T250" s="99"/>
    </row>
    <row r="252" spans="1:40" x14ac:dyDescent="0.3">
      <c r="C252" s="99"/>
      <c r="F252" s="172"/>
      <c r="H252" s="172"/>
      <c r="I252" s="172"/>
      <c r="J252" s="181"/>
      <c r="K252" s="181"/>
      <c r="L252" s="110"/>
      <c r="M252" s="110"/>
      <c r="N252" s="141"/>
      <c r="O252" s="141"/>
      <c r="R252" s="110"/>
      <c r="T252" s="99"/>
      <c r="V252" s="110"/>
      <c r="Y252" s="172"/>
      <c r="Z252" s="181"/>
      <c r="AA252" s="110"/>
      <c r="AB252" s="110"/>
      <c r="AC252" s="141"/>
      <c r="AD252" s="141"/>
      <c r="AE252" s="110"/>
      <c r="AF252" s="110"/>
      <c r="AH252" s="207"/>
      <c r="AL252" s="110"/>
      <c r="AM252" s="141"/>
      <c r="AN252" s="141"/>
    </row>
    <row r="253" spans="1:40" x14ac:dyDescent="0.3">
      <c r="F253" s="192"/>
      <c r="H253" s="110"/>
      <c r="I253" s="110"/>
      <c r="J253" s="217"/>
      <c r="K253" s="217"/>
      <c r="L253" s="192"/>
      <c r="M253" s="192"/>
      <c r="N253" s="192"/>
      <c r="O253" s="192"/>
      <c r="P253" s="192"/>
      <c r="Q253" s="192"/>
      <c r="R253" s="192"/>
      <c r="V253" s="192"/>
      <c r="Y253" s="110"/>
      <c r="Z253" s="217"/>
      <c r="AA253" s="192"/>
      <c r="AB253" s="192"/>
      <c r="AC253" s="192"/>
      <c r="AD253" s="192"/>
      <c r="AE253" s="192"/>
      <c r="AF253" s="192"/>
      <c r="AI253" s="192"/>
      <c r="AJ253" s="192"/>
      <c r="AK253" s="194"/>
      <c r="AL253" s="192"/>
      <c r="AM253" s="141"/>
      <c r="AN253" s="141"/>
    </row>
    <row r="254" spans="1:40" x14ac:dyDescent="0.3">
      <c r="C254" s="99"/>
      <c r="F254" s="172"/>
      <c r="H254" s="172"/>
      <c r="I254" s="172"/>
      <c r="J254" s="227"/>
      <c r="K254" s="227"/>
      <c r="L254" s="110"/>
      <c r="M254" s="110"/>
      <c r="N254" s="141"/>
      <c r="O254" s="141"/>
      <c r="P254" s="110"/>
      <c r="Q254" s="110"/>
      <c r="R254" s="110"/>
      <c r="S254" s="110"/>
      <c r="T254" s="99"/>
      <c r="V254" s="172"/>
      <c r="Y254" s="172"/>
      <c r="Z254" s="227"/>
      <c r="AA254" s="110"/>
      <c r="AB254" s="110"/>
      <c r="AC254" s="141"/>
      <c r="AD254" s="141"/>
      <c r="AE254" s="110"/>
      <c r="AF254" s="110"/>
      <c r="AH254" s="141"/>
      <c r="AI254" s="110"/>
      <c r="AJ254" s="110"/>
      <c r="AL254" s="110"/>
      <c r="AM254" s="141"/>
      <c r="AN254" s="141"/>
    </row>
    <row r="255" spans="1:40" x14ac:dyDescent="0.3">
      <c r="C255" s="99"/>
      <c r="F255" s="172"/>
      <c r="H255" s="172"/>
      <c r="I255" s="172"/>
      <c r="J255" s="181"/>
      <c r="K255" s="181"/>
      <c r="L255" s="110"/>
      <c r="M255" s="110"/>
      <c r="N255" s="141"/>
      <c r="O255" s="141"/>
      <c r="P255" s="110"/>
      <c r="Q255" s="110"/>
      <c r="R255" s="110"/>
      <c r="T255" s="99"/>
      <c r="V255" s="172"/>
      <c r="Y255" s="110"/>
      <c r="Z255" s="181"/>
      <c r="AA255" s="110"/>
      <c r="AB255" s="110"/>
      <c r="AC255" s="141"/>
      <c r="AD255" s="141"/>
      <c r="AE255" s="110"/>
      <c r="AF255" s="110"/>
      <c r="AH255" s="207"/>
      <c r="AI255" s="110"/>
      <c r="AJ255" s="110"/>
      <c r="AL255" s="110"/>
      <c r="AM255" s="141"/>
      <c r="AN255" s="141"/>
    </row>
    <row r="256" spans="1:40" x14ac:dyDescent="0.3">
      <c r="C256" s="99"/>
      <c r="F256" s="172"/>
      <c r="H256" s="172"/>
      <c r="I256" s="172"/>
      <c r="J256" s="181"/>
      <c r="K256" s="181"/>
      <c r="L256" s="110"/>
      <c r="M256" s="110"/>
      <c r="N256" s="141"/>
      <c r="O256" s="141"/>
      <c r="P256" s="110"/>
      <c r="Q256" s="110"/>
      <c r="R256" s="110"/>
      <c r="T256" s="99"/>
      <c r="V256" s="172"/>
      <c r="Y256" s="110"/>
      <c r="Z256" s="181"/>
      <c r="AA256" s="110"/>
      <c r="AB256" s="110"/>
      <c r="AC256" s="141"/>
      <c r="AD256" s="141"/>
      <c r="AE256" s="110"/>
      <c r="AF256" s="110"/>
      <c r="AH256" s="207"/>
      <c r="AI256" s="110"/>
      <c r="AJ256" s="110"/>
      <c r="AL256" s="110"/>
      <c r="AM256" s="141"/>
      <c r="AN256" s="141"/>
    </row>
    <row r="257" spans="3:40" x14ac:dyDescent="0.3">
      <c r="F257" s="192"/>
      <c r="H257" s="192"/>
      <c r="I257" s="192"/>
      <c r="J257" s="217"/>
      <c r="K257" s="217"/>
      <c r="L257" s="192"/>
      <c r="M257" s="192"/>
      <c r="N257" s="192"/>
      <c r="O257" s="192"/>
      <c r="P257" s="192"/>
      <c r="Q257" s="192"/>
      <c r="R257" s="192"/>
      <c r="V257" s="192"/>
      <c r="Y257" s="192"/>
      <c r="Z257" s="217"/>
      <c r="AA257" s="192"/>
      <c r="AB257" s="192"/>
      <c r="AC257" s="192"/>
      <c r="AD257" s="192"/>
      <c r="AE257" s="192"/>
      <c r="AF257" s="192"/>
      <c r="AI257" s="192"/>
      <c r="AJ257" s="192"/>
      <c r="AK257" s="194"/>
      <c r="AL257" s="192"/>
      <c r="AM257" s="141"/>
      <c r="AN257" s="141"/>
    </row>
    <row r="258" spans="3:40" x14ac:dyDescent="0.3">
      <c r="C258" s="99"/>
      <c r="F258" s="110"/>
      <c r="H258" s="110"/>
      <c r="I258" s="110"/>
      <c r="J258" s="198"/>
      <c r="K258" s="198"/>
      <c r="L258" s="110"/>
      <c r="M258" s="110"/>
      <c r="N258" s="141"/>
      <c r="O258" s="141"/>
      <c r="P258" s="110"/>
      <c r="Q258" s="110"/>
      <c r="R258" s="110"/>
      <c r="T258" s="99"/>
      <c r="V258" s="110"/>
      <c r="Y258" s="110"/>
      <c r="Z258" s="198"/>
      <c r="AA258" s="110"/>
      <c r="AB258" s="110"/>
      <c r="AC258" s="141"/>
      <c r="AD258" s="141"/>
      <c r="AE258" s="110"/>
      <c r="AF258" s="110"/>
      <c r="AH258" s="207"/>
      <c r="AI258" s="110"/>
      <c r="AJ258" s="110"/>
      <c r="AL258" s="110"/>
      <c r="AM258" s="141"/>
      <c r="AN258" s="141"/>
    </row>
    <row r="259" spans="3:40" x14ac:dyDescent="0.3">
      <c r="F259" s="192"/>
      <c r="H259" s="192"/>
      <c r="I259" s="192"/>
      <c r="J259" s="217"/>
      <c r="K259" s="217"/>
      <c r="L259" s="192"/>
      <c r="M259" s="192"/>
      <c r="N259" s="192"/>
      <c r="O259" s="192"/>
      <c r="P259" s="192"/>
      <c r="Q259" s="192"/>
      <c r="R259" s="192"/>
      <c r="V259" s="192"/>
      <c r="Y259" s="192"/>
      <c r="Z259" s="217"/>
      <c r="AA259" s="192"/>
      <c r="AB259" s="192"/>
      <c r="AC259" s="192"/>
      <c r="AD259" s="192"/>
      <c r="AE259" s="192"/>
      <c r="AF259" s="192"/>
      <c r="AI259" s="192"/>
      <c r="AJ259" s="192"/>
      <c r="AK259" s="194"/>
      <c r="AL259" s="192"/>
      <c r="AM259" s="141"/>
      <c r="AN259" s="141"/>
    </row>
    <row r="260" spans="3:40" x14ac:dyDescent="0.3">
      <c r="C260" s="99"/>
      <c r="F260" s="110"/>
      <c r="H260" s="110"/>
      <c r="I260" s="110"/>
      <c r="J260" s="198"/>
      <c r="K260" s="198"/>
      <c r="L260" s="110"/>
      <c r="M260" s="110"/>
      <c r="N260" s="141"/>
      <c r="O260" s="141"/>
      <c r="P260" s="110"/>
      <c r="Q260" s="110"/>
      <c r="R260" s="110"/>
      <c r="T260" s="99"/>
      <c r="V260" s="110"/>
      <c r="Y260" s="110"/>
      <c r="Z260" s="198"/>
      <c r="AA260" s="110"/>
      <c r="AB260" s="110"/>
      <c r="AC260" s="141"/>
      <c r="AD260" s="141"/>
      <c r="AE260" s="110"/>
      <c r="AF260" s="110"/>
      <c r="AH260" s="207"/>
      <c r="AI260" s="110"/>
      <c r="AJ260" s="110"/>
      <c r="AL260" s="110"/>
      <c r="AM260" s="141"/>
      <c r="AN260" s="141"/>
    </row>
    <row r="261" spans="3:40" x14ac:dyDescent="0.3">
      <c r="C261" s="99"/>
      <c r="F261" s="110"/>
      <c r="H261" s="172"/>
      <c r="I261" s="172"/>
      <c r="J261" s="222"/>
      <c r="K261" s="222"/>
      <c r="L261" s="110"/>
      <c r="M261" s="110"/>
      <c r="N261" s="141"/>
      <c r="O261" s="141"/>
      <c r="P261" s="110"/>
      <c r="Q261" s="110"/>
      <c r="R261" s="110"/>
      <c r="T261" s="99"/>
      <c r="V261" s="110"/>
      <c r="Y261" s="110"/>
      <c r="Z261" s="216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3:40" x14ac:dyDescent="0.3"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  <c r="AM262" s="141"/>
      <c r="AN262" s="141"/>
    </row>
    <row r="263" spans="3:40" x14ac:dyDescent="0.3">
      <c r="F263" s="192"/>
    </row>
    <row r="264" spans="3:40" x14ac:dyDescent="0.3">
      <c r="C264" s="99"/>
      <c r="F264" s="110"/>
      <c r="H264" s="110"/>
      <c r="I264" s="110"/>
      <c r="J264" s="217"/>
      <c r="K264" s="217"/>
      <c r="L264" s="110"/>
      <c r="M264" s="110"/>
      <c r="N264" s="141"/>
      <c r="O264" s="141"/>
      <c r="P264" s="110"/>
      <c r="Q264" s="110"/>
      <c r="R264" s="110"/>
      <c r="S264" s="110"/>
      <c r="T264" s="99"/>
      <c r="V264" s="110"/>
      <c r="Y264" s="110"/>
      <c r="Z264" s="217"/>
      <c r="AA264" s="110"/>
      <c r="AB264" s="110"/>
      <c r="AC264" s="141"/>
      <c r="AD264" s="141"/>
      <c r="AE264" s="110"/>
      <c r="AF264" s="110"/>
      <c r="AH264" s="141"/>
      <c r="AI264" s="110"/>
      <c r="AJ264" s="110"/>
      <c r="AL264" s="110"/>
      <c r="AM264" s="141"/>
      <c r="AN264" s="141"/>
    </row>
    <row r="265" spans="3:40" x14ac:dyDescent="0.3">
      <c r="F265" s="192"/>
      <c r="H265" s="192"/>
      <c r="I265" s="192"/>
      <c r="J265" s="217"/>
      <c r="K265" s="217"/>
      <c r="L265" s="192"/>
      <c r="M265" s="192"/>
      <c r="N265" s="192"/>
      <c r="O265" s="192"/>
      <c r="P265" s="192"/>
      <c r="Q265" s="192"/>
      <c r="R265" s="192"/>
      <c r="S265" s="110"/>
      <c r="V265" s="192"/>
      <c r="Y265" s="192"/>
      <c r="Z265" s="217"/>
      <c r="AA265" s="192"/>
      <c r="AB265" s="192"/>
      <c r="AC265" s="192"/>
      <c r="AD265" s="192"/>
      <c r="AE265" s="192"/>
      <c r="AF265" s="192"/>
      <c r="AI265" s="192"/>
      <c r="AJ265" s="192"/>
      <c r="AK265" s="194"/>
      <c r="AL265" s="192"/>
      <c r="AM265" s="141"/>
      <c r="AN265" s="141"/>
    </row>
    <row r="266" spans="3:40" x14ac:dyDescent="0.3">
      <c r="C266" s="99"/>
      <c r="H266" s="172"/>
      <c r="I266" s="172"/>
      <c r="J266" s="217"/>
      <c r="K266" s="217"/>
      <c r="L266" s="110"/>
      <c r="M266" s="110"/>
      <c r="N266" s="141"/>
      <c r="O266" s="141"/>
      <c r="P266" s="110"/>
      <c r="Q266" s="110"/>
      <c r="R266" s="110"/>
      <c r="S266" s="110"/>
      <c r="T266" s="99"/>
      <c r="V266" s="172"/>
      <c r="Y266" s="172"/>
      <c r="Z266" s="217"/>
      <c r="AA266" s="110"/>
      <c r="AB266" s="110"/>
      <c r="AC266" s="141"/>
      <c r="AD266" s="141"/>
      <c r="AE266" s="110"/>
      <c r="AF266" s="110"/>
      <c r="AI266" s="110"/>
      <c r="AJ266" s="110"/>
      <c r="AL266" s="110"/>
      <c r="AM266" s="141"/>
      <c r="AN266" s="141"/>
    </row>
    <row r="267" spans="3:40" x14ac:dyDescent="0.3">
      <c r="F267" s="172"/>
    </row>
    <row r="268" spans="3:40" x14ac:dyDescent="0.3">
      <c r="C268" s="99"/>
      <c r="F268" s="172"/>
      <c r="H268" s="172"/>
      <c r="I268" s="172"/>
      <c r="J268" s="181"/>
      <c r="K268" s="181"/>
      <c r="L268" s="110"/>
      <c r="M268" s="110"/>
      <c r="N268" s="141"/>
      <c r="O268" s="141"/>
      <c r="R268" s="110"/>
      <c r="T268" s="99"/>
      <c r="V268" s="110"/>
      <c r="Y268" s="172"/>
      <c r="Z268" s="181"/>
      <c r="AA268" s="110"/>
      <c r="AB268" s="110"/>
      <c r="AC268" s="141"/>
      <c r="AD268" s="141"/>
      <c r="AE268" s="110"/>
      <c r="AF268" s="110"/>
      <c r="AH268" s="207"/>
      <c r="AL268" s="110"/>
      <c r="AM268" s="141"/>
      <c r="AN268" s="141"/>
    </row>
    <row r="269" spans="3:40" x14ac:dyDescent="0.3">
      <c r="F269" s="192"/>
      <c r="H269" s="110"/>
      <c r="I269" s="110"/>
      <c r="J269" s="217"/>
      <c r="K269" s="217"/>
      <c r="L269" s="192"/>
      <c r="M269" s="192"/>
      <c r="N269" s="192"/>
      <c r="O269" s="192"/>
      <c r="P269" s="192"/>
      <c r="Q269" s="192"/>
      <c r="R269" s="192"/>
      <c r="V269" s="192"/>
      <c r="Y269" s="110"/>
      <c r="Z269" s="217"/>
      <c r="AA269" s="192"/>
      <c r="AB269" s="192"/>
      <c r="AC269" s="192"/>
      <c r="AD269" s="192"/>
      <c r="AE269" s="192"/>
      <c r="AF269" s="192"/>
      <c r="AI269" s="192"/>
      <c r="AJ269" s="192"/>
      <c r="AK269" s="194"/>
      <c r="AL269" s="192"/>
      <c r="AM269" s="141"/>
      <c r="AN269" s="141"/>
    </row>
    <row r="270" spans="3:40" x14ac:dyDescent="0.3">
      <c r="C270" s="99"/>
      <c r="F270" s="172"/>
      <c r="H270" s="172"/>
      <c r="I270" s="172"/>
      <c r="J270" s="227"/>
      <c r="K270" s="227"/>
      <c r="L270" s="110"/>
      <c r="M270" s="110"/>
      <c r="N270" s="141"/>
      <c r="O270" s="141"/>
      <c r="P270" s="110"/>
      <c r="Q270" s="110"/>
      <c r="R270" s="110"/>
      <c r="S270" s="110"/>
      <c r="T270" s="99"/>
      <c r="V270" s="172"/>
      <c r="Y270" s="172"/>
      <c r="Z270" s="227"/>
      <c r="AA270" s="110"/>
      <c r="AB270" s="110"/>
      <c r="AC270" s="141"/>
      <c r="AD270" s="141"/>
      <c r="AE270" s="110"/>
      <c r="AF270" s="110"/>
      <c r="AH270" s="141"/>
      <c r="AI270" s="110"/>
      <c r="AJ270" s="110"/>
      <c r="AL270" s="110"/>
      <c r="AM270" s="141"/>
      <c r="AN270" s="141"/>
    </row>
    <row r="271" spans="3:40" x14ac:dyDescent="0.3">
      <c r="C271" s="99"/>
      <c r="F271" s="172"/>
      <c r="H271" s="172"/>
      <c r="I271" s="172"/>
      <c r="J271" s="181"/>
      <c r="K271" s="181"/>
      <c r="L271" s="110"/>
      <c r="M271" s="110"/>
      <c r="N271" s="141"/>
      <c r="O271" s="141"/>
      <c r="P271" s="110"/>
      <c r="Q271" s="110"/>
      <c r="R271" s="110"/>
      <c r="T271" s="99"/>
      <c r="V271" s="172"/>
      <c r="Y271" s="110"/>
      <c r="Z271" s="181"/>
      <c r="AA271" s="110"/>
      <c r="AB271" s="110"/>
      <c r="AC271" s="141"/>
      <c r="AD271" s="141"/>
      <c r="AE271" s="110"/>
      <c r="AF271" s="110"/>
      <c r="AH271" s="207"/>
      <c r="AI271" s="110"/>
      <c r="AJ271" s="110"/>
      <c r="AL271" s="110"/>
      <c r="AM271" s="141"/>
      <c r="AN271" s="141"/>
    </row>
    <row r="272" spans="3:40" x14ac:dyDescent="0.3">
      <c r="C272" s="99"/>
      <c r="F272" s="172"/>
      <c r="H272" s="172"/>
      <c r="I272" s="172"/>
      <c r="J272" s="181"/>
      <c r="K272" s="181"/>
      <c r="L272" s="110"/>
      <c r="M272" s="110"/>
      <c r="N272" s="141"/>
      <c r="O272" s="141"/>
      <c r="P272" s="110"/>
      <c r="Q272" s="110"/>
      <c r="R272" s="110"/>
      <c r="T272" s="99"/>
      <c r="V272" s="172"/>
      <c r="Y272" s="110"/>
      <c r="Z272" s="181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1:40" x14ac:dyDescent="0.3">
      <c r="F273" s="192"/>
      <c r="H273" s="192"/>
      <c r="I273" s="192"/>
      <c r="J273" s="217"/>
      <c r="K273" s="217"/>
      <c r="L273" s="192"/>
      <c r="M273" s="192"/>
      <c r="N273" s="192"/>
      <c r="O273" s="192"/>
      <c r="P273" s="192"/>
      <c r="Q273" s="192"/>
      <c r="R273" s="192"/>
      <c r="V273" s="192"/>
      <c r="Y273" s="192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  <c r="AM273" s="141"/>
      <c r="AN273" s="141"/>
    </row>
    <row r="274" spans="1:40" x14ac:dyDescent="0.3">
      <c r="C274" s="99"/>
      <c r="F274" s="110"/>
      <c r="H274" s="110"/>
      <c r="I274" s="110"/>
      <c r="J274" s="198"/>
      <c r="K274" s="198"/>
      <c r="L274" s="110"/>
      <c r="M274" s="110"/>
      <c r="N274" s="141"/>
      <c r="O274" s="141"/>
      <c r="P274" s="110"/>
      <c r="Q274" s="110"/>
      <c r="R274" s="110"/>
      <c r="T274" s="99"/>
      <c r="V274" s="110"/>
      <c r="Y274" s="110"/>
      <c r="Z274" s="198"/>
      <c r="AA274" s="110"/>
      <c r="AB274" s="110"/>
      <c r="AC274" s="141"/>
      <c r="AD274" s="141"/>
      <c r="AE274" s="110"/>
      <c r="AF274" s="110"/>
      <c r="AH274" s="207"/>
      <c r="AI274" s="110"/>
      <c r="AJ274" s="110"/>
      <c r="AL274" s="110"/>
      <c r="AM274" s="141"/>
      <c r="AN274" s="141"/>
    </row>
    <row r="275" spans="1:40" x14ac:dyDescent="0.3">
      <c r="F275" s="192"/>
      <c r="H275" s="192"/>
      <c r="I275" s="192"/>
      <c r="J275" s="217"/>
      <c r="K275" s="217"/>
      <c r="L275" s="192"/>
      <c r="M275" s="192"/>
      <c r="N275" s="192"/>
      <c r="O275" s="192"/>
      <c r="P275" s="192"/>
      <c r="Q275" s="192"/>
      <c r="R275" s="192"/>
      <c r="V275" s="192"/>
      <c r="Y275" s="192"/>
      <c r="Z275" s="217"/>
      <c r="AA275" s="192"/>
      <c r="AB275" s="192"/>
      <c r="AC275" s="192"/>
      <c r="AD275" s="192"/>
      <c r="AE275" s="192"/>
      <c r="AF275" s="192"/>
      <c r="AI275" s="192"/>
      <c r="AJ275" s="192"/>
      <c r="AK275" s="194"/>
      <c r="AL275" s="192"/>
      <c r="AM275" s="141"/>
      <c r="AN275" s="141"/>
    </row>
    <row r="276" spans="1:40" x14ac:dyDescent="0.3">
      <c r="C276" s="99"/>
      <c r="F276" s="110"/>
      <c r="H276" s="110"/>
      <c r="I276" s="110"/>
      <c r="J276" s="198"/>
      <c r="K276" s="198"/>
      <c r="L276" s="110"/>
      <c r="M276" s="110"/>
      <c r="N276" s="141"/>
      <c r="O276" s="141"/>
      <c r="P276" s="110"/>
      <c r="Q276" s="110"/>
      <c r="R276" s="110"/>
      <c r="T276" s="99"/>
      <c r="V276" s="110"/>
      <c r="Y276" s="110"/>
      <c r="Z276" s="198"/>
      <c r="AA276" s="110"/>
      <c r="AB276" s="110"/>
      <c r="AC276" s="141"/>
      <c r="AD276" s="141"/>
      <c r="AE276" s="110"/>
      <c r="AF276" s="110"/>
      <c r="AH276" s="207"/>
      <c r="AI276" s="110"/>
      <c r="AJ276" s="110"/>
      <c r="AL276" s="110"/>
      <c r="AM276" s="141"/>
      <c r="AN276" s="141"/>
    </row>
    <row r="277" spans="1:40" x14ac:dyDescent="0.3">
      <c r="C277" s="99"/>
      <c r="F277" s="110"/>
      <c r="H277" s="172"/>
      <c r="I277" s="172"/>
      <c r="J277" s="222"/>
      <c r="K277" s="222"/>
      <c r="L277" s="110"/>
      <c r="M277" s="110"/>
      <c r="N277" s="141"/>
      <c r="O277" s="141"/>
      <c r="P277" s="110"/>
      <c r="Q277" s="110"/>
      <c r="R277" s="110"/>
      <c r="T277" s="99"/>
      <c r="V277" s="110"/>
      <c r="Y277" s="110"/>
      <c r="Z277" s="216"/>
      <c r="AA277" s="110"/>
      <c r="AB277" s="110"/>
      <c r="AC277" s="141"/>
      <c r="AD277" s="141"/>
      <c r="AE277" s="110"/>
      <c r="AF277" s="110"/>
      <c r="AH277" s="207"/>
      <c r="AI277" s="110"/>
      <c r="AJ277" s="110"/>
      <c r="AL277" s="110"/>
      <c r="AM277" s="141"/>
      <c r="AN277" s="141"/>
    </row>
    <row r="278" spans="1:40" x14ac:dyDescent="0.3">
      <c r="H278" s="192"/>
      <c r="I278" s="192"/>
      <c r="J278" s="217"/>
      <c r="K278" s="217"/>
      <c r="L278" s="192"/>
      <c r="M278" s="192"/>
      <c r="N278" s="192"/>
      <c r="O278" s="192"/>
      <c r="P278" s="192"/>
      <c r="Q278" s="192"/>
      <c r="R278" s="192"/>
      <c r="V278" s="192"/>
      <c r="Y278" s="192"/>
      <c r="Z278" s="217"/>
      <c r="AA278" s="192"/>
      <c r="AB278" s="192"/>
      <c r="AC278" s="192"/>
      <c r="AD278" s="192"/>
      <c r="AE278" s="192"/>
      <c r="AF278" s="192"/>
      <c r="AI278" s="192"/>
      <c r="AJ278" s="192"/>
      <c r="AK278" s="194"/>
      <c r="AL278" s="192"/>
      <c r="AM278" s="141"/>
      <c r="AN278" s="141"/>
    </row>
    <row r="279" spans="1:40" x14ac:dyDescent="0.3">
      <c r="F279" s="192"/>
    </row>
    <row r="280" spans="1:40" x14ac:dyDescent="0.3">
      <c r="C280" s="99"/>
      <c r="F280" s="110"/>
      <c r="H280" s="110"/>
      <c r="I280" s="110"/>
      <c r="J280" s="217"/>
      <c r="K280" s="217"/>
      <c r="L280" s="110"/>
      <c r="M280" s="110"/>
      <c r="N280" s="141"/>
      <c r="O280" s="141"/>
      <c r="P280" s="110"/>
      <c r="Q280" s="110"/>
      <c r="R280" s="110"/>
      <c r="S280" s="110"/>
      <c r="T280" s="99"/>
      <c r="V280" s="110"/>
      <c r="Y280" s="110"/>
      <c r="Z280" s="217"/>
      <c r="AA280" s="110"/>
      <c r="AB280" s="110"/>
      <c r="AC280" s="141"/>
      <c r="AD280" s="141"/>
      <c r="AE280" s="110"/>
      <c r="AF280" s="110"/>
      <c r="AH280" s="141"/>
      <c r="AI280" s="110"/>
      <c r="AJ280" s="110"/>
      <c r="AL280" s="110"/>
      <c r="AM280" s="141"/>
      <c r="AN280" s="141"/>
    </row>
    <row r="281" spans="1:40" x14ac:dyDescent="0.3">
      <c r="F281" s="192"/>
      <c r="H281" s="192"/>
      <c r="I281" s="192"/>
      <c r="J281" s="217"/>
      <c r="K281" s="217"/>
      <c r="L281" s="192"/>
      <c r="M281" s="192"/>
      <c r="N281" s="192"/>
      <c r="O281" s="192"/>
      <c r="P281" s="192"/>
      <c r="Q281" s="192"/>
      <c r="R281" s="192"/>
      <c r="S281" s="110"/>
      <c r="V281" s="192"/>
      <c r="Y281" s="192"/>
      <c r="Z281" s="217"/>
      <c r="AA281" s="192"/>
      <c r="AB281" s="192"/>
      <c r="AC281" s="192"/>
      <c r="AD281" s="192"/>
      <c r="AE281" s="192"/>
      <c r="AF281" s="192"/>
      <c r="AI281" s="192"/>
      <c r="AJ281" s="192"/>
      <c r="AK281" s="194"/>
      <c r="AL281" s="192"/>
      <c r="AM281" s="141"/>
      <c r="AN281" s="141"/>
    </row>
    <row r="282" spans="1:40" x14ac:dyDescent="0.3">
      <c r="C282" s="99"/>
      <c r="T282" s="99"/>
    </row>
    <row r="283" spans="1:40" x14ac:dyDescent="0.3">
      <c r="C283" s="99"/>
      <c r="F283" s="110"/>
      <c r="H283" s="110"/>
      <c r="I283" s="110"/>
      <c r="L283" s="110"/>
      <c r="M283" s="110"/>
      <c r="N283" s="141"/>
      <c r="O283" s="141"/>
      <c r="P283" s="172"/>
      <c r="Q283" s="172"/>
      <c r="R283" s="110"/>
      <c r="T283" s="99"/>
      <c r="V283" s="110"/>
      <c r="Y283" s="110"/>
      <c r="AA283" s="110"/>
      <c r="AB283" s="110"/>
      <c r="AC283" s="141"/>
      <c r="AD283" s="141"/>
      <c r="AE283" s="110"/>
      <c r="AF283" s="110"/>
      <c r="AH283" s="141"/>
      <c r="AI283" s="172"/>
      <c r="AJ283" s="172"/>
      <c r="AL283" s="110"/>
      <c r="AM283" s="141"/>
      <c r="AN283" s="141"/>
    </row>
    <row r="284" spans="1:40" x14ac:dyDescent="0.3">
      <c r="H284" s="192"/>
      <c r="I284" s="192"/>
      <c r="J284" s="217"/>
      <c r="K284" s="217"/>
      <c r="L284" s="192"/>
      <c r="M284" s="192"/>
      <c r="N284" s="192"/>
      <c r="O284" s="192"/>
      <c r="P284" s="192"/>
      <c r="Q284" s="192"/>
      <c r="R284" s="192"/>
      <c r="V284" s="192"/>
      <c r="Y284" s="192"/>
      <c r="Z284" s="217"/>
      <c r="AA284" s="192"/>
      <c r="AB284" s="192"/>
      <c r="AC284" s="192"/>
      <c r="AD284" s="192"/>
      <c r="AE284" s="192"/>
      <c r="AF284" s="192"/>
      <c r="AI284" s="192"/>
      <c r="AJ284" s="192"/>
      <c r="AK284" s="194"/>
      <c r="AL284" s="192"/>
    </row>
    <row r="285" spans="1:40" x14ac:dyDescent="0.3">
      <c r="F285" s="192"/>
    </row>
    <row r="286" spans="1:40" x14ac:dyDescent="0.3">
      <c r="C286" s="99"/>
      <c r="L286" s="110"/>
      <c r="M286" s="110"/>
      <c r="N286" s="110"/>
      <c r="O286" s="110"/>
      <c r="P286" s="110"/>
      <c r="Q286" s="110"/>
      <c r="R286" s="110"/>
      <c r="S286" s="110"/>
      <c r="T286" s="99"/>
      <c r="AA286" s="110"/>
      <c r="AB286" s="110"/>
      <c r="AC286" s="110"/>
      <c r="AD286" s="110"/>
      <c r="AI286" s="110"/>
      <c r="AJ286" s="110"/>
      <c r="AL286" s="110"/>
    </row>
    <row r="287" spans="1:40" x14ac:dyDescent="0.3">
      <c r="A287" s="99"/>
    </row>
    <row r="289" spans="1:40" x14ac:dyDescent="0.3">
      <c r="H289" s="99"/>
      <c r="I289" s="99"/>
      <c r="Y289" s="99"/>
    </row>
    <row r="291" spans="1:40" x14ac:dyDescent="0.3">
      <c r="L291" s="99"/>
      <c r="M291" s="99"/>
      <c r="AA291" s="99"/>
      <c r="AB291" s="99"/>
    </row>
    <row r="292" spans="1:40" x14ac:dyDescent="0.3">
      <c r="R292" s="99"/>
      <c r="AK292" s="190"/>
      <c r="AL292" s="99"/>
    </row>
    <row r="293" spans="1:40" x14ac:dyDescent="0.3">
      <c r="R293" s="99"/>
      <c r="AK293" s="190"/>
      <c r="AL293" s="99"/>
    </row>
    <row r="294" spans="1:40" x14ac:dyDescent="0.3">
      <c r="A294" s="99"/>
      <c r="R294" s="99"/>
      <c r="AK294" s="190"/>
      <c r="AL294" s="99"/>
    </row>
    <row r="295" spans="1:40" x14ac:dyDescent="0.3">
      <c r="L295" s="99"/>
      <c r="M295" s="99"/>
      <c r="AA295" s="99"/>
      <c r="AB295" s="99"/>
    </row>
    <row r="296" spans="1:40" x14ac:dyDescent="0.3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91"/>
      <c r="AH296" s="101"/>
      <c r="AI296" s="101"/>
      <c r="AJ296" s="101"/>
      <c r="AK296" s="191"/>
      <c r="AL296" s="101"/>
      <c r="AM296" s="101"/>
      <c r="AN296" s="101"/>
    </row>
    <row r="297" spans="1:40" x14ac:dyDescent="0.3">
      <c r="L297" s="102"/>
      <c r="M297" s="102"/>
      <c r="N297" s="102"/>
      <c r="O297" s="102"/>
      <c r="R297" s="102"/>
      <c r="AA297" s="102"/>
      <c r="AB297" s="102"/>
      <c r="AC297" s="102"/>
      <c r="AD297" s="102"/>
      <c r="AE297" s="102"/>
      <c r="AF297" s="102"/>
      <c r="AG297" s="151"/>
      <c r="AH297" s="102"/>
      <c r="AK297" s="151"/>
      <c r="AL297" s="102"/>
      <c r="AM297" s="102"/>
      <c r="AN297" s="102"/>
    </row>
    <row r="298" spans="1:40" x14ac:dyDescent="0.3">
      <c r="L298" s="102"/>
      <c r="M298" s="102"/>
      <c r="N298" s="102"/>
      <c r="O298" s="102"/>
      <c r="R298" s="102"/>
      <c r="Z298" s="102"/>
      <c r="AA298" s="102"/>
      <c r="AB298" s="102"/>
      <c r="AC298" s="102"/>
      <c r="AD298" s="102"/>
      <c r="AE298" s="102"/>
      <c r="AF298" s="102"/>
      <c r="AG298" s="151"/>
      <c r="AH298" s="102"/>
      <c r="AK298" s="151"/>
      <c r="AL298" s="102"/>
      <c r="AM298" s="102"/>
      <c r="AN298" s="102"/>
    </row>
    <row r="299" spans="1:40" x14ac:dyDescent="0.3">
      <c r="A299" s="102"/>
      <c r="C299" s="102"/>
      <c r="D299" s="102"/>
      <c r="E299" s="102"/>
      <c r="F299" s="102"/>
      <c r="J299" s="102"/>
      <c r="K299" s="102"/>
      <c r="L299" s="102"/>
      <c r="M299" s="102"/>
      <c r="N299" s="102"/>
      <c r="O299" s="102"/>
      <c r="P299" s="102"/>
      <c r="Q299" s="102"/>
      <c r="R299" s="102"/>
      <c r="T299" s="102"/>
      <c r="U299" s="102"/>
      <c r="V299" s="102"/>
      <c r="Z299" s="102"/>
      <c r="AA299" s="102"/>
      <c r="AB299" s="102"/>
      <c r="AC299" s="102"/>
      <c r="AD299" s="102"/>
      <c r="AE299" s="102"/>
      <c r="AF299" s="102"/>
      <c r="AG299" s="151"/>
      <c r="AH299" s="102"/>
      <c r="AI299" s="102"/>
      <c r="AJ299" s="102"/>
      <c r="AK299" s="151"/>
      <c r="AL299" s="102"/>
      <c r="AM299" s="102"/>
      <c r="AN299" s="102"/>
    </row>
    <row r="300" spans="1:40" x14ac:dyDescent="0.3">
      <c r="A300" s="102"/>
      <c r="C300" s="102"/>
      <c r="D300" s="102"/>
      <c r="E300" s="102"/>
      <c r="F300" s="102"/>
      <c r="H300" s="102"/>
      <c r="I300" s="102"/>
      <c r="J300" s="102"/>
      <c r="K300" s="102"/>
      <c r="L300" s="102"/>
      <c r="M300" s="102"/>
      <c r="N300" s="102"/>
      <c r="O300" s="102"/>
      <c r="P300" s="102"/>
      <c r="Q300" s="102"/>
      <c r="R300" s="102"/>
      <c r="T300" s="102"/>
      <c r="U300" s="102"/>
      <c r="V300" s="102"/>
      <c r="Y300" s="102"/>
      <c r="Z300" s="102"/>
      <c r="AA300" s="102"/>
      <c r="AB300" s="102"/>
      <c r="AC300" s="102"/>
      <c r="AD300" s="102"/>
      <c r="AE300" s="102"/>
      <c r="AF300" s="102"/>
      <c r="AG300" s="151"/>
      <c r="AH300" s="102"/>
      <c r="AI300" s="102"/>
      <c r="AJ300" s="102"/>
      <c r="AK300" s="151"/>
      <c r="AL300" s="102"/>
      <c r="AM300" s="102"/>
      <c r="AN300" s="102"/>
    </row>
    <row r="301" spans="1:40" x14ac:dyDescent="0.3">
      <c r="C301" s="102"/>
      <c r="D301" s="102"/>
      <c r="E301" s="102"/>
      <c r="F301" s="102"/>
      <c r="H301" s="102"/>
      <c r="I301" s="102"/>
      <c r="J301" s="102"/>
      <c r="K301" s="102"/>
      <c r="L301" s="102"/>
      <c r="M301" s="102"/>
      <c r="N301" s="102"/>
      <c r="O301" s="102"/>
      <c r="P301" s="102"/>
      <c r="Q301" s="102"/>
      <c r="R301" s="102"/>
      <c r="T301" s="102"/>
      <c r="U301" s="102"/>
      <c r="V301" s="102"/>
      <c r="Y301" s="102"/>
      <c r="Z301" s="102"/>
      <c r="AA301" s="102"/>
      <c r="AB301" s="102"/>
      <c r="AC301" s="102"/>
      <c r="AD301" s="102"/>
      <c r="AE301" s="102"/>
      <c r="AF301" s="102"/>
      <c r="AG301" s="151"/>
      <c r="AH301" s="102"/>
      <c r="AI301" s="102"/>
      <c r="AJ301" s="102"/>
      <c r="AK301" s="151"/>
      <c r="AL301" s="102"/>
      <c r="AM301" s="102"/>
      <c r="AN301" s="102"/>
    </row>
    <row r="302" spans="1:40" x14ac:dyDescent="0.3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91"/>
      <c r="AH302" s="101"/>
      <c r="AI302" s="101"/>
      <c r="AJ302" s="101"/>
      <c r="AK302" s="191"/>
      <c r="AL302" s="101"/>
      <c r="AM302" s="101"/>
      <c r="AN302" s="101"/>
    </row>
    <row r="303" spans="1:40" x14ac:dyDescent="0.3">
      <c r="H303" s="102"/>
      <c r="I303" s="102"/>
      <c r="J303" s="102"/>
      <c r="K303" s="102"/>
      <c r="L303" s="102"/>
      <c r="M303" s="102"/>
      <c r="N303" s="102"/>
      <c r="O303" s="102"/>
      <c r="P303" s="102"/>
      <c r="Q303" s="102"/>
      <c r="R303" s="102"/>
      <c r="Y303" s="102"/>
      <c r="Z303" s="102"/>
      <c r="AA303" s="102"/>
      <c r="AB303" s="102"/>
      <c r="AC303" s="102"/>
      <c r="AD303" s="102"/>
      <c r="AE303" s="102"/>
      <c r="AF303" s="102"/>
      <c r="AG303" s="151"/>
      <c r="AH303" s="102"/>
      <c r="AI303" s="102"/>
      <c r="AJ303" s="102"/>
      <c r="AK303" s="151"/>
      <c r="AL303" s="102"/>
      <c r="AM303" s="102"/>
      <c r="AN303" s="102"/>
    </row>
    <row r="304" spans="1:40" x14ac:dyDescent="0.3">
      <c r="C304" s="99"/>
      <c r="D304" s="99"/>
      <c r="E304" s="99"/>
      <c r="T304" s="99"/>
      <c r="U304" s="99"/>
    </row>
    <row r="305" spans="3:40" x14ac:dyDescent="0.3">
      <c r="D305" s="99"/>
      <c r="E305" s="99"/>
      <c r="U305" s="99"/>
    </row>
    <row r="307" spans="3:40" x14ac:dyDescent="0.3">
      <c r="C307" s="99"/>
      <c r="T307" s="99"/>
    </row>
    <row r="308" spans="3:40" x14ac:dyDescent="0.3">
      <c r="C308" s="99"/>
      <c r="F308" s="172"/>
      <c r="H308" s="172"/>
      <c r="I308" s="172"/>
      <c r="J308" s="228"/>
      <c r="K308" s="228"/>
      <c r="L308" s="110"/>
      <c r="M308" s="110"/>
      <c r="N308" s="141"/>
      <c r="O308" s="141"/>
      <c r="P308" s="110"/>
      <c r="Q308" s="110"/>
      <c r="R308" s="110"/>
      <c r="T308" s="99"/>
      <c r="V308" s="172"/>
      <c r="W308" s="110"/>
      <c r="X308" s="110"/>
      <c r="Y308" s="172"/>
      <c r="Z308" s="228"/>
      <c r="AA308" s="110"/>
      <c r="AB308" s="110"/>
      <c r="AC308" s="141"/>
      <c r="AD308" s="141"/>
      <c r="AE308" s="110"/>
      <c r="AF308" s="110"/>
      <c r="AH308" s="207"/>
      <c r="AI308" s="110"/>
      <c r="AJ308" s="110"/>
      <c r="AL308" s="110"/>
      <c r="AM308" s="141"/>
      <c r="AN308" s="141"/>
    </row>
    <row r="309" spans="3:40" x14ac:dyDescent="0.3">
      <c r="C309" s="99"/>
      <c r="F309" s="110"/>
      <c r="H309" s="110"/>
      <c r="I309" s="110"/>
      <c r="J309" s="217"/>
      <c r="K309" s="217"/>
      <c r="L309" s="110"/>
      <c r="M309" s="110"/>
      <c r="N309" s="141"/>
      <c r="O309" s="141"/>
      <c r="P309" s="110"/>
      <c r="Q309" s="110"/>
      <c r="R309" s="110"/>
      <c r="T309" s="99"/>
      <c r="V309" s="172"/>
      <c r="W309" s="110"/>
      <c r="X309" s="110"/>
      <c r="Y309" s="172"/>
      <c r="Z309" s="217"/>
      <c r="AA309" s="110"/>
      <c r="AB309" s="110"/>
      <c r="AC309" s="141"/>
      <c r="AD309" s="141"/>
      <c r="AE309" s="110"/>
      <c r="AF309" s="110"/>
      <c r="AH309" s="207"/>
      <c r="AI309" s="110"/>
      <c r="AJ309" s="110"/>
      <c r="AL309" s="110"/>
      <c r="AM309" s="141"/>
      <c r="AN309" s="141"/>
    </row>
    <row r="310" spans="3:40" x14ac:dyDescent="0.3">
      <c r="C310" s="99"/>
      <c r="F310" s="172"/>
      <c r="H310" s="172"/>
      <c r="I310" s="172"/>
      <c r="J310" s="228"/>
      <c r="K310" s="228"/>
      <c r="L310" s="110"/>
      <c r="M310" s="110"/>
      <c r="N310" s="141"/>
      <c r="O310" s="141"/>
      <c r="P310" s="110"/>
      <c r="Q310" s="110"/>
      <c r="R310" s="110"/>
      <c r="T310" s="99"/>
      <c r="V310" s="172"/>
      <c r="W310" s="110"/>
      <c r="X310" s="110"/>
      <c r="Y310" s="172"/>
      <c r="Z310" s="228"/>
      <c r="AA310" s="110"/>
      <c r="AB310" s="110"/>
      <c r="AC310" s="141"/>
      <c r="AD310" s="141"/>
      <c r="AE310" s="110"/>
      <c r="AF310" s="110"/>
      <c r="AH310" s="207"/>
      <c r="AI310" s="110"/>
      <c r="AJ310" s="110"/>
      <c r="AL310" s="110"/>
      <c r="AM310" s="141"/>
      <c r="AN310" s="141"/>
    </row>
    <row r="311" spans="3:40" x14ac:dyDescent="0.3">
      <c r="C311" s="99"/>
      <c r="F311" s="172"/>
      <c r="H311" s="172"/>
      <c r="I311" s="172"/>
      <c r="J311" s="228"/>
      <c r="K311" s="228"/>
      <c r="L311" s="110"/>
      <c r="M311" s="110"/>
      <c r="N311" s="141"/>
      <c r="O311" s="141"/>
      <c r="P311" s="110"/>
      <c r="Q311" s="110"/>
      <c r="R311" s="110"/>
      <c r="T311" s="99"/>
      <c r="V311" s="172"/>
      <c r="W311" s="110"/>
      <c r="X311" s="110"/>
      <c r="Y311" s="172"/>
      <c r="Z311" s="228"/>
      <c r="AA311" s="110"/>
      <c r="AB311" s="110"/>
      <c r="AC311" s="141"/>
      <c r="AD311" s="141"/>
      <c r="AE311" s="110"/>
      <c r="AF311" s="110"/>
      <c r="AH311" s="207"/>
      <c r="AI311" s="110"/>
      <c r="AJ311" s="110"/>
      <c r="AL311" s="110"/>
      <c r="AM311" s="141"/>
      <c r="AN311" s="141"/>
    </row>
    <row r="312" spans="3:40" x14ac:dyDescent="0.3">
      <c r="C312" s="99"/>
      <c r="F312" s="172"/>
      <c r="H312" s="172"/>
      <c r="I312" s="172"/>
      <c r="J312" s="228"/>
      <c r="K312" s="228"/>
      <c r="L312" s="110"/>
      <c r="M312" s="110"/>
      <c r="N312" s="141"/>
      <c r="O312" s="141"/>
      <c r="P312" s="110"/>
      <c r="Q312" s="110"/>
      <c r="R312" s="110"/>
      <c r="T312" s="99"/>
      <c r="V312" s="172"/>
      <c r="W312" s="110"/>
      <c r="X312" s="110"/>
      <c r="Y312" s="172"/>
      <c r="Z312" s="228"/>
      <c r="AA312" s="110"/>
      <c r="AB312" s="110"/>
      <c r="AC312" s="141"/>
      <c r="AD312" s="141"/>
      <c r="AE312" s="110"/>
      <c r="AF312" s="110"/>
      <c r="AH312" s="207"/>
      <c r="AI312" s="110"/>
      <c r="AJ312" s="110"/>
      <c r="AL312" s="110"/>
      <c r="AM312" s="141"/>
      <c r="AN312" s="141"/>
    </row>
    <row r="313" spans="3:40" x14ac:dyDescent="0.3">
      <c r="C313" s="99"/>
      <c r="F313" s="110"/>
      <c r="H313" s="110"/>
      <c r="I313" s="110"/>
      <c r="J313" s="228"/>
      <c r="K313" s="228"/>
      <c r="L313" s="110"/>
      <c r="M313" s="110"/>
      <c r="N313" s="141"/>
      <c r="O313" s="141"/>
      <c r="P313" s="110"/>
      <c r="Q313" s="110"/>
      <c r="R313" s="110"/>
      <c r="T313" s="99"/>
      <c r="V313" s="172"/>
      <c r="W313" s="110"/>
      <c r="X313" s="110"/>
      <c r="Y313" s="172"/>
      <c r="Z313" s="228"/>
      <c r="AA313" s="110"/>
      <c r="AB313" s="110"/>
      <c r="AC313" s="141"/>
      <c r="AD313" s="141"/>
      <c r="AE313" s="110"/>
      <c r="AF313" s="110"/>
      <c r="AH313" s="207"/>
      <c r="AI313" s="110"/>
      <c r="AJ313" s="110"/>
      <c r="AL313" s="110"/>
      <c r="AM313" s="141"/>
      <c r="AN313" s="141"/>
    </row>
    <row r="314" spans="3:40" x14ac:dyDescent="0.3">
      <c r="C314" s="99"/>
      <c r="F314" s="110"/>
      <c r="H314" s="110"/>
      <c r="I314" s="110"/>
      <c r="J314" s="228"/>
      <c r="K314" s="228"/>
      <c r="L314" s="110"/>
      <c r="M314" s="110"/>
      <c r="N314" s="141"/>
      <c r="O314" s="141"/>
      <c r="P314" s="110"/>
      <c r="Q314" s="110"/>
      <c r="R314" s="110"/>
      <c r="T314" s="99"/>
      <c r="V314" s="172"/>
      <c r="W314" s="110"/>
      <c r="X314" s="110"/>
      <c r="Y314" s="172"/>
      <c r="Z314" s="228"/>
      <c r="AA314" s="110"/>
      <c r="AB314" s="110"/>
      <c r="AC314" s="141"/>
      <c r="AD314" s="141"/>
      <c r="AE314" s="110"/>
      <c r="AF314" s="110"/>
      <c r="AH314" s="207"/>
      <c r="AI314" s="110"/>
      <c r="AJ314" s="110"/>
      <c r="AL314" s="110"/>
      <c r="AM314" s="141"/>
      <c r="AN314" s="141"/>
    </row>
    <row r="315" spans="3:40" x14ac:dyDescent="0.3">
      <c r="F315" s="210"/>
      <c r="H315" s="230"/>
      <c r="I315" s="230"/>
      <c r="J315" s="228"/>
      <c r="K315" s="228"/>
      <c r="L315" s="210"/>
      <c r="M315" s="210"/>
      <c r="N315" s="192"/>
      <c r="O315" s="192"/>
      <c r="P315" s="210"/>
      <c r="Q315" s="210"/>
      <c r="R315" s="210"/>
      <c r="V315" s="210"/>
      <c r="W315" s="110"/>
      <c r="X315" s="110"/>
      <c r="Y315" s="210"/>
      <c r="Z315" s="228"/>
      <c r="AA315" s="210"/>
      <c r="AB315" s="210"/>
      <c r="AC315" s="211"/>
      <c r="AD315" s="211"/>
      <c r="AE315" s="210"/>
      <c r="AF315" s="210"/>
      <c r="AH315" s="207"/>
      <c r="AI315" s="210"/>
      <c r="AJ315" s="210"/>
      <c r="AK315" s="191"/>
      <c r="AL315" s="210"/>
      <c r="AM315" s="141"/>
      <c r="AN315" s="141"/>
    </row>
    <row r="316" spans="3:40" x14ac:dyDescent="0.3">
      <c r="C316" s="99"/>
      <c r="F316" s="110"/>
      <c r="H316" s="110"/>
      <c r="I316" s="110"/>
      <c r="J316" s="228"/>
      <c r="K316" s="228"/>
      <c r="L316" s="110"/>
      <c r="M316" s="110"/>
      <c r="N316" s="207"/>
      <c r="O316" s="207"/>
      <c r="P316" s="110"/>
      <c r="Q316" s="110"/>
      <c r="R316" s="110"/>
      <c r="T316" s="102"/>
      <c r="V316" s="110"/>
      <c r="W316" s="110"/>
      <c r="X316" s="110"/>
      <c r="Y316" s="110"/>
      <c r="Z316" s="228"/>
      <c r="AA316" s="110"/>
      <c r="AB316" s="110"/>
      <c r="AC316" s="207"/>
      <c r="AD316" s="207"/>
      <c r="AE316" s="110"/>
      <c r="AF316" s="110"/>
      <c r="AH316" s="207"/>
      <c r="AI316" s="110"/>
      <c r="AJ316" s="110"/>
      <c r="AL316" s="110"/>
      <c r="AM316" s="141"/>
      <c r="AN316" s="141"/>
    </row>
    <row r="317" spans="3:40" x14ac:dyDescent="0.3">
      <c r="F317" s="101"/>
      <c r="H317" s="101"/>
      <c r="I317" s="101"/>
      <c r="L317" s="101"/>
      <c r="M317" s="101"/>
      <c r="N317" s="211"/>
      <c r="O317" s="211"/>
      <c r="P317" s="210"/>
      <c r="Q317" s="210"/>
      <c r="R317" s="210"/>
      <c r="V317" s="210"/>
      <c r="Y317" s="210"/>
      <c r="Z317" s="217"/>
      <c r="AA317" s="210"/>
      <c r="AB317" s="210"/>
      <c r="AC317" s="210"/>
      <c r="AD317" s="210"/>
      <c r="AE317" s="210"/>
      <c r="AF317" s="210"/>
      <c r="AI317" s="210"/>
      <c r="AJ317" s="210"/>
      <c r="AK317" s="191"/>
      <c r="AL317" s="210"/>
      <c r="AM317" s="211"/>
      <c r="AN317" s="211"/>
    </row>
    <row r="322" spans="1:40" x14ac:dyDescent="0.3">
      <c r="N322" s="110"/>
      <c r="O322" s="110"/>
      <c r="P322" s="110"/>
      <c r="Q322" s="110"/>
      <c r="R322" s="110"/>
      <c r="V322" s="110"/>
      <c r="Y322" s="110"/>
      <c r="Z322" s="198"/>
      <c r="AA322" s="110"/>
      <c r="AB322" s="110"/>
      <c r="AC322" s="141"/>
      <c r="AD322" s="141"/>
      <c r="AE322" s="110"/>
      <c r="AF322" s="110"/>
      <c r="AH322" s="207"/>
      <c r="AI322" s="110"/>
      <c r="AJ322" s="110"/>
      <c r="AL322" s="110"/>
      <c r="AM322" s="141"/>
      <c r="AN322" s="141"/>
    </row>
    <row r="323" spans="1:40" x14ac:dyDescent="0.3">
      <c r="C323" s="99"/>
      <c r="D323" s="99"/>
      <c r="E323" s="99"/>
      <c r="J323" s="163"/>
      <c r="K323" s="163"/>
      <c r="T323" s="99"/>
      <c r="U323" s="99"/>
      <c r="Z323" s="163"/>
      <c r="AE323" s="110"/>
      <c r="AF323" s="110"/>
      <c r="AI323" s="110"/>
      <c r="AJ323" s="110"/>
      <c r="AL323" s="110"/>
      <c r="AM323" s="141"/>
      <c r="AN323" s="141"/>
    </row>
    <row r="324" spans="1:40" x14ac:dyDescent="0.3">
      <c r="D324" s="99"/>
      <c r="E324" s="99"/>
      <c r="F324" s="110"/>
      <c r="H324" s="110"/>
      <c r="I324" s="110"/>
      <c r="J324" s="228"/>
      <c r="K324" s="228"/>
      <c r="L324" s="110"/>
      <c r="M324" s="110"/>
      <c r="N324" s="141"/>
      <c r="O324" s="141"/>
      <c r="P324" s="110"/>
      <c r="Q324" s="110"/>
      <c r="R324" s="110"/>
      <c r="U324" s="99"/>
      <c r="V324" s="110"/>
      <c r="Y324" s="110"/>
      <c r="Z324" s="228"/>
      <c r="AA324" s="110"/>
      <c r="AB324" s="110"/>
      <c r="AC324" s="141"/>
      <c r="AD324" s="141"/>
      <c r="AE324" s="110"/>
      <c r="AF324" s="110"/>
      <c r="AH324" s="207"/>
      <c r="AI324" s="110"/>
      <c r="AJ324" s="110"/>
      <c r="AL324" s="110"/>
      <c r="AM324" s="141"/>
      <c r="AN324" s="141"/>
    </row>
    <row r="325" spans="1:40" x14ac:dyDescent="0.3">
      <c r="F325" s="110"/>
      <c r="H325" s="110"/>
      <c r="I325" s="110"/>
      <c r="J325" s="217"/>
      <c r="K325" s="217"/>
      <c r="L325" s="110"/>
      <c r="M325" s="110"/>
      <c r="N325" s="110"/>
      <c r="O325" s="110"/>
      <c r="P325" s="110"/>
      <c r="Q325" s="110"/>
      <c r="R325" s="110"/>
      <c r="V325" s="110"/>
      <c r="Y325" s="110"/>
      <c r="Z325" s="217"/>
      <c r="AA325" s="110"/>
      <c r="AB325" s="110"/>
      <c r="AC325" s="110"/>
      <c r="AD325" s="110"/>
      <c r="AE325" s="110"/>
      <c r="AF325" s="110"/>
      <c r="AH325" s="207"/>
      <c r="AI325" s="172"/>
      <c r="AJ325" s="172"/>
      <c r="AL325" s="110"/>
      <c r="AM325" s="141"/>
      <c r="AN325" s="141"/>
    </row>
    <row r="326" spans="1:40" x14ac:dyDescent="0.3">
      <c r="C326" s="99"/>
      <c r="F326" s="172"/>
      <c r="H326" s="172"/>
      <c r="I326" s="172"/>
      <c r="J326" s="216"/>
      <c r="K326" s="216"/>
      <c r="L326" s="110"/>
      <c r="M326" s="110"/>
      <c r="N326" s="141"/>
      <c r="O326" s="141"/>
      <c r="P326" s="110"/>
      <c r="Q326" s="110"/>
      <c r="R326" s="110"/>
      <c r="T326" s="99"/>
      <c r="V326" s="172"/>
      <c r="Y326" s="172"/>
      <c r="Z326" s="216"/>
      <c r="AA326" s="110"/>
      <c r="AB326" s="110"/>
      <c r="AC326" s="141"/>
      <c r="AD326" s="141"/>
      <c r="AE326" s="110"/>
      <c r="AF326" s="110"/>
      <c r="AH326" s="207"/>
      <c r="AI326" s="110"/>
      <c r="AJ326" s="110"/>
      <c r="AL326" s="110"/>
      <c r="AM326" s="141"/>
      <c r="AN326" s="141"/>
    </row>
    <row r="327" spans="1:40" x14ac:dyDescent="0.3">
      <c r="F327" s="101"/>
      <c r="H327" s="101"/>
      <c r="I327" s="101"/>
      <c r="L327" s="101"/>
      <c r="M327" s="101"/>
      <c r="N327" s="101"/>
      <c r="O327" s="101"/>
      <c r="P327" s="101"/>
      <c r="Q327" s="101"/>
      <c r="R327" s="101"/>
      <c r="V327" s="101"/>
      <c r="Y327" s="101"/>
      <c r="AA327" s="101"/>
      <c r="AB327" s="101"/>
      <c r="AC327" s="101"/>
      <c r="AD327" s="101"/>
      <c r="AE327" s="101"/>
      <c r="AF327" s="101"/>
      <c r="AG327" s="191"/>
      <c r="AH327" s="101"/>
      <c r="AI327" s="101"/>
      <c r="AJ327" s="101"/>
      <c r="AK327" s="191"/>
      <c r="AL327" s="101"/>
      <c r="AM327" s="101"/>
      <c r="AN327" s="101"/>
    </row>
    <row r="328" spans="1:40" x14ac:dyDescent="0.3">
      <c r="C328" s="102"/>
      <c r="F328" s="172"/>
      <c r="H328" s="172"/>
      <c r="I328" s="172"/>
      <c r="J328" s="181"/>
      <c r="K328" s="181"/>
      <c r="L328" s="172"/>
      <c r="M328" s="172"/>
      <c r="N328" s="141"/>
      <c r="O328" s="141"/>
      <c r="P328" s="172"/>
      <c r="Q328" s="172"/>
      <c r="R328" s="172"/>
      <c r="T328" s="102"/>
      <c r="V328" s="110"/>
      <c r="Y328" s="110"/>
      <c r="Z328" s="198"/>
      <c r="AA328" s="110"/>
      <c r="AB328" s="110"/>
      <c r="AC328" s="141"/>
      <c r="AD328" s="141"/>
      <c r="AH328" s="207"/>
      <c r="AI328" s="110"/>
      <c r="AJ328" s="110"/>
      <c r="AL328" s="110"/>
      <c r="AM328" s="141"/>
      <c r="AN328" s="141"/>
    </row>
    <row r="329" spans="1:40" x14ac:dyDescent="0.3">
      <c r="F329" s="210"/>
      <c r="H329" s="210"/>
      <c r="I329" s="210"/>
      <c r="J329" s="217"/>
      <c r="K329" s="217"/>
      <c r="L329" s="210"/>
      <c r="M329" s="210"/>
      <c r="N329" s="210"/>
      <c r="O329" s="210"/>
      <c r="P329" s="210"/>
      <c r="Q329" s="210"/>
      <c r="R329" s="210"/>
      <c r="V329" s="101"/>
      <c r="Y329" s="101"/>
      <c r="AA329" s="101"/>
      <c r="AB329" s="101"/>
      <c r="AC329" s="101"/>
      <c r="AD329" s="101"/>
      <c r="AE329" s="101"/>
      <c r="AF329" s="101"/>
      <c r="AG329" s="191"/>
      <c r="AH329" s="101"/>
      <c r="AI329" s="101"/>
      <c r="AJ329" s="101"/>
      <c r="AK329" s="191"/>
      <c r="AL329" s="101"/>
      <c r="AM329" s="101"/>
      <c r="AN329" s="101"/>
    </row>
    <row r="330" spans="1:40" x14ac:dyDescent="0.3">
      <c r="F330" s="172"/>
      <c r="H330" s="172"/>
      <c r="I330" s="172"/>
      <c r="J330" s="227"/>
      <c r="K330" s="227"/>
      <c r="L330" s="110"/>
      <c r="M330" s="110"/>
      <c r="N330" s="141"/>
      <c r="O330" s="141"/>
      <c r="P330" s="110"/>
      <c r="Q330" s="110"/>
      <c r="R330" s="110"/>
    </row>
    <row r="331" spans="1:40" x14ac:dyDescent="0.3">
      <c r="A331" s="99"/>
      <c r="F331" s="172"/>
      <c r="H331" s="172"/>
      <c r="I331" s="172"/>
      <c r="J331" s="181"/>
      <c r="K331" s="181"/>
      <c r="L331" s="110"/>
      <c r="M331" s="110"/>
      <c r="N331" s="141"/>
      <c r="O331" s="141"/>
      <c r="P331" s="110"/>
      <c r="Q331" s="110"/>
      <c r="R331" s="110"/>
    </row>
    <row r="332" spans="1:40" x14ac:dyDescent="0.3">
      <c r="F332" s="172"/>
      <c r="H332" s="172"/>
      <c r="I332" s="172"/>
      <c r="J332" s="181"/>
      <c r="K332" s="181"/>
      <c r="L332" s="110"/>
      <c r="M332" s="110"/>
      <c r="N332" s="141"/>
      <c r="O332" s="141"/>
      <c r="P332" s="110"/>
      <c r="Q332" s="110"/>
      <c r="R332" s="110"/>
    </row>
    <row r="333" spans="1:40" x14ac:dyDescent="0.3">
      <c r="A333" s="99"/>
    </row>
    <row r="336" spans="1:40" x14ac:dyDescent="0.3">
      <c r="H336" s="99"/>
      <c r="I336" s="99"/>
      <c r="Y336" s="99"/>
    </row>
    <row r="338" spans="1:40" x14ac:dyDescent="0.3">
      <c r="L338" s="99"/>
      <c r="M338" s="99"/>
      <c r="AA338" s="99"/>
      <c r="AB338" s="99"/>
    </row>
    <row r="339" spans="1:40" x14ac:dyDescent="0.3">
      <c r="R339" s="99"/>
      <c r="AK339" s="190"/>
      <c r="AL339" s="99"/>
    </row>
    <row r="340" spans="1:40" x14ac:dyDescent="0.3">
      <c r="R340" s="99"/>
      <c r="AK340" s="190"/>
      <c r="AL340" s="99"/>
    </row>
    <row r="341" spans="1:40" x14ac:dyDescent="0.3">
      <c r="A341" s="99"/>
      <c r="R341" s="99"/>
      <c r="AK341" s="190"/>
      <c r="AL341" s="99"/>
    </row>
    <row r="342" spans="1:40" x14ac:dyDescent="0.3">
      <c r="L342" s="99"/>
      <c r="M342" s="99"/>
      <c r="AA342" s="99"/>
      <c r="AB342" s="99"/>
    </row>
    <row r="343" spans="1:40" x14ac:dyDescent="0.3">
      <c r="A343" s="101"/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T343" s="101"/>
      <c r="U343" s="101"/>
      <c r="V343" s="101"/>
      <c r="W343" s="101"/>
      <c r="X343" s="101"/>
      <c r="Y343" s="101"/>
      <c r="Z343" s="101"/>
      <c r="AA343" s="101"/>
      <c r="AB343" s="101"/>
      <c r="AC343" s="101"/>
      <c r="AD343" s="101"/>
      <c r="AE343" s="101"/>
      <c r="AF343" s="101"/>
      <c r="AG343" s="191"/>
      <c r="AH343" s="101"/>
      <c r="AI343" s="101"/>
      <c r="AJ343" s="101"/>
      <c r="AK343" s="191"/>
      <c r="AL343" s="101"/>
      <c r="AM343" s="101"/>
      <c r="AN343" s="101"/>
    </row>
    <row r="344" spans="1:40" x14ac:dyDescent="0.3">
      <c r="L344" s="102"/>
      <c r="M344" s="102"/>
      <c r="N344" s="102"/>
      <c r="O344" s="102"/>
      <c r="R344" s="102"/>
      <c r="AA344" s="102"/>
      <c r="AB344" s="102"/>
      <c r="AC344" s="102"/>
      <c r="AD344" s="102"/>
      <c r="AE344" s="102"/>
      <c r="AF344" s="102"/>
      <c r="AG344" s="151"/>
      <c r="AH344" s="102"/>
      <c r="AK344" s="151"/>
      <c r="AL344" s="102"/>
      <c r="AM344" s="102"/>
      <c r="AN344" s="102"/>
    </row>
    <row r="345" spans="1:40" x14ac:dyDescent="0.3">
      <c r="L345" s="102"/>
      <c r="M345" s="102"/>
      <c r="N345" s="102"/>
      <c r="O345" s="102"/>
      <c r="R345" s="102"/>
      <c r="Z345" s="102"/>
      <c r="AA345" s="102"/>
      <c r="AB345" s="102"/>
      <c r="AC345" s="102"/>
      <c r="AD345" s="102"/>
      <c r="AE345" s="102"/>
      <c r="AF345" s="102"/>
      <c r="AG345" s="151"/>
      <c r="AH345" s="102"/>
      <c r="AK345" s="151"/>
      <c r="AL345" s="102"/>
      <c r="AM345" s="102"/>
      <c r="AN345" s="102"/>
    </row>
    <row r="346" spans="1:40" x14ac:dyDescent="0.3">
      <c r="A346" s="102"/>
      <c r="C346" s="102"/>
      <c r="D346" s="102"/>
      <c r="E346" s="102"/>
      <c r="F346" s="102"/>
      <c r="J346" s="102"/>
      <c r="K346" s="102"/>
      <c r="L346" s="102"/>
      <c r="M346" s="102"/>
      <c r="N346" s="102"/>
      <c r="O346" s="102"/>
      <c r="P346" s="102"/>
      <c r="Q346" s="102"/>
      <c r="R346" s="102"/>
      <c r="T346" s="102"/>
      <c r="U346" s="102"/>
      <c r="V346" s="102"/>
      <c r="Z346" s="102"/>
      <c r="AA346" s="102"/>
      <c r="AB346" s="102"/>
      <c r="AC346" s="102"/>
      <c r="AD346" s="102"/>
      <c r="AE346" s="102"/>
      <c r="AF346" s="102"/>
      <c r="AG346" s="151"/>
      <c r="AH346" s="102"/>
      <c r="AI346" s="102"/>
      <c r="AJ346" s="102"/>
      <c r="AK346" s="151"/>
      <c r="AL346" s="102"/>
      <c r="AM346" s="102"/>
      <c r="AN346" s="102"/>
    </row>
    <row r="347" spans="1:40" x14ac:dyDescent="0.3">
      <c r="A347" s="102"/>
      <c r="C347" s="102"/>
      <c r="D347" s="102"/>
      <c r="E347" s="102"/>
      <c r="F347" s="102"/>
      <c r="H347" s="102"/>
      <c r="I347" s="102"/>
      <c r="J347" s="102"/>
      <c r="K347" s="102"/>
      <c r="L347" s="102"/>
      <c r="M347" s="102"/>
      <c r="N347" s="102"/>
      <c r="O347" s="102"/>
      <c r="P347" s="102"/>
      <c r="Q347" s="102"/>
      <c r="R347" s="102"/>
      <c r="T347" s="102"/>
      <c r="U347" s="102"/>
      <c r="V347" s="102"/>
      <c r="Y347" s="102"/>
      <c r="Z347" s="102"/>
      <c r="AA347" s="102"/>
      <c r="AB347" s="102"/>
      <c r="AC347" s="102"/>
      <c r="AD347" s="102"/>
      <c r="AE347" s="102"/>
      <c r="AF347" s="102"/>
      <c r="AG347" s="151"/>
      <c r="AH347" s="102"/>
      <c r="AI347" s="102"/>
      <c r="AJ347" s="102"/>
      <c r="AK347" s="151"/>
      <c r="AL347" s="102"/>
      <c r="AM347" s="102"/>
      <c r="AN347" s="102"/>
    </row>
    <row r="348" spans="1:40" x14ac:dyDescent="0.3">
      <c r="C348" s="102"/>
      <c r="D348" s="102"/>
      <c r="E348" s="102"/>
      <c r="F348" s="102"/>
      <c r="H348" s="102"/>
      <c r="I348" s="102"/>
      <c r="J348" s="102"/>
      <c r="K348" s="102"/>
      <c r="L348" s="102"/>
      <c r="M348" s="102"/>
      <c r="N348" s="102"/>
      <c r="O348" s="102"/>
      <c r="P348" s="102"/>
      <c r="Q348" s="102"/>
      <c r="R348" s="102"/>
      <c r="T348" s="102"/>
      <c r="U348" s="102"/>
      <c r="V348" s="102"/>
      <c r="Y348" s="102"/>
      <c r="Z348" s="102"/>
      <c r="AA348" s="102"/>
      <c r="AB348" s="102"/>
      <c r="AC348" s="102"/>
      <c r="AD348" s="102"/>
      <c r="AE348" s="102"/>
      <c r="AF348" s="102"/>
      <c r="AG348" s="151"/>
      <c r="AH348" s="102"/>
      <c r="AI348" s="102"/>
      <c r="AJ348" s="102"/>
      <c r="AK348" s="151"/>
      <c r="AL348" s="102"/>
      <c r="AM348" s="102"/>
      <c r="AN348" s="102"/>
    </row>
    <row r="349" spans="1:40" x14ac:dyDescent="0.3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T349" s="101"/>
      <c r="U349" s="101"/>
      <c r="V349" s="101"/>
      <c r="W349" s="101"/>
      <c r="X349" s="101"/>
      <c r="Y349" s="101"/>
      <c r="Z349" s="101"/>
      <c r="AA349" s="101"/>
      <c r="AB349" s="101"/>
      <c r="AC349" s="101"/>
      <c r="AD349" s="101"/>
      <c r="AE349" s="101"/>
      <c r="AF349" s="101"/>
      <c r="AG349" s="191"/>
      <c r="AH349" s="101"/>
      <c r="AI349" s="101"/>
      <c r="AJ349" s="101"/>
      <c r="AK349" s="191"/>
      <c r="AL349" s="101"/>
      <c r="AM349" s="101"/>
      <c r="AN349" s="101"/>
    </row>
    <row r="350" spans="1:40" x14ac:dyDescent="0.3">
      <c r="H350" s="102"/>
      <c r="I350" s="102"/>
      <c r="J350" s="102"/>
      <c r="K350" s="102"/>
      <c r="L350" s="102"/>
      <c r="M350" s="102"/>
      <c r="N350" s="102"/>
      <c r="O350" s="102"/>
      <c r="P350" s="102"/>
      <c r="Q350" s="102"/>
      <c r="R350" s="102"/>
      <c r="Y350" s="102"/>
      <c r="Z350" s="102"/>
      <c r="AA350" s="102"/>
      <c r="AB350" s="102"/>
      <c r="AC350" s="102"/>
      <c r="AD350" s="102"/>
      <c r="AE350" s="102"/>
      <c r="AF350" s="102"/>
      <c r="AG350" s="151"/>
      <c r="AH350" s="102"/>
      <c r="AI350" s="102"/>
      <c r="AJ350" s="102"/>
      <c r="AK350" s="151"/>
      <c r="AL350" s="102"/>
      <c r="AM350" s="102"/>
      <c r="AN350" s="102"/>
    </row>
    <row r="351" spans="1:40" x14ac:dyDescent="0.3">
      <c r="C351" s="99"/>
      <c r="D351" s="99"/>
      <c r="E351" s="99"/>
      <c r="T351" s="99"/>
      <c r="U351" s="99"/>
    </row>
    <row r="353" spans="3:40" x14ac:dyDescent="0.3">
      <c r="C353" s="99"/>
      <c r="T353" s="99"/>
    </row>
    <row r="354" spans="3:40" x14ac:dyDescent="0.3">
      <c r="C354" s="99"/>
      <c r="F354" s="172"/>
      <c r="H354" s="172"/>
      <c r="I354" s="172"/>
      <c r="J354" s="217"/>
      <c r="K354" s="217"/>
      <c r="L354" s="110"/>
      <c r="M354" s="110"/>
      <c r="N354" s="141"/>
      <c r="O354" s="141"/>
      <c r="P354" s="110"/>
      <c r="Q354" s="110"/>
      <c r="R354" s="110"/>
      <c r="T354" s="99"/>
      <c r="V354" s="172"/>
      <c r="Y354" s="172"/>
      <c r="Z354" s="217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T355" s="99"/>
    </row>
    <row r="356" spans="3:40" x14ac:dyDescent="0.3">
      <c r="C356" s="99"/>
      <c r="F356" s="172"/>
      <c r="H356" s="172"/>
      <c r="I356" s="172"/>
      <c r="J356" s="228"/>
      <c r="K356" s="228"/>
      <c r="L356" s="110"/>
      <c r="M356" s="110"/>
      <c r="N356" s="141"/>
      <c r="O356" s="141"/>
      <c r="P356" s="110"/>
      <c r="Q356" s="110"/>
      <c r="R356" s="110"/>
      <c r="T356" s="99"/>
      <c r="V356" s="110"/>
      <c r="Y356" s="110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10"/>
      <c r="Y357" s="110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J360" s="163"/>
      <c r="K360" s="163"/>
      <c r="T360" s="99"/>
      <c r="Z360" s="163"/>
    </row>
    <row r="361" spans="3:40" x14ac:dyDescent="0.3">
      <c r="C361" s="99"/>
      <c r="F361" s="172"/>
      <c r="H361" s="172"/>
      <c r="I361" s="172"/>
      <c r="J361" s="228"/>
      <c r="K361" s="228"/>
      <c r="L361" s="110"/>
      <c r="M361" s="110"/>
      <c r="N361" s="141"/>
      <c r="O361" s="141"/>
      <c r="P361" s="110"/>
      <c r="Q361" s="110"/>
      <c r="R361" s="110"/>
      <c r="T361" s="99"/>
      <c r="V361" s="110"/>
      <c r="Y361" s="110"/>
      <c r="Z361" s="228"/>
      <c r="AA361" s="110"/>
      <c r="AB361" s="110"/>
      <c r="AC361" s="141"/>
      <c r="AD361" s="141"/>
      <c r="AE361" s="110"/>
      <c r="AF361" s="110"/>
      <c r="AH361" s="207"/>
      <c r="AI361" s="110"/>
      <c r="AJ361" s="110"/>
      <c r="AL361" s="110"/>
      <c r="AM361" s="141"/>
      <c r="AN361" s="141"/>
    </row>
    <row r="362" spans="3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C363" s="99"/>
      <c r="F363" s="172"/>
      <c r="H363" s="172"/>
      <c r="I363" s="172"/>
      <c r="J363" s="228"/>
      <c r="K363" s="228"/>
      <c r="L363" s="110"/>
      <c r="M363" s="110"/>
      <c r="N363" s="141"/>
      <c r="O363" s="141"/>
      <c r="P363" s="110"/>
      <c r="Q363" s="110"/>
      <c r="R363" s="110"/>
      <c r="T363" s="99"/>
      <c r="V363" s="110"/>
      <c r="Y363" s="110"/>
      <c r="Z363" s="228"/>
      <c r="AA363" s="110"/>
      <c r="AB363" s="110"/>
      <c r="AC363" s="141"/>
      <c r="AD363" s="141"/>
      <c r="AE363" s="110"/>
      <c r="AF363" s="110"/>
      <c r="AH363" s="207"/>
      <c r="AI363" s="110"/>
      <c r="AJ363" s="110"/>
      <c r="AL363" s="110"/>
      <c r="AM363" s="141"/>
      <c r="AN363" s="141"/>
    </row>
    <row r="364" spans="3:40" x14ac:dyDescent="0.3">
      <c r="C364" s="99"/>
      <c r="J364" s="163"/>
      <c r="K364" s="163"/>
      <c r="T364" s="99"/>
      <c r="Z364" s="163"/>
    </row>
    <row r="365" spans="3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Y365" s="110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3:40" x14ac:dyDescent="0.3">
      <c r="C366" s="99"/>
      <c r="F366" s="172"/>
      <c r="H366" s="172"/>
      <c r="I366" s="172"/>
      <c r="J366" s="228"/>
      <c r="K366" s="228"/>
      <c r="L366" s="110"/>
      <c r="M366" s="110"/>
      <c r="N366" s="141"/>
      <c r="O366" s="141"/>
      <c r="P366" s="110"/>
      <c r="Q366" s="110"/>
      <c r="R366" s="110"/>
      <c r="T366" s="99"/>
      <c r="V366" s="110"/>
      <c r="Y366" s="110"/>
      <c r="Z366" s="228"/>
      <c r="AA366" s="110"/>
      <c r="AB366" s="110"/>
      <c r="AC366" s="141"/>
      <c r="AD366" s="141"/>
      <c r="AE366" s="110"/>
      <c r="AF366" s="110"/>
      <c r="AH366" s="207"/>
      <c r="AI366" s="110"/>
      <c r="AJ366" s="110"/>
      <c r="AL366" s="110"/>
      <c r="AM366" s="141"/>
      <c r="AN366" s="141"/>
    </row>
    <row r="367" spans="3:40" x14ac:dyDescent="0.3">
      <c r="C367" s="99"/>
      <c r="J367" s="163"/>
      <c r="K367" s="163"/>
      <c r="T367" s="99"/>
      <c r="Z367" s="163"/>
    </row>
    <row r="368" spans="3:40" x14ac:dyDescent="0.3">
      <c r="C368" s="99"/>
      <c r="F368" s="172"/>
      <c r="H368" s="172"/>
      <c r="I368" s="172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10"/>
      <c r="Y368" s="110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3:40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Y369" s="110"/>
      <c r="Z369" s="228"/>
      <c r="AA369" s="110"/>
      <c r="AB369" s="110"/>
      <c r="AC369" s="141"/>
      <c r="AD369" s="141"/>
      <c r="AE369" s="110"/>
      <c r="AF369" s="110"/>
      <c r="AH369" s="207"/>
      <c r="AI369" s="110"/>
      <c r="AJ369" s="110"/>
      <c r="AL369" s="110"/>
      <c r="AM369" s="141"/>
      <c r="AN369" s="141"/>
    </row>
    <row r="370" spans="3:40" x14ac:dyDescent="0.3">
      <c r="C370" s="99"/>
      <c r="F370" s="172"/>
      <c r="H370" s="172"/>
      <c r="I370" s="172"/>
      <c r="J370" s="228"/>
      <c r="K370" s="228"/>
      <c r="L370" s="110"/>
      <c r="M370" s="110"/>
      <c r="N370" s="141"/>
      <c r="O370" s="141"/>
      <c r="P370" s="110"/>
      <c r="Q370" s="110"/>
      <c r="R370" s="110"/>
      <c r="T370" s="99"/>
      <c r="V370" s="110"/>
      <c r="Y370" s="110"/>
      <c r="Z370" s="22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3:40" x14ac:dyDescent="0.3">
      <c r="F371" s="192"/>
      <c r="H371" s="192"/>
      <c r="I371" s="192"/>
      <c r="J371" s="228"/>
      <c r="K371" s="228"/>
      <c r="L371" s="192"/>
      <c r="M371" s="192"/>
      <c r="N371" s="192"/>
      <c r="O371" s="192"/>
      <c r="P371" s="192"/>
      <c r="Q371" s="192"/>
      <c r="R371" s="192"/>
      <c r="V371" s="192"/>
      <c r="Y371" s="192"/>
      <c r="Z371" s="228"/>
      <c r="AA371" s="192"/>
      <c r="AB371" s="192"/>
      <c r="AC371" s="192"/>
      <c r="AD371" s="192"/>
      <c r="AE371" s="192"/>
      <c r="AF371" s="192"/>
      <c r="AI371" s="192"/>
      <c r="AJ371" s="192"/>
      <c r="AK371" s="194"/>
      <c r="AL371" s="192"/>
    </row>
    <row r="372" spans="3:40" x14ac:dyDescent="0.3">
      <c r="C372" s="102"/>
      <c r="F372" s="110"/>
      <c r="H372" s="110"/>
      <c r="I372" s="110"/>
      <c r="J372" s="163"/>
      <c r="K372" s="163"/>
      <c r="L372" s="110"/>
      <c r="M372" s="110"/>
      <c r="N372" s="207"/>
      <c r="O372" s="207"/>
      <c r="P372" s="110"/>
      <c r="Q372" s="110"/>
      <c r="R372" s="110"/>
      <c r="T372" s="102"/>
      <c r="V372" s="110"/>
      <c r="Y372" s="110"/>
      <c r="Z372" s="163"/>
      <c r="AA372" s="110"/>
      <c r="AB372" s="110"/>
      <c r="AC372" s="110"/>
      <c r="AD372" s="110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F373" s="192"/>
      <c r="H373" s="192"/>
      <c r="I373" s="192"/>
      <c r="J373" s="228"/>
      <c r="K373" s="228"/>
      <c r="L373" s="192"/>
      <c r="M373" s="192"/>
      <c r="N373" s="192"/>
      <c r="O373" s="192"/>
      <c r="P373" s="192"/>
      <c r="Q373" s="192"/>
      <c r="R373" s="192"/>
      <c r="V373" s="192"/>
      <c r="Y373" s="192"/>
      <c r="Z373" s="228"/>
      <c r="AA373" s="192"/>
      <c r="AB373" s="192"/>
      <c r="AC373" s="192"/>
      <c r="AD373" s="192"/>
      <c r="AE373" s="192"/>
      <c r="AF373" s="192"/>
      <c r="AI373" s="192"/>
      <c r="AJ373" s="192"/>
      <c r="AK373" s="194"/>
      <c r="AL373" s="192"/>
    </row>
    <row r="374" spans="3:40" x14ac:dyDescent="0.3">
      <c r="C374" s="99"/>
      <c r="J374" s="163"/>
      <c r="K374" s="163"/>
      <c r="T374" s="99"/>
      <c r="Z374" s="163"/>
    </row>
    <row r="375" spans="3:40" x14ac:dyDescent="0.3">
      <c r="C375" s="99"/>
      <c r="J375" s="163"/>
      <c r="K375" s="163"/>
      <c r="T375" s="99"/>
      <c r="Z375" s="163"/>
    </row>
    <row r="376" spans="3:40" x14ac:dyDescent="0.3">
      <c r="C376" s="99"/>
      <c r="F376" s="172"/>
      <c r="H376" s="172"/>
      <c r="I376" s="172"/>
      <c r="J376" s="228"/>
      <c r="K376" s="228"/>
      <c r="L376" s="110"/>
      <c r="M376" s="110"/>
      <c r="N376" s="141"/>
      <c r="O376" s="141"/>
      <c r="P376" s="110"/>
      <c r="Q376" s="110"/>
      <c r="R376" s="110"/>
      <c r="T376" s="99"/>
      <c r="V376" s="110"/>
      <c r="Y376" s="110"/>
      <c r="Z376" s="228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3:40" x14ac:dyDescent="0.3">
      <c r="C377" s="99"/>
      <c r="F377" s="172"/>
      <c r="H377" s="172"/>
      <c r="I377" s="172"/>
      <c r="J377" s="228"/>
      <c r="K377" s="228"/>
      <c r="L377" s="110"/>
      <c r="M377" s="110"/>
      <c r="N377" s="141"/>
      <c r="O377" s="141"/>
      <c r="P377" s="110"/>
      <c r="Q377" s="110"/>
      <c r="R377" s="110"/>
      <c r="T377" s="99"/>
      <c r="V377" s="110"/>
      <c r="Y377" s="110"/>
      <c r="Z377" s="228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C378" s="99"/>
      <c r="F378" s="172"/>
      <c r="H378" s="172"/>
      <c r="I378" s="172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C379" s="99"/>
      <c r="F379" s="172"/>
      <c r="H379" s="172"/>
      <c r="I379" s="172"/>
      <c r="J379" s="228"/>
      <c r="K379" s="228"/>
      <c r="L379" s="110"/>
      <c r="M379" s="110"/>
      <c r="N379" s="141"/>
      <c r="O379" s="141"/>
      <c r="P379" s="110"/>
      <c r="Q379" s="110"/>
      <c r="R379" s="110"/>
      <c r="T379" s="99"/>
      <c r="V379" s="110"/>
      <c r="Y379" s="110"/>
      <c r="Z379" s="228"/>
      <c r="AA379" s="110"/>
      <c r="AB379" s="110"/>
      <c r="AC379" s="141"/>
      <c r="AD379" s="141"/>
      <c r="AE379" s="110"/>
      <c r="AF379" s="110"/>
      <c r="AH379" s="207"/>
      <c r="AI379" s="110"/>
      <c r="AJ379" s="110"/>
      <c r="AL379" s="110"/>
      <c r="AM379" s="141"/>
      <c r="AN379" s="141"/>
    </row>
    <row r="380" spans="3:40" x14ac:dyDescent="0.3">
      <c r="C380" s="99"/>
      <c r="F380" s="172"/>
      <c r="H380" s="172"/>
      <c r="I380" s="172"/>
      <c r="J380" s="228"/>
      <c r="K380" s="228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Z380" s="228"/>
      <c r="AA380" s="110"/>
      <c r="AB380" s="110"/>
      <c r="AC380" s="141"/>
      <c r="AD380" s="141"/>
      <c r="AE380" s="110"/>
      <c r="AF380" s="110"/>
      <c r="AH380" s="207"/>
      <c r="AI380" s="110"/>
      <c r="AJ380" s="110"/>
      <c r="AL380" s="110"/>
      <c r="AM380" s="141"/>
      <c r="AN380" s="141"/>
    </row>
    <row r="381" spans="3:40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228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Y382" s="110"/>
      <c r="Z382" s="228"/>
      <c r="AA382" s="110"/>
      <c r="AB382" s="110"/>
      <c r="AC382" s="141"/>
      <c r="AD382" s="141"/>
      <c r="AE382" s="110"/>
      <c r="AF382" s="110"/>
      <c r="AH382" s="207"/>
      <c r="AI382" s="110"/>
      <c r="AJ382" s="110"/>
      <c r="AL382" s="110"/>
      <c r="AM382" s="141"/>
      <c r="AN382" s="141"/>
    </row>
    <row r="383" spans="3:40" x14ac:dyDescent="0.3">
      <c r="C383" s="99"/>
      <c r="J383" s="163"/>
      <c r="K383" s="163"/>
      <c r="T383" s="99"/>
      <c r="Z383" s="163"/>
    </row>
    <row r="384" spans="3:40" x14ac:dyDescent="0.3">
      <c r="C384" s="99"/>
      <c r="F384" s="172"/>
      <c r="H384" s="172"/>
      <c r="I384" s="172"/>
      <c r="J384" s="228"/>
      <c r="K384" s="228"/>
      <c r="L384" s="110"/>
      <c r="M384" s="110"/>
      <c r="N384" s="141"/>
      <c r="O384" s="141"/>
      <c r="P384" s="110"/>
      <c r="Q384" s="110"/>
      <c r="R384" s="110"/>
      <c r="T384" s="99"/>
      <c r="V384" s="110"/>
      <c r="Y384" s="110"/>
      <c r="Z384" s="228"/>
      <c r="AA384" s="110"/>
      <c r="AB384" s="110"/>
      <c r="AC384" s="141"/>
      <c r="AD384" s="141"/>
      <c r="AE384" s="110"/>
      <c r="AF384" s="110"/>
      <c r="AH384" s="207"/>
      <c r="AI384" s="110"/>
      <c r="AJ384" s="110"/>
      <c r="AL384" s="110"/>
      <c r="AM384" s="141"/>
      <c r="AN384" s="141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10"/>
      <c r="Y385" s="110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72"/>
      <c r="H386" s="172"/>
      <c r="I386" s="172"/>
      <c r="J386" s="228"/>
      <c r="K386" s="228"/>
      <c r="L386" s="110"/>
      <c r="M386" s="110"/>
      <c r="N386" s="141"/>
      <c r="O386" s="141"/>
      <c r="P386" s="110"/>
      <c r="Q386" s="110"/>
      <c r="R386" s="110"/>
      <c r="T386" s="99"/>
      <c r="V386" s="110"/>
      <c r="Y386" s="110"/>
      <c r="Z386" s="228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F387" s="172"/>
      <c r="H387" s="172"/>
      <c r="I387" s="172"/>
      <c r="J387" s="228"/>
      <c r="K387" s="228"/>
      <c r="L387" s="110"/>
      <c r="M387" s="110"/>
      <c r="N387" s="141"/>
      <c r="O387" s="141"/>
      <c r="P387" s="110"/>
      <c r="Q387" s="110"/>
      <c r="R387" s="110"/>
      <c r="T387" s="99"/>
      <c r="V387" s="110"/>
      <c r="Y387" s="110"/>
      <c r="Z387" s="228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3:40" x14ac:dyDescent="0.3">
      <c r="C388" s="99"/>
      <c r="J388" s="163"/>
      <c r="K388" s="163"/>
      <c r="T388" s="99"/>
      <c r="Z388" s="163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10"/>
      <c r="Y389" s="110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C390" s="99"/>
      <c r="F390" s="172"/>
      <c r="H390" s="172"/>
      <c r="I390" s="172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10"/>
      <c r="Y390" s="110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72"/>
      <c r="H391" s="172"/>
      <c r="I391" s="172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10"/>
      <c r="Y391" s="110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C392" s="99"/>
      <c r="F392" s="172"/>
      <c r="H392" s="172"/>
      <c r="I392" s="172"/>
      <c r="J392" s="228"/>
      <c r="K392" s="228"/>
      <c r="L392" s="110"/>
      <c r="M392" s="110"/>
      <c r="N392" s="141"/>
      <c r="O392" s="141"/>
      <c r="P392" s="110"/>
      <c r="Q392" s="110"/>
      <c r="R392" s="110"/>
      <c r="T392" s="99"/>
      <c r="V392" s="110"/>
      <c r="Y392" s="110"/>
      <c r="Z392" s="228"/>
      <c r="AA392" s="110"/>
      <c r="AB392" s="110"/>
      <c r="AC392" s="141"/>
      <c r="AD392" s="141"/>
      <c r="AE392" s="110"/>
      <c r="AF392" s="110"/>
      <c r="AH392" s="207"/>
      <c r="AI392" s="110"/>
      <c r="AJ392" s="110"/>
      <c r="AL392" s="110"/>
      <c r="AM392" s="141"/>
      <c r="AN392" s="141"/>
    </row>
    <row r="393" spans="3:40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Y393" s="110"/>
      <c r="Z393" s="228"/>
      <c r="AA393" s="110"/>
      <c r="AB393" s="110"/>
      <c r="AC393" s="141"/>
      <c r="AD393" s="141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F394" s="192"/>
      <c r="H394" s="192"/>
      <c r="I394" s="192"/>
      <c r="J394" s="217"/>
      <c r="K394" s="217"/>
      <c r="L394" s="192"/>
      <c r="M394" s="192"/>
      <c r="N394" s="192"/>
      <c r="O394" s="192"/>
      <c r="P394" s="192"/>
      <c r="Q394" s="192"/>
      <c r="R394" s="192"/>
      <c r="V394" s="192"/>
      <c r="Y394" s="192"/>
      <c r="Z394" s="228"/>
      <c r="AA394" s="192"/>
      <c r="AB394" s="192"/>
      <c r="AC394" s="192"/>
      <c r="AD394" s="192"/>
      <c r="AE394" s="192"/>
      <c r="AF394" s="192"/>
      <c r="AI394" s="192"/>
      <c r="AJ394" s="192"/>
      <c r="AK394" s="194"/>
      <c r="AL394" s="192"/>
    </row>
    <row r="395" spans="3:40" x14ac:dyDescent="0.3">
      <c r="C395" s="99"/>
      <c r="F395" s="110"/>
      <c r="H395" s="110"/>
      <c r="I395" s="110"/>
      <c r="L395" s="110"/>
      <c r="M395" s="110"/>
      <c r="N395" s="207"/>
      <c r="O395" s="207"/>
      <c r="P395" s="110"/>
      <c r="Q395" s="110"/>
      <c r="R395" s="110"/>
      <c r="T395" s="99"/>
      <c r="V395" s="110"/>
      <c r="Y395" s="110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F396" s="192"/>
      <c r="H396" s="192"/>
      <c r="I396" s="192"/>
      <c r="J396" s="217"/>
      <c r="K396" s="217"/>
      <c r="L396" s="192"/>
      <c r="M396" s="192"/>
      <c r="N396" s="192"/>
      <c r="O396" s="192"/>
      <c r="P396" s="192"/>
      <c r="Q396" s="192"/>
      <c r="R396" s="192"/>
      <c r="V396" s="192"/>
      <c r="Y396" s="192"/>
      <c r="Z396" s="217"/>
      <c r="AA396" s="192"/>
      <c r="AB396" s="192"/>
      <c r="AC396" s="192"/>
      <c r="AD396" s="192"/>
      <c r="AE396" s="192"/>
      <c r="AF396" s="192"/>
      <c r="AI396" s="192"/>
      <c r="AJ396" s="192"/>
      <c r="AK396" s="194"/>
      <c r="AL396" s="192"/>
    </row>
    <row r="397" spans="3:40" x14ac:dyDescent="0.3">
      <c r="C397" s="99"/>
      <c r="T397" s="99"/>
    </row>
    <row r="398" spans="3:40" x14ac:dyDescent="0.3">
      <c r="C398" s="99"/>
      <c r="F398" s="172"/>
      <c r="H398" s="172"/>
      <c r="I398" s="172"/>
      <c r="J398" s="181"/>
      <c r="K398" s="181"/>
      <c r="L398" s="110"/>
      <c r="M398" s="110"/>
      <c r="N398" s="141"/>
      <c r="O398" s="141"/>
      <c r="P398" s="110"/>
      <c r="Q398" s="110"/>
      <c r="R398" s="110"/>
      <c r="T398" s="99"/>
      <c r="V398" s="110"/>
      <c r="Y398" s="110"/>
      <c r="Z398" s="181"/>
      <c r="AA398" s="110"/>
      <c r="AB398" s="110"/>
      <c r="AC398" s="141"/>
      <c r="AD398" s="141"/>
      <c r="AE398" s="110"/>
      <c r="AF398" s="110"/>
      <c r="AH398" s="207"/>
      <c r="AI398" s="110"/>
      <c r="AJ398" s="110"/>
      <c r="AL398" s="110"/>
      <c r="AM398" s="141"/>
      <c r="AN398" s="141"/>
    </row>
    <row r="399" spans="3:40" x14ac:dyDescent="0.3">
      <c r="C399" s="99"/>
      <c r="F399" s="172"/>
      <c r="H399" s="172"/>
      <c r="I399" s="172"/>
      <c r="J399" s="181"/>
      <c r="K399" s="181"/>
      <c r="L399" s="110"/>
      <c r="M399" s="110"/>
      <c r="N399" s="141"/>
      <c r="O399" s="141"/>
      <c r="P399" s="110"/>
      <c r="Q399" s="110"/>
      <c r="R399" s="110"/>
      <c r="T399" s="99"/>
      <c r="V399" s="110"/>
      <c r="Y399" s="110"/>
      <c r="Z399" s="181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3:40" x14ac:dyDescent="0.3">
      <c r="F400" s="192"/>
      <c r="H400" s="110"/>
      <c r="I400" s="110"/>
      <c r="J400" s="217"/>
      <c r="K400" s="217"/>
      <c r="L400" s="192"/>
      <c r="M400" s="192"/>
      <c r="N400" s="192"/>
      <c r="O400" s="192"/>
      <c r="P400" s="192"/>
      <c r="Q400" s="192"/>
      <c r="R400" s="192"/>
      <c r="V400" s="192"/>
      <c r="Y400" s="110"/>
      <c r="Z400" s="217"/>
      <c r="AA400" s="192"/>
      <c r="AB400" s="192"/>
      <c r="AC400" s="192"/>
      <c r="AD400" s="192"/>
      <c r="AE400" s="192"/>
      <c r="AF400" s="192"/>
      <c r="AI400" s="192"/>
      <c r="AJ400" s="192"/>
      <c r="AK400" s="194"/>
      <c r="AL400" s="192"/>
    </row>
    <row r="401" spans="1:40" x14ac:dyDescent="0.3">
      <c r="F401" s="110"/>
      <c r="H401" s="110"/>
      <c r="I401" s="110"/>
      <c r="J401" s="217"/>
      <c r="K401" s="217"/>
      <c r="L401" s="110"/>
      <c r="M401" s="110"/>
      <c r="N401" s="110"/>
      <c r="O401" s="110"/>
      <c r="P401" s="110"/>
      <c r="Q401" s="110"/>
      <c r="R401" s="110"/>
      <c r="V401" s="110"/>
      <c r="Y401" s="110"/>
      <c r="Z401" s="217"/>
      <c r="AA401" s="110"/>
      <c r="AB401" s="110"/>
      <c r="AC401" s="110"/>
      <c r="AD401" s="110"/>
      <c r="AE401" s="110"/>
      <c r="AF401" s="110"/>
      <c r="AI401" s="110"/>
      <c r="AJ401" s="110"/>
      <c r="AL401" s="110"/>
    </row>
    <row r="402" spans="1:40" x14ac:dyDescent="0.3">
      <c r="C402" s="99"/>
      <c r="F402" s="110"/>
      <c r="H402" s="110"/>
      <c r="I402" s="110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AA402" s="110"/>
      <c r="AB402" s="110"/>
      <c r="AC402" s="141"/>
      <c r="AD402" s="141"/>
      <c r="AE402" s="110"/>
      <c r="AF402" s="110"/>
      <c r="AH402" s="207"/>
      <c r="AI402" s="172"/>
      <c r="AJ402" s="172"/>
      <c r="AL402" s="110"/>
      <c r="AM402" s="141"/>
      <c r="AN402" s="141"/>
    </row>
    <row r="403" spans="1:40" x14ac:dyDescent="0.3">
      <c r="H403" s="192"/>
      <c r="I403" s="192"/>
      <c r="J403" s="217"/>
      <c r="K403" s="217"/>
      <c r="L403" s="192"/>
      <c r="M403" s="192"/>
      <c r="N403" s="192"/>
      <c r="O403" s="192"/>
      <c r="P403" s="192"/>
      <c r="Q403" s="192"/>
      <c r="R403" s="192"/>
      <c r="V403" s="192"/>
      <c r="Y403" s="192"/>
      <c r="Z403" s="217"/>
      <c r="AA403" s="192"/>
      <c r="AB403" s="192"/>
      <c r="AC403" s="192"/>
      <c r="AD403" s="192"/>
      <c r="AE403" s="192"/>
      <c r="AF403" s="192"/>
      <c r="AI403" s="192"/>
      <c r="AJ403" s="192"/>
      <c r="AK403" s="194"/>
      <c r="AL403" s="192"/>
    </row>
    <row r="404" spans="1:40" x14ac:dyDescent="0.3">
      <c r="F404" s="192"/>
    </row>
    <row r="405" spans="1:40" x14ac:dyDescent="0.3">
      <c r="A405" s="99"/>
      <c r="T405" s="99"/>
    </row>
    <row r="406" spans="1:40" x14ac:dyDescent="0.3">
      <c r="A406" s="99"/>
      <c r="T406" s="99"/>
    </row>
    <row r="407" spans="1:40" x14ac:dyDescent="0.3">
      <c r="A407" s="99"/>
      <c r="T407" s="99"/>
    </row>
    <row r="408" spans="1:40" x14ac:dyDescent="0.3">
      <c r="A408" s="99"/>
      <c r="T408" s="99"/>
    </row>
    <row r="409" spans="1:40" x14ac:dyDescent="0.3">
      <c r="A409" s="99"/>
      <c r="T409" s="99"/>
    </row>
    <row r="410" spans="1:40" x14ac:dyDescent="0.3">
      <c r="A410" s="99"/>
      <c r="T410" s="99"/>
    </row>
    <row r="411" spans="1:40" x14ac:dyDescent="0.3">
      <c r="A411" s="99"/>
      <c r="T411" s="99"/>
    </row>
    <row r="412" spans="1:40" x14ac:dyDescent="0.3">
      <c r="A412" s="99"/>
      <c r="T412" s="99"/>
    </row>
    <row r="413" spans="1:40" x14ac:dyDescent="0.3">
      <c r="A413" s="99"/>
      <c r="T413" s="99"/>
    </row>
    <row r="415" spans="1:40" x14ac:dyDescent="0.3">
      <c r="A415" s="99"/>
    </row>
    <row r="417" spans="1:40" x14ac:dyDescent="0.3">
      <c r="H417" s="99"/>
      <c r="I417" s="99"/>
      <c r="Y417" s="99"/>
    </row>
    <row r="419" spans="1:40" x14ac:dyDescent="0.3">
      <c r="L419" s="99"/>
      <c r="M419" s="99"/>
      <c r="AA419" s="99"/>
      <c r="AB419" s="99"/>
    </row>
    <row r="420" spans="1:40" x14ac:dyDescent="0.3">
      <c r="R420" s="99"/>
      <c r="AK420" s="190"/>
      <c r="AL420" s="99"/>
    </row>
    <row r="421" spans="1:40" x14ac:dyDescent="0.3">
      <c r="R421" s="99"/>
      <c r="AK421" s="190"/>
      <c r="AL421" s="99"/>
    </row>
    <row r="422" spans="1:40" x14ac:dyDescent="0.3">
      <c r="A422" s="99"/>
      <c r="R422" s="99"/>
      <c r="AK422" s="190"/>
      <c r="AL422" s="99"/>
    </row>
    <row r="423" spans="1:40" x14ac:dyDescent="0.3">
      <c r="L423" s="99"/>
      <c r="M423" s="99"/>
      <c r="AA423" s="99"/>
      <c r="AB423" s="99"/>
    </row>
    <row r="424" spans="1:40" x14ac:dyDescent="0.3">
      <c r="A424" s="101"/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T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G424" s="191"/>
      <c r="AH424" s="101"/>
      <c r="AI424" s="101"/>
      <c r="AJ424" s="101"/>
      <c r="AK424" s="191"/>
      <c r="AL424" s="101"/>
      <c r="AM424" s="101"/>
      <c r="AN424" s="101"/>
    </row>
    <row r="425" spans="1:40" x14ac:dyDescent="0.3">
      <c r="L425" s="102"/>
      <c r="M425" s="102"/>
      <c r="N425" s="102"/>
      <c r="O425" s="102"/>
      <c r="R425" s="102"/>
      <c r="AA425" s="102"/>
      <c r="AB425" s="102"/>
      <c r="AC425" s="102"/>
      <c r="AD425" s="102"/>
      <c r="AE425" s="102"/>
      <c r="AF425" s="102"/>
      <c r="AG425" s="151"/>
      <c r="AH425" s="102"/>
      <c r="AK425" s="151"/>
      <c r="AL425" s="102"/>
      <c r="AM425" s="102"/>
      <c r="AN425" s="102"/>
    </row>
    <row r="426" spans="1:40" x14ac:dyDescent="0.3">
      <c r="L426" s="102"/>
      <c r="M426" s="102"/>
      <c r="N426" s="102"/>
      <c r="O426" s="102"/>
      <c r="R426" s="102"/>
      <c r="Z426" s="102"/>
      <c r="AA426" s="102"/>
      <c r="AB426" s="102"/>
      <c r="AC426" s="102"/>
      <c r="AD426" s="102"/>
      <c r="AE426" s="102"/>
      <c r="AF426" s="102"/>
      <c r="AG426" s="151"/>
      <c r="AH426" s="102"/>
      <c r="AK426" s="151"/>
      <c r="AL426" s="102"/>
      <c r="AM426" s="102"/>
      <c r="AN426" s="102"/>
    </row>
    <row r="427" spans="1:40" x14ac:dyDescent="0.3">
      <c r="A427" s="102"/>
      <c r="C427" s="102"/>
      <c r="D427" s="102"/>
      <c r="E427" s="102"/>
      <c r="F427" s="102"/>
      <c r="J427" s="102"/>
      <c r="K427" s="102"/>
      <c r="L427" s="102"/>
      <c r="M427" s="102"/>
      <c r="N427" s="102"/>
      <c r="O427" s="102"/>
      <c r="P427" s="102"/>
      <c r="Q427" s="102"/>
      <c r="R427" s="102"/>
      <c r="T427" s="102"/>
      <c r="U427" s="102"/>
      <c r="V427" s="102"/>
      <c r="Z427" s="102"/>
      <c r="AA427" s="102"/>
      <c r="AB427" s="102"/>
      <c r="AC427" s="102"/>
      <c r="AD427" s="102"/>
      <c r="AE427" s="102"/>
      <c r="AF427" s="102"/>
      <c r="AG427" s="151"/>
      <c r="AH427" s="102"/>
      <c r="AI427" s="102"/>
      <c r="AJ427" s="102"/>
      <c r="AK427" s="151"/>
      <c r="AL427" s="102"/>
      <c r="AM427" s="102"/>
      <c r="AN427" s="102"/>
    </row>
    <row r="428" spans="1:40" x14ac:dyDescent="0.3">
      <c r="A428" s="102"/>
      <c r="C428" s="102"/>
      <c r="D428" s="102"/>
      <c r="E428" s="102"/>
      <c r="F428" s="102"/>
      <c r="H428" s="102"/>
      <c r="I428" s="102"/>
      <c r="J428" s="102"/>
      <c r="K428" s="102"/>
      <c r="L428" s="102"/>
      <c r="M428" s="102"/>
      <c r="N428" s="102"/>
      <c r="O428" s="102"/>
      <c r="P428" s="102"/>
      <c r="Q428" s="102"/>
      <c r="R428" s="102"/>
      <c r="T428" s="102"/>
      <c r="U428" s="102"/>
      <c r="V428" s="102"/>
      <c r="Y428" s="102"/>
      <c r="Z428" s="102"/>
      <c r="AA428" s="102"/>
      <c r="AB428" s="102"/>
      <c r="AC428" s="102"/>
      <c r="AD428" s="102"/>
      <c r="AE428" s="102"/>
      <c r="AF428" s="102"/>
      <c r="AG428" s="151"/>
      <c r="AH428" s="102"/>
      <c r="AI428" s="102"/>
      <c r="AJ428" s="102"/>
      <c r="AK428" s="151"/>
      <c r="AL428" s="102"/>
      <c r="AM428" s="102"/>
      <c r="AN428" s="102"/>
    </row>
    <row r="429" spans="1:40" x14ac:dyDescent="0.3">
      <c r="C429" s="102"/>
      <c r="D429" s="102"/>
      <c r="E429" s="102"/>
      <c r="F429" s="102"/>
      <c r="H429" s="102"/>
      <c r="I429" s="102"/>
      <c r="J429" s="102"/>
      <c r="K429" s="102"/>
      <c r="L429" s="102"/>
      <c r="M429" s="102"/>
      <c r="N429" s="102"/>
      <c r="O429" s="102"/>
      <c r="P429" s="102"/>
      <c r="Q429" s="102"/>
      <c r="R429" s="102"/>
      <c r="T429" s="102"/>
      <c r="U429" s="102"/>
      <c r="V429" s="102"/>
      <c r="Y429" s="102"/>
      <c r="Z429" s="102"/>
      <c r="AA429" s="102"/>
      <c r="AB429" s="102"/>
      <c r="AC429" s="102"/>
      <c r="AD429" s="102"/>
      <c r="AE429" s="102"/>
      <c r="AF429" s="102"/>
      <c r="AG429" s="151"/>
      <c r="AH429" s="102"/>
      <c r="AI429" s="102"/>
      <c r="AJ429" s="102"/>
      <c r="AK429" s="151"/>
      <c r="AL429" s="102"/>
      <c r="AM429" s="102"/>
      <c r="AN429" s="102"/>
    </row>
    <row r="430" spans="1:40" x14ac:dyDescent="0.3">
      <c r="A430" s="101"/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T430" s="101"/>
      <c r="U430" s="101"/>
      <c r="V430" s="101"/>
      <c r="W430" s="101"/>
      <c r="X430" s="101"/>
      <c r="Y430" s="101"/>
      <c r="Z430" s="101"/>
      <c r="AA430" s="101"/>
      <c r="AB430" s="101"/>
      <c r="AC430" s="101"/>
      <c r="AD430" s="101"/>
      <c r="AE430" s="101"/>
      <c r="AF430" s="101"/>
      <c r="AG430" s="191"/>
      <c r="AH430" s="101"/>
      <c r="AI430" s="101"/>
      <c r="AJ430" s="101"/>
      <c r="AK430" s="191"/>
      <c r="AL430" s="101"/>
      <c r="AM430" s="101"/>
      <c r="AN430" s="101"/>
    </row>
    <row r="431" spans="1:40" x14ac:dyDescent="0.3"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Y431" s="102"/>
      <c r="Z431" s="102"/>
      <c r="AA431" s="102"/>
      <c r="AB431" s="102"/>
      <c r="AC431" s="102"/>
      <c r="AD431" s="102"/>
      <c r="AE431" s="102"/>
      <c r="AF431" s="102"/>
      <c r="AG431" s="151"/>
      <c r="AH431" s="102"/>
      <c r="AI431" s="102"/>
      <c r="AJ431" s="102"/>
      <c r="AK431" s="151"/>
      <c r="AL431" s="102"/>
      <c r="AM431" s="102"/>
      <c r="AN431" s="102"/>
    </row>
    <row r="432" spans="1:40" x14ac:dyDescent="0.3">
      <c r="C432" s="99"/>
      <c r="D432" s="99"/>
      <c r="E432" s="99"/>
      <c r="T432" s="99"/>
      <c r="U432" s="99"/>
    </row>
    <row r="433" spans="3:40" x14ac:dyDescent="0.3">
      <c r="D433" s="99"/>
      <c r="E433" s="99"/>
      <c r="U433" s="99"/>
    </row>
    <row r="435" spans="3:40" x14ac:dyDescent="0.3">
      <c r="C435" s="99"/>
      <c r="F435" s="110"/>
      <c r="J435" s="209"/>
      <c r="K435" s="209"/>
      <c r="L435" s="110"/>
      <c r="M435" s="110"/>
      <c r="R435" s="110"/>
      <c r="T435" s="99"/>
      <c r="V435" s="110"/>
      <c r="Z435" s="209"/>
      <c r="AA435" s="110"/>
      <c r="AB435" s="110"/>
      <c r="AH435" s="110"/>
      <c r="AL435" s="110"/>
    </row>
    <row r="436" spans="3:40" x14ac:dyDescent="0.3">
      <c r="C436" s="99"/>
      <c r="F436" s="110"/>
      <c r="R436" s="110"/>
      <c r="T436" s="99"/>
      <c r="V436" s="110"/>
      <c r="AH436" s="110"/>
      <c r="AL436" s="110"/>
    </row>
    <row r="437" spans="3:40" x14ac:dyDescent="0.3">
      <c r="AI437" s="110"/>
      <c r="AJ437" s="110"/>
      <c r="AL437" s="110"/>
      <c r="AM437" s="141"/>
      <c r="AN437" s="141"/>
    </row>
    <row r="438" spans="3:40" x14ac:dyDescent="0.3">
      <c r="C438" s="99"/>
      <c r="F438" s="172"/>
      <c r="H438" s="172"/>
      <c r="I438" s="172"/>
      <c r="J438" s="227"/>
      <c r="K438" s="227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7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F439" s="110"/>
      <c r="H439" s="110"/>
      <c r="I439" s="110"/>
      <c r="J439" s="198"/>
      <c r="K439" s="198"/>
      <c r="L439" s="110"/>
      <c r="M439" s="110"/>
      <c r="P439" s="110"/>
      <c r="Q439" s="110"/>
      <c r="R439" s="110"/>
      <c r="V439" s="110"/>
      <c r="Y439" s="110"/>
      <c r="Z439" s="198"/>
      <c r="AA439" s="110"/>
      <c r="AB439" s="110"/>
      <c r="AI439" s="110"/>
      <c r="AJ439" s="110"/>
      <c r="AL439" s="110"/>
      <c r="AM439" s="141"/>
      <c r="AN439" s="141"/>
    </row>
    <row r="440" spans="3:40" x14ac:dyDescent="0.3">
      <c r="F440" s="110"/>
      <c r="R440" s="110"/>
      <c r="V440" s="110"/>
      <c r="AL440" s="110"/>
      <c r="AM440" s="141"/>
      <c r="AN440" s="141"/>
    </row>
    <row r="441" spans="3:40" x14ac:dyDescent="0.3">
      <c r="C441" s="99"/>
      <c r="F441" s="110"/>
      <c r="J441" s="209"/>
      <c r="K441" s="209"/>
      <c r="L441" s="110"/>
      <c r="M441" s="110"/>
      <c r="N441" s="141"/>
      <c r="O441" s="141"/>
      <c r="R441" s="110"/>
      <c r="T441" s="99"/>
      <c r="V441" s="110"/>
      <c r="Z441" s="209"/>
      <c r="AA441" s="110"/>
      <c r="AB441" s="110"/>
      <c r="AC441" s="141"/>
      <c r="AD441" s="141"/>
      <c r="AL441" s="110"/>
      <c r="AM441" s="141"/>
      <c r="AN441" s="141"/>
    </row>
    <row r="442" spans="3:40" x14ac:dyDescent="0.3">
      <c r="C442" s="99"/>
      <c r="F442" s="110"/>
      <c r="H442" s="110"/>
      <c r="I442" s="110"/>
      <c r="J442" s="209"/>
      <c r="K442" s="209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09"/>
      <c r="AA442" s="110"/>
      <c r="AB442" s="110"/>
      <c r="AC442" s="141"/>
      <c r="AD442" s="141"/>
      <c r="AI442" s="110"/>
      <c r="AJ442" s="110"/>
      <c r="AL442" s="110"/>
      <c r="AM442" s="141"/>
      <c r="AN442" s="141"/>
    </row>
    <row r="443" spans="3:40" x14ac:dyDescent="0.3">
      <c r="C443" s="99"/>
      <c r="T443" s="99"/>
      <c r="AM443" s="141"/>
      <c r="AN443" s="141"/>
    </row>
    <row r="444" spans="3:40" x14ac:dyDescent="0.3">
      <c r="C444" s="99"/>
      <c r="T444" s="99"/>
      <c r="AM444" s="141"/>
      <c r="AN444" s="141"/>
    </row>
    <row r="445" spans="3:40" x14ac:dyDescent="0.3">
      <c r="AM445" s="141"/>
      <c r="AN445" s="141"/>
    </row>
    <row r="446" spans="3:40" x14ac:dyDescent="0.3">
      <c r="C446" s="99"/>
      <c r="F446" s="172"/>
      <c r="H446" s="172"/>
      <c r="I446" s="172"/>
      <c r="J446" s="227"/>
      <c r="K446" s="227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7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F447" s="192"/>
      <c r="H447" s="192"/>
      <c r="I447" s="192"/>
      <c r="J447" s="217"/>
      <c r="K447" s="217"/>
      <c r="L447" s="192"/>
      <c r="M447" s="192"/>
      <c r="N447" s="192"/>
      <c r="O447" s="192"/>
      <c r="P447" s="192"/>
      <c r="Q447" s="192"/>
      <c r="R447" s="192"/>
      <c r="V447" s="192"/>
      <c r="Y447" s="192"/>
      <c r="Z447" s="217"/>
      <c r="AA447" s="192"/>
      <c r="AB447" s="192"/>
      <c r="AC447" s="192"/>
      <c r="AD447" s="192"/>
      <c r="AE447" s="192"/>
      <c r="AF447" s="192"/>
      <c r="AI447" s="192"/>
      <c r="AJ447" s="192"/>
      <c r="AK447" s="194"/>
      <c r="AL447" s="192"/>
      <c r="AM447" s="141"/>
      <c r="AN447" s="141"/>
    </row>
    <row r="448" spans="3:40" x14ac:dyDescent="0.3">
      <c r="H448" s="110"/>
      <c r="I448" s="110"/>
      <c r="Y448" s="110"/>
      <c r="AM448" s="141"/>
      <c r="AN448" s="141"/>
    </row>
    <row r="449" spans="1:40" x14ac:dyDescent="0.3">
      <c r="C449" s="99"/>
      <c r="F449" s="110"/>
      <c r="H449" s="110"/>
      <c r="I449" s="110"/>
      <c r="L449" s="110"/>
      <c r="M449" s="110"/>
      <c r="N449" s="141"/>
      <c r="O449" s="141"/>
      <c r="P449" s="172"/>
      <c r="Q449" s="172"/>
      <c r="R449" s="110"/>
      <c r="T449" s="99"/>
      <c r="V449" s="110"/>
      <c r="Y449" s="110"/>
      <c r="AA449" s="110"/>
      <c r="AB449" s="110"/>
      <c r="AC449" s="141"/>
      <c r="AD449" s="141"/>
      <c r="AE449" s="110"/>
      <c r="AF449" s="110"/>
      <c r="AH449" s="207"/>
      <c r="AI449" s="172"/>
      <c r="AJ449" s="172"/>
      <c r="AL449" s="110"/>
      <c r="AM449" s="141"/>
      <c r="AN449" s="141"/>
    </row>
    <row r="450" spans="1:40" x14ac:dyDescent="0.3">
      <c r="H450" s="192"/>
      <c r="I450" s="192"/>
      <c r="J450" s="217"/>
      <c r="K450" s="217"/>
      <c r="L450" s="192"/>
      <c r="M450" s="192"/>
      <c r="N450" s="192"/>
      <c r="O450" s="192"/>
      <c r="P450" s="192"/>
      <c r="Q450" s="192"/>
      <c r="R450" s="192"/>
      <c r="V450" s="192"/>
      <c r="Y450" s="192"/>
      <c r="Z450" s="217"/>
      <c r="AA450" s="192"/>
      <c r="AB450" s="192"/>
      <c r="AC450" s="192"/>
      <c r="AD450" s="192"/>
      <c r="AE450" s="192"/>
      <c r="AF450" s="192"/>
      <c r="AI450" s="192"/>
      <c r="AJ450" s="192"/>
      <c r="AK450" s="194"/>
      <c r="AL450" s="192"/>
      <c r="AM450" s="141"/>
      <c r="AN450" s="141"/>
    </row>
    <row r="451" spans="1:40" x14ac:dyDescent="0.3">
      <c r="F451" s="192"/>
    </row>
    <row r="452" spans="1:40" x14ac:dyDescent="0.3">
      <c r="F452" s="110"/>
      <c r="H452" s="110"/>
      <c r="I452" s="110"/>
      <c r="J452" s="198"/>
      <c r="K452" s="198"/>
      <c r="L452" s="110"/>
      <c r="M452" s="110"/>
      <c r="N452" s="110"/>
      <c r="O452" s="110"/>
      <c r="P452" s="110"/>
      <c r="Q452" s="110"/>
      <c r="R452" s="110"/>
      <c r="V452" s="110"/>
      <c r="Y452" s="110"/>
      <c r="Z452" s="198"/>
      <c r="AA452" s="110"/>
      <c r="AB452" s="110"/>
      <c r="AC452" s="110"/>
      <c r="AD452" s="110"/>
      <c r="AE452" s="110"/>
      <c r="AF452" s="110"/>
      <c r="AH452" s="110"/>
      <c r="AI452" s="110"/>
      <c r="AJ452" s="110"/>
      <c r="AL452" s="110"/>
    </row>
    <row r="453" spans="1:40" x14ac:dyDescent="0.3">
      <c r="A453" s="99"/>
    </row>
    <row r="455" spans="1:40" x14ac:dyDescent="0.3">
      <c r="H455" s="99"/>
      <c r="I455" s="99"/>
      <c r="Y455" s="99"/>
    </row>
    <row r="457" spans="1:40" x14ac:dyDescent="0.3">
      <c r="L457" s="99"/>
      <c r="M457" s="99"/>
      <c r="AA457" s="99"/>
      <c r="AB457" s="99"/>
    </row>
    <row r="458" spans="1:40" x14ac:dyDescent="0.3">
      <c r="R458" s="99"/>
      <c r="AK458" s="190"/>
      <c r="AL458" s="99"/>
    </row>
    <row r="459" spans="1:40" x14ac:dyDescent="0.3">
      <c r="R459" s="99"/>
      <c r="AK459" s="190"/>
      <c r="AL459" s="99"/>
    </row>
    <row r="460" spans="1:40" x14ac:dyDescent="0.3">
      <c r="A460" s="99"/>
      <c r="R460" s="99"/>
      <c r="AK460" s="190"/>
      <c r="AL460" s="99"/>
    </row>
    <row r="461" spans="1:40" x14ac:dyDescent="0.3">
      <c r="L461" s="99"/>
      <c r="M461" s="99"/>
      <c r="AA461" s="99"/>
      <c r="AB461" s="99"/>
    </row>
    <row r="462" spans="1:40" x14ac:dyDescent="0.3">
      <c r="A462" s="101"/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T462" s="101"/>
      <c r="U462" s="101"/>
      <c r="V462" s="101"/>
      <c r="W462" s="101"/>
      <c r="X462" s="101"/>
      <c r="Y462" s="101"/>
      <c r="Z462" s="101"/>
      <c r="AA462" s="101"/>
      <c r="AB462" s="101"/>
      <c r="AC462" s="101"/>
      <c r="AD462" s="101"/>
      <c r="AE462" s="101"/>
      <c r="AF462" s="101"/>
      <c r="AG462" s="191"/>
      <c r="AH462" s="101"/>
      <c r="AI462" s="101"/>
      <c r="AJ462" s="101"/>
      <c r="AK462" s="191"/>
      <c r="AL462" s="101"/>
      <c r="AM462" s="101"/>
      <c r="AN462" s="101"/>
    </row>
    <row r="463" spans="1:40" x14ac:dyDescent="0.3">
      <c r="L463" s="102"/>
      <c r="M463" s="102"/>
      <c r="N463" s="102"/>
      <c r="O463" s="102"/>
      <c r="R463" s="102"/>
      <c r="AA463" s="102"/>
      <c r="AB463" s="102"/>
      <c r="AC463" s="102"/>
      <c r="AD463" s="102"/>
      <c r="AE463" s="102"/>
      <c r="AF463" s="102"/>
      <c r="AG463" s="151"/>
      <c r="AH463" s="102"/>
      <c r="AK463" s="151"/>
      <c r="AL463" s="102"/>
      <c r="AM463" s="102"/>
      <c r="AN463" s="102"/>
    </row>
    <row r="464" spans="1:40" x14ac:dyDescent="0.3">
      <c r="L464" s="102"/>
      <c r="M464" s="102"/>
      <c r="N464" s="102"/>
      <c r="O464" s="102"/>
      <c r="R464" s="102"/>
      <c r="Z464" s="102"/>
      <c r="AA464" s="102"/>
      <c r="AB464" s="102"/>
      <c r="AC464" s="102"/>
      <c r="AD464" s="102"/>
      <c r="AE464" s="102"/>
      <c r="AF464" s="102"/>
      <c r="AG464" s="151"/>
      <c r="AH464" s="102"/>
      <c r="AK464" s="151"/>
      <c r="AL464" s="102"/>
      <c r="AM464" s="102"/>
      <c r="AN464" s="102"/>
    </row>
    <row r="465" spans="1:40" x14ac:dyDescent="0.3">
      <c r="A465" s="102"/>
      <c r="C465" s="102"/>
      <c r="D465" s="102"/>
      <c r="E465" s="102"/>
      <c r="F465" s="102"/>
      <c r="J465" s="102"/>
      <c r="K465" s="102"/>
      <c r="L465" s="102"/>
      <c r="M465" s="102"/>
      <c r="N465" s="102"/>
      <c r="O465" s="102"/>
      <c r="P465" s="102"/>
      <c r="Q465" s="102"/>
      <c r="R465" s="102"/>
      <c r="T465" s="102"/>
      <c r="U465" s="102"/>
      <c r="V465" s="102"/>
      <c r="Z465" s="102"/>
      <c r="AA465" s="102"/>
      <c r="AB465" s="102"/>
      <c r="AC465" s="102"/>
      <c r="AD465" s="102"/>
      <c r="AE465" s="102"/>
      <c r="AF465" s="102"/>
      <c r="AG465" s="151"/>
      <c r="AH465" s="102"/>
      <c r="AI465" s="102"/>
      <c r="AJ465" s="102"/>
      <c r="AK465" s="151"/>
      <c r="AL465" s="102"/>
      <c r="AM465" s="102"/>
      <c r="AN465" s="102"/>
    </row>
    <row r="466" spans="1:40" x14ac:dyDescent="0.3">
      <c r="A466" s="102"/>
      <c r="C466" s="102"/>
      <c r="D466" s="102"/>
      <c r="E466" s="102"/>
      <c r="F466" s="102"/>
      <c r="H466" s="102"/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T466" s="102"/>
      <c r="U466" s="102"/>
      <c r="V466" s="102"/>
      <c r="Y466" s="102"/>
      <c r="Z466" s="102"/>
      <c r="AA466" s="102"/>
      <c r="AB466" s="102"/>
      <c r="AC466" s="102"/>
      <c r="AD466" s="102"/>
      <c r="AE466" s="102"/>
      <c r="AF466" s="102"/>
      <c r="AG466" s="151"/>
      <c r="AH466" s="102"/>
      <c r="AI466" s="102"/>
      <c r="AJ466" s="102"/>
      <c r="AK466" s="151"/>
      <c r="AL466" s="102"/>
      <c r="AM466" s="102"/>
      <c r="AN466" s="102"/>
    </row>
    <row r="467" spans="1:40" x14ac:dyDescent="0.3">
      <c r="C467" s="102"/>
      <c r="D467" s="102"/>
      <c r="E467" s="102"/>
      <c r="F467" s="102"/>
      <c r="H467" s="102"/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T467" s="102"/>
      <c r="U467" s="102"/>
      <c r="V467" s="102"/>
      <c r="Y467" s="102"/>
      <c r="Z467" s="102"/>
      <c r="AA467" s="102"/>
      <c r="AB467" s="102"/>
      <c r="AC467" s="102"/>
      <c r="AD467" s="102"/>
      <c r="AE467" s="102"/>
      <c r="AF467" s="102"/>
      <c r="AG467" s="151"/>
      <c r="AH467" s="102"/>
      <c r="AI467" s="102"/>
      <c r="AJ467" s="102"/>
      <c r="AK467" s="151"/>
      <c r="AL467" s="102"/>
      <c r="AM467" s="102"/>
      <c r="AN467" s="102"/>
    </row>
    <row r="468" spans="1:40" x14ac:dyDescent="0.3">
      <c r="A468" s="101"/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T468" s="101"/>
      <c r="U468" s="101"/>
      <c r="V468" s="101"/>
      <c r="W468" s="101"/>
      <c r="X468" s="101"/>
      <c r="Y468" s="101"/>
      <c r="Z468" s="101"/>
      <c r="AA468" s="101"/>
      <c r="AB468" s="101"/>
      <c r="AC468" s="101"/>
      <c r="AD468" s="101"/>
      <c r="AE468" s="101"/>
      <c r="AF468" s="101"/>
      <c r="AG468" s="191"/>
      <c r="AH468" s="101"/>
      <c r="AI468" s="101"/>
      <c r="AJ468" s="101"/>
      <c r="AK468" s="191"/>
      <c r="AL468" s="101"/>
      <c r="AM468" s="101"/>
      <c r="AN468" s="101"/>
    </row>
    <row r="469" spans="1:40" x14ac:dyDescent="0.3">
      <c r="H469" s="102"/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Y469" s="102"/>
      <c r="Z469" s="102"/>
      <c r="AA469" s="102"/>
      <c r="AB469" s="102"/>
      <c r="AC469" s="102"/>
      <c r="AD469" s="102"/>
      <c r="AE469" s="102"/>
      <c r="AF469" s="102"/>
      <c r="AG469" s="151"/>
      <c r="AH469" s="102"/>
      <c r="AI469" s="102"/>
      <c r="AJ469" s="102"/>
      <c r="AK469" s="151"/>
      <c r="AL469" s="102"/>
      <c r="AM469" s="102"/>
      <c r="AN469" s="102"/>
    </row>
    <row r="470" spans="1:40" x14ac:dyDescent="0.3">
      <c r="C470" s="99"/>
      <c r="D470" s="99"/>
      <c r="E470" s="99"/>
      <c r="T470" s="99"/>
      <c r="U470" s="99"/>
      <c r="V470" s="110"/>
      <c r="W470" s="110"/>
      <c r="X470" s="110"/>
      <c r="Y470" s="110"/>
      <c r="Z470" s="227"/>
    </row>
    <row r="472" spans="1:40" x14ac:dyDescent="0.3">
      <c r="C472" s="99"/>
      <c r="T472" s="99"/>
      <c r="V472" s="110"/>
      <c r="W472" s="110"/>
      <c r="X472" s="110"/>
      <c r="Y472" s="110"/>
      <c r="Z472" s="227"/>
    </row>
    <row r="473" spans="1:40" x14ac:dyDescent="0.3">
      <c r="C473" s="99"/>
      <c r="F473" s="172"/>
      <c r="H473" s="172"/>
      <c r="I473" s="172"/>
      <c r="J473" s="228"/>
      <c r="K473" s="228"/>
      <c r="L473" s="110"/>
      <c r="M473" s="110"/>
      <c r="N473" s="141"/>
      <c r="O473" s="141"/>
      <c r="P473" s="110"/>
      <c r="Q473" s="110"/>
      <c r="R473" s="110"/>
      <c r="T473" s="99"/>
      <c r="V473" s="110"/>
      <c r="W473" s="110"/>
      <c r="X473" s="110"/>
      <c r="Y473" s="110"/>
      <c r="Z473" s="228"/>
      <c r="AA473" s="110"/>
      <c r="AB473" s="110"/>
      <c r="AC473" s="141"/>
      <c r="AD473" s="141"/>
      <c r="AE473" s="110"/>
      <c r="AF473" s="110"/>
      <c r="AH473" s="207"/>
      <c r="AI473" s="110"/>
      <c r="AJ473" s="110"/>
      <c r="AL473" s="110"/>
      <c r="AM473" s="141"/>
      <c r="AN473" s="141"/>
    </row>
    <row r="474" spans="1:40" x14ac:dyDescent="0.3">
      <c r="C474" s="99"/>
      <c r="F474" s="172"/>
      <c r="H474" s="172"/>
      <c r="I474" s="172"/>
      <c r="J474" s="228"/>
      <c r="K474" s="228"/>
      <c r="L474" s="110"/>
      <c r="M474" s="110"/>
      <c r="N474" s="141"/>
      <c r="O474" s="141"/>
      <c r="P474" s="110"/>
      <c r="Q474" s="110"/>
      <c r="R474" s="110"/>
      <c r="T474" s="99"/>
      <c r="V474" s="110"/>
      <c r="W474" s="110"/>
      <c r="X474" s="110"/>
      <c r="Y474" s="110"/>
      <c r="Z474" s="228"/>
      <c r="AA474" s="110"/>
      <c r="AB474" s="110"/>
      <c r="AC474" s="141"/>
      <c r="AD474" s="141"/>
      <c r="AE474" s="110"/>
      <c r="AF474" s="110"/>
      <c r="AH474" s="207"/>
      <c r="AI474" s="110"/>
      <c r="AJ474" s="110"/>
      <c r="AL474" s="110"/>
      <c r="AM474" s="141"/>
      <c r="AN474" s="141"/>
    </row>
    <row r="475" spans="1:40" x14ac:dyDescent="0.3">
      <c r="C475" s="99"/>
      <c r="F475" s="172"/>
      <c r="H475" s="172"/>
      <c r="I475" s="172"/>
      <c r="J475" s="228"/>
      <c r="K475" s="228"/>
      <c r="L475" s="110"/>
      <c r="M475" s="110"/>
      <c r="N475" s="141"/>
      <c r="O475" s="141"/>
      <c r="P475" s="110"/>
      <c r="Q475" s="110"/>
      <c r="R475" s="110"/>
      <c r="T475" s="99"/>
      <c r="V475" s="110"/>
      <c r="W475" s="110"/>
      <c r="X475" s="110"/>
      <c r="Y475" s="110"/>
      <c r="Z475" s="228"/>
      <c r="AA475" s="110"/>
      <c r="AB475" s="110"/>
      <c r="AC475" s="141"/>
      <c r="AD475" s="141"/>
      <c r="AE475" s="110"/>
      <c r="AF475" s="110"/>
      <c r="AH475" s="207"/>
      <c r="AI475" s="110"/>
      <c r="AJ475" s="110"/>
      <c r="AL475" s="110"/>
      <c r="AM475" s="141"/>
      <c r="AN475" s="141"/>
    </row>
    <row r="476" spans="1:40" x14ac:dyDescent="0.3">
      <c r="C476" s="99"/>
      <c r="F476" s="172"/>
      <c r="H476" s="172"/>
      <c r="I476" s="172"/>
      <c r="J476" s="228"/>
      <c r="K476" s="228"/>
      <c r="L476" s="110"/>
      <c r="M476" s="110"/>
      <c r="N476" s="141"/>
      <c r="O476" s="141"/>
      <c r="P476" s="110"/>
      <c r="Q476" s="110"/>
      <c r="R476" s="110"/>
      <c r="T476" s="99"/>
      <c r="V476" s="110"/>
      <c r="W476" s="110"/>
      <c r="X476" s="110"/>
      <c r="Y476" s="110"/>
      <c r="Z476" s="228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141"/>
      <c r="AN476" s="141"/>
    </row>
    <row r="477" spans="1:40" x14ac:dyDescent="0.3">
      <c r="J477" s="163"/>
      <c r="K477" s="163"/>
      <c r="V477" s="110"/>
      <c r="W477" s="110"/>
      <c r="X477" s="110"/>
      <c r="Y477" s="110"/>
      <c r="Z477" s="228"/>
    </row>
    <row r="478" spans="1:40" x14ac:dyDescent="0.3">
      <c r="C478" s="99"/>
      <c r="F478" s="172"/>
      <c r="H478" s="172"/>
      <c r="I478" s="172"/>
      <c r="J478" s="228"/>
      <c r="K478" s="228"/>
      <c r="L478" s="110"/>
      <c r="M478" s="110"/>
      <c r="N478" s="141"/>
      <c r="O478" s="141"/>
      <c r="P478" s="110"/>
      <c r="Q478" s="110"/>
      <c r="R478" s="110"/>
      <c r="T478" s="99"/>
      <c r="V478" s="110"/>
      <c r="W478" s="110"/>
      <c r="X478" s="110"/>
      <c r="Y478" s="110"/>
      <c r="Z478" s="228"/>
      <c r="AA478" s="110"/>
      <c r="AB478" s="110"/>
      <c r="AC478" s="141"/>
      <c r="AD478" s="141"/>
      <c r="AE478" s="110"/>
      <c r="AF478" s="110"/>
      <c r="AH478" s="207"/>
      <c r="AI478" s="110"/>
      <c r="AJ478" s="110"/>
      <c r="AL478" s="110"/>
      <c r="AM478" s="207"/>
      <c r="AN478" s="207"/>
    </row>
    <row r="479" spans="1:40" x14ac:dyDescent="0.3">
      <c r="C479" s="99"/>
      <c r="J479" s="163"/>
      <c r="K479" s="163"/>
      <c r="T479" s="99"/>
      <c r="V479" s="110"/>
      <c r="W479" s="110"/>
      <c r="X479" s="110"/>
      <c r="Y479" s="110"/>
      <c r="Z479" s="228"/>
    </row>
    <row r="480" spans="1:40" x14ac:dyDescent="0.3">
      <c r="C480" s="99"/>
      <c r="F480" s="172"/>
      <c r="H480" s="172"/>
      <c r="I480" s="172"/>
      <c r="J480" s="228"/>
      <c r="K480" s="228"/>
      <c r="L480" s="110"/>
      <c r="M480" s="110"/>
      <c r="N480" s="141"/>
      <c r="O480" s="141"/>
      <c r="P480" s="110"/>
      <c r="Q480" s="110"/>
      <c r="R480" s="110"/>
      <c r="T480" s="99"/>
      <c r="V480" s="110"/>
      <c r="W480" s="110"/>
      <c r="X480" s="110"/>
      <c r="Y480" s="110"/>
      <c r="Z480" s="228"/>
      <c r="AA480" s="110"/>
      <c r="AB480" s="110"/>
      <c r="AC480" s="141"/>
      <c r="AD480" s="141"/>
      <c r="AE480" s="110"/>
      <c r="AF480" s="110"/>
      <c r="AH480" s="207"/>
      <c r="AI480" s="110"/>
      <c r="AJ480" s="110"/>
      <c r="AL480" s="110"/>
      <c r="AM480" s="207"/>
      <c r="AN480" s="207"/>
    </row>
    <row r="481" spans="1:40" x14ac:dyDescent="0.3">
      <c r="J481" s="163"/>
      <c r="K481" s="163"/>
      <c r="Z481" s="163"/>
    </row>
    <row r="482" spans="1:40" x14ac:dyDescent="0.3">
      <c r="C482" s="99"/>
      <c r="J482" s="163"/>
      <c r="K482" s="163"/>
      <c r="T482" s="99"/>
      <c r="V482" s="110"/>
      <c r="W482" s="110"/>
      <c r="X482" s="110"/>
      <c r="Y482" s="110"/>
      <c r="Z482" s="228"/>
    </row>
    <row r="483" spans="1:40" x14ac:dyDescent="0.3">
      <c r="C483" s="99"/>
      <c r="F483" s="172"/>
      <c r="H483" s="172"/>
      <c r="I483" s="172"/>
      <c r="J483" s="228"/>
      <c r="K483" s="228"/>
      <c r="L483" s="110"/>
      <c r="M483" s="110"/>
      <c r="N483" s="141"/>
      <c r="O483" s="141"/>
      <c r="P483" s="110"/>
      <c r="Q483" s="110"/>
      <c r="R483" s="110"/>
      <c r="T483" s="99"/>
      <c r="V483" s="110"/>
      <c r="W483" s="110"/>
      <c r="X483" s="110"/>
      <c r="Y483" s="110"/>
      <c r="Z483" s="228"/>
      <c r="AA483" s="110"/>
      <c r="AB483" s="110"/>
      <c r="AC483" s="141"/>
      <c r="AD483" s="141"/>
      <c r="AE483" s="110"/>
      <c r="AF483" s="110"/>
      <c r="AH483" s="207"/>
      <c r="AI483" s="110"/>
      <c r="AJ483" s="110"/>
      <c r="AL483" s="110"/>
      <c r="AM483" s="207"/>
      <c r="AN483" s="207"/>
    </row>
    <row r="484" spans="1:40" x14ac:dyDescent="0.3">
      <c r="C484" s="99"/>
      <c r="F484" s="172"/>
      <c r="H484" s="172"/>
      <c r="I484" s="172"/>
      <c r="J484" s="228"/>
      <c r="K484" s="228"/>
      <c r="L484" s="110"/>
      <c r="M484" s="110"/>
      <c r="N484" s="141"/>
      <c r="O484" s="141"/>
      <c r="P484" s="110"/>
      <c r="Q484" s="110"/>
      <c r="R484" s="110"/>
      <c r="T484" s="99"/>
      <c r="V484" s="110"/>
      <c r="W484" s="110"/>
      <c r="X484" s="110"/>
      <c r="Y484" s="110"/>
      <c r="Z484" s="228"/>
      <c r="AA484" s="110"/>
      <c r="AB484" s="110"/>
      <c r="AC484" s="141"/>
      <c r="AD484" s="141"/>
      <c r="AE484" s="110"/>
      <c r="AF484" s="110"/>
      <c r="AH484" s="207"/>
      <c r="AI484" s="110"/>
      <c r="AJ484" s="110"/>
      <c r="AL484" s="110"/>
      <c r="AM484" s="207"/>
      <c r="AN484" s="207"/>
    </row>
    <row r="485" spans="1:40" x14ac:dyDescent="0.3">
      <c r="F485" s="192"/>
      <c r="H485" s="192"/>
      <c r="I485" s="192"/>
      <c r="J485" s="228"/>
      <c r="K485" s="228"/>
      <c r="L485" s="192"/>
      <c r="M485" s="192"/>
      <c r="N485" s="192"/>
      <c r="O485" s="192"/>
      <c r="P485" s="192"/>
      <c r="Q485" s="192"/>
      <c r="R485" s="192"/>
      <c r="V485" s="192"/>
      <c r="Y485" s="192"/>
      <c r="Z485" s="217"/>
      <c r="AA485" s="192"/>
      <c r="AB485" s="192"/>
      <c r="AC485" s="192"/>
      <c r="AD485" s="192"/>
      <c r="AE485" s="192"/>
      <c r="AF485" s="192"/>
      <c r="AI485" s="192"/>
      <c r="AJ485" s="192"/>
      <c r="AK485" s="194"/>
      <c r="AL485" s="192"/>
    </row>
    <row r="486" spans="1:40" x14ac:dyDescent="0.3">
      <c r="C486" s="99"/>
      <c r="F486" s="110"/>
      <c r="H486" s="110"/>
      <c r="I486" s="110"/>
      <c r="L486" s="110"/>
      <c r="M486" s="110"/>
      <c r="N486" s="141"/>
      <c r="O486" s="141"/>
      <c r="P486" s="172"/>
      <c r="Q486" s="172"/>
      <c r="R486" s="110"/>
      <c r="T486" s="99"/>
      <c r="V486" s="110"/>
      <c r="W486" s="110"/>
      <c r="X486" s="110"/>
      <c r="Y486" s="110"/>
      <c r="Z486" s="227"/>
      <c r="AA486" s="110"/>
      <c r="AB486" s="110"/>
      <c r="AC486" s="141"/>
      <c r="AD486" s="141"/>
      <c r="AE486" s="110"/>
      <c r="AF486" s="110"/>
      <c r="AH486" s="207"/>
      <c r="AI486" s="172"/>
      <c r="AJ486" s="172"/>
      <c r="AL486" s="110"/>
      <c r="AM486" s="207"/>
      <c r="AN486" s="207"/>
    </row>
    <row r="487" spans="1:40" x14ac:dyDescent="0.3">
      <c r="H487" s="192"/>
      <c r="I487" s="192"/>
      <c r="J487" s="217"/>
      <c r="K487" s="217"/>
      <c r="L487" s="192"/>
      <c r="M487" s="192"/>
      <c r="N487" s="192"/>
      <c r="O487" s="192"/>
      <c r="P487" s="192"/>
      <c r="Q487" s="192"/>
      <c r="R487" s="192"/>
      <c r="V487" s="192"/>
      <c r="Y487" s="192"/>
      <c r="Z487" s="217"/>
      <c r="AA487" s="192"/>
      <c r="AB487" s="192"/>
      <c r="AC487" s="192"/>
      <c r="AD487" s="192"/>
      <c r="AE487" s="192"/>
      <c r="AF487" s="192"/>
      <c r="AI487" s="192"/>
      <c r="AJ487" s="192"/>
      <c r="AK487" s="194"/>
      <c r="AL487" s="192"/>
    </row>
    <row r="488" spans="1:40" x14ac:dyDescent="0.3">
      <c r="F488" s="192"/>
    </row>
    <row r="490" spans="1:40" x14ac:dyDescent="0.3">
      <c r="A490" s="99"/>
    </row>
    <row r="492" spans="1:40" x14ac:dyDescent="0.3">
      <c r="H492" s="99"/>
      <c r="I492" s="99"/>
      <c r="Y492" s="99"/>
    </row>
    <row r="494" spans="1:40" x14ac:dyDescent="0.3">
      <c r="L494" s="99"/>
      <c r="M494" s="99"/>
      <c r="AA494" s="99"/>
      <c r="AB494" s="99"/>
    </row>
    <row r="495" spans="1:40" x14ac:dyDescent="0.3">
      <c r="R495" s="99"/>
      <c r="AK495" s="190"/>
      <c r="AL495" s="99"/>
    </row>
    <row r="496" spans="1:40" x14ac:dyDescent="0.3">
      <c r="R496" s="99"/>
      <c r="AK496" s="190"/>
      <c r="AL496" s="99"/>
    </row>
    <row r="497" spans="1:40" x14ac:dyDescent="0.3">
      <c r="A497" s="99"/>
      <c r="R497" s="99"/>
      <c r="AK497" s="190"/>
      <c r="AL497" s="99"/>
    </row>
    <row r="498" spans="1:40" x14ac:dyDescent="0.3">
      <c r="L498" s="99"/>
      <c r="M498" s="99"/>
      <c r="AA498" s="99"/>
      <c r="AB498" s="99"/>
    </row>
    <row r="499" spans="1:40" x14ac:dyDescent="0.3">
      <c r="A499" s="101"/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91"/>
      <c r="AH499" s="101"/>
      <c r="AI499" s="101"/>
      <c r="AJ499" s="101"/>
      <c r="AK499" s="191"/>
      <c r="AL499" s="101"/>
      <c r="AM499" s="101"/>
      <c r="AN499" s="101"/>
    </row>
    <row r="500" spans="1:40" x14ac:dyDescent="0.3">
      <c r="L500" s="102"/>
      <c r="M500" s="102"/>
      <c r="N500" s="102"/>
      <c r="O500" s="102"/>
      <c r="R500" s="102"/>
      <c r="AA500" s="102"/>
      <c r="AB500" s="102"/>
      <c r="AC500" s="102"/>
      <c r="AD500" s="102"/>
      <c r="AE500" s="102"/>
      <c r="AF500" s="102"/>
      <c r="AG500" s="151"/>
      <c r="AH500" s="102"/>
      <c r="AK500" s="151"/>
      <c r="AL500" s="102"/>
      <c r="AM500" s="102"/>
      <c r="AN500" s="102"/>
    </row>
    <row r="501" spans="1:40" x14ac:dyDescent="0.3">
      <c r="L501" s="102"/>
      <c r="M501" s="102"/>
      <c r="N501" s="102"/>
      <c r="O501" s="102"/>
      <c r="R501" s="102"/>
      <c r="Z501" s="102"/>
      <c r="AA501" s="102"/>
      <c r="AB501" s="102"/>
      <c r="AC501" s="102"/>
      <c r="AD501" s="102"/>
      <c r="AE501" s="102"/>
      <c r="AF501" s="102"/>
      <c r="AG501" s="151"/>
      <c r="AH501" s="102"/>
      <c r="AK501" s="151"/>
      <c r="AL501" s="102"/>
      <c r="AM501" s="102"/>
      <c r="AN501" s="102"/>
    </row>
    <row r="502" spans="1:40" x14ac:dyDescent="0.3">
      <c r="A502" s="102"/>
      <c r="C502" s="102"/>
      <c r="D502" s="102"/>
      <c r="E502" s="102"/>
      <c r="F502" s="102"/>
      <c r="J502" s="102"/>
      <c r="K502" s="102"/>
      <c r="L502" s="102"/>
      <c r="M502" s="102"/>
      <c r="N502" s="102"/>
      <c r="O502" s="102"/>
      <c r="P502" s="102"/>
      <c r="Q502" s="102"/>
      <c r="R502" s="102"/>
      <c r="T502" s="102"/>
      <c r="U502" s="102"/>
      <c r="V502" s="102"/>
      <c r="Z502" s="102"/>
      <c r="AA502" s="102"/>
      <c r="AB502" s="102"/>
      <c r="AC502" s="102"/>
      <c r="AD502" s="102"/>
      <c r="AE502" s="102"/>
      <c r="AF502" s="102"/>
      <c r="AG502" s="151"/>
      <c r="AH502" s="102"/>
      <c r="AI502" s="102"/>
      <c r="AJ502" s="102"/>
      <c r="AK502" s="151"/>
      <c r="AL502" s="102"/>
      <c r="AM502" s="102"/>
      <c r="AN502" s="102"/>
    </row>
    <row r="503" spans="1:40" x14ac:dyDescent="0.3">
      <c r="A503" s="102"/>
      <c r="C503" s="102"/>
      <c r="D503" s="102"/>
      <c r="E503" s="102"/>
      <c r="F503" s="102"/>
      <c r="H503" s="102"/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T503" s="102"/>
      <c r="U503" s="102"/>
      <c r="V503" s="102"/>
      <c r="Y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I503" s="102"/>
      <c r="AJ503" s="102"/>
      <c r="AK503" s="151"/>
      <c r="AL503" s="102"/>
      <c r="AM503" s="102"/>
      <c r="AN503" s="102"/>
    </row>
    <row r="504" spans="1:40" x14ac:dyDescent="0.3">
      <c r="C504" s="102"/>
      <c r="D504" s="102"/>
      <c r="E504" s="102"/>
      <c r="F504" s="102"/>
      <c r="H504" s="102"/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T504" s="102"/>
      <c r="U504" s="102"/>
      <c r="V504" s="102"/>
      <c r="Y504" s="102"/>
      <c r="Z504" s="102"/>
      <c r="AA504" s="102"/>
      <c r="AB504" s="102"/>
      <c r="AC504" s="102"/>
      <c r="AD504" s="102"/>
      <c r="AE504" s="102"/>
      <c r="AF504" s="102"/>
      <c r="AG504" s="151"/>
      <c r="AH504" s="102"/>
      <c r="AI504" s="102"/>
      <c r="AJ504" s="102"/>
      <c r="AK504" s="151"/>
      <c r="AL504" s="102"/>
      <c r="AM504" s="102"/>
      <c r="AN504" s="102"/>
    </row>
    <row r="505" spans="1:40" x14ac:dyDescent="0.3">
      <c r="A505" s="101"/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91"/>
      <c r="AH505" s="101"/>
      <c r="AI505" s="101"/>
      <c r="AJ505" s="101"/>
      <c r="AK505" s="191"/>
      <c r="AL505" s="101"/>
      <c r="AM505" s="101"/>
      <c r="AN505" s="101"/>
    </row>
    <row r="506" spans="1:40" x14ac:dyDescent="0.3"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Y506" s="102"/>
      <c r="Z506" s="102"/>
      <c r="AA506" s="102"/>
      <c r="AB506" s="102"/>
      <c r="AC506" s="102"/>
      <c r="AD506" s="102"/>
      <c r="AE506" s="102"/>
      <c r="AF506" s="102"/>
      <c r="AG506" s="151"/>
      <c r="AH506" s="102"/>
      <c r="AI506" s="102"/>
      <c r="AJ506" s="102"/>
      <c r="AK506" s="151"/>
      <c r="AL506" s="102"/>
      <c r="AM506" s="102"/>
      <c r="AN506" s="102"/>
    </row>
    <row r="507" spans="1:40" x14ac:dyDescent="0.3">
      <c r="C507" s="99"/>
      <c r="D507" s="99"/>
      <c r="E507" s="99"/>
      <c r="T507" s="99"/>
      <c r="U507" s="99"/>
    </row>
    <row r="509" spans="1:40" x14ac:dyDescent="0.3">
      <c r="C509" s="99"/>
      <c r="T509" s="99"/>
    </row>
    <row r="510" spans="1:40" x14ac:dyDescent="0.3">
      <c r="C510" s="99"/>
      <c r="T510" s="99"/>
    </row>
    <row r="511" spans="1:40" x14ac:dyDescent="0.3">
      <c r="C511" s="99"/>
      <c r="F511" s="172"/>
      <c r="H511" s="172"/>
      <c r="I511" s="172"/>
      <c r="J511" s="228"/>
      <c r="K511" s="228"/>
      <c r="L511" s="110"/>
      <c r="M511" s="110"/>
      <c r="N511" s="141"/>
      <c r="O511" s="141"/>
      <c r="P511" s="110"/>
      <c r="Q511" s="110"/>
      <c r="R511" s="110"/>
      <c r="T511" s="99"/>
      <c r="V511" s="110"/>
      <c r="W511" s="110"/>
      <c r="X511" s="110"/>
      <c r="Y511" s="110"/>
      <c r="Z511" s="228"/>
      <c r="AA511" s="110"/>
      <c r="AB511" s="110"/>
      <c r="AC511" s="141"/>
      <c r="AD511" s="141"/>
      <c r="AE511" s="110"/>
      <c r="AF511" s="110"/>
      <c r="AH511" s="207"/>
      <c r="AI511" s="110"/>
      <c r="AJ511" s="110"/>
      <c r="AL511" s="110"/>
      <c r="AM511" s="207"/>
      <c r="AN511" s="207"/>
    </row>
    <row r="512" spans="1:40" x14ac:dyDescent="0.3">
      <c r="C512" s="99"/>
      <c r="F512" s="110"/>
      <c r="H512" s="110"/>
      <c r="I512" s="110"/>
      <c r="J512" s="163"/>
      <c r="K512" s="163"/>
      <c r="L512" s="110"/>
      <c r="M512" s="110"/>
      <c r="N512" s="141"/>
      <c r="O512" s="141"/>
      <c r="P512" s="110"/>
      <c r="Q512" s="110"/>
      <c r="R512" s="110"/>
      <c r="T512" s="99"/>
      <c r="V512" s="110"/>
      <c r="W512" s="110"/>
      <c r="X512" s="110"/>
      <c r="Y512" s="110"/>
      <c r="Z512" s="163"/>
      <c r="AA512" s="110"/>
      <c r="AB512" s="110"/>
      <c r="AC512" s="141"/>
      <c r="AD512" s="141"/>
      <c r="AE512" s="110"/>
      <c r="AF512" s="110"/>
      <c r="AH512" s="207"/>
      <c r="AI512" s="110"/>
      <c r="AJ512" s="110"/>
      <c r="AL512" s="110"/>
      <c r="AM512" s="207"/>
      <c r="AN512" s="207"/>
    </row>
    <row r="513" spans="3:40" x14ac:dyDescent="0.3">
      <c r="C513" s="99"/>
      <c r="F513" s="110"/>
      <c r="H513" s="110"/>
      <c r="I513" s="110"/>
      <c r="J513" s="163"/>
      <c r="K513" s="163"/>
      <c r="L513" s="110"/>
      <c r="M513" s="110"/>
      <c r="N513" s="141"/>
      <c r="O513" s="141"/>
      <c r="P513" s="110"/>
      <c r="Q513" s="110"/>
      <c r="R513" s="110"/>
      <c r="T513" s="99"/>
      <c r="V513" s="110"/>
      <c r="W513" s="110"/>
      <c r="X513" s="110"/>
      <c r="Y513" s="110"/>
      <c r="Z513" s="163"/>
      <c r="AA513" s="110"/>
      <c r="AB513" s="110"/>
      <c r="AC513" s="141"/>
      <c r="AD513" s="141"/>
      <c r="AE513" s="110"/>
      <c r="AF513" s="110"/>
      <c r="AH513" s="207"/>
      <c r="AI513" s="110"/>
      <c r="AJ513" s="110"/>
      <c r="AL513" s="110"/>
      <c r="AM513" s="207"/>
      <c r="AN513" s="207"/>
    </row>
    <row r="514" spans="3:40" x14ac:dyDescent="0.3">
      <c r="C514" s="99"/>
      <c r="F514" s="110"/>
      <c r="H514" s="110"/>
      <c r="I514" s="110"/>
      <c r="J514" s="163"/>
      <c r="K514" s="163"/>
      <c r="T514" s="99"/>
      <c r="V514" s="110"/>
      <c r="Z514" s="163"/>
    </row>
    <row r="515" spans="3:40" x14ac:dyDescent="0.3">
      <c r="C515" s="99"/>
      <c r="F515" s="172"/>
      <c r="H515" s="172"/>
      <c r="I515" s="172"/>
      <c r="J515" s="228"/>
      <c r="K515" s="228"/>
      <c r="L515" s="110"/>
      <c r="M515" s="110"/>
      <c r="N515" s="141"/>
      <c r="O515" s="141"/>
      <c r="P515" s="110"/>
      <c r="Q515" s="110"/>
      <c r="R515" s="110"/>
      <c r="T515" s="99"/>
      <c r="V515" s="110"/>
      <c r="W515" s="110"/>
      <c r="X515" s="110"/>
      <c r="Y515" s="110"/>
      <c r="Z515" s="228"/>
      <c r="AA515" s="110"/>
      <c r="AB515" s="110"/>
      <c r="AC515" s="141"/>
      <c r="AD515" s="141"/>
      <c r="AE515" s="110"/>
      <c r="AF515" s="110"/>
      <c r="AH515" s="207"/>
      <c r="AI515" s="110"/>
      <c r="AJ515" s="110"/>
      <c r="AL515" s="110"/>
      <c r="AM515" s="207"/>
      <c r="AN515" s="207"/>
    </row>
    <row r="516" spans="3:40" x14ac:dyDescent="0.3">
      <c r="C516" s="99"/>
      <c r="F516" s="110"/>
      <c r="H516" s="110"/>
      <c r="I516" s="110"/>
      <c r="J516" s="163"/>
      <c r="K516" s="163"/>
      <c r="T516" s="99"/>
      <c r="V516" s="110"/>
      <c r="W516" s="110"/>
      <c r="X516" s="110"/>
      <c r="Y516" s="110"/>
      <c r="Z516" s="163"/>
      <c r="AC516" s="141"/>
      <c r="AD516" s="141"/>
      <c r="AE516" s="110"/>
      <c r="AF516" s="110"/>
      <c r="AH516" s="207"/>
      <c r="AI516" s="110"/>
      <c r="AJ516" s="110"/>
      <c r="AL516" s="110"/>
      <c r="AM516" s="207"/>
      <c r="AN516" s="207"/>
    </row>
    <row r="517" spans="3:40" x14ac:dyDescent="0.3">
      <c r="C517" s="99"/>
      <c r="F517" s="172"/>
      <c r="H517" s="172"/>
      <c r="I517" s="172"/>
      <c r="J517" s="228"/>
      <c r="K517" s="228"/>
      <c r="L517" s="110"/>
      <c r="M517" s="110"/>
      <c r="N517" s="141"/>
      <c r="O517" s="141"/>
      <c r="P517" s="110"/>
      <c r="Q517" s="110"/>
      <c r="R517" s="110"/>
      <c r="T517" s="99"/>
      <c r="V517" s="110"/>
      <c r="W517" s="110"/>
      <c r="X517" s="110"/>
      <c r="Y517" s="110"/>
      <c r="Z517" s="228"/>
      <c r="AA517" s="110"/>
      <c r="AB517" s="110"/>
      <c r="AC517" s="141"/>
      <c r="AD517" s="141"/>
      <c r="AE517" s="110"/>
      <c r="AF517" s="110"/>
      <c r="AH517" s="207"/>
      <c r="AI517" s="110"/>
      <c r="AJ517" s="110"/>
      <c r="AL517" s="110"/>
      <c r="AM517" s="207"/>
      <c r="AN517" s="207"/>
    </row>
    <row r="518" spans="3:40" x14ac:dyDescent="0.3">
      <c r="C518" s="99"/>
      <c r="F518" s="110"/>
      <c r="H518" s="110"/>
      <c r="I518" s="110"/>
      <c r="J518" s="163"/>
      <c r="K518" s="163"/>
      <c r="L518" s="110"/>
      <c r="M518" s="110"/>
      <c r="N518" s="141"/>
      <c r="O518" s="141"/>
      <c r="P518" s="110"/>
      <c r="Q518" s="110"/>
      <c r="R518" s="110"/>
      <c r="T518" s="99"/>
      <c r="V518" s="110"/>
      <c r="W518" s="110"/>
      <c r="X518" s="110"/>
      <c r="Y518" s="110"/>
      <c r="Z518" s="163"/>
      <c r="AA518" s="110"/>
      <c r="AB518" s="110"/>
      <c r="AC518" s="141"/>
      <c r="AD518" s="141"/>
      <c r="AE518" s="110"/>
      <c r="AF518" s="110"/>
      <c r="AH518" s="207"/>
      <c r="AI518" s="110"/>
      <c r="AJ518" s="110"/>
      <c r="AL518" s="110"/>
      <c r="AM518" s="207"/>
      <c r="AN518" s="207"/>
    </row>
    <row r="519" spans="3:40" x14ac:dyDescent="0.3">
      <c r="F519" s="110"/>
      <c r="H519" s="110"/>
      <c r="I519" s="110"/>
      <c r="J519" s="163"/>
      <c r="K519" s="163"/>
      <c r="Z519" s="163"/>
    </row>
    <row r="520" spans="3:40" x14ac:dyDescent="0.3">
      <c r="C520" s="99"/>
      <c r="F520" s="110"/>
      <c r="H520" s="172"/>
      <c r="I520" s="172"/>
      <c r="J520" s="228"/>
      <c r="K520" s="228"/>
      <c r="L520" s="110"/>
      <c r="M520" s="110"/>
      <c r="N520" s="141"/>
      <c r="O520" s="141"/>
      <c r="P520" s="110"/>
      <c r="Q520" s="110"/>
      <c r="R520" s="110"/>
      <c r="T520" s="99"/>
      <c r="V520" s="110"/>
      <c r="W520" s="110"/>
      <c r="X520" s="110"/>
      <c r="Y520" s="110"/>
      <c r="Z520" s="228"/>
      <c r="AA520" s="110"/>
      <c r="AB520" s="110"/>
      <c r="AC520" s="141"/>
      <c r="AD520" s="141"/>
      <c r="AE520" s="110"/>
      <c r="AF520" s="110"/>
      <c r="AH520" s="207"/>
      <c r="AI520" s="110"/>
      <c r="AJ520" s="110"/>
      <c r="AL520" s="110"/>
      <c r="AM520" s="207"/>
      <c r="AN520" s="207"/>
    </row>
    <row r="521" spans="3:40" x14ac:dyDescent="0.3">
      <c r="F521" s="192"/>
      <c r="H521" s="192"/>
      <c r="I521" s="192"/>
      <c r="J521" s="228"/>
      <c r="K521" s="228"/>
      <c r="L521" s="192"/>
      <c r="M521" s="192"/>
      <c r="N521" s="192"/>
      <c r="O521" s="192"/>
      <c r="P521" s="192"/>
      <c r="Q521" s="192"/>
      <c r="R521" s="192"/>
      <c r="V521" s="192"/>
      <c r="Y521" s="192"/>
      <c r="Z521" s="228"/>
      <c r="AA521" s="192"/>
      <c r="AB521" s="192"/>
      <c r="AC521" s="192"/>
      <c r="AD521" s="192"/>
      <c r="AE521" s="192"/>
      <c r="AF521" s="192"/>
      <c r="AI521" s="192"/>
      <c r="AJ521" s="192"/>
      <c r="AK521" s="194"/>
      <c r="AL521" s="192"/>
    </row>
    <row r="522" spans="3:40" x14ac:dyDescent="0.3">
      <c r="C522" s="99"/>
      <c r="F522" s="110"/>
      <c r="H522" s="110"/>
      <c r="I522" s="110"/>
      <c r="J522" s="163"/>
      <c r="K522" s="163"/>
      <c r="L522" s="110"/>
      <c r="M522" s="110"/>
      <c r="P522" s="110"/>
      <c r="Q522" s="110"/>
      <c r="R522" s="110"/>
      <c r="T522" s="99"/>
      <c r="V522" s="110"/>
      <c r="Y522" s="110"/>
      <c r="Z522" s="163"/>
      <c r="AA522" s="110"/>
      <c r="AB522" s="110"/>
      <c r="AC522" s="207"/>
      <c r="AD522" s="207"/>
      <c r="AE522" s="110"/>
      <c r="AF522" s="110"/>
      <c r="AH522" s="207"/>
      <c r="AI522" s="110"/>
      <c r="AJ522" s="110"/>
      <c r="AL522" s="110"/>
      <c r="AM522" s="207"/>
      <c r="AN522" s="207"/>
    </row>
    <row r="523" spans="3:40" x14ac:dyDescent="0.3">
      <c r="F523" s="192"/>
      <c r="H523" s="192"/>
      <c r="I523" s="192"/>
      <c r="J523" s="228"/>
      <c r="K523" s="228"/>
      <c r="L523" s="192"/>
      <c r="M523" s="192"/>
      <c r="N523" s="192"/>
      <c r="O523" s="192"/>
      <c r="P523" s="192"/>
      <c r="Q523" s="192"/>
      <c r="R523" s="192"/>
      <c r="V523" s="192"/>
      <c r="Y523" s="192"/>
      <c r="Z523" s="228"/>
      <c r="AA523" s="192"/>
      <c r="AB523" s="192"/>
      <c r="AC523" s="192"/>
      <c r="AD523" s="192"/>
      <c r="AE523" s="192"/>
      <c r="AF523" s="192"/>
      <c r="AI523" s="192"/>
      <c r="AJ523" s="192"/>
      <c r="AK523" s="194"/>
      <c r="AL523" s="192"/>
    </row>
    <row r="524" spans="3:40" x14ac:dyDescent="0.3">
      <c r="J524" s="163"/>
      <c r="K524" s="163"/>
      <c r="Z524" s="163"/>
    </row>
    <row r="525" spans="3:40" x14ac:dyDescent="0.3">
      <c r="C525" s="99"/>
      <c r="J525" s="163"/>
      <c r="K525" s="163"/>
      <c r="T525" s="99"/>
      <c r="Z525" s="163"/>
    </row>
    <row r="526" spans="3:40" x14ac:dyDescent="0.3">
      <c r="C526" s="99"/>
      <c r="J526" s="163"/>
      <c r="K526" s="163"/>
      <c r="T526" s="99"/>
      <c r="Z526" s="163"/>
    </row>
    <row r="527" spans="3:40" x14ac:dyDescent="0.3">
      <c r="C527" s="99"/>
      <c r="F527" s="172"/>
      <c r="H527" s="172"/>
      <c r="I527" s="172"/>
      <c r="J527" s="228"/>
      <c r="K527" s="228"/>
      <c r="L527" s="110"/>
      <c r="M527" s="110"/>
      <c r="N527" s="141"/>
      <c r="O527" s="141"/>
      <c r="P527" s="110"/>
      <c r="Q527" s="110"/>
      <c r="R527" s="110"/>
      <c r="T527" s="99"/>
      <c r="V527" s="110"/>
      <c r="W527" s="110"/>
      <c r="X527" s="110"/>
      <c r="Y527" s="110"/>
      <c r="Z527" s="228"/>
      <c r="AA527" s="110"/>
      <c r="AB527" s="110"/>
      <c r="AC527" s="141"/>
      <c r="AD527" s="141"/>
      <c r="AE527" s="110"/>
      <c r="AF527" s="110"/>
      <c r="AH527" s="207"/>
      <c r="AI527" s="110"/>
      <c r="AJ527" s="110"/>
      <c r="AL527" s="110"/>
      <c r="AM527" s="207"/>
      <c r="AN527" s="207"/>
    </row>
    <row r="528" spans="3:40" x14ac:dyDescent="0.3">
      <c r="C528" s="99"/>
      <c r="J528" s="163"/>
      <c r="K528" s="163"/>
      <c r="T528" s="99"/>
      <c r="Z528" s="163"/>
    </row>
    <row r="529" spans="1:40" x14ac:dyDescent="0.3">
      <c r="C529" s="99"/>
      <c r="F529" s="172"/>
      <c r="H529" s="172"/>
      <c r="I529" s="172"/>
      <c r="J529" s="228"/>
      <c r="K529" s="228"/>
      <c r="L529" s="110"/>
      <c r="M529" s="110"/>
      <c r="N529" s="141"/>
      <c r="O529" s="141"/>
      <c r="P529" s="110"/>
      <c r="Q529" s="110"/>
      <c r="R529" s="110"/>
      <c r="T529" s="99"/>
      <c r="V529" s="110"/>
      <c r="W529" s="110"/>
      <c r="X529" s="110"/>
      <c r="Y529" s="110"/>
      <c r="Z529" s="228"/>
      <c r="AA529" s="110"/>
      <c r="AB529" s="110"/>
      <c r="AC529" s="141"/>
      <c r="AD529" s="141"/>
      <c r="AE529" s="110"/>
      <c r="AF529" s="110"/>
      <c r="AH529" s="207"/>
      <c r="AI529" s="110"/>
      <c r="AJ529" s="110"/>
      <c r="AL529" s="110"/>
      <c r="AM529" s="207"/>
      <c r="AN529" s="207"/>
    </row>
    <row r="530" spans="1:40" x14ac:dyDescent="0.3">
      <c r="F530" s="192"/>
      <c r="H530" s="192"/>
      <c r="I530" s="192"/>
      <c r="J530" s="228"/>
      <c r="K530" s="228"/>
      <c r="L530" s="192"/>
      <c r="M530" s="192"/>
      <c r="N530" s="192"/>
      <c r="O530" s="192"/>
      <c r="P530" s="192"/>
      <c r="Q530" s="192"/>
      <c r="R530" s="192"/>
      <c r="V530" s="192"/>
      <c r="Y530" s="192"/>
      <c r="Z530" s="228"/>
      <c r="AA530" s="192"/>
      <c r="AB530" s="192"/>
      <c r="AC530" s="192"/>
      <c r="AD530" s="192"/>
      <c r="AE530" s="192"/>
      <c r="AF530" s="192"/>
      <c r="AI530" s="192"/>
      <c r="AJ530" s="192"/>
      <c r="AK530" s="194"/>
      <c r="AL530" s="192"/>
    </row>
    <row r="531" spans="1:40" x14ac:dyDescent="0.3">
      <c r="C531" s="99"/>
      <c r="F531" s="110"/>
      <c r="H531" s="110"/>
      <c r="I531" s="110"/>
      <c r="J531" s="163"/>
      <c r="K531" s="163"/>
      <c r="L531" s="110"/>
      <c r="M531" s="110"/>
      <c r="N531" s="207"/>
      <c r="O531" s="207"/>
      <c r="P531" s="110"/>
      <c r="Q531" s="110"/>
      <c r="R531" s="110"/>
      <c r="T531" s="99"/>
      <c r="V531" s="110"/>
      <c r="Y531" s="110"/>
      <c r="Z531" s="163"/>
      <c r="AA531" s="110"/>
      <c r="AB531" s="110"/>
      <c r="AC531" s="207"/>
      <c r="AD531" s="207"/>
      <c r="AE531" s="110"/>
      <c r="AF531" s="110"/>
      <c r="AH531" s="207"/>
      <c r="AI531" s="110"/>
      <c r="AJ531" s="110"/>
      <c r="AL531" s="110"/>
      <c r="AM531" s="207"/>
      <c r="AN531" s="207"/>
    </row>
    <row r="532" spans="1:40" x14ac:dyDescent="0.3">
      <c r="F532" s="192"/>
      <c r="H532" s="192"/>
      <c r="I532" s="192"/>
      <c r="J532" s="228"/>
      <c r="K532" s="228"/>
      <c r="L532" s="192"/>
      <c r="M532" s="192"/>
      <c r="N532" s="192"/>
      <c r="O532" s="192"/>
      <c r="P532" s="192"/>
      <c r="Q532" s="192"/>
      <c r="R532" s="192"/>
      <c r="V532" s="192"/>
      <c r="Y532" s="192"/>
      <c r="Z532" s="217"/>
      <c r="AA532" s="192"/>
      <c r="AB532" s="192"/>
      <c r="AC532" s="192"/>
      <c r="AD532" s="192"/>
      <c r="AE532" s="192"/>
      <c r="AF532" s="192"/>
      <c r="AI532" s="192"/>
      <c r="AJ532" s="192"/>
      <c r="AK532" s="194"/>
      <c r="AL532" s="192"/>
    </row>
    <row r="533" spans="1:40" x14ac:dyDescent="0.3">
      <c r="J533" s="163"/>
      <c r="K533" s="163"/>
    </row>
    <row r="534" spans="1:40" x14ac:dyDescent="0.3">
      <c r="C534" s="99"/>
      <c r="F534" s="110"/>
      <c r="H534" s="110"/>
      <c r="I534" s="110"/>
      <c r="J534" s="163"/>
      <c r="K534" s="163"/>
      <c r="L534" s="110"/>
      <c r="M534" s="110"/>
      <c r="N534" s="141"/>
      <c r="O534" s="141"/>
      <c r="P534" s="172"/>
      <c r="Q534" s="172"/>
      <c r="R534" s="110"/>
      <c r="T534" s="99"/>
      <c r="V534" s="110"/>
      <c r="Y534" s="110"/>
      <c r="AA534" s="110"/>
      <c r="AB534" s="110"/>
      <c r="AC534" s="207"/>
      <c r="AD534" s="207"/>
      <c r="AE534" s="110"/>
      <c r="AF534" s="110"/>
      <c r="AH534" s="207"/>
      <c r="AI534" s="172"/>
      <c r="AJ534" s="172"/>
      <c r="AL534" s="110"/>
      <c r="AM534" s="207"/>
      <c r="AN534" s="207"/>
    </row>
    <row r="535" spans="1:40" x14ac:dyDescent="0.3">
      <c r="H535" s="192"/>
      <c r="I535" s="192"/>
      <c r="J535" s="228"/>
      <c r="K535" s="228"/>
      <c r="L535" s="192"/>
      <c r="M535" s="192"/>
      <c r="N535" s="192"/>
      <c r="O535" s="192"/>
      <c r="P535" s="192"/>
      <c r="Q535" s="192"/>
      <c r="R535" s="192"/>
      <c r="V535" s="192"/>
      <c r="Y535" s="192"/>
      <c r="Z535" s="217"/>
      <c r="AA535" s="192"/>
      <c r="AB535" s="192"/>
      <c r="AC535" s="192"/>
      <c r="AD535" s="192"/>
      <c r="AE535" s="192"/>
      <c r="AF535" s="192"/>
      <c r="AI535" s="192"/>
      <c r="AJ535" s="192"/>
      <c r="AK535" s="194"/>
      <c r="AL535" s="192"/>
    </row>
    <row r="536" spans="1:40" x14ac:dyDescent="0.3">
      <c r="F536" s="192"/>
    </row>
    <row r="538" spans="1:40" x14ac:dyDescent="0.3">
      <c r="A538" s="99"/>
    </row>
    <row r="540" spans="1:40" x14ac:dyDescent="0.3">
      <c r="H540" s="99"/>
      <c r="I540" s="99"/>
      <c r="Y540" s="99"/>
    </row>
    <row r="542" spans="1:40" x14ac:dyDescent="0.3">
      <c r="L542" s="99"/>
      <c r="M542" s="99"/>
      <c r="AA542" s="99"/>
      <c r="AB542" s="99"/>
    </row>
    <row r="543" spans="1:40" x14ac:dyDescent="0.3">
      <c r="R543" s="99"/>
      <c r="AK543" s="190"/>
      <c r="AL543" s="99"/>
    </row>
    <row r="544" spans="1:40" x14ac:dyDescent="0.3">
      <c r="R544" s="99"/>
      <c r="AK544" s="190"/>
      <c r="AL544" s="99"/>
    </row>
    <row r="545" spans="1:40" x14ac:dyDescent="0.3">
      <c r="A545" s="99"/>
      <c r="R545" s="99"/>
      <c r="AK545" s="190"/>
      <c r="AL545" s="99"/>
    </row>
    <row r="546" spans="1:40" x14ac:dyDescent="0.3">
      <c r="L546" s="99"/>
      <c r="M546" s="99"/>
      <c r="AA546" s="99"/>
      <c r="AB546" s="99"/>
    </row>
    <row r="547" spans="1:40" x14ac:dyDescent="0.3">
      <c r="A547" s="101"/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T547" s="101"/>
      <c r="U547" s="101"/>
      <c r="V547" s="101"/>
      <c r="W547" s="101"/>
      <c r="X547" s="101"/>
      <c r="Y547" s="101"/>
      <c r="Z547" s="101"/>
      <c r="AA547" s="101"/>
      <c r="AB547" s="101"/>
      <c r="AC547" s="101"/>
      <c r="AD547" s="101"/>
      <c r="AE547" s="101"/>
      <c r="AF547" s="101"/>
      <c r="AG547" s="191"/>
      <c r="AH547" s="101"/>
      <c r="AI547" s="101"/>
      <c r="AJ547" s="101"/>
      <c r="AK547" s="191"/>
      <c r="AL547" s="101"/>
      <c r="AM547" s="101"/>
      <c r="AN547" s="101"/>
    </row>
    <row r="548" spans="1:40" x14ac:dyDescent="0.3">
      <c r="L548" s="102"/>
      <c r="M548" s="102"/>
      <c r="N548" s="102"/>
      <c r="O548" s="102"/>
      <c r="R548" s="102"/>
      <c r="AA548" s="102"/>
      <c r="AB548" s="102"/>
      <c r="AC548" s="102"/>
      <c r="AD548" s="102"/>
      <c r="AE548" s="102"/>
      <c r="AF548" s="102"/>
      <c r="AG548" s="151"/>
      <c r="AH548" s="102"/>
      <c r="AK548" s="151"/>
      <c r="AL548" s="102"/>
      <c r="AM548" s="102"/>
      <c r="AN548" s="102"/>
    </row>
    <row r="549" spans="1:40" x14ac:dyDescent="0.3">
      <c r="L549" s="102"/>
      <c r="M549" s="102"/>
      <c r="N549" s="102"/>
      <c r="O549" s="102"/>
      <c r="R549" s="102"/>
      <c r="Z549" s="102"/>
      <c r="AA549" s="102"/>
      <c r="AB549" s="102"/>
      <c r="AC549" s="102"/>
      <c r="AD549" s="102"/>
      <c r="AE549" s="102"/>
      <c r="AF549" s="102"/>
      <c r="AG549" s="151"/>
      <c r="AH549" s="102"/>
      <c r="AK549" s="151"/>
      <c r="AL549" s="102"/>
      <c r="AM549" s="102"/>
      <c r="AN549" s="102"/>
    </row>
    <row r="550" spans="1:40" x14ac:dyDescent="0.3">
      <c r="A550" s="102"/>
      <c r="C550" s="102"/>
      <c r="D550" s="102"/>
      <c r="E550" s="102"/>
      <c r="F550" s="102"/>
      <c r="J550" s="102"/>
      <c r="K550" s="102"/>
      <c r="L550" s="102"/>
      <c r="M550" s="102"/>
      <c r="N550" s="102"/>
      <c r="O550" s="102"/>
      <c r="P550" s="102"/>
      <c r="Q550" s="102"/>
      <c r="R550" s="102"/>
      <c r="T550" s="102"/>
      <c r="U550" s="102"/>
      <c r="V550" s="102"/>
      <c r="Z550" s="102"/>
      <c r="AA550" s="102"/>
      <c r="AB550" s="102"/>
      <c r="AC550" s="102"/>
      <c r="AD550" s="102"/>
      <c r="AE550" s="102"/>
      <c r="AF550" s="102"/>
      <c r="AG550" s="151"/>
      <c r="AH550" s="102"/>
      <c r="AI550" s="102"/>
      <c r="AJ550" s="102"/>
      <c r="AK550" s="151"/>
      <c r="AL550" s="102"/>
      <c r="AM550" s="102"/>
      <c r="AN550" s="102"/>
    </row>
    <row r="551" spans="1:40" x14ac:dyDescent="0.3">
      <c r="A551" s="102"/>
      <c r="C551" s="102"/>
      <c r="D551" s="102"/>
      <c r="E551" s="102"/>
      <c r="F551" s="102"/>
      <c r="H551" s="102"/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T551" s="102"/>
      <c r="U551" s="102"/>
      <c r="V551" s="102"/>
      <c r="Y551" s="102"/>
      <c r="Z551" s="102"/>
      <c r="AA551" s="102"/>
      <c r="AB551" s="102"/>
      <c r="AC551" s="102"/>
      <c r="AD551" s="102"/>
      <c r="AE551" s="102"/>
      <c r="AF551" s="102"/>
      <c r="AG551" s="151"/>
      <c r="AH551" s="102"/>
      <c r="AI551" s="102"/>
      <c r="AJ551" s="102"/>
      <c r="AK551" s="151"/>
      <c r="AL551" s="102"/>
      <c r="AM551" s="102"/>
      <c r="AN551" s="102"/>
    </row>
    <row r="552" spans="1:40" x14ac:dyDescent="0.3">
      <c r="C552" s="102"/>
      <c r="D552" s="102"/>
      <c r="E552" s="102"/>
      <c r="F552" s="102"/>
      <c r="H552" s="102"/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T552" s="102"/>
      <c r="U552" s="102"/>
      <c r="V552" s="102"/>
      <c r="Y552" s="102"/>
      <c r="Z552" s="102"/>
      <c r="AA552" s="102"/>
      <c r="AB552" s="102"/>
      <c r="AC552" s="102"/>
      <c r="AD552" s="102"/>
      <c r="AE552" s="102"/>
      <c r="AF552" s="102"/>
      <c r="AG552" s="151"/>
      <c r="AH552" s="102"/>
      <c r="AI552" s="102"/>
      <c r="AJ552" s="102"/>
      <c r="AK552" s="151"/>
      <c r="AL552" s="102"/>
      <c r="AM552" s="102"/>
      <c r="AN552" s="102"/>
    </row>
    <row r="553" spans="1:40" x14ac:dyDescent="0.3">
      <c r="A553" s="101"/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T553" s="101"/>
      <c r="U553" s="101"/>
      <c r="V553" s="101"/>
      <c r="W553" s="101"/>
      <c r="X553" s="101"/>
      <c r="Y553" s="101"/>
      <c r="Z553" s="101"/>
      <c r="AA553" s="101"/>
      <c r="AB553" s="101"/>
      <c r="AC553" s="101"/>
      <c r="AD553" s="101"/>
      <c r="AE553" s="101"/>
      <c r="AF553" s="101"/>
      <c r="AG553" s="191"/>
      <c r="AH553" s="101"/>
      <c r="AI553" s="101"/>
      <c r="AJ553" s="101"/>
      <c r="AK553" s="191"/>
      <c r="AL553" s="101"/>
      <c r="AM553" s="101"/>
      <c r="AN553" s="101"/>
    </row>
    <row r="554" spans="1:40" x14ac:dyDescent="0.3">
      <c r="H554" s="102"/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Y554" s="102"/>
      <c r="Z554" s="102"/>
      <c r="AA554" s="102"/>
      <c r="AB554" s="102"/>
      <c r="AC554" s="102"/>
      <c r="AD554" s="102"/>
      <c r="AE554" s="102"/>
      <c r="AF554" s="102"/>
      <c r="AG554" s="151"/>
      <c r="AH554" s="102"/>
      <c r="AI554" s="102"/>
      <c r="AJ554" s="102"/>
      <c r="AK554" s="151"/>
      <c r="AL554" s="102"/>
      <c r="AM554" s="102"/>
      <c r="AN554" s="102"/>
    </row>
    <row r="555" spans="1:40" x14ac:dyDescent="0.3">
      <c r="C555" s="99"/>
      <c r="D555" s="99"/>
      <c r="E555" s="99"/>
      <c r="T555" s="99"/>
      <c r="U555" s="99"/>
    </row>
    <row r="557" spans="1:40" x14ac:dyDescent="0.3">
      <c r="C557" s="99"/>
      <c r="D557" s="99"/>
      <c r="E557" s="99"/>
      <c r="T557" s="99"/>
      <c r="U557" s="99"/>
    </row>
    <row r="558" spans="1:40" x14ac:dyDescent="0.3">
      <c r="C558" s="99"/>
      <c r="T558" s="99"/>
    </row>
    <row r="559" spans="1:40" x14ac:dyDescent="0.3">
      <c r="C559" s="99"/>
      <c r="T559" s="99"/>
    </row>
    <row r="560" spans="1:40" x14ac:dyDescent="0.3">
      <c r="C560" s="99"/>
      <c r="H560" s="172"/>
      <c r="I560" s="172"/>
      <c r="J560" s="228"/>
      <c r="K560" s="228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228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141"/>
      <c r="AN560" s="141"/>
    </row>
    <row r="561" spans="3:40" x14ac:dyDescent="0.3">
      <c r="C561" s="99"/>
      <c r="F561" s="172"/>
      <c r="J561" s="163"/>
      <c r="K561" s="163"/>
      <c r="T561" s="99"/>
      <c r="V561" s="110"/>
      <c r="W561" s="110"/>
      <c r="X561" s="110"/>
      <c r="Y561" s="110"/>
      <c r="Z561" s="228"/>
    </row>
    <row r="562" spans="3:40" x14ac:dyDescent="0.3">
      <c r="C562" s="99"/>
      <c r="H562" s="172"/>
      <c r="I562" s="172"/>
      <c r="J562" s="228"/>
      <c r="K562" s="228"/>
      <c r="L562" s="110"/>
      <c r="M562" s="110"/>
      <c r="N562" s="141"/>
      <c r="O562" s="141"/>
      <c r="P562" s="110"/>
      <c r="Q562" s="110"/>
      <c r="R562" s="110"/>
      <c r="T562" s="99"/>
      <c r="V562" s="110"/>
      <c r="W562" s="110"/>
      <c r="X562" s="110"/>
      <c r="Y562" s="110"/>
      <c r="Z562" s="228"/>
      <c r="AA562" s="110"/>
      <c r="AB562" s="110"/>
      <c r="AC562" s="141"/>
      <c r="AD562" s="141"/>
      <c r="AE562" s="110"/>
      <c r="AF562" s="110"/>
      <c r="AH562" s="207"/>
      <c r="AI562" s="110"/>
      <c r="AJ562" s="110"/>
      <c r="AL562" s="110"/>
      <c r="AM562" s="141"/>
      <c r="AN562" s="141"/>
    </row>
    <row r="563" spans="3:40" x14ac:dyDescent="0.3">
      <c r="C563" s="99"/>
      <c r="F563" s="172"/>
      <c r="J563" s="163"/>
      <c r="K563" s="163"/>
      <c r="T563" s="99"/>
      <c r="V563" s="110"/>
      <c r="W563" s="110"/>
      <c r="X563" s="110"/>
      <c r="Y563" s="110"/>
      <c r="Z563" s="228"/>
    </row>
    <row r="564" spans="3:40" x14ac:dyDescent="0.3">
      <c r="C564" s="99"/>
      <c r="H564" s="172"/>
      <c r="I564" s="172"/>
      <c r="J564" s="228"/>
      <c r="K564" s="228"/>
      <c r="L564" s="110"/>
      <c r="M564" s="110"/>
      <c r="N564" s="141"/>
      <c r="O564" s="141"/>
      <c r="P564" s="110"/>
      <c r="Q564" s="110"/>
      <c r="R564" s="110"/>
      <c r="T564" s="99"/>
      <c r="V564" s="110"/>
      <c r="W564" s="110"/>
      <c r="X564" s="110"/>
      <c r="Y564" s="110"/>
      <c r="Z564" s="228"/>
      <c r="AA564" s="110"/>
      <c r="AB564" s="110"/>
      <c r="AC564" s="141"/>
      <c r="AD564" s="141"/>
      <c r="AE564" s="110"/>
      <c r="AF564" s="110"/>
      <c r="AH564" s="207"/>
      <c r="AI564" s="110"/>
      <c r="AJ564" s="110"/>
      <c r="AL564" s="110"/>
      <c r="AM564" s="141"/>
      <c r="AN564" s="141"/>
    </row>
    <row r="565" spans="3:40" x14ac:dyDescent="0.3">
      <c r="C565" s="99"/>
      <c r="F565" s="172"/>
      <c r="J565" s="163"/>
      <c r="K565" s="163"/>
      <c r="T565" s="99"/>
      <c r="V565" s="110"/>
      <c r="W565" s="110"/>
      <c r="X565" s="110"/>
      <c r="Y565" s="110"/>
      <c r="Z565" s="228"/>
    </row>
    <row r="566" spans="3:40" x14ac:dyDescent="0.3">
      <c r="C566" s="99"/>
      <c r="H566" s="172"/>
      <c r="I566" s="172"/>
      <c r="J566" s="228"/>
      <c r="K566" s="228"/>
      <c r="L566" s="110"/>
      <c r="M566" s="110"/>
      <c r="N566" s="141"/>
      <c r="O566" s="141"/>
      <c r="P566" s="110"/>
      <c r="Q566" s="110"/>
      <c r="R566" s="110"/>
      <c r="T566" s="99"/>
      <c r="V566" s="110"/>
      <c r="W566" s="110"/>
      <c r="X566" s="110"/>
      <c r="Y566" s="110"/>
      <c r="Z566" s="228"/>
      <c r="AA566" s="110"/>
      <c r="AB566" s="110"/>
      <c r="AC566" s="141"/>
      <c r="AD566" s="141"/>
      <c r="AE566" s="110"/>
      <c r="AF566" s="110"/>
      <c r="AH566" s="207"/>
      <c r="AI566" s="110"/>
      <c r="AJ566" s="110"/>
      <c r="AL566" s="110"/>
      <c r="AM566" s="141"/>
      <c r="AN566" s="141"/>
    </row>
    <row r="567" spans="3:40" x14ac:dyDescent="0.3">
      <c r="C567" s="99"/>
      <c r="F567" s="172"/>
      <c r="J567" s="163"/>
      <c r="K567" s="163"/>
      <c r="T567" s="99"/>
      <c r="V567" s="110"/>
      <c r="W567" s="110"/>
      <c r="X567" s="110"/>
      <c r="Y567" s="110"/>
      <c r="Z567" s="228"/>
    </row>
    <row r="568" spans="3:40" x14ac:dyDescent="0.3">
      <c r="C568" s="99"/>
      <c r="H568" s="172"/>
      <c r="I568" s="172"/>
      <c r="J568" s="228"/>
      <c r="K568" s="228"/>
      <c r="L568" s="110"/>
      <c r="M568" s="110"/>
      <c r="N568" s="141"/>
      <c r="O568" s="141"/>
      <c r="P568" s="110"/>
      <c r="Q568" s="110"/>
      <c r="R568" s="110"/>
      <c r="T568" s="99"/>
      <c r="V568" s="110"/>
      <c r="W568" s="110"/>
      <c r="X568" s="110"/>
      <c r="Y568" s="110"/>
      <c r="Z568" s="228"/>
      <c r="AA568" s="110"/>
      <c r="AB568" s="110"/>
      <c r="AC568" s="141"/>
      <c r="AD568" s="141"/>
      <c r="AE568" s="110"/>
      <c r="AF568" s="110"/>
      <c r="AH568" s="207"/>
      <c r="AI568" s="110"/>
      <c r="AJ568" s="110"/>
      <c r="AL568" s="110"/>
      <c r="AM568" s="141"/>
      <c r="AN568" s="141"/>
    </row>
    <row r="569" spans="3:40" x14ac:dyDescent="0.3">
      <c r="C569" s="99"/>
      <c r="F569" s="172"/>
      <c r="J569" s="163"/>
      <c r="K569" s="163"/>
      <c r="T569" s="99"/>
      <c r="V569" s="110"/>
      <c r="W569" s="110"/>
      <c r="X569" s="110"/>
      <c r="Y569" s="110"/>
      <c r="Z569" s="228"/>
    </row>
    <row r="570" spans="3:40" x14ac:dyDescent="0.3">
      <c r="C570" s="99"/>
      <c r="H570" s="172"/>
      <c r="I570" s="172"/>
      <c r="J570" s="228"/>
      <c r="K570" s="228"/>
      <c r="L570" s="110"/>
      <c r="M570" s="110"/>
      <c r="N570" s="141"/>
      <c r="O570" s="141"/>
      <c r="P570" s="110"/>
      <c r="Q570" s="110"/>
      <c r="R570" s="110"/>
      <c r="T570" s="99"/>
      <c r="V570" s="110"/>
      <c r="W570" s="110"/>
      <c r="X570" s="110"/>
      <c r="Y570" s="110"/>
      <c r="Z570" s="228"/>
      <c r="AA570" s="110"/>
      <c r="AB570" s="110"/>
      <c r="AC570" s="141"/>
      <c r="AD570" s="141"/>
      <c r="AE570" s="110"/>
      <c r="AF570" s="110"/>
      <c r="AH570" s="207"/>
      <c r="AI570" s="110"/>
      <c r="AJ570" s="110"/>
      <c r="AL570" s="110"/>
      <c r="AM570" s="141"/>
      <c r="AN570" s="141"/>
    </row>
    <row r="571" spans="3:40" x14ac:dyDescent="0.3">
      <c r="F571" s="172"/>
      <c r="H571" s="192"/>
      <c r="I571" s="192"/>
      <c r="J571" s="228"/>
      <c r="K571" s="228"/>
      <c r="L571" s="192"/>
      <c r="M571" s="192"/>
      <c r="N571" s="192"/>
      <c r="O571" s="192"/>
      <c r="P571" s="192"/>
      <c r="Q571" s="192"/>
      <c r="R571" s="192"/>
      <c r="V571" s="192"/>
      <c r="Y571" s="192"/>
      <c r="Z571" s="228"/>
      <c r="AA571" s="192"/>
      <c r="AB571" s="192"/>
      <c r="AC571" s="192"/>
      <c r="AD571" s="192"/>
      <c r="AE571" s="192"/>
      <c r="AF571" s="192"/>
      <c r="AI571" s="192"/>
      <c r="AJ571" s="192"/>
      <c r="AK571" s="194"/>
      <c r="AL571" s="192"/>
      <c r="AM571" s="141"/>
      <c r="AN571" s="141"/>
    </row>
    <row r="572" spans="3:40" x14ac:dyDescent="0.3">
      <c r="C572" s="99"/>
      <c r="F572" s="192"/>
      <c r="H572" s="110"/>
      <c r="I572" s="110"/>
      <c r="J572" s="163"/>
      <c r="K572" s="163"/>
      <c r="L572" s="110"/>
      <c r="M572" s="110"/>
      <c r="N572" s="141"/>
      <c r="O572" s="141"/>
      <c r="P572" s="172"/>
      <c r="Q572" s="172"/>
      <c r="R572" s="110"/>
      <c r="T572" s="99"/>
      <c r="V572" s="110"/>
      <c r="W572" s="110"/>
      <c r="X572" s="110"/>
      <c r="Y572" s="110"/>
      <c r="Z572" s="228"/>
      <c r="AA572" s="110"/>
      <c r="AB572" s="110"/>
      <c r="AC572" s="141"/>
      <c r="AD572" s="141"/>
      <c r="AE572" s="110"/>
      <c r="AF572" s="110"/>
      <c r="AH572" s="207"/>
      <c r="AI572" s="172"/>
      <c r="AJ572" s="172"/>
      <c r="AL572" s="110"/>
      <c r="AM572" s="141"/>
      <c r="AN572" s="141"/>
    </row>
    <row r="573" spans="3:40" x14ac:dyDescent="0.3">
      <c r="F573" s="110"/>
      <c r="H573" s="192"/>
      <c r="I573" s="192"/>
      <c r="J573" s="228"/>
      <c r="K573" s="228"/>
      <c r="L573" s="192"/>
      <c r="M573" s="192"/>
      <c r="N573" s="192"/>
      <c r="O573" s="192"/>
      <c r="P573" s="192"/>
      <c r="Q573" s="192"/>
      <c r="R573" s="192"/>
      <c r="V573" s="192"/>
      <c r="Y573" s="192"/>
      <c r="Z573" s="228"/>
      <c r="AA573" s="192"/>
      <c r="AB573" s="192"/>
      <c r="AC573" s="192"/>
      <c r="AD573" s="192"/>
      <c r="AE573" s="192"/>
      <c r="AF573" s="192"/>
      <c r="AI573" s="192"/>
      <c r="AJ573" s="192"/>
      <c r="AK573" s="194"/>
      <c r="AL573" s="192"/>
    </row>
    <row r="574" spans="3:40" x14ac:dyDescent="0.3">
      <c r="C574" s="99"/>
      <c r="D574" s="99"/>
      <c r="E574" s="99"/>
      <c r="F574" s="192"/>
      <c r="J574" s="163"/>
      <c r="K574" s="163"/>
      <c r="T574" s="99"/>
      <c r="U574" s="99"/>
      <c r="V574" s="110"/>
      <c r="W574" s="110"/>
      <c r="X574" s="110"/>
      <c r="Y574" s="110"/>
      <c r="Z574" s="228"/>
    </row>
    <row r="575" spans="3:40" x14ac:dyDescent="0.3">
      <c r="C575" s="99"/>
      <c r="J575" s="163"/>
      <c r="K575" s="163"/>
      <c r="T575" s="99"/>
      <c r="V575" s="110"/>
      <c r="W575" s="110"/>
      <c r="X575" s="110"/>
      <c r="Y575" s="110"/>
      <c r="Z575" s="228"/>
    </row>
    <row r="576" spans="3:40" x14ac:dyDescent="0.3">
      <c r="C576" s="99"/>
      <c r="J576" s="163"/>
      <c r="K576" s="163"/>
      <c r="T576" s="99"/>
      <c r="V576" s="110"/>
      <c r="W576" s="110"/>
      <c r="X576" s="110"/>
      <c r="Y576" s="110"/>
      <c r="Z576" s="228"/>
    </row>
    <row r="577" spans="3:40" x14ac:dyDescent="0.3">
      <c r="C577" s="99"/>
      <c r="H577" s="172"/>
      <c r="I577" s="172"/>
      <c r="J577" s="228"/>
      <c r="K577" s="228"/>
      <c r="L577" s="110"/>
      <c r="M577" s="110"/>
      <c r="N577" s="141"/>
      <c r="O577" s="141"/>
      <c r="P577" s="110"/>
      <c r="Q577" s="110"/>
      <c r="R577" s="110"/>
      <c r="T577" s="99"/>
      <c r="V577" s="110"/>
      <c r="W577" s="110"/>
      <c r="X577" s="110"/>
      <c r="Y577" s="110"/>
      <c r="Z577" s="228"/>
      <c r="AA577" s="110"/>
      <c r="AB577" s="110"/>
      <c r="AC577" s="141"/>
      <c r="AD577" s="141"/>
      <c r="AE577" s="110"/>
      <c r="AF577" s="110"/>
      <c r="AH577" s="207"/>
      <c r="AI577" s="110"/>
      <c r="AJ577" s="110"/>
      <c r="AL577" s="110"/>
      <c r="AM577" s="141"/>
      <c r="AN577" s="141"/>
    </row>
    <row r="578" spans="3:40" x14ac:dyDescent="0.3">
      <c r="C578" s="99"/>
      <c r="F578" s="172"/>
      <c r="J578" s="163"/>
      <c r="K578" s="163"/>
      <c r="T578" s="99"/>
      <c r="V578" s="110"/>
      <c r="W578" s="110"/>
      <c r="X578" s="110"/>
      <c r="Y578" s="110"/>
      <c r="Z578" s="228"/>
    </row>
    <row r="579" spans="3:40" x14ac:dyDescent="0.3">
      <c r="C579" s="99"/>
      <c r="H579" s="172"/>
      <c r="I579" s="172"/>
      <c r="J579" s="228"/>
      <c r="K579" s="228"/>
      <c r="L579" s="110"/>
      <c r="M579" s="110"/>
      <c r="N579" s="141"/>
      <c r="O579" s="141"/>
      <c r="P579" s="110"/>
      <c r="Q579" s="110"/>
      <c r="R579" s="110"/>
      <c r="T579" s="99"/>
      <c r="V579" s="110"/>
      <c r="W579" s="110"/>
      <c r="X579" s="110"/>
      <c r="Y579" s="110"/>
      <c r="Z579" s="228"/>
      <c r="AA579" s="110"/>
      <c r="AB579" s="110"/>
      <c r="AC579" s="141"/>
      <c r="AD579" s="141"/>
      <c r="AE579" s="110"/>
      <c r="AF579" s="110"/>
      <c r="AH579" s="207"/>
      <c r="AI579" s="110"/>
      <c r="AJ579" s="110"/>
      <c r="AL579" s="110"/>
      <c r="AM579" s="141"/>
      <c r="AN579" s="141"/>
    </row>
    <row r="580" spans="3:40" x14ac:dyDescent="0.3">
      <c r="F580" s="172"/>
      <c r="H580" s="192"/>
      <c r="I580" s="192"/>
      <c r="J580" s="228"/>
      <c r="K580" s="228"/>
      <c r="L580" s="192"/>
      <c r="M580" s="192"/>
      <c r="N580" s="192"/>
      <c r="O580" s="192"/>
      <c r="P580" s="192"/>
      <c r="Q580" s="192"/>
      <c r="R580" s="192"/>
      <c r="V580" s="192"/>
      <c r="Y580" s="192"/>
      <c r="Z580" s="217"/>
      <c r="AA580" s="192"/>
      <c r="AB580" s="192"/>
      <c r="AC580" s="192"/>
      <c r="AD580" s="192"/>
      <c r="AE580" s="192"/>
      <c r="AF580" s="192"/>
      <c r="AI580" s="192"/>
      <c r="AJ580" s="192"/>
      <c r="AK580" s="194"/>
      <c r="AL580" s="192"/>
    </row>
    <row r="581" spans="3:40" x14ac:dyDescent="0.3">
      <c r="C581" s="99"/>
      <c r="F581" s="192"/>
      <c r="H581" s="110"/>
      <c r="I581" s="110"/>
      <c r="L581" s="110"/>
      <c r="M581" s="110"/>
      <c r="N581" s="141"/>
      <c r="O581" s="141"/>
      <c r="P581" s="172"/>
      <c r="Q581" s="172"/>
      <c r="R581" s="110"/>
      <c r="T581" s="99"/>
      <c r="V581" s="110"/>
      <c r="W581" s="110"/>
      <c r="X581" s="110"/>
      <c r="Y581" s="110"/>
      <c r="Z581" s="227"/>
      <c r="AA581" s="110"/>
      <c r="AB581" s="110"/>
      <c r="AC581" s="141"/>
      <c r="AD581" s="141"/>
      <c r="AE581" s="110"/>
      <c r="AF581" s="110"/>
      <c r="AH581" s="207"/>
      <c r="AI581" s="172"/>
      <c r="AJ581" s="172"/>
      <c r="AL581" s="110"/>
      <c r="AM581" s="141"/>
      <c r="AN581" s="141"/>
    </row>
    <row r="582" spans="3:40" x14ac:dyDescent="0.3">
      <c r="F582" s="110"/>
      <c r="H582" s="192"/>
      <c r="I582" s="192"/>
      <c r="J582" s="217"/>
      <c r="K582" s="217"/>
      <c r="L582" s="192"/>
      <c r="M582" s="192"/>
      <c r="N582" s="192"/>
      <c r="O582" s="192"/>
      <c r="P582" s="192"/>
      <c r="Q582" s="192"/>
      <c r="R582" s="192"/>
      <c r="V582" s="192"/>
      <c r="Y582" s="192"/>
      <c r="Z582" s="217"/>
      <c r="AA582" s="192"/>
      <c r="AB582" s="192"/>
      <c r="AC582" s="192"/>
      <c r="AD582" s="192"/>
      <c r="AE582" s="192"/>
      <c r="AF582" s="192"/>
      <c r="AI582" s="192"/>
      <c r="AJ582" s="192"/>
      <c r="AK582" s="194"/>
      <c r="AL582" s="192"/>
    </row>
    <row r="583" spans="3:40" x14ac:dyDescent="0.3">
      <c r="C583" s="99"/>
      <c r="D583" s="99"/>
      <c r="E583" s="99"/>
      <c r="F583" s="192"/>
      <c r="T583" s="99"/>
      <c r="U583" s="99"/>
      <c r="V583" s="110"/>
      <c r="W583" s="110"/>
      <c r="X583" s="110"/>
      <c r="Y583" s="110"/>
      <c r="Z583" s="227"/>
    </row>
    <row r="584" spans="3:40" x14ac:dyDescent="0.3">
      <c r="C584" s="99"/>
      <c r="T584" s="99"/>
      <c r="V584" s="110"/>
      <c r="W584" s="110"/>
      <c r="X584" s="110"/>
      <c r="Y584" s="110"/>
      <c r="Z584" s="227"/>
    </row>
    <row r="585" spans="3:40" x14ac:dyDescent="0.3">
      <c r="C585" s="99"/>
      <c r="H585" s="172"/>
      <c r="I585" s="172"/>
      <c r="J585" s="227"/>
      <c r="K585" s="227"/>
      <c r="L585" s="110"/>
      <c r="M585" s="110"/>
      <c r="N585" s="141"/>
      <c r="O585" s="141"/>
      <c r="P585" s="110"/>
      <c r="Q585" s="110"/>
      <c r="R585" s="110"/>
      <c r="T585" s="99"/>
      <c r="V585" s="110"/>
      <c r="W585" s="110"/>
      <c r="X585" s="110"/>
      <c r="Y585" s="110"/>
      <c r="Z585" s="227"/>
      <c r="AA585" s="110"/>
      <c r="AB585" s="110"/>
      <c r="AC585" s="141"/>
      <c r="AD585" s="141"/>
      <c r="AE585" s="110"/>
      <c r="AF585" s="110"/>
      <c r="AH585" s="207"/>
      <c r="AI585" s="110"/>
      <c r="AJ585" s="110"/>
      <c r="AL585" s="110"/>
      <c r="AM585" s="141"/>
      <c r="AN585" s="141"/>
    </row>
    <row r="586" spans="3:40" x14ac:dyDescent="0.3">
      <c r="C586" s="99"/>
      <c r="F586" s="172"/>
      <c r="T586" s="99"/>
      <c r="V586" s="110"/>
      <c r="W586" s="110"/>
      <c r="X586" s="110"/>
      <c r="Y586" s="110"/>
      <c r="Z586" s="227"/>
    </row>
    <row r="587" spans="3:40" x14ac:dyDescent="0.3">
      <c r="C587" s="99"/>
      <c r="H587" s="172"/>
      <c r="I587" s="172"/>
      <c r="J587" s="227"/>
      <c r="K587" s="227"/>
      <c r="L587" s="110"/>
      <c r="M587" s="110"/>
      <c r="N587" s="141"/>
      <c r="O587" s="141"/>
      <c r="P587" s="110"/>
      <c r="Q587" s="110"/>
      <c r="R587" s="110"/>
      <c r="T587" s="99"/>
      <c r="V587" s="110"/>
      <c r="W587" s="110"/>
      <c r="X587" s="110"/>
      <c r="Y587" s="110"/>
      <c r="Z587" s="227"/>
      <c r="AA587" s="110"/>
      <c r="AB587" s="110"/>
      <c r="AC587" s="141"/>
      <c r="AD587" s="141"/>
      <c r="AE587" s="110"/>
      <c r="AF587" s="110"/>
      <c r="AH587" s="207"/>
      <c r="AI587" s="110"/>
      <c r="AJ587" s="110"/>
      <c r="AL587" s="110"/>
      <c r="AM587" s="141"/>
      <c r="AN587" s="141"/>
    </row>
    <row r="588" spans="3:40" x14ac:dyDescent="0.3">
      <c r="C588" s="99"/>
      <c r="F588" s="172"/>
      <c r="T588" s="99"/>
      <c r="V588" s="110"/>
      <c r="W588" s="110"/>
      <c r="X588" s="110"/>
      <c r="Y588" s="110"/>
      <c r="Z588" s="227"/>
    </row>
    <row r="589" spans="3:40" x14ac:dyDescent="0.3">
      <c r="C589" s="99"/>
      <c r="H589" s="172"/>
      <c r="I589" s="172"/>
      <c r="J589" s="227"/>
      <c r="K589" s="227"/>
      <c r="L589" s="110"/>
      <c r="M589" s="110"/>
      <c r="N589" s="141"/>
      <c r="O589" s="141"/>
      <c r="P589" s="110"/>
      <c r="Q589" s="110"/>
      <c r="R589" s="110"/>
      <c r="T589" s="99"/>
      <c r="V589" s="110"/>
      <c r="W589" s="110"/>
      <c r="X589" s="110"/>
      <c r="Y589" s="110"/>
      <c r="Z589" s="227"/>
      <c r="AA589" s="110"/>
      <c r="AB589" s="110"/>
      <c r="AC589" s="141"/>
      <c r="AD589" s="141"/>
      <c r="AE589" s="110"/>
      <c r="AF589" s="110"/>
      <c r="AH589" s="207"/>
      <c r="AI589" s="110"/>
      <c r="AJ589" s="110"/>
      <c r="AL589" s="110"/>
      <c r="AM589" s="141"/>
      <c r="AN589" s="141"/>
    </row>
    <row r="590" spans="3:40" x14ac:dyDescent="0.3">
      <c r="C590" s="99"/>
      <c r="F590" s="172"/>
      <c r="T590" s="99"/>
      <c r="V590" s="110"/>
      <c r="W590" s="110"/>
      <c r="X590" s="110"/>
      <c r="Y590" s="110"/>
      <c r="Z590" s="227"/>
    </row>
    <row r="591" spans="3:40" x14ac:dyDescent="0.3">
      <c r="C591" s="99"/>
      <c r="H591" s="172"/>
      <c r="I591" s="172"/>
      <c r="J591" s="227"/>
      <c r="K591" s="227"/>
      <c r="L591" s="110"/>
      <c r="M591" s="110"/>
      <c r="N591" s="141"/>
      <c r="O591" s="141"/>
      <c r="P591" s="110"/>
      <c r="Q591" s="110"/>
      <c r="R591" s="110"/>
      <c r="T591" s="99"/>
      <c r="V591" s="110"/>
      <c r="W591" s="110"/>
      <c r="X591" s="110"/>
      <c r="Y591" s="110"/>
      <c r="Z591" s="227"/>
      <c r="AA591" s="110"/>
      <c r="AB591" s="110"/>
      <c r="AC591" s="141"/>
      <c r="AD591" s="141"/>
      <c r="AE591" s="110"/>
      <c r="AF591" s="110"/>
      <c r="AH591" s="207"/>
      <c r="AI591" s="110"/>
      <c r="AJ591" s="110"/>
      <c r="AL591" s="110"/>
      <c r="AM591" s="141"/>
      <c r="AN591" s="141"/>
    </row>
    <row r="592" spans="3:40" x14ac:dyDescent="0.3">
      <c r="F592" s="172"/>
      <c r="H592" s="192"/>
      <c r="I592" s="192"/>
      <c r="J592" s="217"/>
      <c r="K592" s="217"/>
      <c r="L592" s="192"/>
      <c r="M592" s="192"/>
      <c r="N592" s="192"/>
      <c r="O592" s="192"/>
      <c r="P592" s="192"/>
      <c r="Q592" s="192"/>
      <c r="R592" s="192"/>
      <c r="V592" s="192"/>
      <c r="Y592" s="192"/>
      <c r="Z592" s="217"/>
      <c r="AA592" s="192"/>
      <c r="AB592" s="192"/>
      <c r="AC592" s="192"/>
      <c r="AD592" s="192"/>
      <c r="AE592" s="192"/>
      <c r="AF592" s="192"/>
      <c r="AI592" s="192"/>
      <c r="AJ592" s="192"/>
      <c r="AK592" s="194"/>
      <c r="AL592" s="192"/>
    </row>
    <row r="593" spans="1:40" x14ac:dyDescent="0.3">
      <c r="C593" s="99"/>
      <c r="F593" s="192"/>
      <c r="H593" s="110"/>
      <c r="I593" s="110"/>
      <c r="L593" s="110"/>
      <c r="M593" s="110"/>
      <c r="N593" s="141"/>
      <c r="O593" s="141"/>
      <c r="P593" s="172"/>
      <c r="Q593" s="172"/>
      <c r="R593" s="110"/>
      <c r="T593" s="99"/>
      <c r="V593" s="110"/>
      <c r="W593" s="110"/>
      <c r="X593" s="110"/>
      <c r="Y593" s="110"/>
      <c r="Z593" s="227"/>
      <c r="AA593" s="110"/>
      <c r="AB593" s="110"/>
      <c r="AC593" s="141"/>
      <c r="AD593" s="141"/>
      <c r="AE593" s="110"/>
      <c r="AF593" s="110"/>
      <c r="AH593" s="207"/>
      <c r="AI593" s="172"/>
      <c r="AJ593" s="172"/>
      <c r="AL593" s="110"/>
      <c r="AM593" s="141"/>
      <c r="AN593" s="141"/>
    </row>
    <row r="594" spans="1:40" x14ac:dyDescent="0.3">
      <c r="F594" s="110"/>
      <c r="H594" s="192"/>
      <c r="I594" s="192"/>
      <c r="J594" s="217"/>
      <c r="K594" s="217"/>
      <c r="L594" s="192"/>
      <c r="M594" s="192"/>
      <c r="N594" s="192"/>
      <c r="O594" s="192"/>
      <c r="P594" s="192"/>
      <c r="Q594" s="192"/>
      <c r="R594" s="192"/>
      <c r="V594" s="192"/>
      <c r="Y594" s="192"/>
      <c r="Z594" s="217"/>
      <c r="AA594" s="192"/>
      <c r="AB594" s="192"/>
      <c r="AC594" s="192"/>
      <c r="AD594" s="192"/>
      <c r="AE594" s="192"/>
      <c r="AF594" s="192"/>
      <c r="AI594" s="192"/>
      <c r="AJ594" s="192"/>
      <c r="AK594" s="194"/>
      <c r="AL594" s="192"/>
    </row>
    <row r="595" spans="1:40" x14ac:dyDescent="0.3">
      <c r="C595" s="99"/>
      <c r="F595" s="192"/>
      <c r="H595" s="110"/>
      <c r="I595" s="110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AA595" s="110"/>
      <c r="AB595" s="110"/>
      <c r="AC595" s="141"/>
      <c r="AD595" s="141"/>
      <c r="AE595" s="110"/>
      <c r="AF595" s="110"/>
      <c r="AH595" s="207"/>
      <c r="AI595" s="110"/>
      <c r="AJ595" s="110"/>
      <c r="AL595" s="110"/>
      <c r="AM595" s="207"/>
      <c r="AN595" s="207"/>
    </row>
    <row r="596" spans="1:40" x14ac:dyDescent="0.3">
      <c r="F596" s="110"/>
      <c r="H596" s="192"/>
      <c r="I596" s="192"/>
      <c r="J596" s="217"/>
      <c r="K596" s="217"/>
      <c r="L596" s="192"/>
      <c r="M596" s="192"/>
      <c r="N596" s="192"/>
      <c r="O596" s="192"/>
      <c r="P596" s="192"/>
      <c r="Q596" s="192"/>
      <c r="R596" s="192"/>
      <c r="V596" s="192"/>
      <c r="Y596" s="192"/>
      <c r="Z596" s="217"/>
      <c r="AA596" s="192"/>
      <c r="AB596" s="192"/>
      <c r="AC596" s="192"/>
      <c r="AD596" s="192"/>
      <c r="AE596" s="192"/>
      <c r="AF596" s="192"/>
      <c r="AI596" s="192"/>
      <c r="AJ596" s="192"/>
      <c r="AK596" s="194"/>
      <c r="AL596" s="192"/>
    </row>
    <row r="598" spans="1:40" x14ac:dyDescent="0.3">
      <c r="F598" s="192"/>
    </row>
    <row r="599" spans="1:40" x14ac:dyDescent="0.3">
      <c r="A599" s="99"/>
    </row>
    <row r="601" spans="1:40" x14ac:dyDescent="0.3">
      <c r="H601" s="99"/>
      <c r="I601" s="99"/>
      <c r="Y601" s="99"/>
    </row>
    <row r="603" spans="1:40" x14ac:dyDescent="0.3">
      <c r="L603" s="99"/>
      <c r="M603" s="99"/>
      <c r="AA603" s="99"/>
      <c r="AB603" s="99"/>
    </row>
    <row r="604" spans="1:40" x14ac:dyDescent="0.3">
      <c r="R604" s="99"/>
      <c r="AK604" s="190"/>
      <c r="AL604" s="99"/>
    </row>
    <row r="605" spans="1:40" x14ac:dyDescent="0.3">
      <c r="R605" s="99"/>
      <c r="AK605" s="190"/>
      <c r="AL605" s="99"/>
    </row>
    <row r="606" spans="1:40" x14ac:dyDescent="0.3">
      <c r="A606" s="99"/>
      <c r="R606" s="99"/>
      <c r="AK606" s="190"/>
      <c r="AL606" s="99"/>
    </row>
    <row r="607" spans="1:40" x14ac:dyDescent="0.3">
      <c r="L607" s="99"/>
      <c r="M607" s="99"/>
      <c r="AA607" s="99"/>
      <c r="AB607" s="99"/>
    </row>
    <row r="608" spans="1:40" x14ac:dyDescent="0.3">
      <c r="A608" s="101"/>
      <c r="B608" s="101"/>
      <c r="C608" s="101"/>
      <c r="D608" s="101"/>
      <c r="E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T608" s="101"/>
      <c r="U608" s="101"/>
      <c r="V608" s="101"/>
      <c r="W608" s="101"/>
      <c r="X608" s="101"/>
      <c r="Y608" s="101"/>
      <c r="Z608" s="101"/>
      <c r="AA608" s="101"/>
      <c r="AB608" s="101"/>
      <c r="AC608" s="101"/>
      <c r="AD608" s="101"/>
      <c r="AE608" s="101"/>
      <c r="AF608" s="101"/>
      <c r="AG608" s="191"/>
      <c r="AH608" s="101"/>
      <c r="AI608" s="101"/>
      <c r="AJ608" s="101"/>
      <c r="AK608" s="191"/>
      <c r="AL608" s="101"/>
      <c r="AM608" s="101"/>
      <c r="AN608" s="101"/>
    </row>
    <row r="609" spans="1:40" x14ac:dyDescent="0.3">
      <c r="F609" s="101"/>
      <c r="L609" s="102"/>
      <c r="M609" s="102"/>
      <c r="N609" s="102"/>
      <c r="O609" s="102"/>
      <c r="R609" s="102"/>
      <c r="AA609" s="102"/>
      <c r="AB609" s="102"/>
      <c r="AC609" s="102"/>
      <c r="AD609" s="102"/>
      <c r="AE609" s="102"/>
      <c r="AF609" s="102"/>
      <c r="AG609" s="151"/>
      <c r="AH609" s="102"/>
      <c r="AK609" s="151"/>
      <c r="AL609" s="102"/>
      <c r="AM609" s="102"/>
      <c r="AN609" s="102"/>
    </row>
    <row r="610" spans="1:40" x14ac:dyDescent="0.3">
      <c r="L610" s="102"/>
      <c r="M610" s="102"/>
      <c r="N610" s="102"/>
      <c r="O610" s="102"/>
      <c r="R610" s="102"/>
      <c r="Z610" s="102"/>
      <c r="AA610" s="102"/>
      <c r="AB610" s="102"/>
      <c r="AC610" s="102"/>
      <c r="AD610" s="102"/>
      <c r="AE610" s="102"/>
      <c r="AF610" s="102"/>
      <c r="AG610" s="151"/>
      <c r="AH610" s="102"/>
      <c r="AK610" s="151"/>
      <c r="AL610" s="102"/>
      <c r="AM610" s="102"/>
      <c r="AN610" s="102"/>
    </row>
    <row r="611" spans="1:40" x14ac:dyDescent="0.3">
      <c r="A611" s="102"/>
      <c r="C611" s="102"/>
      <c r="D611" s="102"/>
      <c r="E611" s="102"/>
      <c r="J611" s="102"/>
      <c r="K611" s="102"/>
      <c r="L611" s="102"/>
      <c r="M611" s="102"/>
      <c r="N611" s="102"/>
      <c r="O611" s="102"/>
      <c r="P611" s="102"/>
      <c r="Q611" s="102"/>
      <c r="R611" s="102"/>
      <c r="T611" s="102"/>
      <c r="U611" s="102"/>
      <c r="V611" s="102"/>
      <c r="Z611" s="102"/>
      <c r="AA611" s="102"/>
      <c r="AB611" s="102"/>
      <c r="AC611" s="102"/>
      <c r="AD611" s="102"/>
      <c r="AE611" s="102"/>
      <c r="AF611" s="102"/>
      <c r="AG611" s="151"/>
      <c r="AH611" s="102"/>
      <c r="AI611" s="102"/>
      <c r="AJ611" s="102"/>
      <c r="AK611" s="151"/>
      <c r="AL611" s="102"/>
      <c r="AM611" s="102"/>
      <c r="AN611" s="102"/>
    </row>
    <row r="612" spans="1:40" x14ac:dyDescent="0.3">
      <c r="A612" s="102"/>
      <c r="C612" s="102"/>
      <c r="D612" s="102"/>
      <c r="E612" s="102"/>
      <c r="F612" s="102"/>
      <c r="H612" s="102"/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T612" s="102"/>
      <c r="U612" s="102"/>
      <c r="V612" s="102"/>
      <c r="Y612" s="102"/>
      <c r="Z612" s="102"/>
      <c r="AA612" s="102"/>
      <c r="AB612" s="102"/>
      <c r="AC612" s="102"/>
      <c r="AD612" s="102"/>
      <c r="AE612" s="102"/>
      <c r="AF612" s="102"/>
      <c r="AG612" s="151"/>
      <c r="AH612" s="102"/>
      <c r="AI612" s="102"/>
      <c r="AJ612" s="102"/>
      <c r="AK612" s="151"/>
      <c r="AL612" s="102"/>
      <c r="AM612" s="102"/>
      <c r="AN612" s="102"/>
    </row>
    <row r="613" spans="1:40" x14ac:dyDescent="0.3">
      <c r="C613" s="102"/>
      <c r="D613" s="102"/>
      <c r="E613" s="102"/>
      <c r="F613" s="102"/>
      <c r="H613" s="102"/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T613" s="102"/>
      <c r="U613" s="102"/>
      <c r="V613" s="102"/>
      <c r="Y613" s="102"/>
      <c r="Z613" s="102"/>
      <c r="AA613" s="102"/>
      <c r="AB613" s="102"/>
      <c r="AC613" s="102"/>
      <c r="AD613" s="102"/>
      <c r="AE613" s="102"/>
      <c r="AF613" s="102"/>
      <c r="AG613" s="151"/>
      <c r="AH613" s="102"/>
      <c r="AI613" s="102"/>
      <c r="AJ613" s="102"/>
      <c r="AK613" s="151"/>
      <c r="AL613" s="102"/>
      <c r="AM613" s="102"/>
      <c r="AN613" s="102"/>
    </row>
    <row r="614" spans="1:40" x14ac:dyDescent="0.3">
      <c r="A614" s="101"/>
      <c r="B614" s="101"/>
      <c r="C614" s="101"/>
      <c r="D614" s="101"/>
      <c r="E614" s="101"/>
      <c r="F614" s="102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T614" s="101"/>
      <c r="U614" s="101"/>
      <c r="V614" s="101"/>
      <c r="W614" s="101"/>
      <c r="X614" s="101"/>
      <c r="Y614" s="101"/>
      <c r="Z614" s="101"/>
      <c r="AA614" s="101"/>
      <c r="AB614" s="101"/>
      <c r="AC614" s="101"/>
      <c r="AD614" s="101"/>
      <c r="AE614" s="101"/>
      <c r="AF614" s="101"/>
      <c r="AG614" s="191"/>
      <c r="AH614" s="101"/>
      <c r="AI614" s="101"/>
      <c r="AJ614" s="101"/>
      <c r="AK614" s="191"/>
      <c r="AL614" s="101"/>
      <c r="AM614" s="101"/>
      <c r="AN614" s="101"/>
    </row>
    <row r="615" spans="1:40" x14ac:dyDescent="0.3">
      <c r="F615" s="101"/>
      <c r="H615" s="102"/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Y615" s="102"/>
      <c r="Z615" s="102"/>
      <c r="AA615" s="102"/>
      <c r="AB615" s="102"/>
      <c r="AC615" s="102"/>
      <c r="AD615" s="102"/>
      <c r="AE615" s="102"/>
      <c r="AF615" s="102"/>
      <c r="AG615" s="151"/>
      <c r="AH615" s="102"/>
      <c r="AI615" s="102"/>
      <c r="AJ615" s="102"/>
      <c r="AK615" s="151"/>
      <c r="AL615" s="102"/>
      <c r="AM615" s="102"/>
      <c r="AN615" s="102"/>
    </row>
    <row r="616" spans="1:40" x14ac:dyDescent="0.3">
      <c r="C616" s="99"/>
      <c r="D616" s="99"/>
      <c r="E616" s="99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U616" s="99"/>
      <c r="V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1:40" x14ac:dyDescent="0.3">
      <c r="F617" s="110"/>
      <c r="H617" s="192"/>
      <c r="I617" s="192"/>
      <c r="J617" s="217"/>
      <c r="K617" s="217"/>
      <c r="L617" s="192"/>
      <c r="M617" s="192"/>
      <c r="N617" s="192"/>
      <c r="O617" s="192"/>
      <c r="P617" s="192"/>
      <c r="Q617" s="192"/>
      <c r="R617" s="192"/>
      <c r="V617" s="192"/>
      <c r="Y617" s="192"/>
      <c r="Z617" s="217"/>
      <c r="AA617" s="192"/>
      <c r="AB617" s="192"/>
      <c r="AC617" s="192"/>
      <c r="AD617" s="192"/>
      <c r="AE617" s="192"/>
      <c r="AF617" s="192"/>
      <c r="AI617" s="192"/>
      <c r="AJ617" s="192"/>
      <c r="AK617" s="194"/>
      <c r="AL617" s="192"/>
      <c r="AM617" s="141"/>
      <c r="AN617" s="141"/>
    </row>
    <row r="618" spans="1:40" x14ac:dyDescent="0.3">
      <c r="C618" s="99"/>
      <c r="F618" s="192"/>
      <c r="H618" s="110"/>
      <c r="I618" s="110"/>
      <c r="J618" s="198"/>
      <c r="K618" s="198"/>
      <c r="L618" s="110"/>
      <c r="M618" s="110"/>
      <c r="N618" s="198"/>
      <c r="O618" s="198"/>
      <c r="P618" s="110"/>
      <c r="Q618" s="110"/>
      <c r="R618" s="110"/>
      <c r="T618" s="99"/>
      <c r="V618" s="110"/>
      <c r="Y618" s="110"/>
      <c r="Z618" s="198"/>
      <c r="AA618" s="110"/>
      <c r="AB618" s="110"/>
      <c r="AC618" s="198"/>
      <c r="AD618" s="198"/>
      <c r="AE618" s="110"/>
      <c r="AF618" s="110"/>
      <c r="AH618" s="207"/>
      <c r="AI618" s="110"/>
      <c r="AJ618" s="110"/>
      <c r="AL618" s="110"/>
      <c r="AM618" s="141"/>
      <c r="AN618" s="141"/>
    </row>
    <row r="619" spans="1:40" x14ac:dyDescent="0.3">
      <c r="F619" s="110"/>
      <c r="H619" s="110"/>
      <c r="I619" s="110"/>
      <c r="J619" s="198"/>
      <c r="K619" s="198"/>
      <c r="L619" s="110"/>
      <c r="M619" s="110"/>
      <c r="N619" s="198"/>
      <c r="O619" s="198"/>
      <c r="P619" s="110"/>
      <c r="Q619" s="110"/>
      <c r="R619" s="110"/>
      <c r="V619" s="110"/>
      <c r="Y619" s="110"/>
      <c r="Z619" s="198"/>
      <c r="AA619" s="110"/>
      <c r="AB619" s="110"/>
      <c r="AC619" s="198"/>
      <c r="AD619" s="198"/>
      <c r="AH619" s="207"/>
      <c r="AI619" s="110"/>
      <c r="AJ619" s="110"/>
      <c r="AL619" s="110"/>
      <c r="AM619" s="141"/>
      <c r="AN619" s="141"/>
    </row>
    <row r="620" spans="1:40" x14ac:dyDescent="0.3">
      <c r="C620" s="99"/>
      <c r="D620" s="99"/>
      <c r="E620" s="99"/>
      <c r="F620" s="110"/>
      <c r="H620" s="110"/>
      <c r="I620" s="110"/>
      <c r="J620" s="198"/>
      <c r="K620" s="198"/>
      <c r="L620" s="110"/>
      <c r="M620" s="110"/>
      <c r="N620" s="198"/>
      <c r="O620" s="198"/>
      <c r="P620" s="110"/>
      <c r="Q620" s="110"/>
      <c r="R620" s="110"/>
      <c r="T620" s="99"/>
      <c r="U620" s="99"/>
      <c r="V620" s="110"/>
      <c r="Y620" s="110"/>
      <c r="Z620" s="198"/>
      <c r="AA620" s="110"/>
      <c r="AB620" s="110"/>
      <c r="AC620" s="198"/>
      <c r="AD620" s="198"/>
      <c r="AE620" s="110"/>
      <c r="AF620" s="110"/>
      <c r="AH620" s="207"/>
      <c r="AI620" s="110"/>
      <c r="AJ620" s="110"/>
      <c r="AL620" s="110"/>
      <c r="AM620" s="141"/>
      <c r="AN620" s="141"/>
    </row>
    <row r="621" spans="1:40" x14ac:dyDescent="0.3">
      <c r="C621" s="99"/>
      <c r="D621" s="99"/>
      <c r="E621" s="99"/>
      <c r="F621" s="110"/>
      <c r="H621" s="110"/>
      <c r="I621" s="110"/>
      <c r="J621" s="198"/>
      <c r="K621" s="198"/>
      <c r="L621" s="110"/>
      <c r="M621" s="110"/>
      <c r="N621" s="198"/>
      <c r="O621" s="198"/>
      <c r="P621" s="110"/>
      <c r="Q621" s="110"/>
      <c r="R621" s="110"/>
      <c r="T621" s="99"/>
      <c r="U621" s="99"/>
      <c r="V621" s="110"/>
      <c r="Y621" s="110"/>
      <c r="Z621" s="198"/>
      <c r="AA621" s="110"/>
      <c r="AB621" s="110"/>
      <c r="AC621" s="198"/>
      <c r="AD621" s="198"/>
      <c r="AE621" s="110"/>
      <c r="AF621" s="110"/>
      <c r="AH621" s="207"/>
      <c r="AI621" s="110"/>
      <c r="AJ621" s="110"/>
      <c r="AL621" s="110"/>
      <c r="AM621" s="141"/>
      <c r="AN621" s="141"/>
    </row>
    <row r="622" spans="1:40" x14ac:dyDescent="0.3">
      <c r="C622" s="99"/>
      <c r="D622" s="99"/>
      <c r="E622" s="99"/>
      <c r="F622" s="110"/>
      <c r="H622" s="110"/>
      <c r="I622" s="110"/>
      <c r="J622" s="198"/>
      <c r="K622" s="198"/>
      <c r="L622" s="110"/>
      <c r="M622" s="110"/>
      <c r="N622" s="198"/>
      <c r="O622" s="198"/>
      <c r="P622" s="110"/>
      <c r="Q622" s="110"/>
      <c r="R622" s="110"/>
      <c r="T622" s="99"/>
      <c r="U622" s="99"/>
      <c r="V622" s="110"/>
      <c r="Y622" s="110"/>
      <c r="Z622" s="198"/>
      <c r="AA622" s="110"/>
      <c r="AB622" s="110"/>
      <c r="AC622" s="198"/>
      <c r="AD622" s="198"/>
      <c r="AE622" s="110"/>
      <c r="AF622" s="110"/>
      <c r="AH622" s="207"/>
      <c r="AI622" s="110"/>
      <c r="AJ622" s="110"/>
      <c r="AL622" s="110"/>
      <c r="AM622" s="141"/>
      <c r="AN622" s="141"/>
    </row>
    <row r="623" spans="1:40" x14ac:dyDescent="0.3">
      <c r="C623" s="99"/>
      <c r="D623" s="99"/>
      <c r="E623" s="99"/>
      <c r="F623" s="110"/>
      <c r="H623" s="110"/>
      <c r="I623" s="110"/>
      <c r="J623" s="198"/>
      <c r="K623" s="198"/>
      <c r="L623" s="110"/>
      <c r="M623" s="110"/>
      <c r="N623" s="198"/>
      <c r="O623" s="198"/>
      <c r="P623" s="110"/>
      <c r="Q623" s="110"/>
      <c r="R623" s="110"/>
      <c r="T623" s="99"/>
      <c r="U623" s="99"/>
      <c r="V623" s="110"/>
      <c r="Y623" s="110"/>
      <c r="Z623" s="198"/>
      <c r="AA623" s="110"/>
      <c r="AB623" s="110"/>
      <c r="AC623" s="198"/>
      <c r="AD623" s="198"/>
      <c r="AE623" s="110"/>
      <c r="AF623" s="110"/>
      <c r="AH623" s="207"/>
      <c r="AI623" s="110"/>
      <c r="AJ623" s="110"/>
      <c r="AL623" s="110"/>
      <c r="AM623" s="141"/>
      <c r="AN623" s="141"/>
    </row>
    <row r="624" spans="1:40" x14ac:dyDescent="0.3">
      <c r="C624" s="99"/>
      <c r="D624" s="99"/>
      <c r="E624" s="99"/>
      <c r="F624" s="110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T624" s="99"/>
      <c r="U624" s="99"/>
      <c r="V624" s="110"/>
      <c r="Y624" s="110"/>
      <c r="Z624" s="198"/>
      <c r="AA624" s="110"/>
      <c r="AB624" s="110"/>
      <c r="AC624" s="198"/>
      <c r="AD624" s="198"/>
      <c r="AE624" s="110"/>
      <c r="AF624" s="110"/>
      <c r="AH624" s="207"/>
      <c r="AI624" s="110"/>
      <c r="AJ624" s="110"/>
      <c r="AL624" s="110"/>
      <c r="AM624" s="141"/>
      <c r="AN624" s="141"/>
    </row>
    <row r="625" spans="3:40" x14ac:dyDescent="0.3">
      <c r="C625" s="99"/>
      <c r="D625" s="99"/>
      <c r="E625" s="99"/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T625" s="99"/>
      <c r="U625" s="99"/>
      <c r="V625" s="110"/>
      <c r="Y625" s="110"/>
      <c r="Z625" s="198"/>
      <c r="AA625" s="110"/>
      <c r="AB625" s="110"/>
      <c r="AC625" s="198"/>
      <c r="AD625" s="198"/>
      <c r="AE625" s="110"/>
      <c r="AF625" s="110"/>
      <c r="AH625" s="207"/>
      <c r="AI625" s="110"/>
      <c r="AJ625" s="110"/>
      <c r="AL625" s="110"/>
      <c r="AM625" s="141"/>
      <c r="AN625" s="141"/>
    </row>
    <row r="626" spans="3:40" x14ac:dyDescent="0.3">
      <c r="F626" s="110"/>
      <c r="H626" s="192"/>
      <c r="I626" s="192"/>
      <c r="J626" s="217"/>
      <c r="K626" s="217"/>
      <c r="L626" s="192"/>
      <c r="M626" s="192"/>
      <c r="N626" s="192"/>
      <c r="O626" s="192"/>
      <c r="P626" s="192"/>
      <c r="Q626" s="192"/>
      <c r="R626" s="192"/>
      <c r="V626" s="192"/>
      <c r="Y626" s="192"/>
      <c r="Z626" s="217"/>
      <c r="AA626" s="192"/>
      <c r="AB626" s="192"/>
      <c r="AC626" s="192"/>
      <c r="AD626" s="192"/>
      <c r="AE626" s="192"/>
      <c r="AF626" s="192"/>
      <c r="AI626" s="192"/>
      <c r="AJ626" s="192"/>
      <c r="AK626" s="194"/>
      <c r="AL626" s="192"/>
      <c r="AM626" s="141"/>
      <c r="AN626" s="141"/>
    </row>
    <row r="627" spans="3:40" x14ac:dyDescent="0.3">
      <c r="C627" s="99"/>
      <c r="F627" s="192"/>
      <c r="H627" s="110"/>
      <c r="I627" s="110"/>
      <c r="J627" s="198"/>
      <c r="K627" s="198"/>
      <c r="L627" s="110"/>
      <c r="M627" s="110"/>
      <c r="N627" s="198"/>
      <c r="O627" s="198"/>
      <c r="P627" s="110"/>
      <c r="Q627" s="110"/>
      <c r="R627" s="110"/>
      <c r="T627" s="99"/>
      <c r="V627" s="110"/>
      <c r="Y627" s="110"/>
      <c r="Z627" s="198"/>
      <c r="AA627" s="110"/>
      <c r="AB627" s="110"/>
      <c r="AC627" s="198"/>
      <c r="AD627" s="198"/>
      <c r="AE627" s="110"/>
      <c r="AF627" s="110"/>
      <c r="AH627" s="207"/>
      <c r="AI627" s="110"/>
      <c r="AJ627" s="110"/>
      <c r="AL627" s="110"/>
      <c r="AM627" s="141"/>
      <c r="AN627" s="141"/>
    </row>
    <row r="628" spans="3:40" x14ac:dyDescent="0.3">
      <c r="F628" s="110"/>
      <c r="H628" s="110"/>
      <c r="I628" s="110"/>
      <c r="J628" s="198"/>
      <c r="K628" s="198"/>
      <c r="L628" s="110"/>
      <c r="M628" s="110"/>
      <c r="N628" s="198"/>
      <c r="O628" s="198"/>
      <c r="P628" s="110"/>
      <c r="Q628" s="110"/>
      <c r="R628" s="110"/>
      <c r="V628" s="110"/>
      <c r="Y628" s="110"/>
      <c r="Z628" s="198"/>
      <c r="AA628" s="110"/>
      <c r="AB628" s="110"/>
      <c r="AC628" s="198"/>
      <c r="AD628" s="198"/>
      <c r="AH628" s="207"/>
      <c r="AI628" s="110"/>
      <c r="AJ628" s="110"/>
      <c r="AL628" s="110"/>
      <c r="AM628" s="141"/>
      <c r="AN628" s="141"/>
    </row>
    <row r="629" spans="3:40" x14ac:dyDescent="0.3">
      <c r="C629" s="99"/>
      <c r="D629" s="99"/>
      <c r="E629" s="99"/>
      <c r="F629" s="110"/>
      <c r="H629" s="110"/>
      <c r="I629" s="110"/>
      <c r="J629" s="198"/>
      <c r="K629" s="198"/>
      <c r="L629" s="110"/>
      <c r="M629" s="110"/>
      <c r="N629" s="198"/>
      <c r="O629" s="198"/>
      <c r="P629" s="110"/>
      <c r="Q629" s="110"/>
      <c r="R629" s="110"/>
      <c r="T629" s="99"/>
      <c r="U629" s="99"/>
      <c r="V629" s="110"/>
      <c r="Y629" s="110"/>
      <c r="Z629" s="198"/>
      <c r="AA629" s="110"/>
      <c r="AB629" s="110"/>
      <c r="AC629" s="198"/>
      <c r="AD629" s="198"/>
      <c r="AE629" s="110"/>
      <c r="AF629" s="110"/>
      <c r="AH629" s="207"/>
      <c r="AI629" s="110"/>
      <c r="AJ629" s="110"/>
      <c r="AL629" s="110"/>
      <c r="AM629" s="141"/>
      <c r="AN629" s="141"/>
    </row>
    <row r="630" spans="3:40" x14ac:dyDescent="0.3">
      <c r="F630" s="110"/>
      <c r="H630" s="192"/>
      <c r="I630" s="192"/>
      <c r="J630" s="217"/>
      <c r="K630" s="217"/>
      <c r="L630" s="192"/>
      <c r="M630" s="192"/>
      <c r="N630" s="192"/>
      <c r="O630" s="192"/>
      <c r="P630" s="192"/>
      <c r="Q630" s="192"/>
      <c r="R630" s="192"/>
      <c r="V630" s="192"/>
      <c r="Y630" s="192"/>
      <c r="Z630" s="217"/>
      <c r="AA630" s="192"/>
      <c r="AB630" s="192"/>
      <c r="AC630" s="192"/>
      <c r="AD630" s="192"/>
      <c r="AE630" s="192"/>
      <c r="AF630" s="192"/>
      <c r="AI630" s="192"/>
      <c r="AJ630" s="192"/>
      <c r="AK630" s="194"/>
      <c r="AL630" s="192"/>
      <c r="AM630" s="141"/>
      <c r="AN630" s="141"/>
    </row>
    <row r="631" spans="3:40" x14ac:dyDescent="0.3">
      <c r="C631" s="99"/>
      <c r="F631" s="192"/>
      <c r="H631" s="110"/>
      <c r="I631" s="110"/>
      <c r="J631" s="198"/>
      <c r="K631" s="198"/>
      <c r="L631" s="110"/>
      <c r="M631" s="110"/>
      <c r="N631" s="198"/>
      <c r="O631" s="198"/>
      <c r="P631" s="110"/>
      <c r="Q631" s="110"/>
      <c r="R631" s="110"/>
      <c r="T631" s="99"/>
      <c r="V631" s="110"/>
      <c r="Y631" s="110"/>
      <c r="Z631" s="198"/>
      <c r="AA631" s="110"/>
      <c r="AB631" s="110"/>
      <c r="AC631" s="198"/>
      <c r="AD631" s="198"/>
      <c r="AE631" s="110"/>
      <c r="AF631" s="110"/>
      <c r="AH631" s="207"/>
      <c r="AI631" s="110"/>
      <c r="AJ631" s="110"/>
      <c r="AL631" s="110"/>
      <c r="AM631" s="141"/>
      <c r="AN631" s="141"/>
    </row>
    <row r="632" spans="3:40" x14ac:dyDescent="0.3">
      <c r="F632" s="110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V632" s="110"/>
      <c r="Y632" s="110"/>
      <c r="Z632" s="198"/>
      <c r="AA632" s="110"/>
      <c r="AB632" s="110"/>
      <c r="AC632" s="198"/>
      <c r="AD632" s="198"/>
      <c r="AH632" s="207"/>
      <c r="AI632" s="110"/>
      <c r="AJ632" s="110"/>
      <c r="AL632" s="110"/>
      <c r="AM632" s="141"/>
      <c r="AN632" s="141"/>
    </row>
    <row r="633" spans="3:40" x14ac:dyDescent="0.3">
      <c r="C633" s="99"/>
      <c r="D633" s="99"/>
      <c r="E633" s="99"/>
      <c r="F633" s="110"/>
      <c r="H633" s="110"/>
      <c r="I633" s="110"/>
      <c r="J633" s="198"/>
      <c r="K633" s="198"/>
      <c r="L633" s="110"/>
      <c r="M633" s="110"/>
      <c r="N633" s="198"/>
      <c r="O633" s="198"/>
      <c r="P633" s="110"/>
      <c r="Q633" s="110"/>
      <c r="R633" s="110"/>
      <c r="T633" s="99"/>
      <c r="U633" s="99"/>
      <c r="V633" s="110"/>
      <c r="Y633" s="110"/>
      <c r="Z633" s="198"/>
      <c r="AA633" s="110"/>
      <c r="AB633" s="110"/>
      <c r="AC633" s="198"/>
      <c r="AD633" s="198"/>
      <c r="AE633" s="110"/>
      <c r="AF633" s="110"/>
      <c r="AH633" s="207"/>
      <c r="AI633" s="110"/>
      <c r="AJ633" s="110"/>
      <c r="AL633" s="110"/>
      <c r="AM633" s="141"/>
      <c r="AN633" s="141"/>
    </row>
    <row r="634" spans="3:40" x14ac:dyDescent="0.3">
      <c r="C634" s="99"/>
      <c r="D634" s="99"/>
      <c r="E634" s="99"/>
      <c r="F634" s="110"/>
      <c r="G634" s="110"/>
      <c r="H634" s="110"/>
      <c r="I634" s="110"/>
      <c r="J634" s="198"/>
      <c r="K634" s="198"/>
      <c r="L634" s="110"/>
      <c r="M634" s="110"/>
      <c r="N634" s="198"/>
      <c r="O634" s="198"/>
      <c r="P634" s="110"/>
      <c r="Q634" s="110"/>
      <c r="R634" s="110"/>
      <c r="T634" s="99"/>
      <c r="U634" s="99"/>
      <c r="V634" s="110"/>
      <c r="W634" s="110"/>
      <c r="X634" s="110"/>
      <c r="Y634" s="110"/>
      <c r="Z634" s="198"/>
      <c r="AA634" s="110"/>
      <c r="AB634" s="110"/>
      <c r="AC634" s="198"/>
      <c r="AD634" s="198"/>
      <c r="AE634" s="110"/>
      <c r="AF634" s="110"/>
      <c r="AH634" s="207"/>
      <c r="AI634" s="110"/>
      <c r="AJ634" s="110"/>
      <c r="AL634" s="110"/>
      <c r="AM634" s="141"/>
      <c r="AN634" s="141"/>
    </row>
    <row r="635" spans="3:40" x14ac:dyDescent="0.3">
      <c r="C635" s="99"/>
      <c r="D635" s="99"/>
      <c r="E635" s="99"/>
      <c r="F635" s="110"/>
      <c r="G635" s="110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T635" s="99"/>
      <c r="U635" s="99"/>
      <c r="V635" s="110"/>
      <c r="W635" s="110"/>
      <c r="X635" s="110"/>
      <c r="Y635" s="110"/>
      <c r="Z635" s="198"/>
      <c r="AA635" s="110"/>
      <c r="AB635" s="110"/>
      <c r="AC635" s="198"/>
      <c r="AD635" s="198"/>
      <c r="AE635" s="110"/>
      <c r="AF635" s="110"/>
      <c r="AH635" s="207"/>
      <c r="AI635" s="110"/>
      <c r="AJ635" s="110"/>
      <c r="AL635" s="110"/>
      <c r="AM635" s="141"/>
      <c r="AN635" s="141"/>
    </row>
    <row r="636" spans="3:40" x14ac:dyDescent="0.3">
      <c r="C636" s="99"/>
      <c r="D636" s="99"/>
      <c r="E636" s="99"/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T636" s="99"/>
      <c r="U636" s="99"/>
      <c r="V636" s="110"/>
      <c r="Y636" s="110"/>
      <c r="Z636" s="198"/>
      <c r="AA636" s="110"/>
      <c r="AB636" s="110"/>
      <c r="AC636" s="198"/>
      <c r="AD636" s="198"/>
      <c r="AE636" s="110"/>
      <c r="AF636" s="110"/>
      <c r="AH636" s="207"/>
      <c r="AI636" s="110"/>
      <c r="AJ636" s="110"/>
      <c r="AL636" s="110"/>
      <c r="AM636" s="141"/>
      <c r="AN636" s="141"/>
    </row>
    <row r="637" spans="3:40" x14ac:dyDescent="0.3">
      <c r="C637" s="99"/>
      <c r="D637" s="99"/>
      <c r="E637" s="99"/>
      <c r="F637" s="110"/>
      <c r="H637" s="110"/>
      <c r="I637" s="110"/>
      <c r="J637" s="198"/>
      <c r="K637" s="198"/>
      <c r="L637" s="110"/>
      <c r="M637" s="110"/>
      <c r="N637" s="198"/>
      <c r="O637" s="198"/>
      <c r="P637" s="110"/>
      <c r="Q637" s="110"/>
      <c r="R637" s="110"/>
      <c r="T637" s="99"/>
      <c r="U637" s="99"/>
      <c r="V637" s="110"/>
      <c r="Y637" s="110"/>
      <c r="Z637" s="198"/>
      <c r="AA637" s="110"/>
      <c r="AB637" s="110"/>
      <c r="AC637" s="198"/>
      <c r="AD637" s="198"/>
      <c r="AE637" s="110"/>
      <c r="AF637" s="110"/>
      <c r="AH637" s="207"/>
      <c r="AI637" s="110"/>
      <c r="AJ637" s="110"/>
      <c r="AL637" s="110"/>
      <c r="AM637" s="141"/>
      <c r="AN637" s="141"/>
    </row>
    <row r="638" spans="3:40" x14ac:dyDescent="0.3">
      <c r="C638" s="99"/>
      <c r="D638" s="99"/>
      <c r="E638" s="99"/>
      <c r="F638" s="110"/>
      <c r="H638" s="110"/>
      <c r="I638" s="110"/>
      <c r="J638" s="198"/>
      <c r="K638" s="198"/>
      <c r="L638" s="110"/>
      <c r="M638" s="110"/>
      <c r="N638" s="198"/>
      <c r="O638" s="198"/>
      <c r="P638" s="110"/>
      <c r="Q638" s="110"/>
      <c r="R638" s="110"/>
      <c r="T638" s="99"/>
      <c r="U638" s="99"/>
      <c r="V638" s="110"/>
      <c r="Y638" s="110"/>
      <c r="Z638" s="198"/>
      <c r="AA638" s="110"/>
      <c r="AB638" s="110"/>
      <c r="AC638" s="198"/>
      <c r="AD638" s="198"/>
      <c r="AE638" s="110"/>
      <c r="AF638" s="110"/>
      <c r="AH638" s="207"/>
      <c r="AI638" s="110"/>
      <c r="AJ638" s="110"/>
      <c r="AL638" s="110"/>
      <c r="AM638" s="141"/>
      <c r="AN638" s="141"/>
    </row>
    <row r="639" spans="3:40" x14ac:dyDescent="0.3">
      <c r="C639" s="99"/>
      <c r="D639" s="99"/>
      <c r="E639" s="99"/>
      <c r="F639" s="110"/>
      <c r="H639" s="110"/>
      <c r="I639" s="110"/>
      <c r="J639" s="198"/>
      <c r="K639" s="198"/>
      <c r="L639" s="110"/>
      <c r="M639" s="110"/>
      <c r="N639" s="198"/>
      <c r="O639" s="198"/>
      <c r="P639" s="110"/>
      <c r="Q639" s="110"/>
      <c r="R639" s="110"/>
      <c r="T639" s="99"/>
      <c r="U639" s="99"/>
      <c r="V639" s="110"/>
      <c r="Y639" s="110"/>
      <c r="Z639" s="198"/>
      <c r="AA639" s="110"/>
      <c r="AB639" s="110"/>
      <c r="AC639" s="198"/>
      <c r="AD639" s="198"/>
      <c r="AE639" s="110"/>
      <c r="AF639" s="110"/>
      <c r="AH639" s="207"/>
      <c r="AI639" s="110"/>
      <c r="AJ639" s="110"/>
      <c r="AL639" s="110"/>
      <c r="AM639" s="141"/>
      <c r="AN639" s="141"/>
    </row>
    <row r="640" spans="3:40" x14ac:dyDescent="0.3">
      <c r="F640" s="110"/>
      <c r="H640" s="192"/>
      <c r="I640" s="192"/>
      <c r="J640" s="217"/>
      <c r="K640" s="217"/>
      <c r="L640" s="192"/>
      <c r="M640" s="192"/>
      <c r="N640" s="192"/>
      <c r="O640" s="192"/>
      <c r="P640" s="192"/>
      <c r="Q640" s="192"/>
      <c r="R640" s="192"/>
      <c r="V640" s="192"/>
      <c r="Y640" s="192"/>
      <c r="Z640" s="217"/>
      <c r="AA640" s="192"/>
      <c r="AB640" s="192"/>
      <c r="AC640" s="192"/>
      <c r="AD640" s="192"/>
      <c r="AE640" s="192"/>
      <c r="AF640" s="192"/>
      <c r="AI640" s="192"/>
      <c r="AJ640" s="192"/>
      <c r="AK640" s="194"/>
      <c r="AL640" s="192"/>
      <c r="AM640" s="141"/>
      <c r="AN640" s="141"/>
    </row>
    <row r="641" spans="3:40" x14ac:dyDescent="0.3">
      <c r="C641" s="99"/>
      <c r="F641" s="192"/>
      <c r="H641" s="110"/>
      <c r="I641" s="110"/>
      <c r="J641" s="198"/>
      <c r="K641" s="198"/>
      <c r="L641" s="110"/>
      <c r="M641" s="110"/>
      <c r="N641" s="198"/>
      <c r="O641" s="198"/>
      <c r="P641" s="110"/>
      <c r="Q641" s="110"/>
      <c r="R641" s="110"/>
      <c r="T641" s="99"/>
      <c r="V641" s="110"/>
      <c r="Y641" s="110"/>
      <c r="Z641" s="198"/>
      <c r="AA641" s="110"/>
      <c r="AB641" s="110"/>
      <c r="AC641" s="198"/>
      <c r="AD641" s="198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F642" s="110"/>
      <c r="V642" s="110"/>
      <c r="Y642" s="110"/>
      <c r="Z642" s="217"/>
      <c r="AA642" s="110"/>
      <c r="AB642" s="110"/>
      <c r="AC642" s="110"/>
      <c r="AD642" s="110"/>
      <c r="AE642" s="110"/>
      <c r="AF642" s="110"/>
      <c r="AI642" s="110"/>
      <c r="AJ642" s="110"/>
      <c r="AL642" s="110"/>
      <c r="AM642" s="141"/>
      <c r="AN642" s="141"/>
    </row>
    <row r="643" spans="3:40" x14ac:dyDescent="0.3">
      <c r="C643" s="99"/>
      <c r="D643" s="99"/>
      <c r="E643" s="99"/>
      <c r="L643" s="110"/>
      <c r="M643" s="110"/>
      <c r="N643" s="198"/>
      <c r="O643" s="198"/>
      <c r="R643" s="110"/>
      <c r="T643" s="99"/>
      <c r="U643" s="99"/>
      <c r="AA643" s="110"/>
      <c r="AB643" s="110"/>
      <c r="AC643" s="198"/>
      <c r="AD643" s="198"/>
      <c r="AE643" s="110"/>
      <c r="AF643" s="110"/>
      <c r="AH643" s="207"/>
      <c r="AL643" s="110"/>
      <c r="AM643" s="141"/>
      <c r="AN643" s="141"/>
    </row>
    <row r="644" spans="3:40" x14ac:dyDescent="0.3">
      <c r="D644" s="99"/>
      <c r="E644" s="99"/>
      <c r="H644" s="172"/>
      <c r="I644" s="172"/>
      <c r="J644" s="198"/>
      <c r="K644" s="198"/>
      <c r="L644" s="110"/>
      <c r="M644" s="110"/>
      <c r="N644" s="198"/>
      <c r="O644" s="198"/>
      <c r="P644" s="172"/>
      <c r="Q644" s="172"/>
      <c r="R644" s="110"/>
      <c r="U644" s="99"/>
      <c r="V644" s="110"/>
      <c r="Y644" s="110"/>
      <c r="Z644" s="198"/>
      <c r="AA644" s="110"/>
      <c r="AB644" s="110"/>
      <c r="AC644" s="198"/>
      <c r="AD644" s="198"/>
      <c r="AE644" s="110"/>
      <c r="AF644" s="110"/>
      <c r="AH644" s="207"/>
      <c r="AI644" s="110"/>
      <c r="AJ644" s="110"/>
      <c r="AL644" s="110"/>
      <c r="AM644" s="141"/>
      <c r="AN644" s="141"/>
    </row>
    <row r="645" spans="3:40" x14ac:dyDescent="0.3">
      <c r="F645" s="172"/>
      <c r="H645" s="192"/>
      <c r="I645" s="192"/>
      <c r="J645" s="217"/>
      <c r="K645" s="217"/>
      <c r="L645" s="192"/>
      <c r="M645" s="192"/>
      <c r="N645" s="192"/>
      <c r="O645" s="192"/>
      <c r="P645" s="192"/>
      <c r="Q645" s="192"/>
      <c r="R645" s="192"/>
      <c r="V645" s="192"/>
      <c r="Y645" s="192"/>
      <c r="Z645" s="217"/>
      <c r="AA645" s="192"/>
      <c r="AB645" s="192"/>
      <c r="AC645" s="192"/>
      <c r="AD645" s="192"/>
      <c r="AE645" s="192"/>
      <c r="AF645" s="192"/>
      <c r="AI645" s="192"/>
      <c r="AJ645" s="192"/>
      <c r="AK645" s="194"/>
      <c r="AL645" s="192"/>
      <c r="AM645" s="141"/>
      <c r="AN645" s="141"/>
    </row>
    <row r="646" spans="3:40" x14ac:dyDescent="0.3">
      <c r="C646" s="99"/>
      <c r="F646" s="192"/>
      <c r="H646" s="110"/>
      <c r="I646" s="110"/>
      <c r="J646" s="198"/>
      <c r="K646" s="198"/>
      <c r="L646" s="110"/>
      <c r="M646" s="110"/>
      <c r="N646" s="198"/>
      <c r="O646" s="198"/>
      <c r="P646" s="110"/>
      <c r="Q646" s="110"/>
      <c r="R646" s="110"/>
      <c r="T646" s="99"/>
      <c r="V646" s="110"/>
      <c r="Y646" s="110"/>
      <c r="Z646" s="198"/>
      <c r="AA646" s="110"/>
      <c r="AB646" s="110"/>
      <c r="AC646" s="198"/>
      <c r="AD646" s="198"/>
      <c r="AE646" s="110"/>
      <c r="AF646" s="110"/>
      <c r="AH646" s="207"/>
      <c r="AI646" s="110"/>
      <c r="AJ646" s="110"/>
      <c r="AL646" s="110"/>
      <c r="AM646" s="141"/>
      <c r="AN646" s="141"/>
    </row>
    <row r="647" spans="3:40" x14ac:dyDescent="0.3">
      <c r="F647" s="110"/>
      <c r="H647" s="110"/>
      <c r="I647" s="110"/>
      <c r="J647" s="198"/>
      <c r="K647" s="198"/>
      <c r="L647" s="110"/>
      <c r="M647" s="110"/>
      <c r="N647" s="198"/>
      <c r="O647" s="198"/>
      <c r="P647" s="110"/>
      <c r="Q647" s="110"/>
      <c r="R647" s="110"/>
      <c r="V647" s="110"/>
      <c r="Y647" s="110"/>
      <c r="Z647" s="198"/>
      <c r="AA647" s="110"/>
      <c r="AB647" s="110"/>
      <c r="AC647" s="198"/>
      <c r="AD647" s="198"/>
      <c r="AH647" s="207"/>
      <c r="AI647" s="110"/>
      <c r="AJ647" s="110"/>
      <c r="AL647" s="110"/>
      <c r="AM647" s="141"/>
      <c r="AN647" s="141"/>
    </row>
    <row r="648" spans="3:40" x14ac:dyDescent="0.3">
      <c r="D648" s="99"/>
      <c r="E648" s="99"/>
      <c r="F648" s="110"/>
      <c r="H648" s="110"/>
      <c r="I648" s="110"/>
      <c r="J648" s="198"/>
      <c r="K648" s="198"/>
      <c r="L648" s="172"/>
      <c r="M648" s="172"/>
      <c r="N648" s="198"/>
      <c r="O648" s="198"/>
      <c r="P648" s="110"/>
      <c r="Q648" s="110"/>
      <c r="R648" s="110"/>
      <c r="U648" s="99"/>
      <c r="V648" s="110"/>
      <c r="Y648" s="110"/>
      <c r="Z648" s="198"/>
      <c r="AA648" s="172"/>
      <c r="AB648" s="172"/>
      <c r="AC648" s="198"/>
      <c r="AD648" s="198"/>
      <c r="AE648" s="110"/>
      <c r="AF648" s="110"/>
      <c r="AH648" s="207"/>
      <c r="AI648" s="110"/>
      <c r="AJ648" s="110"/>
      <c r="AL648" s="110"/>
      <c r="AM648" s="141"/>
      <c r="AN648" s="141"/>
    </row>
    <row r="649" spans="3:40" x14ac:dyDescent="0.3">
      <c r="D649" s="99"/>
      <c r="E649" s="99"/>
      <c r="F649" s="110"/>
      <c r="H649" s="110"/>
      <c r="I649" s="110"/>
      <c r="J649" s="198"/>
      <c r="K649" s="198"/>
      <c r="L649" s="172"/>
      <c r="M649" s="172"/>
      <c r="N649" s="198"/>
      <c r="O649" s="198"/>
      <c r="P649" s="110"/>
      <c r="Q649" s="110"/>
      <c r="R649" s="110"/>
      <c r="U649" s="99"/>
      <c r="V649" s="110"/>
      <c r="Y649" s="110"/>
      <c r="Z649" s="198"/>
      <c r="AA649" s="172"/>
      <c r="AB649" s="172"/>
      <c r="AC649" s="198"/>
      <c r="AD649" s="198"/>
      <c r="AE649" s="110"/>
      <c r="AF649" s="110"/>
      <c r="AH649" s="207"/>
      <c r="AI649" s="110"/>
      <c r="AJ649" s="110"/>
      <c r="AL649" s="110"/>
      <c r="AM649" s="141"/>
      <c r="AN649" s="141"/>
    </row>
    <row r="650" spans="3:40" x14ac:dyDescent="0.3">
      <c r="D650" s="99"/>
      <c r="E650" s="99"/>
      <c r="F650" s="110"/>
      <c r="H650" s="110"/>
      <c r="I650" s="110"/>
      <c r="J650" s="198"/>
      <c r="K650" s="198"/>
      <c r="L650" s="172"/>
      <c r="M650" s="172"/>
      <c r="N650" s="198"/>
      <c r="O650" s="198"/>
      <c r="P650" s="110"/>
      <c r="Q650" s="110"/>
      <c r="R650" s="110"/>
      <c r="U650" s="99"/>
      <c r="V650" s="110"/>
      <c r="Y650" s="110"/>
      <c r="Z650" s="198"/>
      <c r="AA650" s="172"/>
      <c r="AB650" s="172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3:40" x14ac:dyDescent="0.3">
      <c r="F651" s="110"/>
      <c r="H651" s="192"/>
      <c r="I651" s="192"/>
      <c r="J651" s="217"/>
      <c r="K651" s="217"/>
      <c r="L651" s="192"/>
      <c r="M651" s="192"/>
      <c r="N651" s="192"/>
      <c r="O651" s="192"/>
      <c r="P651" s="192"/>
      <c r="Q651" s="192"/>
      <c r="R651" s="192"/>
      <c r="V651" s="192"/>
      <c r="Y651" s="192"/>
      <c r="Z651" s="217"/>
      <c r="AA651" s="192"/>
      <c r="AB651" s="192"/>
      <c r="AC651" s="192"/>
      <c r="AD651" s="192"/>
      <c r="AE651" s="192"/>
      <c r="AF651" s="192"/>
      <c r="AI651" s="192"/>
      <c r="AJ651" s="192"/>
      <c r="AK651" s="194"/>
      <c r="AL651" s="192"/>
      <c r="AM651" s="141"/>
      <c r="AN651" s="141"/>
    </row>
    <row r="652" spans="3:40" x14ac:dyDescent="0.3">
      <c r="C652" s="99"/>
      <c r="F652" s="192"/>
      <c r="H652" s="110"/>
      <c r="I652" s="110"/>
      <c r="J652" s="198"/>
      <c r="K652" s="198"/>
      <c r="L652" s="110"/>
      <c r="M652" s="110"/>
      <c r="N652" s="198"/>
      <c r="O652" s="198"/>
      <c r="P652" s="110"/>
      <c r="Q652" s="110"/>
      <c r="R652" s="110"/>
      <c r="T652" s="99"/>
      <c r="V652" s="110"/>
      <c r="Y652" s="110"/>
      <c r="Z652" s="198"/>
      <c r="AA652" s="110"/>
      <c r="AB652" s="110"/>
      <c r="AC652" s="198"/>
      <c r="AD652" s="198"/>
      <c r="AE652" s="110"/>
      <c r="AF652" s="110"/>
      <c r="AH652" s="207"/>
      <c r="AI652" s="110"/>
      <c r="AJ652" s="110"/>
      <c r="AL652" s="110"/>
      <c r="AM652" s="141"/>
      <c r="AN652" s="141"/>
    </row>
    <row r="653" spans="3:40" x14ac:dyDescent="0.3">
      <c r="F653" s="110"/>
      <c r="H653" s="110"/>
      <c r="I653" s="110"/>
      <c r="J653" s="198"/>
      <c r="K653" s="198"/>
      <c r="L653" s="110"/>
      <c r="M653" s="110"/>
      <c r="N653" s="198"/>
      <c r="O653" s="198"/>
      <c r="P653" s="110"/>
      <c r="Q653" s="110"/>
      <c r="R653" s="110"/>
      <c r="V653" s="110"/>
      <c r="Y653" s="110"/>
      <c r="Z653" s="198"/>
      <c r="AA653" s="110"/>
      <c r="AB653" s="110"/>
      <c r="AC653" s="198"/>
      <c r="AD653" s="198"/>
      <c r="AH653" s="207"/>
      <c r="AI653" s="110"/>
      <c r="AJ653" s="110"/>
      <c r="AL653" s="110"/>
      <c r="AM653" s="141"/>
      <c r="AN653" s="141"/>
    </row>
    <row r="654" spans="3:40" x14ac:dyDescent="0.3">
      <c r="C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3:40" x14ac:dyDescent="0.3">
      <c r="F655" s="110"/>
      <c r="H655" s="192"/>
      <c r="I655" s="192"/>
      <c r="J655" s="217"/>
      <c r="K655" s="217"/>
      <c r="L655" s="192"/>
      <c r="M655" s="192"/>
      <c r="N655" s="192"/>
      <c r="O655" s="192"/>
      <c r="P655" s="192"/>
      <c r="Q655" s="192"/>
      <c r="R655" s="192"/>
      <c r="V655" s="192"/>
      <c r="Y655" s="192"/>
      <c r="Z655" s="217"/>
      <c r="AA655" s="192"/>
      <c r="AB655" s="192"/>
      <c r="AC655" s="192"/>
      <c r="AD655" s="192"/>
      <c r="AE655" s="192"/>
      <c r="AF655" s="192"/>
      <c r="AI655" s="192"/>
      <c r="AJ655" s="192"/>
      <c r="AK655" s="194"/>
      <c r="AL655" s="192"/>
    </row>
    <row r="657" spans="1:20" x14ac:dyDescent="0.3">
      <c r="C657" s="99"/>
      <c r="F657" s="192"/>
      <c r="L657" s="110"/>
      <c r="M657" s="110"/>
      <c r="P657" s="110"/>
      <c r="Q657" s="110"/>
      <c r="R657" s="110"/>
      <c r="T657" s="99"/>
    </row>
    <row r="658" spans="1:20" x14ac:dyDescent="0.3">
      <c r="A658" s="99"/>
      <c r="L658" s="110"/>
      <c r="M658" s="110"/>
      <c r="P658" s="110"/>
      <c r="Q658" s="110"/>
      <c r="R658" s="110"/>
    </row>
    <row r="659" spans="1:20" x14ac:dyDescent="0.3">
      <c r="L659" s="110"/>
      <c r="M659" s="110"/>
      <c r="P659" s="110"/>
      <c r="Q659" s="110"/>
      <c r="R659" s="110"/>
    </row>
    <row r="660" spans="1:20" x14ac:dyDescent="0.3">
      <c r="L660" s="110"/>
      <c r="M660" s="110"/>
      <c r="P660" s="110"/>
      <c r="Q660" s="110"/>
      <c r="R660" s="110"/>
    </row>
    <row r="661" spans="1:20" x14ac:dyDescent="0.3">
      <c r="L661" s="110"/>
      <c r="M661" s="110"/>
      <c r="P661" s="110"/>
      <c r="Q661" s="110"/>
      <c r="R661" s="110"/>
    </row>
    <row r="662" spans="1:20" x14ac:dyDescent="0.3">
      <c r="L662" s="110"/>
      <c r="M662" s="110"/>
      <c r="P662" s="110"/>
      <c r="Q662" s="110"/>
      <c r="R662" s="110"/>
    </row>
    <row r="663" spans="1:20" x14ac:dyDescent="0.3">
      <c r="L663" s="110"/>
      <c r="M663" s="110"/>
      <c r="P663" s="110"/>
      <c r="Q663" s="110"/>
      <c r="R663" s="110"/>
    </row>
    <row r="696" spans="49:49" x14ac:dyDescent="0.3">
      <c r="AW696" s="110"/>
    </row>
    <row r="697" spans="49:49" x14ac:dyDescent="0.3">
      <c r="AW697" s="110"/>
    </row>
    <row r="698" spans="49:49" x14ac:dyDescent="0.3">
      <c r="AW698" s="110"/>
    </row>
    <row r="699" spans="49:49" x14ac:dyDescent="0.3">
      <c r="AW699" s="110"/>
    </row>
    <row r="700" spans="49:49" x14ac:dyDescent="0.3">
      <c r="AW700" s="110"/>
    </row>
    <row r="701" spans="49:49" x14ac:dyDescent="0.3">
      <c r="AW701" s="110"/>
    </row>
    <row r="704" spans="49:49" x14ac:dyDescent="0.3">
      <c r="AW704" s="110"/>
    </row>
    <row r="705" spans="49:49" x14ac:dyDescent="0.3">
      <c r="AW705" s="110"/>
    </row>
    <row r="706" spans="49:49" x14ac:dyDescent="0.3">
      <c r="AW706" s="110"/>
    </row>
    <row r="707" spans="49:49" x14ac:dyDescent="0.3">
      <c r="AW707" s="110"/>
    </row>
    <row r="708" spans="49:49" x14ac:dyDescent="0.3">
      <c r="AW708" s="110"/>
    </row>
    <row r="709" spans="49:49" x14ac:dyDescent="0.3">
      <c r="AW709" s="110"/>
    </row>
    <row r="710" spans="49:49" x14ac:dyDescent="0.3">
      <c r="AW710" s="110"/>
    </row>
    <row r="711" spans="49:49" x14ac:dyDescent="0.3">
      <c r="AW711" s="110"/>
    </row>
    <row r="714" spans="49:49" x14ac:dyDescent="0.3">
      <c r="AW714" s="110"/>
    </row>
    <row r="715" spans="49:49" x14ac:dyDescent="0.3">
      <c r="AW715" s="110"/>
    </row>
    <row r="718" spans="49:49" x14ac:dyDescent="0.3">
      <c r="AW718" s="110"/>
    </row>
    <row r="719" spans="49:49" x14ac:dyDescent="0.3">
      <c r="AW719" s="110"/>
    </row>
    <row r="720" spans="49:49" x14ac:dyDescent="0.3">
      <c r="AW720" s="110"/>
    </row>
    <row r="721" spans="45:57" x14ac:dyDescent="0.3">
      <c r="AW721" s="110"/>
    </row>
    <row r="729" spans="45:57" x14ac:dyDescent="0.3">
      <c r="AY729" s="99"/>
    </row>
    <row r="730" spans="45:57" x14ac:dyDescent="0.3">
      <c r="AY730" s="99"/>
    </row>
    <row r="731" spans="45:57" x14ac:dyDescent="0.3">
      <c r="BD731" s="99"/>
    </row>
    <row r="732" spans="45:57" x14ac:dyDescent="0.3">
      <c r="BD732" s="99"/>
    </row>
    <row r="733" spans="45:57" x14ac:dyDescent="0.3">
      <c r="AS733" s="99"/>
      <c r="BD733" s="99"/>
    </row>
    <row r="735" spans="45:57" x14ac:dyDescent="0.3">
      <c r="AS735" s="101"/>
      <c r="AT735" s="101"/>
      <c r="AU735" s="101"/>
      <c r="AV735" s="101"/>
      <c r="AW735" s="101"/>
      <c r="AX735" s="101"/>
      <c r="AY735" s="101"/>
      <c r="AZ735" s="101"/>
      <c r="BA735" s="101"/>
      <c r="BB735" s="101"/>
      <c r="BC735" s="101"/>
      <c r="BD735" s="101"/>
      <c r="BE735" s="101"/>
    </row>
    <row r="736" spans="45:57" x14ac:dyDescent="0.3">
      <c r="AX736" s="99"/>
    </row>
    <row r="737" spans="45:69" x14ac:dyDescent="0.3">
      <c r="AX737" s="101"/>
      <c r="AY737" s="101"/>
      <c r="AZ737" s="101"/>
      <c r="BA737" s="101"/>
      <c r="BC737" s="102"/>
      <c r="BD737" s="102"/>
    </row>
    <row r="738" spans="45:69" x14ac:dyDescent="0.3">
      <c r="AV738" s="102"/>
      <c r="AW738" s="102"/>
      <c r="AZ738" s="102"/>
      <c r="BA738" s="102"/>
      <c r="BC738" s="102"/>
      <c r="BD738" s="102"/>
      <c r="BE738" s="102"/>
      <c r="BG738" s="101"/>
      <c r="BH738" s="99"/>
      <c r="BK738" s="101"/>
      <c r="BM738" s="101"/>
      <c r="BN738" s="99"/>
      <c r="BQ738" s="101"/>
    </row>
    <row r="739" spans="45:69" x14ac:dyDescent="0.3"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H739" s="102"/>
      <c r="BI739" s="102"/>
      <c r="BJ739" s="102"/>
      <c r="BN739" s="102"/>
      <c r="BO739" s="102"/>
      <c r="BP739" s="102"/>
    </row>
    <row r="740" spans="45:69" x14ac:dyDescent="0.3">
      <c r="AS740" s="102"/>
      <c r="AU740" s="99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G740" s="102"/>
      <c r="BH740" s="102"/>
      <c r="BI740" s="102"/>
      <c r="BJ740" s="102"/>
      <c r="BK740" s="102"/>
      <c r="BM740" s="102"/>
      <c r="BN740" s="102"/>
      <c r="BO740" s="102"/>
      <c r="BP740" s="102"/>
      <c r="BQ740" s="102"/>
    </row>
    <row r="741" spans="45:69" x14ac:dyDescent="0.3">
      <c r="AS741" s="102"/>
      <c r="AU741" s="99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G741" s="102"/>
      <c r="BH741" s="102"/>
      <c r="BI741" s="102"/>
      <c r="BJ741" s="102"/>
      <c r="BK741" s="102"/>
      <c r="BM741" s="102"/>
      <c r="BN741" s="102"/>
      <c r="BO741" s="102"/>
      <c r="BP741" s="102"/>
      <c r="BQ741" s="102"/>
    </row>
    <row r="742" spans="45:69" x14ac:dyDescent="0.3">
      <c r="AS742" s="101"/>
      <c r="AT742" s="101"/>
      <c r="AU742" s="101"/>
      <c r="AV742" s="101"/>
      <c r="AW742" s="101"/>
      <c r="AX742" s="101"/>
      <c r="AY742" s="101"/>
      <c r="AZ742" s="101"/>
      <c r="BA742" s="101"/>
      <c r="BB742" s="101"/>
      <c r="BC742" s="101"/>
      <c r="BD742" s="101"/>
      <c r="BE742" s="101"/>
      <c r="BG742" s="101"/>
      <c r="BH742" s="101"/>
      <c r="BI742" s="101"/>
      <c r="BJ742" s="101"/>
      <c r="BK742" s="101"/>
      <c r="BM742" s="101"/>
      <c r="BN742" s="101"/>
      <c r="BO742" s="101"/>
      <c r="BP742" s="101"/>
      <c r="BQ742" s="101"/>
    </row>
    <row r="743" spans="45:69" x14ac:dyDescent="0.3"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</row>
    <row r="744" spans="45:69" x14ac:dyDescent="0.3">
      <c r="AU744" s="99"/>
      <c r="AV744" s="102"/>
      <c r="AY744" s="198"/>
    </row>
    <row r="745" spans="45:69" x14ac:dyDescent="0.3">
      <c r="AV745" s="102"/>
      <c r="AW745" s="110"/>
      <c r="AX745" s="163"/>
      <c r="AY745" s="163"/>
      <c r="AZ745" s="163"/>
      <c r="BA745" s="141"/>
      <c r="BB745" s="163"/>
      <c r="BC745" s="198"/>
      <c r="BD745" s="198"/>
      <c r="BE745" s="141"/>
      <c r="BG745" s="163"/>
      <c r="BH745" s="163"/>
      <c r="BI745" s="163"/>
      <c r="BJ745" s="163"/>
      <c r="BK745" s="163"/>
      <c r="BM745" s="163"/>
      <c r="BN745" s="163"/>
      <c r="BO745" s="163"/>
      <c r="BP745" s="163"/>
      <c r="BQ745" s="163"/>
    </row>
    <row r="746" spans="45:69" x14ac:dyDescent="0.3">
      <c r="AV746" s="102"/>
      <c r="AW746" s="110"/>
      <c r="AX746" s="163"/>
      <c r="AY746" s="163"/>
      <c r="AZ746" s="163"/>
      <c r="BA746" s="141"/>
      <c r="BB746" s="163"/>
      <c r="BC746" s="198"/>
      <c r="BD746" s="198"/>
      <c r="BE746" s="141"/>
      <c r="BG746" s="163"/>
      <c r="BH746" s="163"/>
      <c r="BI746" s="163"/>
      <c r="BJ746" s="163"/>
      <c r="BK746" s="163"/>
      <c r="BM746" s="163"/>
      <c r="BN746" s="163"/>
      <c r="BO746" s="163"/>
      <c r="BP746" s="163"/>
      <c r="BQ746" s="163"/>
    </row>
    <row r="747" spans="45:69" x14ac:dyDescent="0.3">
      <c r="AV747" s="102"/>
      <c r="AW747" s="110"/>
      <c r="AX747" s="163"/>
      <c r="AY747" s="163"/>
      <c r="AZ747" s="163"/>
      <c r="BA747" s="141"/>
      <c r="BB747" s="163"/>
      <c r="BC747" s="198"/>
      <c r="BD747" s="198"/>
      <c r="BE747" s="141"/>
      <c r="BG747" s="163"/>
      <c r="BH747" s="163"/>
      <c r="BI747" s="163"/>
      <c r="BJ747" s="163"/>
      <c r="BK747" s="163"/>
      <c r="BM747" s="163"/>
      <c r="BN747" s="163"/>
      <c r="BO747" s="163"/>
      <c r="BP747" s="163"/>
      <c r="BQ747" s="163"/>
    </row>
    <row r="748" spans="45:69" x14ac:dyDescent="0.3">
      <c r="AV748" s="102"/>
      <c r="AW748" s="110"/>
      <c r="AX748" s="163"/>
      <c r="AY748" s="163"/>
      <c r="AZ748" s="163"/>
      <c r="BA748" s="141"/>
      <c r="BB748" s="163"/>
      <c r="BC748" s="198"/>
      <c r="BD748" s="198"/>
      <c r="BE748" s="141"/>
      <c r="BG748" s="163"/>
      <c r="BH748" s="163"/>
      <c r="BI748" s="163"/>
      <c r="BJ748" s="163"/>
      <c r="BK748" s="163"/>
      <c r="BM748" s="163"/>
      <c r="BN748" s="163"/>
      <c r="BO748" s="163"/>
      <c r="BP748" s="163"/>
      <c r="BQ748" s="163"/>
    </row>
    <row r="749" spans="45:69" x14ac:dyDescent="0.3">
      <c r="AV749" s="102"/>
      <c r="AW749" s="110"/>
      <c r="AX749" s="163"/>
      <c r="AY749" s="163"/>
      <c r="AZ749" s="163"/>
      <c r="BA749" s="141"/>
      <c r="BB749" s="163"/>
      <c r="BC749" s="198"/>
      <c r="BD749" s="198"/>
      <c r="BE749" s="141"/>
      <c r="BG749" s="163"/>
      <c r="BH749" s="163"/>
      <c r="BI749" s="163"/>
      <c r="BJ749" s="163"/>
      <c r="BK749" s="163"/>
      <c r="BM749" s="163"/>
      <c r="BN749" s="163"/>
      <c r="BO749" s="163"/>
      <c r="BP749" s="163"/>
      <c r="BQ749" s="163"/>
    </row>
    <row r="750" spans="45:69" x14ac:dyDescent="0.3">
      <c r="AV750" s="102"/>
      <c r="AW750" s="110"/>
      <c r="AX750" s="163"/>
      <c r="AY750" s="163"/>
      <c r="AZ750" s="163"/>
      <c r="BA750" s="141"/>
      <c r="BB750" s="163"/>
      <c r="BC750" s="198"/>
      <c r="BD750" s="198"/>
      <c r="BE750" s="141"/>
      <c r="BG750" s="163"/>
      <c r="BH750" s="163"/>
      <c r="BI750" s="163"/>
      <c r="BJ750" s="163"/>
      <c r="BK750" s="163"/>
      <c r="BM750" s="163"/>
      <c r="BN750" s="163"/>
      <c r="BO750" s="163"/>
      <c r="BP750" s="163"/>
      <c r="BQ750" s="163"/>
    </row>
    <row r="751" spans="45:69" x14ac:dyDescent="0.3">
      <c r="AV751" s="102"/>
      <c r="AW751" s="110"/>
      <c r="AX751" s="163"/>
      <c r="AY751" s="163"/>
      <c r="AZ751" s="163"/>
      <c r="BA751" s="141"/>
      <c r="BB751" s="163"/>
      <c r="BC751" s="198"/>
      <c r="BD751" s="198"/>
      <c r="BE751" s="141"/>
      <c r="BG751" s="163"/>
      <c r="BH751" s="163"/>
      <c r="BI751" s="163"/>
      <c r="BJ751" s="163"/>
      <c r="BK751" s="163"/>
      <c r="BM751" s="163"/>
      <c r="BN751" s="163"/>
      <c r="BO751" s="163"/>
      <c r="BP751" s="163"/>
      <c r="BQ751" s="163"/>
    </row>
    <row r="752" spans="45:69" x14ac:dyDescent="0.3">
      <c r="AY752" s="198"/>
      <c r="AZ752" s="163"/>
      <c r="BA752" s="141"/>
      <c r="BB752" s="163"/>
      <c r="BC752" s="198"/>
      <c r="BD752" s="198"/>
      <c r="BE752" s="141"/>
      <c r="BK752" s="163"/>
      <c r="BQ752" s="163"/>
    </row>
    <row r="753" spans="45:69" x14ac:dyDescent="0.3">
      <c r="AV753" s="102"/>
      <c r="AY753" s="198"/>
      <c r="AZ753" s="163"/>
      <c r="BA753" s="141"/>
      <c r="BB753" s="163"/>
      <c r="BC753" s="198"/>
      <c r="BD753" s="198"/>
      <c r="BE753" s="141"/>
      <c r="BK753" s="163"/>
      <c r="BQ753" s="163"/>
    </row>
    <row r="754" spans="45:69" x14ac:dyDescent="0.3">
      <c r="AV754" s="102"/>
      <c r="AW754" s="110"/>
      <c r="AX754" s="163"/>
      <c r="AY754" s="163"/>
      <c r="AZ754" s="163"/>
      <c r="BA754" s="141"/>
      <c r="BB754" s="163"/>
      <c r="BC754" s="198"/>
      <c r="BD754" s="198"/>
      <c r="BE754" s="141"/>
      <c r="BG754" s="163"/>
      <c r="BH754" s="163"/>
      <c r="BI754" s="163"/>
      <c r="BJ754" s="163"/>
      <c r="BK754" s="163"/>
      <c r="BM754" s="163"/>
      <c r="BN754" s="163"/>
      <c r="BO754" s="163"/>
      <c r="BP754" s="163"/>
      <c r="BQ754" s="163"/>
    </row>
    <row r="755" spans="45:69" x14ac:dyDescent="0.3">
      <c r="AV755" s="102"/>
      <c r="AW755" s="110"/>
      <c r="AX755" s="163"/>
      <c r="AY755" s="163"/>
      <c r="AZ755" s="163"/>
      <c r="BA755" s="141"/>
      <c r="BB755" s="163"/>
      <c r="BC755" s="198"/>
      <c r="BD755" s="198"/>
      <c r="BE755" s="141"/>
      <c r="BG755" s="163"/>
      <c r="BH755" s="163"/>
      <c r="BI755" s="163"/>
      <c r="BJ755" s="163"/>
      <c r="BK755" s="163"/>
      <c r="BM755" s="163"/>
      <c r="BN755" s="163"/>
      <c r="BO755" s="163"/>
      <c r="BP755" s="163"/>
      <c r="BQ755" s="163"/>
    </row>
    <row r="756" spans="45:69" x14ac:dyDescent="0.3">
      <c r="AV756" s="102"/>
      <c r="AW756" s="110"/>
      <c r="AX756" s="163"/>
      <c r="AY756" s="163"/>
      <c r="AZ756" s="163"/>
      <c r="BA756" s="141"/>
      <c r="BB756" s="163"/>
      <c r="BC756" s="198"/>
      <c r="BD756" s="198"/>
      <c r="BE756" s="141"/>
      <c r="BG756" s="163"/>
      <c r="BH756" s="163"/>
      <c r="BI756" s="163"/>
      <c r="BJ756" s="163"/>
      <c r="BK756" s="163"/>
      <c r="BM756" s="163"/>
      <c r="BN756" s="163"/>
      <c r="BO756" s="163"/>
      <c r="BP756" s="163"/>
      <c r="BQ756" s="163"/>
    </row>
    <row r="757" spans="45:69" x14ac:dyDescent="0.3">
      <c r="AV757" s="102"/>
      <c r="AW757" s="110"/>
      <c r="AX757" s="163"/>
      <c r="AY757" s="163"/>
      <c r="AZ757" s="163"/>
      <c r="BA757" s="141"/>
      <c r="BB757" s="163"/>
      <c r="BC757" s="198"/>
      <c r="BD757" s="198"/>
      <c r="BE757" s="141"/>
      <c r="BG757" s="163"/>
      <c r="BH757" s="163"/>
      <c r="BI757" s="163"/>
      <c r="BJ757" s="163"/>
      <c r="BK757" s="163"/>
      <c r="BM757" s="163"/>
      <c r="BN757" s="163"/>
      <c r="BO757" s="163"/>
      <c r="BP757" s="163"/>
      <c r="BQ757" s="163"/>
    </row>
    <row r="758" spans="45:69" x14ac:dyDescent="0.3">
      <c r="AV758" s="102"/>
      <c r="AW758" s="110"/>
      <c r="AX758" s="163"/>
      <c r="AY758" s="163"/>
      <c r="AZ758" s="163"/>
      <c r="BA758" s="141"/>
      <c r="BB758" s="163"/>
      <c r="BC758" s="198"/>
      <c r="BD758" s="198"/>
      <c r="BE758" s="141"/>
      <c r="BG758" s="163"/>
      <c r="BH758" s="163"/>
      <c r="BI758" s="163"/>
      <c r="BJ758" s="163"/>
      <c r="BK758" s="163"/>
      <c r="BM758" s="163"/>
      <c r="BN758" s="163"/>
      <c r="BO758" s="163"/>
      <c r="BP758" s="163"/>
      <c r="BQ758" s="163"/>
    </row>
    <row r="759" spans="45:69" x14ac:dyDescent="0.3">
      <c r="AV759" s="102"/>
      <c r="AW759" s="110"/>
      <c r="AX759" s="163"/>
      <c r="AY759" s="163"/>
      <c r="AZ759" s="163"/>
      <c r="BA759" s="141"/>
      <c r="BB759" s="163"/>
      <c r="BC759" s="198"/>
      <c r="BD759" s="198"/>
      <c r="BE759" s="141"/>
      <c r="BG759" s="163"/>
      <c r="BH759" s="163"/>
      <c r="BI759" s="163"/>
      <c r="BJ759" s="163"/>
      <c r="BK759" s="163"/>
      <c r="BM759" s="163"/>
      <c r="BN759" s="163"/>
      <c r="BO759" s="163"/>
      <c r="BP759" s="163"/>
      <c r="BQ759" s="163"/>
    </row>
    <row r="760" spans="45:69" x14ac:dyDescent="0.3">
      <c r="AV760" s="102"/>
      <c r="AW760" s="110"/>
      <c r="AX760" s="163"/>
      <c r="AY760" s="163"/>
      <c r="AZ760" s="163"/>
      <c r="BA760" s="141"/>
      <c r="BB760" s="163"/>
      <c r="BC760" s="198"/>
      <c r="BD760" s="198"/>
      <c r="BE760" s="141"/>
      <c r="BG760" s="163"/>
      <c r="BH760" s="163"/>
      <c r="BI760" s="163"/>
      <c r="BJ760" s="163"/>
      <c r="BK760" s="163"/>
      <c r="BM760" s="163"/>
      <c r="BN760" s="163"/>
      <c r="BO760" s="163"/>
      <c r="BP760" s="163"/>
      <c r="BQ760" s="163"/>
    </row>
    <row r="761" spans="45:69" x14ac:dyDescent="0.3">
      <c r="AV761" s="102"/>
      <c r="AW761" s="110"/>
      <c r="AX761" s="163"/>
      <c r="AY761" s="163"/>
      <c r="AZ761" s="163"/>
      <c r="BA761" s="141"/>
      <c r="BB761" s="163"/>
      <c r="BC761" s="198"/>
      <c r="BD761" s="198"/>
      <c r="BE761" s="141"/>
      <c r="BG761" s="163"/>
      <c r="BH761" s="163"/>
      <c r="BI761" s="163"/>
      <c r="BJ761" s="163"/>
      <c r="BK761" s="163"/>
      <c r="BM761" s="163"/>
      <c r="BN761" s="163"/>
      <c r="BO761" s="163"/>
      <c r="BP761" s="163"/>
      <c r="BQ761" s="163"/>
    </row>
    <row r="762" spans="45:69" x14ac:dyDescent="0.3">
      <c r="AY762" s="198"/>
      <c r="AZ762" s="163"/>
      <c r="BA762" s="141"/>
      <c r="BB762" s="163"/>
      <c r="BC762" s="198"/>
      <c r="BD762" s="198"/>
      <c r="BE762" s="141"/>
      <c r="BK762" s="163"/>
      <c r="BQ762" s="163"/>
    </row>
    <row r="763" spans="45:69" x14ac:dyDescent="0.3">
      <c r="AU763" s="99"/>
      <c r="AZ763" s="163"/>
      <c r="BB763" s="163"/>
      <c r="BG763" s="163"/>
      <c r="BH763" s="163"/>
      <c r="BJ763" s="163"/>
      <c r="BK763" s="163"/>
    </row>
    <row r="764" spans="45:69" x14ac:dyDescent="0.3">
      <c r="AZ764" s="163"/>
      <c r="BB764" s="163"/>
    </row>
    <row r="765" spans="45:69" x14ac:dyDescent="0.3">
      <c r="AS765" s="99"/>
      <c r="AZ765" s="163"/>
      <c r="BB765" s="163"/>
      <c r="BI765" s="163"/>
    </row>
    <row r="766" spans="45:69" x14ac:dyDescent="0.3">
      <c r="AZ766" s="163"/>
      <c r="BB766" s="163"/>
    </row>
    <row r="767" spans="45:69" x14ac:dyDescent="0.3">
      <c r="AY767" s="163"/>
      <c r="BB767" s="163"/>
    </row>
    <row r="768" spans="45:69" x14ac:dyDescent="0.3">
      <c r="AY768" s="99"/>
      <c r="AZ768" s="163"/>
      <c r="BB768" s="163"/>
    </row>
    <row r="769" spans="45:75" x14ac:dyDescent="0.3">
      <c r="AY769" s="99"/>
      <c r="AZ769" s="163"/>
      <c r="BB769" s="163"/>
    </row>
    <row r="770" spans="45:75" x14ac:dyDescent="0.3">
      <c r="AZ770" s="163"/>
      <c r="BB770" s="163"/>
      <c r="BD770" s="99"/>
    </row>
    <row r="771" spans="45:75" x14ac:dyDescent="0.3">
      <c r="AZ771" s="163"/>
      <c r="BB771" s="163"/>
      <c r="BD771" s="99"/>
    </row>
    <row r="772" spans="45:75" x14ac:dyDescent="0.3">
      <c r="AS772" s="99"/>
      <c r="AZ772" s="163"/>
      <c r="BB772" s="163"/>
      <c r="BD772" s="99"/>
    </row>
    <row r="773" spans="45:75" x14ac:dyDescent="0.3">
      <c r="AZ773" s="163"/>
      <c r="BB773" s="163"/>
    </row>
    <row r="774" spans="45:75" x14ac:dyDescent="0.3">
      <c r="AS774" s="101"/>
      <c r="AT774" s="101"/>
      <c r="AU774" s="101"/>
      <c r="AV774" s="101"/>
      <c r="AW774" s="101"/>
      <c r="AX774" s="101"/>
      <c r="AY774" s="101"/>
      <c r="AZ774" s="212"/>
      <c r="BA774" s="101"/>
      <c r="BB774" s="212"/>
      <c r="BC774" s="101"/>
      <c r="BD774" s="101"/>
      <c r="BE774" s="101"/>
    </row>
    <row r="775" spans="45:75" x14ac:dyDescent="0.3">
      <c r="AX775" s="99"/>
      <c r="AZ775" s="163"/>
      <c r="BB775" s="163"/>
    </row>
    <row r="776" spans="45:75" x14ac:dyDescent="0.3">
      <c r="AX776" s="101"/>
      <c r="AY776" s="101"/>
      <c r="AZ776" s="212"/>
      <c r="BA776" s="101"/>
      <c r="BB776" s="163"/>
      <c r="BC776" s="102"/>
      <c r="BD776" s="102"/>
    </row>
    <row r="777" spans="45:75" x14ac:dyDescent="0.3">
      <c r="AV777" s="102"/>
      <c r="AW777" s="102"/>
      <c r="AZ777" s="213"/>
      <c r="BA777" s="102"/>
      <c r="BB777" s="163"/>
      <c r="BC777" s="102"/>
      <c r="BD777" s="102"/>
      <c r="BE777" s="102"/>
      <c r="BG777" s="101"/>
      <c r="BH777" s="101"/>
      <c r="BI777" s="99"/>
      <c r="BM777" s="101"/>
      <c r="BN777" s="101"/>
      <c r="BP777" s="101"/>
      <c r="BQ777" s="101"/>
      <c r="BR777" s="99"/>
      <c r="BV777" s="101"/>
      <c r="BW777" s="101"/>
    </row>
    <row r="778" spans="45:75" x14ac:dyDescent="0.3">
      <c r="AV778" s="102"/>
      <c r="AW778" s="102"/>
      <c r="AX778" s="102"/>
      <c r="AY778" s="102"/>
      <c r="AZ778" s="213"/>
      <c r="BA778" s="102"/>
      <c r="BB778" s="213"/>
      <c r="BC778" s="102"/>
      <c r="BD778" s="102"/>
      <c r="BE778" s="102"/>
      <c r="BH778" s="102"/>
      <c r="BI778" s="102"/>
      <c r="BJ778" s="102"/>
      <c r="BK778" s="102"/>
      <c r="BL778" s="102"/>
      <c r="BM778" s="102"/>
      <c r="BQ778" s="102"/>
      <c r="BR778" s="102"/>
      <c r="BS778" s="102"/>
      <c r="BT778" s="102"/>
      <c r="BU778" s="102"/>
      <c r="BV778" s="102"/>
    </row>
    <row r="779" spans="45:75" x14ac:dyDescent="0.3">
      <c r="AS779" s="102"/>
      <c r="AU779" s="99"/>
      <c r="AV779" s="102"/>
      <c r="AW779" s="102"/>
      <c r="AX779" s="102"/>
      <c r="AY779" s="102"/>
      <c r="AZ779" s="213"/>
      <c r="BA779" s="102"/>
      <c r="BB779" s="213"/>
      <c r="BC779" s="102"/>
      <c r="BD779" s="102"/>
      <c r="BE779" s="102"/>
      <c r="BG779" s="102"/>
      <c r="BH779" s="102"/>
      <c r="BI779" s="102"/>
      <c r="BJ779" s="102"/>
      <c r="BK779" s="102"/>
      <c r="BL779" s="102"/>
      <c r="BM779" s="102"/>
      <c r="BN779" s="102"/>
      <c r="BP779" s="102"/>
      <c r="BQ779" s="102"/>
      <c r="BR779" s="102"/>
      <c r="BS779" s="102"/>
      <c r="BT779" s="102"/>
      <c r="BU779" s="102"/>
      <c r="BV779" s="102"/>
      <c r="BW779" s="102"/>
    </row>
    <row r="780" spans="45:75" x14ac:dyDescent="0.3">
      <c r="AS780" s="102"/>
      <c r="AU780" s="99"/>
      <c r="AV780" s="102"/>
      <c r="AW780" s="102"/>
      <c r="AX780" s="102"/>
      <c r="AY780" s="102"/>
      <c r="AZ780" s="213"/>
      <c r="BA780" s="102"/>
      <c r="BB780" s="213"/>
      <c r="BC780" s="102"/>
      <c r="BD780" s="102"/>
      <c r="BE780" s="102"/>
      <c r="BG780" s="102"/>
      <c r="BH780" s="102"/>
      <c r="BI780" s="102"/>
      <c r="BJ780" s="102"/>
      <c r="BK780" s="102"/>
      <c r="BL780" s="102"/>
      <c r="BM780" s="102"/>
      <c r="BN780" s="102"/>
      <c r="BP780" s="102"/>
      <c r="BQ780" s="102"/>
      <c r="BR780" s="102"/>
      <c r="BS780" s="102"/>
      <c r="BT780" s="102"/>
      <c r="BU780" s="102"/>
      <c r="BV780" s="102"/>
      <c r="BW780" s="102"/>
    </row>
    <row r="781" spans="45:75" x14ac:dyDescent="0.3">
      <c r="AS781" s="101"/>
      <c r="AT781" s="101"/>
      <c r="AU781" s="101"/>
      <c r="AV781" s="101"/>
      <c r="AW781" s="101"/>
      <c r="AX781" s="101"/>
      <c r="AY781" s="101"/>
      <c r="AZ781" s="212"/>
      <c r="BA781" s="101"/>
      <c r="BB781" s="212"/>
      <c r="BC781" s="101"/>
      <c r="BD781" s="101"/>
      <c r="BE781" s="101"/>
      <c r="BG781" s="101"/>
      <c r="BH781" s="101"/>
      <c r="BI781" s="101"/>
      <c r="BJ781" s="101"/>
      <c r="BK781" s="101"/>
      <c r="BL781" s="101"/>
      <c r="BM781" s="101"/>
      <c r="BN781" s="101"/>
      <c r="BP781" s="101"/>
      <c r="BQ781" s="101"/>
      <c r="BR781" s="101"/>
      <c r="BS781" s="101"/>
      <c r="BT781" s="101"/>
      <c r="BU781" s="101"/>
      <c r="BV781" s="101"/>
      <c r="BW781" s="101"/>
    </row>
    <row r="782" spans="45:75" x14ac:dyDescent="0.3">
      <c r="AV782" s="102"/>
      <c r="AW782" s="102"/>
      <c r="AX782" s="102"/>
      <c r="AY782" s="102"/>
      <c r="AZ782" s="213"/>
      <c r="BA782" s="102"/>
      <c r="BB782" s="213"/>
      <c r="BC782" s="102"/>
      <c r="BD782" s="102"/>
      <c r="BE782" s="102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</row>
    <row r="783" spans="45:75" x14ac:dyDescent="0.3">
      <c r="AU783" s="99"/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</row>
    <row r="784" spans="45:75" x14ac:dyDescent="0.3"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</row>
    <row r="785" spans="49:75" x14ac:dyDescent="0.3"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</row>
    <row r="786" spans="49:75" x14ac:dyDescent="0.3"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</row>
    <row r="787" spans="49:75" x14ac:dyDescent="0.3">
      <c r="AW787" s="110"/>
      <c r="AX787" s="163"/>
      <c r="AY787" s="163"/>
      <c r="AZ787" s="163"/>
      <c r="BA787" s="207"/>
      <c r="BB787" s="163"/>
      <c r="BC787" s="163"/>
      <c r="BD787" s="163"/>
      <c r="BE787" s="207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</row>
    <row r="788" spans="49:75" x14ac:dyDescent="0.3">
      <c r="AW788" s="110"/>
      <c r="AX788" s="163"/>
      <c r="AY788" s="163"/>
      <c r="AZ788" s="163"/>
      <c r="BA788" s="207"/>
      <c r="BB788" s="163"/>
      <c r="BC788" s="163"/>
      <c r="BD788" s="163"/>
      <c r="BE788" s="207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</row>
    <row r="789" spans="49:75" x14ac:dyDescent="0.3">
      <c r="AW789" s="110"/>
      <c r="AX789" s="163"/>
      <c r="AY789" s="163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</row>
    <row r="790" spans="49:75" x14ac:dyDescent="0.3">
      <c r="AW790" s="110"/>
      <c r="AX790" s="163"/>
      <c r="AY790" s="163"/>
      <c r="AZ790" s="163"/>
      <c r="BA790" s="207"/>
      <c r="BB790" s="163"/>
      <c r="BC790" s="163"/>
      <c r="BD790" s="163"/>
      <c r="BE790" s="207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</row>
    <row r="791" spans="49:75" x14ac:dyDescent="0.3">
      <c r="AW791" s="110"/>
      <c r="AX791" s="163"/>
      <c r="AY791" s="163"/>
      <c r="AZ791" s="163"/>
      <c r="BA791" s="207"/>
      <c r="BB791" s="163"/>
      <c r="BC791" s="163"/>
      <c r="BD791" s="163"/>
      <c r="BE791" s="207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</row>
    <row r="792" spans="49:75" x14ac:dyDescent="0.3">
      <c r="AW792" s="110"/>
      <c r="AX792" s="163"/>
      <c r="AY792" s="163"/>
      <c r="AZ792" s="163"/>
      <c r="BA792" s="207"/>
      <c r="BB792" s="163"/>
      <c r="BC792" s="163"/>
      <c r="BD792" s="163"/>
      <c r="BE792" s="207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</row>
    <row r="793" spans="49:75" x14ac:dyDescent="0.3">
      <c r="AW793" s="110"/>
      <c r="AX793" s="163"/>
      <c r="AY793" s="163"/>
      <c r="AZ793" s="163"/>
      <c r="BA793" s="207"/>
      <c r="BB793" s="163"/>
      <c r="BC793" s="163"/>
      <c r="BD793" s="163"/>
      <c r="BE793" s="207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</row>
    <row r="794" spans="49:75" x14ac:dyDescent="0.3">
      <c r="AW794" s="110"/>
      <c r="AX794" s="163"/>
      <c r="AY794" s="163"/>
      <c r="AZ794" s="163"/>
      <c r="BA794" s="207"/>
      <c r="BB794" s="163"/>
      <c r="BC794" s="163"/>
      <c r="BD794" s="163"/>
      <c r="BE794" s="207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</row>
    <row r="795" spans="49:75" x14ac:dyDescent="0.3">
      <c r="AW795" s="110"/>
      <c r="AX795" s="163"/>
      <c r="AY795" s="163"/>
      <c r="AZ795" s="163"/>
      <c r="BA795" s="207"/>
      <c r="BB795" s="163"/>
      <c r="BC795" s="163"/>
      <c r="BD795" s="163"/>
      <c r="BE795" s="207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</row>
    <row r="796" spans="49:75" x14ac:dyDescent="0.3">
      <c r="AW796" s="110"/>
      <c r="AX796" s="163"/>
      <c r="AY796" s="163"/>
      <c r="AZ796" s="163"/>
      <c r="BA796" s="207"/>
      <c r="BB796" s="163"/>
      <c r="BC796" s="163"/>
      <c r="BD796" s="163"/>
      <c r="BE796" s="207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</row>
    <row r="797" spans="49:75" x14ac:dyDescent="0.3">
      <c r="AW797" s="110"/>
      <c r="AX797" s="163"/>
      <c r="AY797" s="163"/>
      <c r="AZ797" s="163"/>
      <c r="BA797" s="207"/>
      <c r="BB797" s="163"/>
      <c r="BC797" s="163"/>
      <c r="BD797" s="163"/>
      <c r="BE797" s="207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</row>
    <row r="798" spans="49:75" x14ac:dyDescent="0.3">
      <c r="AW798" s="110"/>
      <c r="AX798" s="163"/>
      <c r="AY798" s="163"/>
      <c r="AZ798" s="163"/>
      <c r="BA798" s="207"/>
      <c r="BB798" s="163"/>
      <c r="BC798" s="163"/>
      <c r="BD798" s="163"/>
      <c r="BE798" s="207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</row>
    <row r="799" spans="49:75" x14ac:dyDescent="0.3">
      <c r="AW799" s="110"/>
      <c r="AX799" s="163"/>
      <c r="AY799" s="163"/>
      <c r="AZ799" s="163"/>
      <c r="BA799" s="207"/>
      <c r="BB799" s="163"/>
      <c r="BC799" s="163"/>
      <c r="BD799" s="163"/>
      <c r="BE799" s="207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</row>
    <row r="800" spans="49:75" x14ac:dyDescent="0.3">
      <c r="AW800" s="110"/>
      <c r="AX800" s="163"/>
      <c r="AY800" s="163"/>
      <c r="AZ800" s="163"/>
      <c r="BA800" s="207"/>
      <c r="BB800" s="163"/>
      <c r="BC800" s="163"/>
      <c r="BD800" s="163"/>
      <c r="BE800" s="207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</row>
    <row r="801" spans="45:75" x14ac:dyDescent="0.3">
      <c r="AW801" s="110"/>
      <c r="AX801" s="163"/>
      <c r="AY801" s="163"/>
      <c r="AZ801" s="163"/>
      <c r="BA801" s="207"/>
      <c r="BB801" s="163"/>
      <c r="BC801" s="163"/>
      <c r="BD801" s="163"/>
      <c r="BE801" s="207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</row>
    <row r="802" spans="45:75" x14ac:dyDescent="0.3">
      <c r="AW802" s="110"/>
      <c r="AX802" s="163"/>
      <c r="AY802" s="163"/>
      <c r="AZ802" s="163"/>
      <c r="BA802" s="207"/>
      <c r="BB802" s="163"/>
      <c r="BC802" s="163"/>
      <c r="BD802" s="163"/>
      <c r="BE802" s="207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</row>
    <row r="803" spans="45:75" x14ac:dyDescent="0.3">
      <c r="AW803" s="110"/>
      <c r="AX803" s="163"/>
      <c r="AY803" s="163"/>
      <c r="AZ803" s="163"/>
      <c r="BA803" s="207"/>
      <c r="BB803" s="163"/>
      <c r="BC803" s="163"/>
      <c r="BD803" s="163"/>
      <c r="BE803" s="207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</row>
    <row r="804" spans="45:75" x14ac:dyDescent="0.3">
      <c r="AW804" s="110"/>
      <c r="AX804" s="163"/>
      <c r="AY804" s="163"/>
      <c r="AZ804" s="163"/>
      <c r="BA804" s="207"/>
      <c r="BB804" s="163"/>
      <c r="BC804" s="163"/>
      <c r="BD804" s="163"/>
      <c r="BE804" s="207"/>
      <c r="BG804" s="101"/>
      <c r="BH804" s="101"/>
      <c r="BI804" s="99"/>
      <c r="BM804" s="101"/>
      <c r="BN804" s="101"/>
      <c r="BO804" s="163"/>
      <c r="BP804" s="101"/>
      <c r="BQ804" s="101"/>
      <c r="BR804" s="99"/>
      <c r="BV804" s="101"/>
      <c r="BW804" s="101"/>
    </row>
    <row r="805" spans="45:75" x14ac:dyDescent="0.3">
      <c r="AU805" s="99"/>
      <c r="AV805" s="102"/>
      <c r="AW805" s="110"/>
      <c r="AX805" s="163"/>
      <c r="AY805" s="163"/>
      <c r="AZ805" s="163"/>
      <c r="BA805" s="207"/>
      <c r="BB805" s="163"/>
      <c r="BC805" s="163"/>
      <c r="BD805" s="163"/>
      <c r="BE805" s="207"/>
      <c r="BG805" s="213"/>
      <c r="BH805" s="163"/>
      <c r="BI805" s="163"/>
      <c r="BJ805" s="163"/>
      <c r="BK805" s="213"/>
      <c r="BL805" s="214"/>
      <c r="BM805" s="163"/>
      <c r="BN805" s="213"/>
      <c r="BO805" s="163"/>
      <c r="BP805" s="213"/>
      <c r="BQ805" s="163"/>
      <c r="BR805" s="163"/>
      <c r="BS805" s="163"/>
      <c r="BT805" s="213"/>
      <c r="BU805" s="214"/>
      <c r="BV805" s="163"/>
      <c r="BW805" s="213"/>
    </row>
    <row r="806" spans="45:75" x14ac:dyDescent="0.3">
      <c r="AV806" s="102"/>
      <c r="AW806" s="110"/>
      <c r="AX806" s="163"/>
      <c r="AY806" s="163"/>
      <c r="AZ806" s="163"/>
      <c r="BA806" s="207"/>
      <c r="BB806" s="163"/>
      <c r="BC806" s="163"/>
      <c r="BD806" s="163"/>
      <c r="BE806" s="207"/>
      <c r="BG806" s="163"/>
      <c r="BH806" s="163"/>
      <c r="BI806" s="163"/>
      <c r="BJ806" s="163"/>
      <c r="BK806" s="163"/>
      <c r="BL806" s="214"/>
      <c r="BM806" s="163"/>
      <c r="BN806" s="163"/>
      <c r="BO806" s="163"/>
      <c r="BP806" s="163"/>
      <c r="BQ806" s="163"/>
      <c r="BR806" s="163"/>
      <c r="BS806" s="163"/>
      <c r="BT806" s="163"/>
      <c r="BU806" s="214"/>
      <c r="BV806" s="163"/>
      <c r="BW806" s="163"/>
    </row>
    <row r="807" spans="45:75" x14ac:dyDescent="0.3">
      <c r="AV807" s="102"/>
      <c r="AW807" s="110"/>
      <c r="AX807" s="163"/>
      <c r="AY807" s="163"/>
      <c r="AZ807" s="163"/>
      <c r="BA807" s="207"/>
      <c r="BB807" s="163"/>
      <c r="BC807" s="163"/>
      <c r="BD807" s="163"/>
      <c r="BE807" s="207"/>
      <c r="BG807" s="163"/>
      <c r="BH807" s="163"/>
      <c r="BI807" s="163"/>
      <c r="BJ807" s="163"/>
      <c r="BK807" s="163"/>
      <c r="BL807" s="214"/>
      <c r="BM807" s="163"/>
      <c r="BN807" s="163"/>
      <c r="BO807" s="163"/>
      <c r="BP807" s="163"/>
      <c r="BQ807" s="163"/>
      <c r="BR807" s="163"/>
      <c r="BS807" s="163"/>
      <c r="BT807" s="163"/>
      <c r="BU807" s="214"/>
      <c r="BV807" s="163"/>
      <c r="BW807" s="163"/>
    </row>
    <row r="808" spans="45:75" x14ac:dyDescent="0.3">
      <c r="AV808" s="102"/>
      <c r="AW808" s="110"/>
      <c r="AX808" s="163"/>
      <c r="AY808" s="163"/>
      <c r="AZ808" s="163"/>
      <c r="BA808" s="207"/>
      <c r="BB808" s="163"/>
      <c r="BC808" s="163"/>
      <c r="BD808" s="163"/>
      <c r="BE808" s="207"/>
      <c r="BG808" s="163"/>
      <c r="BH808" s="163"/>
      <c r="BI808" s="163"/>
      <c r="BJ808" s="163"/>
      <c r="BK808" s="163"/>
      <c r="BL808" s="214"/>
      <c r="BM808" s="163"/>
      <c r="BN808" s="163"/>
      <c r="BO808" s="163"/>
      <c r="BP808" s="163"/>
      <c r="BQ808" s="163"/>
      <c r="BR808" s="163"/>
      <c r="BS808" s="163"/>
      <c r="BT808" s="163"/>
      <c r="BU808" s="214"/>
      <c r="BV808" s="163"/>
      <c r="BW808" s="163"/>
    </row>
    <row r="809" spans="45:75" x14ac:dyDescent="0.3">
      <c r="AX809" s="163"/>
      <c r="AY809" s="163"/>
      <c r="AZ809" s="163"/>
      <c r="BA809" s="207"/>
      <c r="BB809" s="163"/>
      <c r="BC809" s="163"/>
      <c r="BD809" s="163"/>
      <c r="BE809" s="207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</row>
    <row r="810" spans="45:75" x14ac:dyDescent="0.3">
      <c r="AU810" s="99"/>
    </row>
    <row r="811" spans="45:75" x14ac:dyDescent="0.3">
      <c r="AU811" s="99"/>
      <c r="AZ811" s="163"/>
      <c r="BA811" s="207"/>
      <c r="BB811" s="163"/>
      <c r="BC811" s="163"/>
      <c r="BD811" s="163"/>
      <c r="BE811" s="207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</row>
    <row r="812" spans="45:75" x14ac:dyDescent="0.3">
      <c r="AS812" s="99"/>
      <c r="AZ812" s="163"/>
      <c r="BB812" s="163"/>
    </row>
    <row r="813" spans="45:75" x14ac:dyDescent="0.3">
      <c r="AZ813" s="163"/>
      <c r="BB813" s="163"/>
      <c r="BO813" s="163"/>
      <c r="BP813" s="163"/>
      <c r="BQ813" s="163"/>
      <c r="BR813" s="163"/>
      <c r="BS813" s="163"/>
      <c r="BT813" s="163"/>
      <c r="BU813" s="163"/>
      <c r="BV813" s="163"/>
    </row>
    <row r="814" spans="45:75" x14ac:dyDescent="0.3">
      <c r="AY814" s="163"/>
      <c r="AZ814" s="163"/>
      <c r="BB814" s="163"/>
      <c r="BO814" s="163"/>
      <c r="BP814" s="163"/>
      <c r="BQ814" s="163"/>
      <c r="BR814" s="163"/>
      <c r="BS814" s="163"/>
      <c r="BT814" s="163"/>
      <c r="BU814" s="163"/>
      <c r="BV814" s="163"/>
    </row>
    <row r="815" spans="45:75" x14ac:dyDescent="0.3">
      <c r="AY815" s="99"/>
      <c r="AZ815" s="163"/>
      <c r="BB815" s="163"/>
      <c r="BO815" s="163"/>
      <c r="BP815" s="163"/>
      <c r="BQ815" s="163"/>
      <c r="BR815" s="163"/>
      <c r="BS815" s="163"/>
      <c r="BT815" s="163"/>
      <c r="BU815" s="163"/>
      <c r="BV815" s="163"/>
    </row>
    <row r="816" spans="45:75" x14ac:dyDescent="0.3">
      <c r="AY816" s="99"/>
      <c r="AZ816" s="163"/>
      <c r="BB816" s="163"/>
      <c r="BO816" s="163"/>
      <c r="BP816" s="163"/>
      <c r="BQ816" s="163"/>
      <c r="BR816" s="163"/>
      <c r="BS816" s="163"/>
      <c r="BT816" s="163"/>
      <c r="BU816" s="163"/>
      <c r="BV816" s="163"/>
    </row>
    <row r="817" spans="45:74" x14ac:dyDescent="0.3">
      <c r="AZ817" s="163"/>
      <c r="BB817" s="163"/>
      <c r="BD817" s="99"/>
      <c r="BO817" s="163"/>
      <c r="BP817" s="163"/>
      <c r="BQ817" s="163"/>
      <c r="BR817" s="163"/>
      <c r="BS817" s="163"/>
      <c r="BT817" s="163"/>
      <c r="BU817" s="163"/>
      <c r="BV817" s="163"/>
    </row>
    <row r="818" spans="45:74" x14ac:dyDescent="0.3">
      <c r="AZ818" s="163"/>
      <c r="BB818" s="163"/>
      <c r="BD818" s="99"/>
      <c r="BO818" s="163"/>
      <c r="BP818" s="163"/>
      <c r="BQ818" s="163"/>
      <c r="BR818" s="163"/>
      <c r="BS818" s="163"/>
      <c r="BT818" s="163"/>
      <c r="BU818" s="163"/>
      <c r="BV818" s="163"/>
    </row>
    <row r="819" spans="45:74" x14ac:dyDescent="0.3">
      <c r="AS819" s="99"/>
      <c r="AZ819" s="163"/>
      <c r="BB819" s="163"/>
      <c r="BD819" s="99"/>
      <c r="BO819" s="163"/>
      <c r="BP819" s="163"/>
      <c r="BQ819" s="163"/>
      <c r="BR819" s="163"/>
      <c r="BS819" s="163"/>
      <c r="BT819" s="163"/>
      <c r="BU819" s="163"/>
      <c r="BV819" s="163"/>
    </row>
    <row r="820" spans="45:74" x14ac:dyDescent="0.3">
      <c r="AZ820" s="163"/>
      <c r="BB820" s="163"/>
      <c r="BO820" s="163"/>
      <c r="BP820" s="163"/>
      <c r="BQ820" s="163"/>
      <c r="BR820" s="163"/>
      <c r="BS820" s="163"/>
      <c r="BT820" s="163"/>
      <c r="BU820" s="163"/>
      <c r="BV820" s="163"/>
    </row>
    <row r="821" spans="45:74" x14ac:dyDescent="0.3">
      <c r="AS821" s="101"/>
      <c r="AT821" s="101"/>
      <c r="AU821" s="101"/>
      <c r="AV821" s="101"/>
      <c r="AW821" s="101"/>
      <c r="AX821" s="101"/>
      <c r="AY821" s="101"/>
      <c r="AZ821" s="212"/>
      <c r="BA821" s="101"/>
      <c r="BB821" s="212"/>
      <c r="BC821" s="101"/>
      <c r="BD821" s="101"/>
      <c r="BE821" s="101"/>
      <c r="BO821" s="163"/>
      <c r="BP821" s="163"/>
      <c r="BQ821" s="163"/>
      <c r="BR821" s="163"/>
      <c r="BS821" s="163"/>
      <c r="BT821" s="163"/>
      <c r="BU821" s="163"/>
      <c r="BV821" s="163"/>
    </row>
    <row r="822" spans="45:74" x14ac:dyDescent="0.3">
      <c r="AX822" s="99"/>
      <c r="AZ822" s="163"/>
      <c r="BB822" s="163"/>
      <c r="BO822" s="163"/>
      <c r="BP822" s="163"/>
      <c r="BQ822" s="163"/>
      <c r="BR822" s="163"/>
      <c r="BS822" s="163"/>
      <c r="BT822" s="163"/>
      <c r="BU822" s="163"/>
      <c r="BV822" s="163"/>
    </row>
    <row r="823" spans="45:74" x14ac:dyDescent="0.3">
      <c r="AX823" s="101"/>
      <c r="AY823" s="101"/>
      <c r="AZ823" s="212"/>
      <c r="BA823" s="101"/>
      <c r="BB823" s="163"/>
      <c r="BC823" s="102"/>
      <c r="BD823" s="102"/>
      <c r="BO823" s="163"/>
      <c r="BP823" s="163"/>
      <c r="BQ823" s="163"/>
      <c r="BR823" s="163"/>
      <c r="BS823" s="163"/>
      <c r="BT823" s="163"/>
      <c r="BU823" s="163"/>
      <c r="BV823" s="163"/>
    </row>
    <row r="824" spans="45:74" x14ac:dyDescent="0.3">
      <c r="AV824" s="102"/>
      <c r="AW824" s="102"/>
      <c r="AZ824" s="213"/>
      <c r="BA824" s="102"/>
      <c r="BB824" s="163"/>
      <c r="BC824" s="102"/>
      <c r="BD824" s="102"/>
      <c r="BE824" s="102"/>
      <c r="BG824" s="101"/>
      <c r="BH824" s="99"/>
      <c r="BK824" s="101"/>
      <c r="BM824" s="101"/>
      <c r="BN824" s="99"/>
      <c r="BQ824" s="101"/>
    </row>
    <row r="825" spans="45:74" x14ac:dyDescent="0.3">
      <c r="AV825" s="102"/>
      <c r="AW825" s="102"/>
      <c r="AX825" s="102"/>
      <c r="AY825" s="102"/>
      <c r="AZ825" s="213"/>
      <c r="BA825" s="102"/>
      <c r="BB825" s="213"/>
      <c r="BC825" s="102"/>
      <c r="BD825" s="102"/>
      <c r="BE825" s="102"/>
      <c r="BH825" s="102"/>
      <c r="BI825" s="102"/>
      <c r="BN825" s="102"/>
      <c r="BO825" s="102"/>
    </row>
    <row r="826" spans="45:74" x14ac:dyDescent="0.3">
      <c r="AS826" s="102"/>
      <c r="AU826" s="99"/>
      <c r="AV826" s="102"/>
      <c r="AW826" s="102"/>
      <c r="AX826" s="102"/>
      <c r="AY826" s="102"/>
      <c r="AZ826" s="213"/>
      <c r="BA826" s="102"/>
      <c r="BB826" s="213"/>
      <c r="BC826" s="102"/>
      <c r="BD826" s="102"/>
      <c r="BE826" s="102"/>
      <c r="BG826" s="102"/>
      <c r="BH826" s="102"/>
      <c r="BI826" s="102"/>
      <c r="BJ826" s="102"/>
      <c r="BK826" s="102"/>
      <c r="BM826" s="102"/>
      <c r="BN826" s="102"/>
      <c r="BO826" s="102"/>
      <c r="BP826" s="102"/>
      <c r="BQ826" s="102"/>
    </row>
    <row r="827" spans="45:74" x14ac:dyDescent="0.3">
      <c r="AS827" s="102"/>
      <c r="AU827" s="99"/>
      <c r="AV827" s="102"/>
      <c r="AW827" s="102"/>
      <c r="AX827" s="102"/>
      <c r="AY827" s="102"/>
      <c r="AZ827" s="213"/>
      <c r="BA827" s="102"/>
      <c r="BB827" s="213"/>
      <c r="BC827" s="102"/>
      <c r="BD827" s="102"/>
      <c r="BE827" s="102"/>
      <c r="BG827" s="102"/>
      <c r="BH827" s="102"/>
      <c r="BI827" s="102"/>
      <c r="BJ827" s="102"/>
      <c r="BK827" s="102"/>
      <c r="BM827" s="102"/>
      <c r="BN827" s="102"/>
      <c r="BO827" s="102"/>
      <c r="BP827" s="102"/>
      <c r="BQ827" s="102"/>
    </row>
    <row r="828" spans="45:74" x14ac:dyDescent="0.3">
      <c r="AS828" s="101"/>
      <c r="AT828" s="101"/>
      <c r="AU828" s="101"/>
      <c r="AV828" s="101"/>
      <c r="AW828" s="101"/>
      <c r="AX828" s="101"/>
      <c r="AY828" s="101"/>
      <c r="AZ828" s="212"/>
      <c r="BA828" s="101"/>
      <c r="BB828" s="212"/>
      <c r="BC828" s="101"/>
      <c r="BD828" s="101"/>
      <c r="BE828" s="101"/>
      <c r="BG828" s="101"/>
      <c r="BH828" s="101"/>
      <c r="BI828" s="101"/>
      <c r="BJ828" s="101"/>
      <c r="BK828" s="101"/>
      <c r="BM828" s="101"/>
      <c r="BN828" s="101"/>
      <c r="BO828" s="101"/>
      <c r="BP828" s="101"/>
      <c r="BQ828" s="101"/>
    </row>
    <row r="829" spans="45:74" x14ac:dyDescent="0.3">
      <c r="AV829" s="102"/>
      <c r="AW829" s="102"/>
      <c r="AX829" s="102"/>
      <c r="AY829" s="102"/>
      <c r="AZ829" s="213"/>
      <c r="BA829" s="102"/>
      <c r="BB829" s="213"/>
      <c r="BC829" s="102"/>
      <c r="BD829" s="102"/>
      <c r="BE829" s="102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</row>
    <row r="830" spans="45:74" x14ac:dyDescent="0.3">
      <c r="AT830" s="99"/>
      <c r="AV830" s="110"/>
      <c r="AW830" s="110"/>
      <c r="AX830" s="163"/>
      <c r="AY830" s="163"/>
      <c r="AZ830" s="163"/>
      <c r="BA830" s="207"/>
      <c r="BB830" s="163"/>
      <c r="BC830" s="163"/>
      <c r="BD830" s="163"/>
      <c r="BE830" s="207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</row>
    <row r="831" spans="45:74" x14ac:dyDescent="0.3"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</row>
    <row r="832" spans="45:74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</row>
    <row r="833" spans="48:71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</row>
    <row r="834" spans="48:71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</row>
    <row r="835" spans="48:71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</row>
    <row r="836" spans="48:71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</row>
    <row r="837" spans="48:71" x14ac:dyDescent="0.3">
      <c r="AV837" s="110"/>
      <c r="AW837" s="110"/>
      <c r="AX837" s="163"/>
      <c r="AY837" s="163"/>
      <c r="AZ837" s="163"/>
      <c r="BA837" s="207"/>
      <c r="BB837" s="163"/>
      <c r="BC837" s="163"/>
      <c r="BD837" s="163"/>
      <c r="BE837" s="207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</row>
    <row r="838" spans="48:71" x14ac:dyDescent="0.3"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</row>
    <row r="839" spans="48:71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</row>
    <row r="840" spans="48:71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</row>
    <row r="841" spans="48:71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</row>
    <row r="842" spans="48:71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</row>
    <row r="843" spans="48:71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</row>
    <row r="844" spans="48:71" x14ac:dyDescent="0.3">
      <c r="AV844" s="110"/>
      <c r="AW844" s="110"/>
      <c r="AX844" s="163"/>
      <c r="AY844" s="163"/>
      <c r="AZ844" s="163"/>
      <c r="BA844" s="207"/>
      <c r="BB844" s="163"/>
      <c r="BC844" s="163"/>
      <c r="BD844" s="163"/>
      <c r="BE844" s="207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</row>
    <row r="845" spans="48:71" x14ac:dyDescent="0.3">
      <c r="AV845" s="110"/>
      <c r="AW845" s="110"/>
      <c r="AX845" s="163"/>
      <c r="AY845" s="163"/>
      <c r="AZ845" s="163"/>
      <c r="BA845" s="207"/>
      <c r="BB845" s="163"/>
      <c r="BC845" s="163"/>
      <c r="BD845" s="163"/>
      <c r="BE845" s="207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</row>
    <row r="846" spans="48:71" x14ac:dyDescent="0.3"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</row>
    <row r="847" spans="48:71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</row>
    <row r="848" spans="48:71" x14ac:dyDescent="0.3">
      <c r="AZ848" s="163"/>
      <c r="BB848" s="163"/>
      <c r="BC848" s="163"/>
      <c r="BD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</row>
    <row r="849" spans="46:57" x14ac:dyDescent="0.3">
      <c r="AT849" s="99"/>
      <c r="AV849" s="110"/>
      <c r="AW849" s="110"/>
      <c r="AX849" s="163"/>
      <c r="AY849" s="163"/>
      <c r="AZ849" s="163"/>
      <c r="BA849" s="207"/>
      <c r="BB849" s="163"/>
      <c r="BC849" s="163"/>
      <c r="BD849" s="163"/>
      <c r="BE849" s="207"/>
    </row>
    <row r="850" spans="46:57" x14ac:dyDescent="0.3">
      <c r="AV850" s="110"/>
      <c r="AW850" s="110"/>
      <c r="AX850" s="163"/>
      <c r="AY850" s="163"/>
      <c r="AZ850" s="163"/>
      <c r="BA850" s="207"/>
      <c r="BB850" s="163"/>
      <c r="BC850" s="163"/>
      <c r="BD850" s="163"/>
      <c r="BE850" s="207"/>
    </row>
    <row r="851" spans="46:57" x14ac:dyDescent="0.3">
      <c r="AV851" s="110"/>
      <c r="AW851" s="110"/>
      <c r="AX851" s="163"/>
      <c r="AY851" s="163"/>
      <c r="AZ851" s="163"/>
      <c r="BA851" s="207"/>
      <c r="BB851" s="163"/>
      <c r="BC851" s="163"/>
      <c r="BD851" s="163"/>
      <c r="BE851" s="207"/>
    </row>
    <row r="852" spans="46:57" x14ac:dyDescent="0.3">
      <c r="AV852" s="110"/>
      <c r="AW852" s="110"/>
      <c r="AX852" s="163"/>
      <c r="AY852" s="163"/>
      <c r="AZ852" s="163"/>
      <c r="BA852" s="207"/>
      <c r="BB852" s="163"/>
      <c r="BC852" s="163"/>
      <c r="BD852" s="163"/>
      <c r="BE852" s="207"/>
    </row>
    <row r="853" spans="46:57" x14ac:dyDescent="0.3">
      <c r="AV853" s="110"/>
      <c r="AW853" s="110"/>
      <c r="AX853" s="163"/>
      <c r="AY853" s="163"/>
      <c r="AZ853" s="163"/>
      <c r="BA853" s="207"/>
      <c r="BB853" s="163"/>
      <c r="BC853" s="163"/>
      <c r="BD853" s="163"/>
      <c r="BE853" s="207"/>
    </row>
    <row r="854" spans="46:57" x14ac:dyDescent="0.3">
      <c r="AV854" s="110"/>
      <c r="AW854" s="110"/>
      <c r="AX854" s="163"/>
      <c r="AY854" s="163"/>
      <c r="AZ854" s="163"/>
      <c r="BA854" s="207"/>
      <c r="BB854" s="163"/>
      <c r="BC854" s="163"/>
      <c r="BD854" s="163"/>
      <c r="BE854" s="207"/>
    </row>
    <row r="855" spans="46:57" x14ac:dyDescent="0.3">
      <c r="AV855" s="110"/>
      <c r="AW855" s="110"/>
      <c r="AX855" s="163"/>
      <c r="AY855" s="163"/>
      <c r="AZ855" s="163"/>
      <c r="BA855" s="207"/>
      <c r="BB855" s="163"/>
      <c r="BC855" s="163"/>
      <c r="BD855" s="163"/>
      <c r="BE855" s="207"/>
    </row>
    <row r="856" spans="46:57" x14ac:dyDescent="0.3">
      <c r="AV856" s="110"/>
      <c r="AW856" s="110"/>
      <c r="AX856" s="163"/>
      <c r="AY856" s="163"/>
      <c r="AZ856" s="163"/>
      <c r="BA856" s="207"/>
      <c r="BB856" s="163"/>
      <c r="BC856" s="163"/>
      <c r="BD856" s="163"/>
      <c r="BE856" s="207"/>
    </row>
    <row r="857" spans="46:57" x14ac:dyDescent="0.3">
      <c r="AV857" s="110"/>
      <c r="AW857" s="110"/>
      <c r="AX857" s="163"/>
      <c r="AY857" s="163"/>
      <c r="AZ857" s="163"/>
      <c r="BA857" s="207"/>
      <c r="BB857" s="163"/>
      <c r="BC857" s="163"/>
      <c r="BD857" s="163"/>
      <c r="BE857" s="207"/>
    </row>
    <row r="858" spans="46:57" x14ac:dyDescent="0.3">
      <c r="AV858" s="110"/>
      <c r="AW858" s="110"/>
      <c r="AX858" s="163"/>
      <c r="AY858" s="163"/>
      <c r="AZ858" s="163"/>
      <c r="BA858" s="207"/>
      <c r="BB858" s="163"/>
      <c r="BC858" s="163"/>
      <c r="BD858" s="163"/>
      <c r="BE858" s="207"/>
    </row>
    <row r="859" spans="46:57" x14ac:dyDescent="0.3">
      <c r="AV859" s="110"/>
      <c r="AW859" s="110"/>
      <c r="AX859" s="163"/>
      <c r="AY859" s="163"/>
      <c r="AZ859" s="163"/>
      <c r="BA859" s="207"/>
      <c r="BB859" s="163"/>
      <c r="BC859" s="163"/>
      <c r="BD859" s="163"/>
      <c r="BE859" s="207"/>
    </row>
    <row r="860" spans="46:57" x14ac:dyDescent="0.3">
      <c r="AV860" s="110"/>
      <c r="AW860" s="110"/>
      <c r="AX860" s="163"/>
      <c r="AY860" s="163"/>
      <c r="AZ860" s="163"/>
      <c r="BA860" s="207"/>
      <c r="BB860" s="163"/>
      <c r="BC860" s="163"/>
      <c r="BD860" s="163"/>
      <c r="BE860" s="207"/>
    </row>
    <row r="861" spans="46:57" x14ac:dyDescent="0.3">
      <c r="AV861" s="110"/>
      <c r="AW861" s="110"/>
      <c r="AX861" s="163"/>
      <c r="AY861" s="163"/>
      <c r="AZ861" s="163"/>
      <c r="BA861" s="207"/>
      <c r="BB861" s="163"/>
      <c r="BC861" s="163"/>
      <c r="BD861" s="163"/>
      <c r="BE861" s="207"/>
    </row>
    <row r="862" spans="46:57" x14ac:dyDescent="0.3">
      <c r="AV862" s="110"/>
      <c r="AW862" s="110"/>
      <c r="AX862" s="163"/>
      <c r="AY862" s="163"/>
      <c r="AZ862" s="163"/>
      <c r="BA862" s="207"/>
      <c r="BB862" s="163"/>
      <c r="BC862" s="163"/>
      <c r="BD862" s="163"/>
      <c r="BE862" s="207"/>
    </row>
    <row r="863" spans="46:57" x14ac:dyDescent="0.3">
      <c r="AV863" s="110"/>
      <c r="AW863" s="110"/>
      <c r="AX863" s="163"/>
      <c r="AY863" s="163"/>
      <c r="AZ863" s="163"/>
      <c r="BA863" s="207"/>
      <c r="BB863" s="163"/>
      <c r="BC863" s="163"/>
      <c r="BD863" s="163"/>
      <c r="BE863" s="207"/>
    </row>
    <row r="864" spans="46:57" x14ac:dyDescent="0.3">
      <c r="AV864" s="110"/>
      <c r="AW864" s="110"/>
      <c r="AX864" s="163"/>
      <c r="AY864" s="163"/>
      <c r="AZ864" s="163"/>
      <c r="BA864" s="207"/>
      <c r="BB864" s="163"/>
      <c r="BC864" s="163"/>
      <c r="BD864" s="163"/>
      <c r="BE864" s="207"/>
    </row>
    <row r="865" spans="45:57" x14ac:dyDescent="0.3">
      <c r="AV865" s="110"/>
      <c r="AW865" s="110"/>
      <c r="AX865" s="163"/>
      <c r="AY865" s="163"/>
      <c r="AZ865" s="163"/>
      <c r="BA865" s="207"/>
      <c r="BB865" s="163"/>
      <c r="BC865" s="163"/>
      <c r="BD865" s="163"/>
      <c r="BE865" s="207"/>
    </row>
    <row r="866" spans="45:57" x14ac:dyDescent="0.3">
      <c r="AV866" s="110"/>
      <c r="AW866" s="110"/>
      <c r="AX866" s="163"/>
      <c r="AY866" s="163"/>
      <c r="AZ866" s="163"/>
      <c r="BA866" s="207"/>
      <c r="BB866" s="163"/>
      <c r="BC866" s="163"/>
      <c r="BD866" s="163"/>
      <c r="BE866" s="207"/>
    </row>
    <row r="867" spans="45:57" x14ac:dyDescent="0.3">
      <c r="BB867" s="163"/>
    </row>
    <row r="868" spans="45:57" x14ac:dyDescent="0.3">
      <c r="AU868" s="99"/>
      <c r="BB868" s="163"/>
    </row>
    <row r="869" spans="45:57" x14ac:dyDescent="0.3">
      <c r="AU869" s="99"/>
    </row>
    <row r="870" spans="45:57" x14ac:dyDescent="0.3">
      <c r="AU870" s="99"/>
      <c r="BB870" s="163"/>
    </row>
    <row r="871" spans="45:57" x14ac:dyDescent="0.3">
      <c r="AS871" s="99"/>
      <c r="AZ871" s="163"/>
      <c r="BB871" s="163"/>
    </row>
    <row r="872" spans="45:57" x14ac:dyDescent="0.3">
      <c r="AZ872" s="163"/>
      <c r="BB872" s="163"/>
    </row>
    <row r="873" spans="45:57" x14ac:dyDescent="0.3">
      <c r="AY873" s="163"/>
      <c r="AZ873" s="163"/>
      <c r="BB873" s="163"/>
    </row>
    <row r="874" spans="45:57" x14ac:dyDescent="0.3">
      <c r="AY874" s="99"/>
      <c r="AZ874" s="163"/>
      <c r="BB874" s="163"/>
    </row>
    <row r="875" spans="45:57" x14ac:dyDescent="0.3">
      <c r="AY875" s="99"/>
      <c r="AZ875" s="163"/>
      <c r="BB875" s="163"/>
    </row>
    <row r="876" spans="45:57" x14ac:dyDescent="0.3">
      <c r="AZ876" s="163"/>
      <c r="BB876" s="163"/>
      <c r="BD876" s="99"/>
    </row>
    <row r="877" spans="45:57" x14ac:dyDescent="0.3">
      <c r="AZ877" s="163"/>
      <c r="BB877" s="163"/>
      <c r="BD877" s="99"/>
    </row>
    <row r="878" spans="45:57" x14ac:dyDescent="0.3">
      <c r="AS878" s="99"/>
      <c r="AZ878" s="163"/>
      <c r="BB878" s="163"/>
      <c r="BD878" s="99"/>
    </row>
    <row r="879" spans="45:57" x14ac:dyDescent="0.3">
      <c r="AZ879" s="163"/>
      <c r="BB879" s="163"/>
    </row>
    <row r="880" spans="45:57" x14ac:dyDescent="0.3">
      <c r="AS880" s="101"/>
      <c r="AT880" s="101"/>
      <c r="AU880" s="101"/>
      <c r="AV880" s="101"/>
      <c r="AW880" s="101"/>
      <c r="AX880" s="101"/>
      <c r="AY880" s="101"/>
      <c r="AZ880" s="212"/>
      <c r="BA880" s="101"/>
      <c r="BB880" s="212"/>
      <c r="BC880" s="101"/>
      <c r="BD880" s="101"/>
      <c r="BE880" s="101"/>
    </row>
    <row r="881" spans="45:57" x14ac:dyDescent="0.3">
      <c r="AX881" s="99"/>
      <c r="AZ881" s="163"/>
      <c r="BB881" s="163"/>
    </row>
    <row r="882" spans="45:57" x14ac:dyDescent="0.3">
      <c r="AX882" s="101"/>
      <c r="AY882" s="101"/>
      <c r="AZ882" s="212"/>
      <c r="BA882" s="101"/>
      <c r="BB882" s="163"/>
      <c r="BC882" s="102"/>
      <c r="BD882" s="102"/>
    </row>
    <row r="883" spans="45:57" x14ac:dyDescent="0.3">
      <c r="AV883" s="102"/>
      <c r="AW883" s="102"/>
      <c r="AZ883" s="213"/>
      <c r="BA883" s="102"/>
      <c r="BB883" s="163"/>
      <c r="BC883" s="102"/>
      <c r="BD883" s="102"/>
      <c r="BE883" s="102"/>
    </row>
    <row r="884" spans="45:57" x14ac:dyDescent="0.3">
      <c r="AV884" s="102"/>
      <c r="AW884" s="102"/>
      <c r="AX884" s="102"/>
      <c r="AY884" s="102"/>
      <c r="AZ884" s="213"/>
      <c r="BA884" s="102"/>
      <c r="BB884" s="213"/>
      <c r="BC884" s="102"/>
      <c r="BD884" s="102"/>
      <c r="BE884" s="102"/>
    </row>
    <row r="885" spans="45:57" x14ac:dyDescent="0.3">
      <c r="AS885" s="102"/>
      <c r="AU885" s="99"/>
      <c r="AV885" s="102"/>
      <c r="AW885" s="102"/>
      <c r="AX885" s="102"/>
      <c r="AY885" s="102"/>
      <c r="AZ885" s="213"/>
      <c r="BA885" s="102"/>
      <c r="BB885" s="213"/>
      <c r="BC885" s="102"/>
      <c r="BD885" s="102"/>
      <c r="BE885" s="102"/>
    </row>
    <row r="886" spans="45:57" x14ac:dyDescent="0.3">
      <c r="AS886" s="102"/>
      <c r="AU886" s="99"/>
      <c r="AV886" s="102"/>
      <c r="AW886" s="102"/>
      <c r="AX886" s="102"/>
      <c r="AY886" s="102"/>
      <c r="AZ886" s="213"/>
      <c r="BA886" s="102"/>
      <c r="BB886" s="213"/>
      <c r="BC886" s="102"/>
      <c r="BD886" s="102"/>
      <c r="BE886" s="102"/>
    </row>
    <row r="887" spans="45:57" x14ac:dyDescent="0.3">
      <c r="AS887" s="101"/>
      <c r="AT887" s="101"/>
      <c r="AU887" s="101"/>
      <c r="AV887" s="101"/>
      <c r="AW887" s="101"/>
      <c r="AX887" s="101"/>
      <c r="AY887" s="101"/>
      <c r="AZ887" s="212"/>
      <c r="BA887" s="101"/>
      <c r="BB887" s="212"/>
      <c r="BC887" s="101"/>
      <c r="BD887" s="101"/>
      <c r="BE887" s="101"/>
    </row>
    <row r="888" spans="45:57" x14ac:dyDescent="0.3">
      <c r="AV888" s="102"/>
      <c r="AW888" s="102"/>
      <c r="AX888" s="102"/>
      <c r="AY888" s="102"/>
      <c r="AZ888" s="213"/>
      <c r="BA888" s="102"/>
      <c r="BB888" s="213"/>
      <c r="BC888" s="102"/>
      <c r="BD888" s="102"/>
      <c r="BE888" s="102"/>
    </row>
    <row r="889" spans="45:57" x14ac:dyDescent="0.3">
      <c r="AT889" s="99"/>
      <c r="AV889" s="110"/>
      <c r="AW889" s="110"/>
      <c r="AX889" s="163"/>
      <c r="AY889" s="163"/>
      <c r="AZ889" s="163"/>
      <c r="BA889" s="207"/>
      <c r="BB889" s="163"/>
      <c r="BC889" s="163"/>
      <c r="BD889" s="163"/>
      <c r="BE889" s="207"/>
    </row>
    <row r="890" spans="45:57" x14ac:dyDescent="0.3">
      <c r="AV890" s="110"/>
      <c r="AW890" s="110"/>
      <c r="AX890" s="163"/>
      <c r="AY890" s="163"/>
      <c r="AZ890" s="163"/>
      <c r="BA890" s="207"/>
      <c r="BB890" s="163"/>
      <c r="BC890" s="163"/>
      <c r="BD890" s="163"/>
      <c r="BE890" s="207"/>
    </row>
    <row r="891" spans="45:57" x14ac:dyDescent="0.3">
      <c r="AV891" s="110"/>
      <c r="AW891" s="110"/>
      <c r="AX891" s="163"/>
      <c r="AY891" s="163"/>
      <c r="AZ891" s="163"/>
      <c r="BA891" s="207"/>
      <c r="BB891" s="163"/>
      <c r="BC891" s="163"/>
      <c r="BD891" s="163"/>
      <c r="BE891" s="207"/>
    </row>
    <row r="892" spans="45:57" x14ac:dyDescent="0.3">
      <c r="AV892" s="110"/>
      <c r="AW892" s="110"/>
      <c r="AX892" s="163"/>
      <c r="AY892" s="163"/>
      <c r="AZ892" s="163"/>
      <c r="BA892" s="207"/>
      <c r="BB892" s="163"/>
      <c r="BC892" s="163"/>
      <c r="BD892" s="163"/>
      <c r="BE892" s="207"/>
    </row>
    <row r="893" spans="45:57" x14ac:dyDescent="0.3">
      <c r="AV893" s="110"/>
      <c r="AW893" s="110"/>
      <c r="AX893" s="163"/>
      <c r="AY893" s="163"/>
      <c r="AZ893" s="163"/>
      <c r="BA893" s="207"/>
      <c r="BB893" s="163"/>
      <c r="BC893" s="163"/>
      <c r="BD893" s="163"/>
      <c r="BE893" s="207"/>
    </row>
    <row r="894" spans="45:57" x14ac:dyDescent="0.3">
      <c r="AV894" s="110"/>
      <c r="AW894" s="110"/>
      <c r="AX894" s="163"/>
      <c r="AY894" s="163"/>
      <c r="AZ894" s="163"/>
      <c r="BA894" s="207"/>
      <c r="BB894" s="163"/>
      <c r="BC894" s="163"/>
      <c r="BD894" s="163"/>
      <c r="BE894" s="207"/>
    </row>
    <row r="895" spans="45:57" x14ac:dyDescent="0.3">
      <c r="AV895" s="110"/>
      <c r="AW895" s="110"/>
      <c r="AX895" s="163"/>
      <c r="AY895" s="163"/>
      <c r="AZ895" s="163"/>
      <c r="BA895" s="207"/>
      <c r="BB895" s="163"/>
      <c r="BC895" s="163"/>
      <c r="BD895" s="163"/>
      <c r="BE895" s="207"/>
    </row>
    <row r="896" spans="45:57" x14ac:dyDescent="0.3">
      <c r="AV896" s="110"/>
      <c r="AW896" s="110"/>
      <c r="AX896" s="163"/>
      <c r="AY896" s="163"/>
      <c r="AZ896" s="163"/>
      <c r="BA896" s="207"/>
      <c r="BB896" s="163"/>
      <c r="BC896" s="163"/>
      <c r="BD896" s="163"/>
      <c r="BE896" s="207"/>
    </row>
    <row r="897" spans="46:57" x14ac:dyDescent="0.3">
      <c r="AV897" s="110"/>
      <c r="AW897" s="110"/>
      <c r="AX897" s="163"/>
      <c r="AY897" s="163"/>
      <c r="AZ897" s="163"/>
      <c r="BA897" s="207"/>
      <c r="BB897" s="163"/>
      <c r="BC897" s="163"/>
      <c r="BD897" s="163"/>
      <c r="BE897" s="207"/>
    </row>
    <row r="898" spans="46:57" x14ac:dyDescent="0.3">
      <c r="AV898" s="110"/>
      <c r="AW898" s="110"/>
      <c r="AX898" s="163"/>
      <c r="AY898" s="163"/>
      <c r="AZ898" s="163"/>
      <c r="BA898" s="207"/>
      <c r="BB898" s="163"/>
      <c r="BC898" s="163"/>
      <c r="BD898" s="163"/>
      <c r="BE898" s="207"/>
    </row>
    <row r="899" spans="46:57" x14ac:dyDescent="0.3">
      <c r="AV899" s="110"/>
      <c r="AW899" s="110"/>
      <c r="BB899" s="163"/>
    </row>
    <row r="900" spans="46:57" x14ac:dyDescent="0.3">
      <c r="AT900" s="99"/>
      <c r="AV900" s="110"/>
      <c r="AW900" s="110"/>
      <c r="AX900" s="163"/>
      <c r="AY900" s="163"/>
      <c r="AZ900" s="163"/>
      <c r="BA900" s="207"/>
      <c r="BB900" s="163"/>
      <c r="BC900" s="163"/>
      <c r="BD900" s="163"/>
      <c r="BE900" s="207"/>
    </row>
    <row r="901" spans="46:57" x14ac:dyDescent="0.3">
      <c r="AV901" s="110"/>
      <c r="AW901" s="110"/>
      <c r="AX901" s="163"/>
      <c r="AY901" s="163"/>
      <c r="AZ901" s="163"/>
      <c r="BA901" s="207"/>
      <c r="BB901" s="163"/>
      <c r="BC901" s="163"/>
      <c r="BD901" s="163"/>
      <c r="BE901" s="207"/>
    </row>
    <row r="902" spans="46:57" x14ac:dyDescent="0.3">
      <c r="AV902" s="110"/>
      <c r="AW902" s="110"/>
      <c r="AX902" s="163"/>
      <c r="AY902" s="163"/>
      <c r="AZ902" s="163"/>
      <c r="BA902" s="207"/>
      <c r="BB902" s="163"/>
      <c r="BC902" s="163"/>
      <c r="BD902" s="163"/>
      <c r="BE902" s="207"/>
    </row>
    <row r="903" spans="46:57" x14ac:dyDescent="0.3">
      <c r="AV903" s="110"/>
      <c r="AW903" s="110"/>
      <c r="AX903" s="163"/>
      <c r="AY903" s="163"/>
      <c r="AZ903" s="163"/>
      <c r="BA903" s="207"/>
      <c r="BB903" s="163"/>
      <c r="BC903" s="163"/>
      <c r="BD903" s="163"/>
      <c r="BE903" s="207"/>
    </row>
    <row r="904" spans="46:57" x14ac:dyDescent="0.3">
      <c r="AV904" s="110"/>
      <c r="AW904" s="110"/>
      <c r="AX904" s="163"/>
      <c r="AY904" s="163"/>
      <c r="AZ904" s="163"/>
      <c r="BA904" s="207"/>
      <c r="BB904" s="163"/>
      <c r="BC904" s="163"/>
      <c r="BD904" s="163"/>
      <c r="BE904" s="207"/>
    </row>
    <row r="905" spans="46:57" x14ac:dyDescent="0.3"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6:57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6:57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6:57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6:57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1" spans="46:57" x14ac:dyDescent="0.3">
      <c r="AU911" s="99"/>
    </row>
    <row r="912" spans="46:57" x14ac:dyDescent="0.3">
      <c r="AU912" s="99"/>
    </row>
    <row r="913" spans="45:47" x14ac:dyDescent="0.3">
      <c r="AU913" s="99"/>
    </row>
    <row r="914" spans="45:47" x14ac:dyDescent="0.3">
      <c r="AS914" s="99"/>
    </row>
    <row r="935" spans="52:71" x14ac:dyDescent="0.3">
      <c r="AZ935" s="163"/>
      <c r="BB935" s="163"/>
      <c r="BC935" s="163"/>
      <c r="BD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</row>
    <row r="936" spans="52:71" x14ac:dyDescent="0.3">
      <c r="AZ936" s="163"/>
      <c r="BB936" s="163"/>
      <c r="BC936" s="163"/>
      <c r="BD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</row>
    <row r="937" spans="52:71" x14ac:dyDescent="0.3">
      <c r="AZ937" s="163"/>
      <c r="BB937" s="163"/>
      <c r="BC937" s="163"/>
      <c r="BD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</row>
    <row r="938" spans="52:71" x14ac:dyDescent="0.3">
      <c r="AZ938" s="163"/>
      <c r="BB938" s="163"/>
      <c r="BC938" s="163"/>
      <c r="BD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</row>
    <row r="939" spans="52:71" x14ac:dyDescent="0.3">
      <c r="AZ939" s="163"/>
      <c r="BB939" s="163"/>
      <c r="BC939" s="163"/>
      <c r="BD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</row>
    <row r="940" spans="52:71" x14ac:dyDescent="0.3">
      <c r="AZ940" s="163"/>
      <c r="BB940" s="163"/>
      <c r="BC940" s="163"/>
      <c r="BD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</row>
    <row r="941" spans="52:71" x14ac:dyDescent="0.3">
      <c r="AZ941" s="163"/>
      <c r="BB941" s="163"/>
      <c r="BC941" s="163"/>
      <c r="BD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</row>
    <row r="942" spans="52:71" x14ac:dyDescent="0.3">
      <c r="AZ942" s="163"/>
      <c r="BB942" s="163"/>
      <c r="BC942" s="163"/>
      <c r="BD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</row>
    <row r="943" spans="52:71" x14ac:dyDescent="0.3">
      <c r="AZ943" s="163"/>
      <c r="BB943" s="163"/>
      <c r="BC943" s="163"/>
      <c r="BD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</row>
    <row r="944" spans="52:71" x14ac:dyDescent="0.3">
      <c r="AZ944" s="163"/>
      <c r="BB944" s="163"/>
      <c r="BC944" s="163"/>
      <c r="BD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</row>
    <row r="945" spans="52:71" x14ac:dyDescent="0.3">
      <c r="AZ945" s="163"/>
      <c r="BB945" s="163"/>
      <c r="BC945" s="163"/>
      <c r="BD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</row>
    <row r="946" spans="52:71" x14ac:dyDescent="0.3">
      <c r="AZ946" s="163"/>
      <c r="BB946" s="163"/>
      <c r="BC946" s="163"/>
      <c r="BD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</row>
    <row r="947" spans="52:71" x14ac:dyDescent="0.3">
      <c r="AZ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</row>
    <row r="948" spans="52:71" x14ac:dyDescent="0.3">
      <c r="AZ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</row>
    <row r="949" spans="52:71" x14ac:dyDescent="0.3">
      <c r="AZ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</row>
    <row r="950" spans="52:71" x14ac:dyDescent="0.3">
      <c r="AZ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</row>
    <row r="951" spans="52:71" x14ac:dyDescent="0.3">
      <c r="AZ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</row>
    <row r="952" spans="52:71" x14ac:dyDescent="0.3">
      <c r="AZ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</row>
    <row r="953" spans="52:71" x14ac:dyDescent="0.3">
      <c r="AZ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</row>
    <row r="954" spans="52:71" x14ac:dyDescent="0.3">
      <c r="AZ954" s="163"/>
    </row>
    <row r="955" spans="52:71" x14ac:dyDescent="0.3">
      <c r="AZ955" s="163"/>
    </row>
    <row r="969" spans="1:28" x14ac:dyDescent="0.3">
      <c r="A969" s="99"/>
    </row>
    <row r="972" spans="1:28" x14ac:dyDescent="0.3">
      <c r="Y972" s="99"/>
    </row>
    <row r="973" spans="1:28" x14ac:dyDescent="0.3">
      <c r="A973" s="99"/>
      <c r="H973" s="99"/>
      <c r="I973" s="99"/>
    </row>
    <row r="974" spans="1:28" x14ac:dyDescent="0.3">
      <c r="A974" s="99"/>
      <c r="V974" s="102"/>
      <c r="AA974" s="102"/>
      <c r="AB974" s="102"/>
    </row>
    <row r="975" spans="1:28" x14ac:dyDescent="0.3">
      <c r="A975" s="99"/>
      <c r="V975" s="101"/>
      <c r="AA975" s="101"/>
      <c r="AB975" s="101"/>
    </row>
    <row r="976" spans="1:28" x14ac:dyDescent="0.3">
      <c r="A976" s="99"/>
      <c r="U976" s="99"/>
      <c r="AA976" s="102"/>
      <c r="AB976" s="102"/>
    </row>
    <row r="977" spans="1:28" x14ac:dyDescent="0.3">
      <c r="A977" s="99"/>
    </row>
    <row r="978" spans="1:28" x14ac:dyDescent="0.3">
      <c r="A978" s="99"/>
      <c r="U978" s="99"/>
      <c r="AA978" s="102"/>
      <c r="AB978" s="102"/>
    </row>
    <row r="979" spans="1:28" x14ac:dyDescent="0.3">
      <c r="A979" s="99"/>
    </row>
    <row r="980" spans="1:28" x14ac:dyDescent="0.3">
      <c r="A980" s="99"/>
      <c r="U980" s="99"/>
      <c r="V980" s="231"/>
      <c r="AA980" s="102"/>
      <c r="AB980" s="102"/>
    </row>
    <row r="981" spans="1:28" x14ac:dyDescent="0.3">
      <c r="A981" s="99"/>
    </row>
    <row r="982" spans="1:28" x14ac:dyDescent="0.3">
      <c r="A982" s="99"/>
      <c r="U982" s="99"/>
      <c r="AA982" s="102"/>
      <c r="AB982" s="102"/>
    </row>
    <row r="983" spans="1:28" x14ac:dyDescent="0.3">
      <c r="A983" s="99"/>
    </row>
    <row r="984" spans="1:28" x14ac:dyDescent="0.3">
      <c r="A984" s="99"/>
      <c r="U984" s="99"/>
      <c r="AA984" s="102"/>
      <c r="AB984" s="102"/>
    </row>
    <row r="985" spans="1:28" x14ac:dyDescent="0.3">
      <c r="A985" s="99"/>
    </row>
    <row r="986" spans="1:28" x14ac:dyDescent="0.3">
      <c r="A986" s="99"/>
    </row>
    <row r="987" spans="1:28" x14ac:dyDescent="0.3">
      <c r="A987" s="99"/>
    </row>
    <row r="988" spans="1:28" x14ac:dyDescent="0.3">
      <c r="A988" s="99"/>
    </row>
    <row r="989" spans="1:28" x14ac:dyDescent="0.3">
      <c r="A989" s="99"/>
    </row>
    <row r="990" spans="1:28" x14ac:dyDescent="0.3">
      <c r="A990" s="99"/>
    </row>
    <row r="991" spans="1:28" x14ac:dyDescent="0.3">
      <c r="A991" s="99"/>
    </row>
    <row r="992" spans="1:28" x14ac:dyDescent="0.3">
      <c r="A992" s="99"/>
    </row>
    <row r="993" spans="1:9" x14ac:dyDescent="0.3">
      <c r="A993" s="99"/>
    </row>
    <row r="994" spans="1:9" x14ac:dyDescent="0.3">
      <c r="A994" s="99"/>
    </row>
    <row r="995" spans="1:9" x14ac:dyDescent="0.3">
      <c r="A995" s="99"/>
      <c r="H995" s="99"/>
      <c r="I995" s="99"/>
    </row>
    <row r="998" spans="1:9" x14ac:dyDescent="0.3">
      <c r="A998" s="99"/>
    </row>
    <row r="1001" spans="1:9" x14ac:dyDescent="0.3">
      <c r="A1001" s="99"/>
    </row>
    <row r="1004" spans="1:9" x14ac:dyDescent="0.3">
      <c r="A1004" s="99"/>
    </row>
    <row r="1005" spans="1:9" x14ac:dyDescent="0.3">
      <c r="A1005" s="99"/>
    </row>
    <row r="1006" spans="1:9" x14ac:dyDescent="0.3">
      <c r="A1006" s="99"/>
    </row>
    <row r="1007" spans="1:9" x14ac:dyDescent="0.3">
      <c r="A1007" s="99"/>
    </row>
    <row r="1008" spans="1:9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17" spans="1:1" x14ac:dyDescent="0.3">
      <c r="A1017" s="99"/>
    </row>
    <row r="1018" spans="1:1" x14ac:dyDescent="0.3">
      <c r="A1018" s="99"/>
    </row>
    <row r="1019" spans="1:1" x14ac:dyDescent="0.3">
      <c r="A1019" s="99"/>
    </row>
    <row r="1020" spans="1:1" x14ac:dyDescent="0.3">
      <c r="A1020" s="99"/>
    </row>
    <row r="1021" spans="1:1" x14ac:dyDescent="0.3">
      <c r="A1021" s="99"/>
    </row>
    <row r="1022" spans="1:1" x14ac:dyDescent="0.3">
      <c r="A1022" s="99"/>
    </row>
    <row r="1023" spans="1:1" x14ac:dyDescent="0.3">
      <c r="A1023" s="99"/>
    </row>
    <row r="1024" spans="1:1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28" spans="1:1" x14ac:dyDescent="0.3">
      <c r="A1028" s="99"/>
    </row>
    <row r="1029" spans="1:1" x14ac:dyDescent="0.3">
      <c r="A1029" s="99"/>
    </row>
    <row r="1030" spans="1:1" x14ac:dyDescent="0.3">
      <c r="A1030" s="99"/>
    </row>
    <row r="1031" spans="1:1" x14ac:dyDescent="0.3">
      <c r="A1031" s="99"/>
    </row>
    <row r="1032" spans="1:1" x14ac:dyDescent="0.3">
      <c r="A1032" s="99"/>
    </row>
    <row r="1033" spans="1:1" x14ac:dyDescent="0.3">
      <c r="A1033" s="99"/>
    </row>
    <row r="1034" spans="1:1" x14ac:dyDescent="0.3">
      <c r="A1034" s="99"/>
    </row>
    <row r="1035" spans="1:1" x14ac:dyDescent="0.3">
      <c r="A1035" s="99"/>
    </row>
    <row r="1036" spans="1:1" x14ac:dyDescent="0.3">
      <c r="A1036" s="99"/>
    </row>
    <row r="1037" spans="1:1" x14ac:dyDescent="0.3">
      <c r="A1037" s="99"/>
    </row>
    <row r="1038" spans="1:1" x14ac:dyDescent="0.3">
      <c r="A1038" s="99"/>
    </row>
    <row r="1043" spans="1:1" x14ac:dyDescent="0.3">
      <c r="A1043" s="99"/>
    </row>
    <row r="1044" spans="1:1" x14ac:dyDescent="0.3">
      <c r="A1044" s="99"/>
    </row>
    <row r="1047" spans="1:1" x14ac:dyDescent="0.3">
      <c r="A1047" s="99"/>
    </row>
    <row r="1049" spans="1:1" x14ac:dyDescent="0.3">
      <c r="A1049" s="99"/>
    </row>
    <row r="1051" spans="1:1" x14ac:dyDescent="0.3">
      <c r="A1051" s="99"/>
    </row>
    <row r="1053" spans="1:1" x14ac:dyDescent="0.3">
      <c r="A1053" s="99"/>
    </row>
    <row r="1056" spans="1:1" x14ac:dyDescent="0.3">
      <c r="A1056" s="99"/>
    </row>
    <row r="1057" spans="1:1" x14ac:dyDescent="0.3">
      <c r="A1057" s="99"/>
    </row>
    <row r="1058" spans="1:1" x14ac:dyDescent="0.3">
      <c r="A1058" s="99"/>
    </row>
    <row r="1059" spans="1:1" x14ac:dyDescent="0.3">
      <c r="A1059" s="99"/>
    </row>
    <row r="1060" spans="1:1" x14ac:dyDescent="0.3">
      <c r="A1060" s="99"/>
    </row>
    <row r="1061" spans="1:1" x14ac:dyDescent="0.3">
      <c r="A1061" s="99"/>
    </row>
    <row r="1062" spans="1:1" x14ac:dyDescent="0.3">
      <c r="A1062" s="99"/>
    </row>
    <row r="1063" spans="1:1" x14ac:dyDescent="0.3">
      <c r="A1063" s="99"/>
    </row>
  </sheetData>
  <customSheetViews>
    <customSheetView guid="{F562D92E-120C-4AE9-9663-89E64D41DC53}" scale="75" fitToPage="1" topLeftCell="A16">
      <selection activeCell="P39" sqref="P3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16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9"/>
      <headerFooter alignWithMargins="0"/>
    </customSheetView>
    <customSheetView guid="{4BC93440-BA85-4935-A8C9-66DC6AE5DE5E}" scale="75" fitToPage="1" showRuler="0" topLeftCell="U55">
      <selection activeCell="AC66" sqref="AC6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8" orientation="landscape" r:id="rId10"/>
      <headerFooter alignWithMargins="0"/>
    </customSheetView>
    <customSheetView guid="{0C49E549-011E-46F4-A82E-2CC8951A9C1E}" scale="75" fitToPage="1" showRuler="0">
      <selection sqref="A1:R4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61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syncVertical="1" syncRef="A1" transitionEvaluation="1" transitionEntry="1" codeName="Sheet141">
    <pageSetUpPr fitToPage="1"/>
  </sheetPr>
  <dimension ref="A1:BX1041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5.75" style="98" customWidth="1"/>
    <col min="5" max="5" width="0.7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3.082031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7.582031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41.4140625" style="98" customWidth="1"/>
    <col min="24" max="24" width="0.91406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1.41406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2.914062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Y1" s="99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Y2" s="99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V3" s="192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V4" s="192"/>
      <c r="AA4" s="99"/>
      <c r="AB4" s="99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V5" s="228"/>
      <c r="AK5" s="190"/>
      <c r="AL5" s="99"/>
    </row>
    <row r="6" spans="1:40" x14ac:dyDescent="0.3">
      <c r="A6" s="98" t="str">
        <f>DATA_PERIOD</f>
        <v>DATA: __X__ BASE PERIOD   ____FORECASTED PERIOD</v>
      </c>
      <c r="R6" s="99" t="s">
        <v>156</v>
      </c>
      <c r="V6" s="228"/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18 OF "&amp;TEXT(Page_Num_2.3,"00")</f>
        <v>PAGE 18 OF 24</v>
      </c>
      <c r="V7" s="228"/>
      <c r="AK7" s="190"/>
      <c r="AL7" s="99"/>
    </row>
    <row r="8" spans="1:40" x14ac:dyDescent="0.3">
      <c r="A8" s="99" t="s">
        <v>170</v>
      </c>
      <c r="R8" s="99" t="s">
        <v>3</v>
      </c>
      <c r="V8" s="228"/>
      <c r="W8" s="97"/>
      <c r="AK8" s="190"/>
      <c r="AL8" s="99"/>
    </row>
    <row r="9" spans="1:40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V9" s="228"/>
      <c r="W9" s="99"/>
      <c r="AA9" s="99"/>
      <c r="AB9" s="99"/>
    </row>
    <row r="10" spans="1:40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T10" s="101"/>
      <c r="U10" s="101"/>
      <c r="V10" s="228"/>
      <c r="W10" s="97"/>
      <c r="X10" s="101"/>
      <c r="Y10" s="101"/>
      <c r="Z10" s="101"/>
      <c r="AA10" s="101"/>
      <c r="AB10" s="101"/>
      <c r="AC10" s="101"/>
      <c r="AD10" s="101"/>
      <c r="AE10" s="101"/>
      <c r="AF10" s="101"/>
      <c r="AG10" s="191"/>
      <c r="AH10" s="101"/>
      <c r="AI10" s="101"/>
      <c r="AJ10" s="101"/>
      <c r="AK10" s="191"/>
      <c r="AL10" s="101"/>
      <c r="AM10" s="101"/>
      <c r="AN10" s="101"/>
    </row>
    <row r="11" spans="1:40" x14ac:dyDescent="0.3">
      <c r="A11" s="101"/>
      <c r="B11" s="101"/>
      <c r="C11" s="101"/>
      <c r="D11" s="101"/>
      <c r="E11" s="101"/>
      <c r="G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V11" s="228"/>
      <c r="W11" s="99"/>
      <c r="AA11" s="102"/>
      <c r="AB11" s="102"/>
      <c r="AC11" s="102"/>
      <c r="AD11" s="102"/>
      <c r="AE11" s="102"/>
      <c r="AF11" s="102"/>
      <c r="AG11" s="151"/>
      <c r="AH11" s="102"/>
      <c r="AK11" s="151"/>
      <c r="AL11" s="102"/>
      <c r="AM11" s="102"/>
      <c r="AN11" s="102"/>
    </row>
    <row r="12" spans="1:40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Z12" s="102"/>
      <c r="AA12" s="102"/>
      <c r="AB12" s="102"/>
      <c r="AC12" s="102"/>
      <c r="AD12" s="102"/>
      <c r="AE12" s="102"/>
      <c r="AF12" s="102"/>
      <c r="AG12" s="151"/>
      <c r="AH12" s="102"/>
      <c r="AK12" s="151"/>
      <c r="AL12" s="102"/>
      <c r="AM12" s="102"/>
      <c r="AN12" s="102"/>
    </row>
    <row r="13" spans="1:40" x14ac:dyDescent="0.3">
      <c r="L13" s="102" t="s">
        <v>12</v>
      </c>
      <c r="M13" s="102"/>
      <c r="N13" s="102" t="s">
        <v>13</v>
      </c>
      <c r="O13" s="102"/>
      <c r="R13" s="102" t="s">
        <v>11</v>
      </c>
      <c r="T13" s="102"/>
      <c r="U13" s="102"/>
      <c r="V13" s="102"/>
      <c r="Z13" s="102"/>
      <c r="AA13" s="102"/>
      <c r="AB13" s="102"/>
      <c r="AC13" s="102"/>
      <c r="AD13" s="102"/>
      <c r="AE13" s="102"/>
      <c r="AF13" s="102"/>
      <c r="AG13" s="151"/>
      <c r="AH13" s="102"/>
      <c r="AI13" s="102"/>
      <c r="AJ13" s="102"/>
      <c r="AK13" s="151"/>
      <c r="AL13" s="102"/>
      <c r="AM13" s="102"/>
      <c r="AN13" s="102"/>
    </row>
    <row r="14" spans="1:40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102"/>
      <c r="U14" s="102"/>
      <c r="V14" s="102"/>
      <c r="Y14" s="102"/>
      <c r="Z14" s="102"/>
      <c r="AA14" s="102"/>
      <c r="AB14" s="102"/>
      <c r="AC14" s="102"/>
      <c r="AD14" s="102"/>
      <c r="AE14" s="102"/>
      <c r="AF14" s="102"/>
      <c r="AG14" s="151"/>
      <c r="AH14" s="102"/>
      <c r="AI14" s="102"/>
      <c r="AJ14" s="102"/>
      <c r="AK14" s="151"/>
      <c r="AL14" s="102"/>
      <c r="AM14" s="102"/>
      <c r="AN14" s="102"/>
    </row>
    <row r="15" spans="1:40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324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91"/>
      <c r="AH15" s="101"/>
      <c r="AI15" s="101"/>
      <c r="AJ15" s="101"/>
      <c r="AK15" s="191"/>
      <c r="AL15" s="101"/>
      <c r="AM15" s="101"/>
      <c r="AN15" s="101"/>
    </row>
    <row r="16" spans="1:40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76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302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T17" s="99"/>
      <c r="U17" s="99"/>
      <c r="Y17" s="102"/>
    </row>
    <row r="18" spans="1:76" x14ac:dyDescent="0.3">
      <c r="A18" s="98">
        <v>1</v>
      </c>
      <c r="C18" s="124" t="s">
        <v>73</v>
      </c>
      <c r="D18" s="124" t="s">
        <v>71</v>
      </c>
      <c r="F18" s="1"/>
      <c r="G18" s="1"/>
      <c r="H18" s="215"/>
      <c r="I18" s="215"/>
      <c r="J18" s="322" t="s">
        <v>312</v>
      </c>
      <c r="K18" s="215"/>
      <c r="L18" s="215"/>
      <c r="M18" s="215"/>
      <c r="N18" s="215"/>
      <c r="O18" s="215"/>
      <c r="P18" s="215"/>
      <c r="Q18" s="215"/>
      <c r="R18" s="215"/>
      <c r="T18" s="99"/>
      <c r="U18" s="99"/>
      <c r="Y18" s="102"/>
    </row>
    <row r="19" spans="1:76" x14ac:dyDescent="0.3">
      <c r="A19" s="98">
        <v>2</v>
      </c>
      <c r="C19" s="169" t="s">
        <v>258</v>
      </c>
      <c r="F19" s="1"/>
      <c r="G19" s="1"/>
      <c r="H19" s="1"/>
      <c r="I19" s="1"/>
      <c r="J19" s="3"/>
      <c r="K19" s="1"/>
      <c r="L19" s="1"/>
      <c r="M19" s="1"/>
      <c r="N19" s="1"/>
      <c r="O19" s="1"/>
      <c r="P19" s="1"/>
      <c r="Q19" s="1"/>
      <c r="R19" s="1"/>
      <c r="T19" s="99"/>
      <c r="U19" s="99"/>
    </row>
    <row r="20" spans="1:76" x14ac:dyDescent="0.3">
      <c r="A20" s="98">
        <v>3</v>
      </c>
      <c r="C20" s="124" t="s">
        <v>334</v>
      </c>
      <c r="D20" s="134"/>
      <c r="F20" s="1"/>
      <c r="G20" s="1"/>
      <c r="H20" s="1"/>
      <c r="I20" s="1"/>
      <c r="J20" s="3"/>
      <c r="K20" s="1"/>
      <c r="L20" s="1"/>
      <c r="M20" s="1"/>
      <c r="N20" s="1"/>
      <c r="O20" s="1"/>
      <c r="P20" s="1"/>
      <c r="Q20" s="1"/>
      <c r="R20" s="1"/>
      <c r="T20" s="99"/>
      <c r="U20" s="99"/>
    </row>
    <row r="21" spans="1:76" x14ac:dyDescent="0.3">
      <c r="A21" s="98">
        <v>4</v>
      </c>
      <c r="C21" s="124" t="s">
        <v>335</v>
      </c>
      <c r="D21" s="134"/>
      <c r="F21" s="1"/>
      <c r="G21" s="1"/>
      <c r="H21" s="1"/>
      <c r="I21" s="1"/>
      <c r="J21" s="3"/>
      <c r="K21" s="1"/>
      <c r="L21" s="1"/>
      <c r="M21" s="1"/>
      <c r="N21" s="1"/>
      <c r="O21" s="1"/>
      <c r="P21" s="1"/>
      <c r="Q21" s="1"/>
      <c r="R21" s="1"/>
      <c r="T21" s="99"/>
      <c r="U21" s="99"/>
    </row>
    <row r="22" spans="1:76" x14ac:dyDescent="0.3">
      <c r="A22" s="98">
        <v>5</v>
      </c>
      <c r="C22" s="99" t="s">
        <v>206</v>
      </c>
      <c r="F22" s="110">
        <v>0</v>
      </c>
      <c r="G22" s="1"/>
      <c r="H22" s="110">
        <v>0</v>
      </c>
      <c r="I22" s="1"/>
      <c r="J22" s="228">
        <f>ROUND(AC95+(AC95*LT_COS_RATE),2)</f>
        <v>7.77</v>
      </c>
      <c r="K22" s="1"/>
      <c r="L22" s="106">
        <f>ROUND(F22*J22,0)</f>
        <v>0</v>
      </c>
      <c r="M22" s="1"/>
      <c r="N22" s="175">
        <f>ROUND((L22/L$72)*100,1)</f>
        <v>0</v>
      </c>
      <c r="O22" s="1"/>
      <c r="P22" s="106">
        <f>ROUND((P$72/H$72)*H22,0)</f>
        <v>0</v>
      </c>
      <c r="Q22" s="1"/>
      <c r="R22" s="106">
        <f>P22+L22</f>
        <v>0</v>
      </c>
      <c r="T22" s="99"/>
      <c r="U22" s="99"/>
      <c r="Y22" s="163"/>
    </row>
    <row r="23" spans="1:76" x14ac:dyDescent="0.3">
      <c r="A23" s="98">
        <v>6</v>
      </c>
      <c r="C23" s="99" t="s">
        <v>336</v>
      </c>
      <c r="F23" s="110">
        <v>0</v>
      </c>
      <c r="G23" s="1"/>
      <c r="H23" s="110">
        <v>0</v>
      </c>
      <c r="I23" s="1"/>
      <c r="J23" s="228">
        <f>ROUND(AC96+(AC96*LT_COS_RATE),2)</f>
        <v>10.050000000000001</v>
      </c>
      <c r="K23" s="1"/>
      <c r="L23" s="106">
        <f>ROUND(F23*J23,0)</f>
        <v>0</v>
      </c>
      <c r="M23" s="1"/>
      <c r="N23" s="175">
        <f>ROUND((L23/L$72)*100,1)</f>
        <v>0</v>
      </c>
      <c r="O23" s="1"/>
      <c r="P23" s="106">
        <f>ROUND((P$72/H$72)*H23,0)</f>
        <v>0</v>
      </c>
      <c r="Q23" s="1"/>
      <c r="R23" s="106">
        <f>P23+L23</f>
        <v>0</v>
      </c>
      <c r="T23" s="99"/>
      <c r="Y23" s="163"/>
    </row>
    <row r="24" spans="1:76" x14ac:dyDescent="0.3">
      <c r="A24" s="98">
        <v>7</v>
      </c>
      <c r="C24" s="99" t="s">
        <v>337</v>
      </c>
      <c r="F24" s="110">
        <v>0</v>
      </c>
      <c r="G24" s="1"/>
      <c r="H24" s="110">
        <v>0</v>
      </c>
      <c r="I24" s="1"/>
      <c r="J24" s="228">
        <f>ROUND(AC97+(AC97*LT_COS_RATE),2)</f>
        <v>14.18</v>
      </c>
      <c r="K24" s="1"/>
      <c r="L24" s="106">
        <f>ROUND(F24*J24,0)</f>
        <v>0</v>
      </c>
      <c r="M24" s="1"/>
      <c r="N24" s="175">
        <f>ROUND((L24/L$72)*100,1)</f>
        <v>0</v>
      </c>
      <c r="O24" s="1"/>
      <c r="P24" s="106">
        <f>ROUND((P$72/H$72)*H24,0)</f>
        <v>0</v>
      </c>
      <c r="Q24" s="1"/>
      <c r="R24" s="106">
        <f>P24+L24</f>
        <v>0</v>
      </c>
      <c r="T24" s="97"/>
      <c r="U24" s="97"/>
      <c r="V24" s="97"/>
      <c r="W24" s="97"/>
      <c r="X24" s="97"/>
      <c r="Y24" s="163"/>
      <c r="Z24" s="97"/>
      <c r="AA24" s="97"/>
      <c r="AB24" s="97"/>
      <c r="AC24" s="97"/>
      <c r="AD24" s="97"/>
      <c r="AE24" s="97"/>
      <c r="AF24" s="97"/>
      <c r="AG24" s="149"/>
      <c r="AH24" s="97"/>
      <c r="AI24" s="97"/>
      <c r="AJ24" s="97"/>
      <c r="AK24" s="149"/>
      <c r="AL24" s="97"/>
      <c r="AM24" s="97"/>
      <c r="AN24" s="97"/>
      <c r="AO24" s="97"/>
      <c r="AP24" s="97"/>
      <c r="AQ24" s="149"/>
    </row>
    <row r="25" spans="1:76" ht="15" customHeight="1" x14ac:dyDescent="0.3">
      <c r="C25" s="99"/>
      <c r="F25" s="110"/>
      <c r="G25" s="1"/>
      <c r="H25" s="1"/>
      <c r="I25" s="1"/>
      <c r="J25" s="163"/>
      <c r="K25" s="1"/>
      <c r="L25" s="1"/>
      <c r="M25" s="1"/>
      <c r="N25" s="1"/>
      <c r="O25" s="1"/>
      <c r="P25" s="1"/>
      <c r="Q25" s="1"/>
      <c r="R25" s="1"/>
      <c r="AE25" s="102"/>
      <c r="AF25" s="102"/>
      <c r="AG25" s="151"/>
      <c r="AH25" s="102"/>
      <c r="AI25" s="102"/>
      <c r="AJ25" s="102"/>
      <c r="AK25" s="151"/>
      <c r="AL25" s="102"/>
      <c r="AO25" s="102"/>
      <c r="AP25" s="102"/>
      <c r="AQ25" s="151"/>
    </row>
    <row r="26" spans="1:76" x14ac:dyDescent="0.3">
      <c r="A26" s="98">
        <v>8</v>
      </c>
      <c r="C26" s="124" t="s">
        <v>338</v>
      </c>
      <c r="F26" s="110"/>
      <c r="G26" s="1"/>
      <c r="H26" s="1"/>
      <c r="I26" s="1"/>
      <c r="J26" s="163"/>
      <c r="K26" s="1"/>
      <c r="L26" s="1"/>
      <c r="M26" s="1"/>
      <c r="N26" s="1"/>
      <c r="O26" s="1"/>
      <c r="P26" s="1"/>
      <c r="Q26" s="1"/>
      <c r="R26" s="1"/>
      <c r="AC26" s="102"/>
      <c r="AD26" s="102"/>
      <c r="AE26" s="102"/>
      <c r="AF26" s="102"/>
      <c r="AG26" s="151"/>
      <c r="AH26" s="102"/>
      <c r="AI26" s="102"/>
      <c r="AJ26" s="102"/>
      <c r="AK26" s="151"/>
      <c r="AL26" s="102"/>
      <c r="AO26" s="102"/>
      <c r="AP26" s="102"/>
      <c r="AQ26" s="151"/>
    </row>
    <row r="27" spans="1:76" x14ac:dyDescent="0.3">
      <c r="A27" s="98">
        <v>9</v>
      </c>
      <c r="C27" s="99" t="s">
        <v>339</v>
      </c>
      <c r="F27" s="110">
        <v>0</v>
      </c>
      <c r="G27" s="1"/>
      <c r="H27" s="110">
        <v>0</v>
      </c>
      <c r="I27" s="1"/>
      <c r="J27" s="228">
        <f>ROUND(AC100+(AC100*LT_COS_RATE),2)</f>
        <v>7.77</v>
      </c>
      <c r="K27" s="1"/>
      <c r="L27" s="106">
        <f>ROUND(F27*J27,0)</f>
        <v>0</v>
      </c>
      <c r="M27" s="1"/>
      <c r="N27" s="175">
        <f>ROUND((L27/L$72)*100,1)</f>
        <v>0</v>
      </c>
      <c r="O27" s="1"/>
      <c r="P27" s="106">
        <f>ROUND((P$72/H$72)*H27,0)</f>
        <v>0</v>
      </c>
      <c r="Q27" s="1"/>
      <c r="R27" s="106">
        <f>P27+L27</f>
        <v>0</v>
      </c>
      <c r="T27" s="102"/>
      <c r="V27" s="102"/>
      <c r="W27" s="102"/>
      <c r="X27" s="102"/>
      <c r="Y27" s="163"/>
      <c r="AA27" s="102"/>
      <c r="AB27" s="102"/>
      <c r="AC27" s="102"/>
      <c r="AD27" s="102"/>
      <c r="AE27" s="102"/>
      <c r="AF27" s="102"/>
      <c r="AG27" s="151"/>
      <c r="AH27" s="102"/>
      <c r="AI27" s="102"/>
      <c r="AJ27" s="102"/>
      <c r="AK27" s="151"/>
      <c r="AL27" s="102"/>
      <c r="AM27" s="102"/>
      <c r="AN27" s="102"/>
      <c r="AO27" s="102"/>
      <c r="AP27" s="102"/>
      <c r="AQ27" s="151"/>
      <c r="AS27" s="110"/>
      <c r="AT27" s="110"/>
      <c r="AU27" s="141"/>
      <c r="BX27" s="220"/>
    </row>
    <row r="28" spans="1:76" x14ac:dyDescent="0.3">
      <c r="A28" s="98">
        <v>10</v>
      </c>
      <c r="C28" s="99" t="s">
        <v>340</v>
      </c>
      <c r="F28" s="110">
        <v>0</v>
      </c>
      <c r="G28" s="1"/>
      <c r="H28" s="110">
        <v>0</v>
      </c>
      <c r="I28" s="1"/>
      <c r="J28" s="228">
        <f>ROUND(AC101+(AC101*LT_COS_RATE),2)</f>
        <v>10.050000000000001</v>
      </c>
      <c r="K28" s="1"/>
      <c r="L28" s="106">
        <f>ROUND(F28*J28,0)</f>
        <v>0</v>
      </c>
      <c r="M28" s="1"/>
      <c r="N28" s="175">
        <f>ROUND((L28/L$72)*100,1)</f>
        <v>0</v>
      </c>
      <c r="O28" s="1"/>
      <c r="P28" s="106">
        <f>ROUND((P$72/H$72)*H28,0)</f>
        <v>0</v>
      </c>
      <c r="Q28" s="1"/>
      <c r="R28" s="106">
        <f>P28+L28</f>
        <v>0</v>
      </c>
      <c r="Y28" s="163"/>
      <c r="AA28" s="102"/>
      <c r="AB28" s="102"/>
      <c r="AC28" s="102"/>
      <c r="AD28" s="102"/>
      <c r="AE28" s="102"/>
      <c r="AF28" s="102"/>
      <c r="AG28" s="151"/>
      <c r="AH28" s="102"/>
      <c r="AI28" s="102"/>
      <c r="AJ28" s="102"/>
      <c r="AK28" s="151"/>
      <c r="AL28" s="102"/>
      <c r="AM28" s="102"/>
      <c r="AN28" s="102"/>
      <c r="AO28" s="102"/>
      <c r="AP28" s="102"/>
      <c r="AQ28" s="151"/>
      <c r="AS28" s="110"/>
      <c r="AT28" s="110"/>
      <c r="AU28" s="226"/>
    </row>
    <row r="29" spans="1:76" x14ac:dyDescent="0.3">
      <c r="A29" s="98">
        <v>11</v>
      </c>
      <c r="C29" s="99" t="s">
        <v>341</v>
      </c>
      <c r="F29" s="110">
        <v>0</v>
      </c>
      <c r="G29" s="1"/>
      <c r="H29" s="110">
        <v>0</v>
      </c>
      <c r="I29" s="1"/>
      <c r="J29" s="228">
        <f>ROUND(AC102+(AC102*LT_COS_RATE),2)</f>
        <v>14.18</v>
      </c>
      <c r="K29" s="1"/>
      <c r="L29" s="106">
        <f>ROUND(F29*J29,0)</f>
        <v>0</v>
      </c>
      <c r="M29" s="1"/>
      <c r="N29" s="175">
        <f>ROUND((L29/L$72)*100,1)</f>
        <v>0</v>
      </c>
      <c r="O29" s="1"/>
      <c r="P29" s="106">
        <f>ROUND((P$72/H$72)*H29,0)</f>
        <v>0</v>
      </c>
      <c r="Q29" s="1"/>
      <c r="R29" s="106">
        <f>P29+L29</f>
        <v>0</v>
      </c>
      <c r="W29" s="99"/>
      <c r="X29" s="99"/>
      <c r="Y29" s="163"/>
      <c r="AS29" s="110"/>
      <c r="AT29" s="110"/>
      <c r="AU29" s="141"/>
    </row>
    <row r="30" spans="1:76" ht="15" customHeight="1" x14ac:dyDescent="0.3">
      <c r="C30" s="99"/>
      <c r="F30" s="110"/>
      <c r="G30" s="1"/>
      <c r="H30" s="1"/>
      <c r="I30" s="1"/>
      <c r="J30" s="163"/>
      <c r="K30" s="1"/>
      <c r="L30" s="1"/>
      <c r="M30" s="1"/>
      <c r="N30" s="1"/>
      <c r="O30" s="1"/>
      <c r="P30" s="1"/>
      <c r="Q30" s="1"/>
      <c r="R30" s="1"/>
      <c r="W30" s="99"/>
      <c r="X30" s="99"/>
      <c r="AS30" s="110"/>
      <c r="AT30" s="110"/>
      <c r="AU30" s="141"/>
    </row>
    <row r="31" spans="1:76" x14ac:dyDescent="0.3">
      <c r="A31" s="98">
        <v>12</v>
      </c>
      <c r="C31" s="124" t="s">
        <v>342</v>
      </c>
      <c r="F31" s="110"/>
      <c r="G31" s="1"/>
      <c r="H31" s="1"/>
      <c r="I31" s="1"/>
      <c r="J31" s="163"/>
      <c r="K31" s="1"/>
      <c r="L31" s="1"/>
      <c r="M31" s="1"/>
      <c r="N31" s="1"/>
      <c r="O31" s="1"/>
      <c r="P31" s="1"/>
      <c r="Q31" s="1"/>
      <c r="R31" s="1"/>
      <c r="AS31" s="110"/>
      <c r="AT31" s="110"/>
      <c r="AU31" s="141"/>
    </row>
    <row r="32" spans="1:76" x14ac:dyDescent="0.3">
      <c r="A32" s="98">
        <v>13</v>
      </c>
      <c r="C32" s="99" t="s">
        <v>343</v>
      </c>
      <c r="F32" s="110">
        <v>0</v>
      </c>
      <c r="G32" s="106"/>
      <c r="H32" s="110">
        <f>ROUND(F32*487/12,0)</f>
        <v>0</v>
      </c>
      <c r="I32" s="1"/>
      <c r="J32" s="228">
        <f>ROUND(AC105+(AC105*LT_COS_RATE),2)</f>
        <v>8.76</v>
      </c>
      <c r="K32" s="1"/>
      <c r="L32" s="106">
        <f>ROUND(F32*J32,0)</f>
        <v>0</v>
      </c>
      <c r="M32" s="1"/>
      <c r="N32" s="175">
        <f>ROUND((L32/L$72)*100,1)</f>
        <v>0</v>
      </c>
      <c r="O32" s="1"/>
      <c r="P32" s="106">
        <f>ROUND((P$72/H$72)*H32,0)</f>
        <v>0</v>
      </c>
      <c r="Q32" s="1"/>
      <c r="R32" s="106">
        <f>P32+L32</f>
        <v>0</v>
      </c>
      <c r="Y32" s="163"/>
    </row>
    <row r="33" spans="1:51" x14ac:dyDescent="0.3">
      <c r="A33" s="98">
        <v>14</v>
      </c>
      <c r="C33" s="99" t="s">
        <v>211</v>
      </c>
      <c r="F33" s="110">
        <v>0</v>
      </c>
      <c r="G33" s="1"/>
      <c r="H33" s="110">
        <v>0</v>
      </c>
      <c r="I33" s="1"/>
      <c r="J33" s="228">
        <f>ROUND(AC106+(AC106*LT_COS_RATE),2)</f>
        <v>9.9700000000000006</v>
      </c>
      <c r="K33" s="1"/>
      <c r="L33" s="106">
        <f>ROUND(F33*J33,0)</f>
        <v>0</v>
      </c>
      <c r="M33" s="1"/>
      <c r="N33" s="175">
        <f>ROUND((L33/L$72)*100,1)</f>
        <v>0</v>
      </c>
      <c r="O33" s="1"/>
      <c r="P33" s="106">
        <f>ROUND((P$72/H$72)*H33,0)</f>
        <v>0</v>
      </c>
      <c r="Q33" s="1"/>
      <c r="R33" s="106">
        <f>P33+L33</f>
        <v>0</v>
      </c>
      <c r="Y33" s="163"/>
      <c r="AA33" s="307"/>
    </row>
    <row r="34" spans="1:51" x14ac:dyDescent="0.3">
      <c r="A34" s="98">
        <v>15</v>
      </c>
      <c r="C34" s="99" t="s">
        <v>212</v>
      </c>
      <c r="F34" s="110">
        <v>0</v>
      </c>
      <c r="G34" s="1"/>
      <c r="H34" s="110">
        <v>0</v>
      </c>
      <c r="I34" s="1"/>
      <c r="J34" s="228">
        <f>ROUND(AC107+(AC107*LT_COS_RATE),2)</f>
        <v>11.16</v>
      </c>
      <c r="K34" s="1"/>
      <c r="L34" s="106">
        <f>ROUND(F34*J34,0)</f>
        <v>0</v>
      </c>
      <c r="M34" s="1"/>
      <c r="N34" s="175">
        <f>ROUND((L34/L$72)*100,1)</f>
        <v>0</v>
      </c>
      <c r="O34" s="1"/>
      <c r="P34" s="106">
        <f>ROUND((P$72/H$72)*H34,0)</f>
        <v>0</v>
      </c>
      <c r="Q34" s="1"/>
      <c r="R34" s="106">
        <f>P34+L34</f>
        <v>0</v>
      </c>
      <c r="Y34" s="163"/>
    </row>
    <row r="35" spans="1:51" x14ac:dyDescent="0.3">
      <c r="A35" s="98">
        <v>16</v>
      </c>
      <c r="C35" s="98" t="s">
        <v>278</v>
      </c>
      <c r="F35" s="110">
        <v>0</v>
      </c>
      <c r="H35" s="110">
        <v>0</v>
      </c>
      <c r="J35" s="228">
        <f>ROUND(AC108+(AC108*LT_COS_RATE),2)</f>
        <v>11.16</v>
      </c>
      <c r="L35" s="106">
        <f>ROUND(F35*J35,0)</f>
        <v>0</v>
      </c>
      <c r="N35" s="175">
        <f>ROUND((L35/L$72)*100,1)</f>
        <v>0</v>
      </c>
      <c r="P35" s="106">
        <f>ROUND((P$72/H$72)*H35,0)</f>
        <v>0</v>
      </c>
      <c r="R35" s="106">
        <f>P35+L35</f>
        <v>0</v>
      </c>
      <c r="Y35" s="163"/>
      <c r="AR35" s="110"/>
    </row>
    <row r="36" spans="1:51" x14ac:dyDescent="0.3">
      <c r="A36" s="98">
        <v>17</v>
      </c>
      <c r="C36" s="98" t="s">
        <v>213</v>
      </c>
      <c r="F36" s="110">
        <v>0</v>
      </c>
      <c r="H36" s="110">
        <v>0</v>
      </c>
      <c r="J36" s="228">
        <f>ROUND(AC109+(AC109*LT_COS_RATE),2)</f>
        <v>15.95</v>
      </c>
      <c r="L36" s="106">
        <f>ROUND(F36*J36,0)</f>
        <v>0</v>
      </c>
      <c r="N36" s="175">
        <f>ROUND((L36/L$72)*100,1)</f>
        <v>0</v>
      </c>
      <c r="P36" s="106">
        <f>ROUND((P$72/H$72)*H36,0)</f>
        <v>0</v>
      </c>
      <c r="R36" s="106">
        <f>P36+L36</f>
        <v>0</v>
      </c>
      <c r="Y36" s="163"/>
      <c r="AR36" s="110"/>
    </row>
    <row r="37" spans="1:51" ht="15" customHeight="1" x14ac:dyDescent="0.3">
      <c r="C37" s="99"/>
      <c r="F37" s="110"/>
      <c r="G37" s="106"/>
      <c r="H37" s="106"/>
      <c r="I37" s="1"/>
      <c r="J37" s="163"/>
      <c r="K37" s="1"/>
      <c r="L37" s="106"/>
      <c r="M37" s="1"/>
      <c r="N37" s="175"/>
      <c r="O37" s="1"/>
      <c r="P37" s="106"/>
      <c r="Q37" s="1"/>
      <c r="R37" s="106"/>
    </row>
    <row r="38" spans="1:51" x14ac:dyDescent="0.3">
      <c r="A38" s="98">
        <v>18</v>
      </c>
      <c r="C38" s="124" t="s">
        <v>344</v>
      </c>
      <c r="F38" s="110"/>
      <c r="G38" s="106"/>
      <c r="H38" s="106"/>
      <c r="I38" s="1"/>
      <c r="J38" s="163"/>
      <c r="K38" s="1"/>
      <c r="L38" s="106"/>
      <c r="M38" s="1"/>
      <c r="N38" s="175"/>
      <c r="O38" s="1"/>
      <c r="P38" s="106"/>
      <c r="Q38" s="1"/>
      <c r="R38" s="106"/>
    </row>
    <row r="39" spans="1:51" x14ac:dyDescent="0.3">
      <c r="A39" s="98">
        <v>19</v>
      </c>
      <c r="C39" s="124" t="s">
        <v>345</v>
      </c>
      <c r="F39" s="110"/>
      <c r="G39" s="106"/>
      <c r="H39" s="106"/>
      <c r="I39" s="1"/>
      <c r="J39" s="163"/>
      <c r="K39" s="1"/>
      <c r="L39" s="106"/>
      <c r="M39" s="1"/>
      <c r="N39" s="175"/>
      <c r="O39" s="1"/>
      <c r="P39" s="106"/>
      <c r="Q39" s="1"/>
      <c r="R39" s="106"/>
    </row>
    <row r="40" spans="1:51" x14ac:dyDescent="0.3">
      <c r="A40" s="98">
        <v>20</v>
      </c>
      <c r="C40" s="99" t="s">
        <v>231</v>
      </c>
      <c r="F40" s="110">
        <v>0</v>
      </c>
      <c r="G40" s="106"/>
      <c r="H40" s="110">
        <v>0</v>
      </c>
      <c r="I40" s="1"/>
      <c r="J40" s="228">
        <f>ROUND(AC113+(AC113*LT_COS_RATE),2)</f>
        <v>9.6999999999999993</v>
      </c>
      <c r="K40" s="1"/>
      <c r="L40" s="106">
        <f>ROUND(F40*J40,0)</f>
        <v>0</v>
      </c>
      <c r="M40" s="1"/>
      <c r="N40" s="175">
        <f>ROUND((L40/L$72)*100,1)</f>
        <v>0</v>
      </c>
      <c r="O40" s="1"/>
      <c r="P40" s="106">
        <f>ROUND((P$72/H$72)*H40,0)</f>
        <v>0</v>
      </c>
      <c r="Q40" s="1"/>
      <c r="R40" s="106">
        <f>P40+L40</f>
        <v>0</v>
      </c>
      <c r="Y40" s="163"/>
    </row>
    <row r="41" spans="1:51" x14ac:dyDescent="0.3">
      <c r="A41" s="98">
        <v>21</v>
      </c>
      <c r="C41" s="99" t="s">
        <v>346</v>
      </c>
      <c r="F41" s="110">
        <v>0</v>
      </c>
      <c r="G41" s="106"/>
      <c r="H41" s="110">
        <v>0</v>
      </c>
      <c r="I41" s="1"/>
      <c r="J41" s="228">
        <f>ROUND(AC114+(AC114*LT_COS_RATE),2)</f>
        <v>9.6</v>
      </c>
      <c r="K41" s="1"/>
      <c r="L41" s="106">
        <f>ROUND(F41*J41,0)</f>
        <v>0</v>
      </c>
      <c r="M41" s="1"/>
      <c r="N41" s="175">
        <f>ROUND((L41/L$72)*100,1)</f>
        <v>0</v>
      </c>
      <c r="O41" s="1"/>
      <c r="P41" s="106">
        <f>ROUND((P$72/H$72)*H41,0)</f>
        <v>0</v>
      </c>
      <c r="Q41" s="1"/>
      <c r="R41" s="106">
        <f>P41+L41</f>
        <v>0</v>
      </c>
      <c r="Y41" s="163"/>
    </row>
    <row r="42" spans="1:51" x14ac:dyDescent="0.3">
      <c r="A42" s="98">
        <v>22</v>
      </c>
      <c r="C42" s="99" t="s">
        <v>232</v>
      </c>
      <c r="F42" s="110">
        <v>0</v>
      </c>
      <c r="G42" s="106"/>
      <c r="H42" s="110">
        <v>0</v>
      </c>
      <c r="I42" s="1"/>
      <c r="J42" s="228">
        <f>ROUND(AC115+(AC115*LT_COS_RATE),2)</f>
        <v>9.6999999999999993</v>
      </c>
      <c r="K42" s="1"/>
      <c r="L42" s="106">
        <f>ROUND(F42*J42,0)</f>
        <v>0</v>
      </c>
      <c r="M42" s="1"/>
      <c r="N42" s="175">
        <f>ROUND((L42/L$72)*100,1)</f>
        <v>0</v>
      </c>
      <c r="O42" s="1"/>
      <c r="P42" s="106">
        <f>ROUND((P$72/H$72)*H42,0)</f>
        <v>0</v>
      </c>
      <c r="Q42" s="1"/>
      <c r="R42" s="106">
        <f>P42+L42</f>
        <v>0</v>
      </c>
      <c r="Y42" s="163"/>
    </row>
    <row r="43" spans="1:51" x14ac:dyDescent="0.3">
      <c r="A43" s="98">
        <v>23</v>
      </c>
      <c r="C43" s="99" t="s">
        <v>233</v>
      </c>
      <c r="F43" s="110">
        <v>0</v>
      </c>
      <c r="G43" s="106"/>
      <c r="H43" s="110">
        <v>0</v>
      </c>
      <c r="I43" s="1"/>
      <c r="J43" s="228">
        <f>ROUND(AC116+(AC116*LT_COS_RATE),2)</f>
        <v>9.6999999999999993</v>
      </c>
      <c r="K43" s="1"/>
      <c r="L43" s="106">
        <f>ROUND(F43*J43,0)</f>
        <v>0</v>
      </c>
      <c r="M43" s="1"/>
      <c r="N43" s="175">
        <f>ROUND((L43/L$72)*100,1)</f>
        <v>0</v>
      </c>
      <c r="O43" s="1"/>
      <c r="P43" s="106">
        <f>ROUND((P$72/H$72)*H43,0)</f>
        <v>0</v>
      </c>
      <c r="Q43" s="1"/>
      <c r="R43" s="106">
        <f>P43+L43</f>
        <v>0</v>
      </c>
      <c r="Y43" s="163"/>
    </row>
    <row r="44" spans="1:51" ht="15" customHeight="1" x14ac:dyDescent="0.3">
      <c r="C44" s="99"/>
      <c r="F44" s="110"/>
      <c r="G44" s="106"/>
      <c r="H44" s="106"/>
      <c r="I44" s="1"/>
      <c r="J44" s="163"/>
      <c r="K44" s="1"/>
      <c r="L44" s="106"/>
      <c r="M44" s="1"/>
      <c r="N44" s="175"/>
      <c r="O44" s="1"/>
      <c r="P44" s="106"/>
      <c r="Q44" s="1"/>
      <c r="R44" s="106"/>
    </row>
    <row r="45" spans="1:51" x14ac:dyDescent="0.3">
      <c r="A45" s="98">
        <v>24</v>
      </c>
      <c r="C45" s="124" t="s">
        <v>347</v>
      </c>
      <c r="F45" s="110"/>
      <c r="G45" s="106"/>
      <c r="H45" s="106"/>
      <c r="I45" s="1"/>
      <c r="J45" s="163"/>
      <c r="K45" s="1"/>
      <c r="L45" s="106"/>
      <c r="M45" s="1"/>
      <c r="N45" s="175"/>
      <c r="O45" s="1"/>
      <c r="P45" s="106"/>
      <c r="Q45" s="1"/>
      <c r="R45" s="106"/>
      <c r="AX45" s="98" t="s">
        <v>300</v>
      </c>
      <c r="AY45" s="98" t="s">
        <v>301</v>
      </c>
    </row>
    <row r="46" spans="1:51" x14ac:dyDescent="0.3">
      <c r="A46" s="98">
        <v>25</v>
      </c>
      <c r="C46" s="99" t="s">
        <v>348</v>
      </c>
      <c r="F46" s="110">
        <v>0</v>
      </c>
      <c r="G46" s="106"/>
      <c r="H46" s="110">
        <v>0</v>
      </c>
      <c r="I46" s="1"/>
      <c r="J46" s="228">
        <f>ROUND(AC119+(AC119*LT_COS_RATE),2)</f>
        <v>9.6</v>
      </c>
      <c r="K46" s="1"/>
      <c r="L46" s="106">
        <f>ROUND(F46*J46,0)</f>
        <v>0</v>
      </c>
      <c r="M46" s="1"/>
      <c r="N46" s="175">
        <f>ROUND((L46/L$72)*100,1)</f>
        <v>0</v>
      </c>
      <c r="O46" s="1"/>
      <c r="P46" s="106">
        <f>ROUND((P$72/H$72)*H46,0)</f>
        <v>0</v>
      </c>
      <c r="Q46" s="1"/>
      <c r="R46" s="106">
        <f>P46+L46</f>
        <v>0</v>
      </c>
      <c r="Y46" s="163"/>
      <c r="AW46" s="98" t="s">
        <v>299</v>
      </c>
      <c r="AX46" s="98" t="s">
        <v>298</v>
      </c>
      <c r="AY46" s="98" t="s">
        <v>298</v>
      </c>
    </row>
    <row r="47" spans="1:51" x14ac:dyDescent="0.3">
      <c r="A47" s="98">
        <v>26</v>
      </c>
      <c r="C47" s="99" t="s">
        <v>268</v>
      </c>
      <c r="F47" s="110">
        <v>0</v>
      </c>
      <c r="G47" s="106"/>
      <c r="H47" s="110">
        <v>0</v>
      </c>
      <c r="I47" s="1"/>
      <c r="J47" s="228">
        <f>ROUND(AC120+(AC120*LT_COS_RATE),2)</f>
        <v>9.7799999999999994</v>
      </c>
      <c r="K47" s="1"/>
      <c r="L47" s="106">
        <f>ROUND(F47*J47,0)</f>
        <v>0</v>
      </c>
      <c r="M47" s="1"/>
      <c r="N47" s="175">
        <f>ROUND((L47/L$72)*100,1)</f>
        <v>0</v>
      </c>
      <c r="O47" s="1"/>
      <c r="P47" s="106">
        <f>ROUND((P$72/H$72)*H47,0)</f>
        <v>0</v>
      </c>
      <c r="Q47" s="1"/>
      <c r="R47" s="106">
        <f>P47+L47</f>
        <v>0</v>
      </c>
      <c r="Y47" s="163"/>
    </row>
    <row r="48" spans="1:51" x14ac:dyDescent="0.3">
      <c r="A48" s="98">
        <v>27</v>
      </c>
      <c r="C48" s="98" t="s">
        <v>232</v>
      </c>
      <c r="F48" s="110">
        <v>0</v>
      </c>
      <c r="G48" s="106"/>
      <c r="H48" s="110">
        <v>0</v>
      </c>
      <c r="I48" s="1"/>
      <c r="J48" s="228">
        <f>ROUND(AC121+(AC121*LT_COS_RATE),2)</f>
        <v>9.7799999999999994</v>
      </c>
      <c r="K48" s="1"/>
      <c r="L48" s="106">
        <f>ROUND(F48*J48,0)</f>
        <v>0</v>
      </c>
      <c r="M48" s="1"/>
      <c r="N48" s="175">
        <f>ROUND((L48/L$72)*100,1)</f>
        <v>0</v>
      </c>
      <c r="O48" s="1"/>
      <c r="P48" s="106">
        <f>ROUND((P$72/H$72)*H48,0)</f>
        <v>0</v>
      </c>
      <c r="Q48" s="1"/>
      <c r="R48" s="106">
        <f>P48+L48</f>
        <v>0</v>
      </c>
      <c r="Y48" s="163"/>
    </row>
    <row r="49" spans="1:51" ht="15" customHeight="1" x14ac:dyDescent="0.3">
      <c r="C49" s="99"/>
      <c r="D49" s="99"/>
      <c r="F49" s="110"/>
      <c r="G49" s="106"/>
      <c r="H49" s="106"/>
      <c r="I49" s="1"/>
      <c r="J49" s="163"/>
      <c r="K49" s="1"/>
      <c r="L49" s="106"/>
      <c r="M49" s="1"/>
      <c r="N49" s="175"/>
      <c r="O49" s="1"/>
      <c r="P49" s="106"/>
      <c r="Q49" s="1"/>
      <c r="R49" s="106"/>
    </row>
    <row r="50" spans="1:51" x14ac:dyDescent="0.3">
      <c r="A50" s="98">
        <v>28</v>
      </c>
      <c r="C50" s="124" t="s">
        <v>349</v>
      </c>
      <c r="F50" s="110"/>
      <c r="G50" s="106"/>
      <c r="H50" s="106"/>
      <c r="I50" s="1"/>
      <c r="J50" s="163"/>
      <c r="K50" s="1"/>
      <c r="L50" s="106"/>
      <c r="M50" s="1"/>
      <c r="N50" s="175"/>
      <c r="O50" s="1"/>
      <c r="P50" s="106"/>
      <c r="Q50" s="1"/>
      <c r="R50" s="106"/>
    </row>
    <row r="51" spans="1:51" x14ac:dyDescent="0.3">
      <c r="A51" s="98">
        <v>29</v>
      </c>
      <c r="C51" s="99" t="s">
        <v>346</v>
      </c>
      <c r="D51" s="99"/>
      <c r="F51" s="110">
        <v>0</v>
      </c>
      <c r="G51" s="106"/>
      <c r="H51" s="110">
        <v>0</v>
      </c>
      <c r="I51" s="1"/>
      <c r="J51" s="228">
        <f t="shared" ref="J51:J57" si="0">ROUND(AC124+(AC124*LT_COS_RATE),2)</f>
        <v>8.64</v>
      </c>
      <c r="K51" s="1"/>
      <c r="L51" s="106">
        <f t="shared" ref="L51:L57" si="1">ROUND(F51*J51,0)</f>
        <v>0</v>
      </c>
      <c r="M51" s="1"/>
      <c r="N51" s="175">
        <f t="shared" ref="N51:N57" si="2">ROUND((L51/L$72)*100,1)</f>
        <v>0</v>
      </c>
      <c r="O51" s="1"/>
      <c r="P51" s="106">
        <f t="shared" ref="P51:P57" si="3">ROUND((P$72/H$72)*H51,0)</f>
        <v>0</v>
      </c>
      <c r="Q51" s="1"/>
      <c r="R51" s="106">
        <f t="shared" ref="R51:R57" si="4">P51+L51</f>
        <v>0</v>
      </c>
      <c r="Y51" s="163"/>
    </row>
    <row r="52" spans="1:51" x14ac:dyDescent="0.3">
      <c r="A52" s="98">
        <v>30</v>
      </c>
      <c r="C52" s="99" t="s">
        <v>348</v>
      </c>
      <c r="D52" s="99"/>
      <c r="F52" s="110">
        <v>0</v>
      </c>
      <c r="G52" s="106"/>
      <c r="H52" s="110">
        <v>0</v>
      </c>
      <c r="I52" s="1"/>
      <c r="J52" s="228">
        <f t="shared" si="0"/>
        <v>8.64</v>
      </c>
      <c r="K52" s="1"/>
      <c r="L52" s="106">
        <f t="shared" si="1"/>
        <v>0</v>
      </c>
      <c r="M52" s="1"/>
      <c r="N52" s="175">
        <f t="shared" si="2"/>
        <v>0</v>
      </c>
      <c r="O52" s="1"/>
      <c r="P52" s="106">
        <f t="shared" si="3"/>
        <v>0</v>
      </c>
      <c r="Q52" s="1"/>
      <c r="R52" s="106">
        <f t="shared" si="4"/>
        <v>0</v>
      </c>
      <c r="Y52" s="163"/>
    </row>
    <row r="53" spans="1:51" x14ac:dyDescent="0.3">
      <c r="A53" s="98">
        <v>31</v>
      </c>
      <c r="C53" s="99" t="s">
        <v>268</v>
      </c>
      <c r="D53" s="99"/>
      <c r="F53" s="110">
        <v>0</v>
      </c>
      <c r="G53" s="106"/>
      <c r="H53" s="110">
        <v>0</v>
      </c>
      <c r="I53" s="1"/>
      <c r="J53" s="228">
        <f t="shared" si="0"/>
        <v>9.0399999999999991</v>
      </c>
      <c r="K53" s="1"/>
      <c r="L53" s="106">
        <f t="shared" si="1"/>
        <v>0</v>
      </c>
      <c r="M53" s="1"/>
      <c r="N53" s="175">
        <f t="shared" si="2"/>
        <v>0</v>
      </c>
      <c r="O53" s="1"/>
      <c r="P53" s="106">
        <f t="shared" si="3"/>
        <v>0</v>
      </c>
      <c r="Q53" s="1"/>
      <c r="R53" s="106">
        <f t="shared" si="4"/>
        <v>0</v>
      </c>
      <c r="Y53" s="163"/>
      <c r="AW53" s="106">
        <f>487</f>
        <v>487</v>
      </c>
      <c r="AX53" s="1">
        <f>ROUND((AW53/12)*CUR_BASE_FUEL,2)</f>
        <v>1.37</v>
      </c>
      <c r="AY53" s="1">
        <f>ROUND((AW53/12)*PRO_BASE_FUEL,2)</f>
        <v>1.37</v>
      </c>
    </row>
    <row r="54" spans="1:51" x14ac:dyDescent="0.3">
      <c r="A54" s="98">
        <v>32</v>
      </c>
      <c r="C54" s="99" t="s">
        <v>235</v>
      </c>
      <c r="D54" s="99"/>
      <c r="F54" s="110">
        <v>0</v>
      </c>
      <c r="G54" s="106"/>
      <c r="H54" s="110">
        <v>0</v>
      </c>
      <c r="I54" s="1"/>
      <c r="J54" s="228">
        <f t="shared" si="0"/>
        <v>8.64</v>
      </c>
      <c r="K54" s="1"/>
      <c r="L54" s="106">
        <f t="shared" si="1"/>
        <v>0</v>
      </c>
      <c r="M54" s="1"/>
      <c r="N54" s="175">
        <f t="shared" si="2"/>
        <v>0</v>
      </c>
      <c r="O54" s="1"/>
      <c r="P54" s="106">
        <f t="shared" si="3"/>
        <v>0</v>
      </c>
      <c r="Q54" s="1"/>
      <c r="R54" s="106">
        <f t="shared" si="4"/>
        <v>0</v>
      </c>
      <c r="Y54" s="163"/>
      <c r="AW54" s="106"/>
    </row>
    <row r="55" spans="1:51" x14ac:dyDescent="0.3">
      <c r="A55" s="98">
        <v>33</v>
      </c>
      <c r="C55" s="99" t="s">
        <v>233</v>
      </c>
      <c r="D55" s="99"/>
      <c r="F55" s="110">
        <v>0</v>
      </c>
      <c r="G55" s="1"/>
      <c r="H55" s="110">
        <v>0</v>
      </c>
      <c r="I55" s="1"/>
      <c r="J55" s="228">
        <f t="shared" si="0"/>
        <v>9.0399999999999991</v>
      </c>
      <c r="K55" s="1"/>
      <c r="L55" s="106">
        <f t="shared" si="1"/>
        <v>0</v>
      </c>
      <c r="M55" s="1"/>
      <c r="N55" s="175">
        <f t="shared" si="2"/>
        <v>0</v>
      </c>
      <c r="O55" s="1"/>
      <c r="P55" s="106">
        <f t="shared" si="3"/>
        <v>0</v>
      </c>
      <c r="Q55" s="1"/>
      <c r="R55" s="106">
        <f t="shared" si="4"/>
        <v>0</v>
      </c>
      <c r="Y55" s="163"/>
      <c r="AW55" s="1"/>
    </row>
    <row r="56" spans="1:51" x14ac:dyDescent="0.3">
      <c r="A56" s="98">
        <v>34</v>
      </c>
      <c r="C56" s="99" t="s">
        <v>231</v>
      </c>
      <c r="D56" s="99"/>
      <c r="F56" s="110">
        <v>0</v>
      </c>
      <c r="G56" s="1"/>
      <c r="H56" s="110">
        <v>0</v>
      </c>
      <c r="I56" s="1"/>
      <c r="J56" s="228">
        <f t="shared" si="0"/>
        <v>9.0399999999999991</v>
      </c>
      <c r="K56" s="1"/>
      <c r="L56" s="106">
        <f t="shared" si="1"/>
        <v>0</v>
      </c>
      <c r="M56" s="1"/>
      <c r="N56" s="175">
        <f t="shared" si="2"/>
        <v>0</v>
      </c>
      <c r="O56" s="1"/>
      <c r="P56" s="106">
        <f t="shared" si="3"/>
        <v>0</v>
      </c>
      <c r="Q56" s="1"/>
      <c r="R56" s="106">
        <f t="shared" si="4"/>
        <v>0</v>
      </c>
      <c r="Y56" s="163"/>
      <c r="AW56" s="1"/>
    </row>
    <row r="57" spans="1:51" x14ac:dyDescent="0.3">
      <c r="A57" s="98">
        <v>35</v>
      </c>
      <c r="C57" s="99" t="s">
        <v>232</v>
      </c>
      <c r="D57" s="99"/>
      <c r="F57" s="110">
        <v>0</v>
      </c>
      <c r="G57" s="1"/>
      <c r="H57" s="110">
        <v>0</v>
      </c>
      <c r="I57" s="1"/>
      <c r="J57" s="228">
        <f t="shared" si="0"/>
        <v>9.0399999999999991</v>
      </c>
      <c r="K57" s="1"/>
      <c r="L57" s="106">
        <f t="shared" si="1"/>
        <v>0</v>
      </c>
      <c r="M57" s="1"/>
      <c r="N57" s="175">
        <f t="shared" si="2"/>
        <v>0</v>
      </c>
      <c r="O57" s="1"/>
      <c r="P57" s="106">
        <f t="shared" si="3"/>
        <v>0</v>
      </c>
      <c r="Q57" s="1"/>
      <c r="R57" s="106">
        <f t="shared" si="4"/>
        <v>0</v>
      </c>
      <c r="Y57" s="163"/>
      <c r="AW57" s="147"/>
      <c r="AX57" s="98">
        <f>CUR_BASE_FUEL</f>
        <v>3.3779999999999998E-2</v>
      </c>
      <c r="AY57" s="98">
        <f>PRO_BASE_FUEL</f>
        <v>3.3779999999999998E-2</v>
      </c>
    </row>
    <row r="58" spans="1:51" ht="15" customHeight="1" x14ac:dyDescent="0.3">
      <c r="D58" s="99"/>
      <c r="F58" s="110"/>
      <c r="G58" s="1"/>
      <c r="I58" s="1"/>
      <c r="J58" s="163"/>
      <c r="K58" s="1"/>
      <c r="L58" s="1"/>
      <c r="M58" s="1"/>
      <c r="N58" s="1"/>
      <c r="O58" s="1"/>
      <c r="P58" s="1"/>
      <c r="Q58" s="1"/>
      <c r="R58" s="1"/>
    </row>
    <row r="59" spans="1:51" x14ac:dyDescent="0.3">
      <c r="A59" s="98">
        <v>36</v>
      </c>
      <c r="C59" s="124" t="s">
        <v>350</v>
      </c>
      <c r="D59" s="99"/>
      <c r="F59" s="110"/>
      <c r="G59" s="1"/>
      <c r="I59" s="1"/>
      <c r="J59" s="163"/>
      <c r="K59" s="1"/>
      <c r="L59" s="1"/>
      <c r="M59" s="1"/>
      <c r="N59" s="1"/>
      <c r="O59" s="1"/>
      <c r="P59" s="1"/>
      <c r="Q59" s="1"/>
      <c r="R59" s="1"/>
    </row>
    <row r="60" spans="1:51" x14ac:dyDescent="0.3">
      <c r="A60" s="98">
        <v>37</v>
      </c>
      <c r="C60" s="99" t="s">
        <v>215</v>
      </c>
      <c r="D60" s="99"/>
      <c r="F60" s="110">
        <v>0</v>
      </c>
      <c r="G60" s="1"/>
      <c r="H60" s="110">
        <v>0</v>
      </c>
      <c r="I60" s="1"/>
      <c r="J60" s="228">
        <f>ROUND(AC133+(AC133*LT_COS_RATE),2)</f>
        <v>11.84</v>
      </c>
      <c r="K60" s="1"/>
      <c r="L60" s="106">
        <f>ROUND(F60*J60,0)</f>
        <v>0</v>
      </c>
      <c r="M60" s="1"/>
      <c r="N60" s="175">
        <f>ROUND((L60/L$72)*100,1)</f>
        <v>0</v>
      </c>
      <c r="O60" s="1"/>
      <c r="P60" s="106">
        <f>ROUND((P$72/H$72)*H60,0)</f>
        <v>0</v>
      </c>
      <c r="Q60" s="1"/>
      <c r="R60" s="106">
        <f>P60+L60</f>
        <v>0</v>
      </c>
      <c r="Y60" s="163"/>
    </row>
    <row r="61" spans="1:51" x14ac:dyDescent="0.3">
      <c r="A61" s="98">
        <v>38</v>
      </c>
      <c r="C61" s="99" t="s">
        <v>216</v>
      </c>
      <c r="D61" s="99"/>
      <c r="F61" s="110">
        <v>0</v>
      </c>
      <c r="G61" s="1"/>
      <c r="H61" s="110">
        <v>0</v>
      </c>
      <c r="I61" s="1"/>
      <c r="J61" s="228">
        <f>ROUND(AC134+(AC134*LT_COS_RATE),2)</f>
        <v>16.43</v>
      </c>
      <c r="K61" s="1"/>
      <c r="L61" s="106">
        <f>ROUND(F61*J61,0)</f>
        <v>0</v>
      </c>
      <c r="M61" s="1"/>
      <c r="N61" s="175">
        <f>ROUND((L61/L$72)*100,1)</f>
        <v>0</v>
      </c>
      <c r="O61" s="1"/>
      <c r="P61" s="106">
        <f>ROUND((P$72/H$72)*H61,0)</f>
        <v>0</v>
      </c>
      <c r="Q61" s="1"/>
      <c r="R61" s="106">
        <f>P61+L61</f>
        <v>0</v>
      </c>
      <c r="Y61" s="163"/>
    </row>
    <row r="62" spans="1:51" x14ac:dyDescent="0.3">
      <c r="C62" s="99"/>
      <c r="D62" s="99"/>
      <c r="F62" s="110"/>
      <c r="G62" s="1"/>
      <c r="H62" s="1"/>
      <c r="I62" s="1"/>
      <c r="J62" s="163"/>
      <c r="K62" s="1"/>
      <c r="L62" s="1"/>
      <c r="M62" s="1"/>
      <c r="N62" s="1"/>
      <c r="O62" s="1"/>
      <c r="P62" s="1"/>
      <c r="Q62" s="1"/>
      <c r="R62" s="1"/>
    </row>
    <row r="63" spans="1:51" x14ac:dyDescent="0.3">
      <c r="A63" s="98">
        <v>39</v>
      </c>
      <c r="C63" s="124" t="s">
        <v>74</v>
      </c>
      <c r="F63" s="110"/>
      <c r="G63" s="1"/>
      <c r="H63" s="1"/>
      <c r="I63" s="1"/>
      <c r="J63" s="163"/>
      <c r="K63" s="1"/>
      <c r="L63" s="1"/>
      <c r="M63" s="1"/>
      <c r="N63" s="1"/>
      <c r="O63" s="1"/>
      <c r="P63" s="1"/>
      <c r="Q63" s="1"/>
      <c r="R63" s="1"/>
    </row>
    <row r="64" spans="1:51" x14ac:dyDescent="0.3">
      <c r="A64" s="98">
        <v>40</v>
      </c>
      <c r="C64" s="124" t="s">
        <v>75</v>
      </c>
      <c r="F64" s="183">
        <v>2064</v>
      </c>
      <c r="G64" s="1"/>
      <c r="H64" s="183">
        <f>7607*12</f>
        <v>91284</v>
      </c>
      <c r="I64" s="1"/>
      <c r="J64" s="184">
        <f>ROUND(AC137+(AC137*LT_COS_RATE),6)</f>
        <v>7.5455999999999995E-2</v>
      </c>
      <c r="K64" s="1"/>
      <c r="L64" s="117">
        <f>ROUND((H64*J64),0)</f>
        <v>6888</v>
      </c>
      <c r="M64" s="1"/>
      <c r="N64" s="236">
        <f>ROUND((L64/L$72)*100,1)</f>
        <v>96.5</v>
      </c>
      <c r="O64" s="1"/>
      <c r="P64" s="117">
        <f>ROUND((P$72/H$72)*H64,0)</f>
        <v>318</v>
      </c>
      <c r="Q64" s="1"/>
      <c r="R64" s="117">
        <f>P64+L64</f>
        <v>7206</v>
      </c>
      <c r="Y64" s="307"/>
    </row>
    <row r="65" spans="1:43" ht="20.100000000000001" customHeight="1" x14ac:dyDescent="0.3">
      <c r="A65" s="98">
        <v>41</v>
      </c>
      <c r="C65" s="169" t="s">
        <v>468</v>
      </c>
      <c r="F65" s="246">
        <f>SUM(F22:F64)</f>
        <v>2064</v>
      </c>
      <c r="G65" s="1"/>
      <c r="H65" s="246">
        <f>SUM(H22:H64)</f>
        <v>91284</v>
      </c>
      <c r="I65" s="1"/>
      <c r="J65" s="244"/>
      <c r="K65" s="1"/>
      <c r="L65" s="246">
        <f>SUM(L22:L64)</f>
        <v>6888</v>
      </c>
      <c r="M65" s="1"/>
      <c r="N65" s="193">
        <f>ROUND((L65/L$72)*100,1)</f>
        <v>96.5</v>
      </c>
      <c r="O65" s="1"/>
      <c r="P65" s="246">
        <f>SUM(P22:P64)</f>
        <v>318</v>
      </c>
      <c r="Q65" s="1"/>
      <c r="R65" s="246">
        <f>SUM(R22:R64)</f>
        <v>7206</v>
      </c>
      <c r="Y65" s="307"/>
    </row>
    <row r="66" spans="1:43" x14ac:dyDescent="0.3">
      <c r="C66" s="169"/>
      <c r="F66" s="172"/>
      <c r="G66" s="1"/>
      <c r="H66" s="172"/>
      <c r="I66" s="1"/>
      <c r="J66" s="184"/>
      <c r="K66" s="1"/>
      <c r="L66" s="106"/>
      <c r="M66" s="1"/>
      <c r="N66" s="175"/>
      <c r="O66" s="1"/>
      <c r="P66" s="106"/>
      <c r="Q66" s="1"/>
      <c r="R66" s="106"/>
      <c r="Y66" s="307"/>
    </row>
    <row r="67" spans="1:43" x14ac:dyDescent="0.3">
      <c r="A67" s="98">
        <v>42</v>
      </c>
      <c r="C67" s="124" t="s">
        <v>465</v>
      </c>
      <c r="F67" s="172"/>
      <c r="G67" s="1"/>
      <c r="H67" s="172"/>
      <c r="I67" s="1"/>
      <c r="J67" s="184"/>
      <c r="K67" s="1"/>
      <c r="L67" s="106"/>
      <c r="M67" s="1"/>
      <c r="N67" s="175"/>
      <c r="O67" s="1"/>
      <c r="P67" s="106"/>
      <c r="Q67" s="1"/>
      <c r="R67" s="106"/>
      <c r="Y67" s="307"/>
    </row>
    <row r="68" spans="1:43" x14ac:dyDescent="0.3">
      <c r="A68" s="98">
        <v>43</v>
      </c>
      <c r="C68" s="176" t="str">
        <f>ESM_Name</f>
        <v>ENVIRONMENTAL SURCHARGE MECHANISM RIDER (ESM)</v>
      </c>
      <c r="F68" s="106"/>
      <c r="G68" s="1"/>
      <c r="H68" s="106"/>
      <c r="I68" s="106"/>
      <c r="J68" s="307">
        <f>PRO_ESM_NONRES</f>
        <v>5.3681872802409589E-3</v>
      </c>
      <c r="K68" s="1"/>
      <c r="L68" s="106">
        <f>ROUND((R65-(PRO_BASE_FUEL*H65)+R69)*J68,0)</f>
        <v>23</v>
      </c>
      <c r="M68" s="1"/>
      <c r="N68" s="175">
        <f>ROUND((L68/L$72)*100,1)</f>
        <v>0.3</v>
      </c>
      <c r="O68" s="1"/>
      <c r="P68" s="106"/>
      <c r="Q68" s="1"/>
      <c r="R68" s="106">
        <f>P68+L68</f>
        <v>23</v>
      </c>
      <c r="Y68" s="307"/>
    </row>
    <row r="69" spans="1:43" x14ac:dyDescent="0.3">
      <c r="A69" s="98">
        <v>44</v>
      </c>
      <c r="C69" s="176" t="str">
        <f>PSM_Name</f>
        <v>PROFIT SHARING MECHANISM (PSM)</v>
      </c>
      <c r="F69" s="106"/>
      <c r="G69" s="1"/>
      <c r="H69" s="106"/>
      <c r="I69" s="106"/>
      <c r="J69" s="218">
        <f>PRO_PSM</f>
        <v>2.4750000000000002E-3</v>
      </c>
      <c r="K69" s="1"/>
      <c r="L69" s="117">
        <f>ROUND($H$65*J69,0)</f>
        <v>226</v>
      </c>
      <c r="M69" s="1"/>
      <c r="N69" s="156">
        <f>ROUND((L69/L$72)*100,1)</f>
        <v>3.2</v>
      </c>
      <c r="O69" s="1"/>
      <c r="P69" s="117"/>
      <c r="Q69" s="1"/>
      <c r="R69" s="106">
        <f>P69+L69</f>
        <v>226</v>
      </c>
      <c r="Y69" s="307"/>
    </row>
    <row r="70" spans="1:43" ht="20.100000000000001" customHeight="1" x14ac:dyDescent="0.3">
      <c r="A70" s="98">
        <v>45</v>
      </c>
      <c r="C70" s="124" t="s">
        <v>461</v>
      </c>
      <c r="F70" s="183"/>
      <c r="G70" s="1"/>
      <c r="H70" s="183"/>
      <c r="I70" s="1"/>
      <c r="J70" s="184"/>
      <c r="K70" s="1"/>
      <c r="L70" s="112">
        <f>SUM(L68:L69)</f>
        <v>249</v>
      </c>
      <c r="M70" s="1"/>
      <c r="N70" s="158">
        <f>ROUND((L70/L$72)*100,1)</f>
        <v>3.5</v>
      </c>
      <c r="O70" s="1"/>
      <c r="P70" s="112"/>
      <c r="Q70" s="1"/>
      <c r="R70" s="112">
        <f>SUM(R68:R69)</f>
        <v>249</v>
      </c>
      <c r="Y70" s="307"/>
    </row>
    <row r="71" spans="1:43" x14ac:dyDescent="0.3">
      <c r="C71" s="124"/>
      <c r="F71" s="172"/>
      <c r="G71" s="1"/>
      <c r="H71" s="172"/>
      <c r="I71" s="1"/>
      <c r="J71" s="184"/>
      <c r="K71" s="1"/>
      <c r="L71" s="106"/>
      <c r="M71" s="1"/>
      <c r="N71" s="175"/>
      <c r="O71" s="1"/>
      <c r="P71" s="106"/>
      <c r="Q71" s="1"/>
      <c r="R71" s="106"/>
      <c r="Y71" s="307"/>
    </row>
    <row r="72" spans="1:43" ht="20.100000000000001" customHeight="1" thickBot="1" x14ac:dyDescent="0.35">
      <c r="A72" s="98">
        <v>46</v>
      </c>
      <c r="C72" s="124" t="s">
        <v>469</v>
      </c>
      <c r="F72" s="120">
        <f>F65</f>
        <v>2064</v>
      </c>
      <c r="G72" s="1"/>
      <c r="H72" s="120">
        <f>H65</f>
        <v>91284</v>
      </c>
      <c r="I72" s="1"/>
      <c r="J72" s="3"/>
      <c r="K72" s="1"/>
      <c r="L72" s="120">
        <f>L70+L65</f>
        <v>7137</v>
      </c>
      <c r="M72" s="1"/>
      <c r="N72" s="313">
        <v>100</v>
      </c>
      <c r="O72" s="1"/>
      <c r="P72" s="319">
        <f>ROUND(H72*CUR_FAC,0)</f>
        <v>318</v>
      </c>
      <c r="Q72" s="1"/>
      <c r="R72" s="120">
        <f>R70+R65</f>
        <v>7455</v>
      </c>
    </row>
    <row r="73" spans="1:43" ht="15" customHeight="1" thickTop="1" x14ac:dyDescent="0.3">
      <c r="F73" s="147"/>
      <c r="G73" s="1"/>
      <c r="H73" s="147"/>
      <c r="I73" s="147"/>
      <c r="J73" s="242"/>
      <c r="K73" s="240"/>
      <c r="L73" s="106"/>
      <c r="M73" s="106"/>
      <c r="N73" s="175"/>
      <c r="O73" s="175"/>
      <c r="P73" s="106"/>
      <c r="Q73" s="106"/>
      <c r="R73" s="106"/>
      <c r="S73" s="110"/>
    </row>
    <row r="74" spans="1:43" x14ac:dyDescent="0.3">
      <c r="C74" s="178" t="s">
        <v>76</v>
      </c>
      <c r="F74" s="172"/>
      <c r="H74" s="172"/>
      <c r="I74" s="172"/>
      <c r="J74" s="228"/>
      <c r="K74" s="181"/>
      <c r="L74" s="110"/>
      <c r="M74" s="110"/>
      <c r="N74" s="141"/>
      <c r="O74" s="141"/>
      <c r="P74" s="110"/>
      <c r="Q74" s="110"/>
      <c r="R74" s="110"/>
      <c r="S74" s="110"/>
      <c r="T74" s="97" t="str">
        <f>NAME</f>
        <v>DUKE ENERGY KENTUCKY, INC.</v>
      </c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149"/>
      <c r="AH74" s="97"/>
      <c r="AI74" s="97"/>
      <c r="AJ74" s="97"/>
      <c r="AK74" s="149"/>
      <c r="AL74" s="97"/>
      <c r="AM74" s="97"/>
      <c r="AN74" s="97"/>
      <c r="AO74" s="97"/>
      <c r="AP74" s="97"/>
      <c r="AQ74" s="149"/>
    </row>
    <row r="75" spans="1:43" x14ac:dyDescent="0.3">
      <c r="C75" s="178" t="str">
        <f>"(2) REFLECTS FUEL COMPONENT OF "&amp;TEXT(PRO_FAC,"$0.000000;($0.000000)")&amp;" PER KWH."</f>
        <v>(2) REFLECTS FUEL COMPONENT OF $0.003487 PER KWH.</v>
      </c>
      <c r="F75" s="172"/>
      <c r="H75" s="172"/>
      <c r="I75" s="172"/>
      <c r="J75" s="228"/>
      <c r="K75" s="181"/>
      <c r="L75" s="110"/>
      <c r="M75" s="110"/>
      <c r="N75" s="141"/>
      <c r="O75" s="141"/>
      <c r="P75" s="110"/>
      <c r="Q75" s="110"/>
      <c r="R75" s="110"/>
      <c r="T75" s="97" t="str">
        <f>CASE_NO</f>
        <v>CASE NO.   2024-00354</v>
      </c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149"/>
      <c r="AH75" s="97"/>
      <c r="AI75" s="97"/>
      <c r="AJ75" s="97"/>
      <c r="AK75" s="149"/>
      <c r="AL75" s="97"/>
      <c r="AM75" s="97"/>
      <c r="AN75" s="97"/>
      <c r="AO75" s="97"/>
      <c r="AP75" s="97"/>
      <c r="AQ75" s="149"/>
    </row>
    <row r="76" spans="1:43" x14ac:dyDescent="0.3">
      <c r="C76" s="178" t="str">
        <f>"(3) REFLECTS FUEL COST RECOVERY INCLUDED IN BASE RATES OF "&amp;TEXT(PRO_BASE_FUEL,"$0.000000;($0.000000)")&amp;"  PER KWH."</f>
        <v>(3) REFLECTS FUEL COST RECOVERY INCLUDED IN BASE RATES OF $0.033780  PER KWH.</v>
      </c>
      <c r="F76" s="172"/>
      <c r="H76" s="172"/>
      <c r="I76" s="172"/>
      <c r="J76" s="228"/>
      <c r="K76" s="181"/>
      <c r="L76" s="110"/>
      <c r="M76" s="110"/>
      <c r="N76" s="141"/>
      <c r="O76" s="141"/>
      <c r="P76" s="110"/>
      <c r="Q76" s="110"/>
      <c r="R76" s="110"/>
      <c r="T76" s="97" t="str">
        <f>TITLE</f>
        <v>ANNUALIZED BASE YEAR REVENUES AT PROPOSED VS. MOST CURRENT RATES</v>
      </c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149"/>
      <c r="AH76" s="97"/>
      <c r="AI76" s="97"/>
      <c r="AJ76" s="97"/>
      <c r="AK76" s="149"/>
      <c r="AL76" s="97"/>
      <c r="AM76" s="97"/>
      <c r="AN76" s="97"/>
      <c r="AO76" s="97"/>
      <c r="AP76" s="97"/>
      <c r="AQ76" s="149"/>
    </row>
    <row r="77" spans="1:43" x14ac:dyDescent="0.3">
      <c r="F77" s="192"/>
      <c r="H77" s="110"/>
      <c r="I77" s="110"/>
      <c r="J77" s="217"/>
      <c r="K77" s="217"/>
      <c r="L77" s="192"/>
      <c r="M77" s="192"/>
      <c r="N77" s="192"/>
      <c r="O77" s="192"/>
      <c r="P77" s="192"/>
      <c r="Q77" s="192"/>
      <c r="R77" s="192"/>
      <c r="T77" s="97" t="str">
        <f>DATE</f>
        <v>FOR THE TWELVE MONTHS ENDED February 28, 2025</v>
      </c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149"/>
      <c r="AH77" s="97"/>
      <c r="AI77" s="97"/>
      <c r="AJ77" s="97"/>
      <c r="AK77" s="149"/>
      <c r="AL77" s="97"/>
      <c r="AM77" s="97"/>
      <c r="AN77" s="97"/>
      <c r="AO77" s="97"/>
      <c r="AP77" s="97"/>
      <c r="AQ77" s="149"/>
    </row>
    <row r="78" spans="1:43" x14ac:dyDescent="0.3">
      <c r="F78" s="192"/>
      <c r="H78" s="110"/>
      <c r="I78" s="110"/>
      <c r="J78" s="217"/>
      <c r="K78" s="217"/>
      <c r="L78" s="192"/>
      <c r="M78" s="192"/>
      <c r="N78" s="192"/>
      <c r="O78" s="192"/>
      <c r="P78" s="192"/>
      <c r="Q78" s="192"/>
      <c r="R78" s="192"/>
      <c r="T78" s="97" t="str">
        <f>SERVICE</f>
        <v>(ELECTRIC SERVICE)</v>
      </c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149"/>
      <c r="AH78" s="97"/>
      <c r="AI78" s="97"/>
      <c r="AJ78" s="97"/>
      <c r="AK78" s="149"/>
      <c r="AL78" s="97"/>
      <c r="AM78" s="97"/>
      <c r="AN78" s="97"/>
      <c r="AO78" s="97"/>
      <c r="AP78" s="97"/>
      <c r="AQ78" s="149"/>
    </row>
    <row r="79" spans="1:43" x14ac:dyDescent="0.3">
      <c r="F79" s="192"/>
      <c r="H79" s="110"/>
      <c r="J79" s="228"/>
      <c r="K79" s="220"/>
      <c r="L79" s="192"/>
      <c r="M79" s="252"/>
      <c r="N79" s="323"/>
      <c r="O79" s="252"/>
      <c r="P79" s="192"/>
      <c r="Q79" s="252"/>
      <c r="R79" s="192"/>
      <c r="S79" s="110"/>
      <c r="T79" s="98" t="str">
        <f>DATA_PERIOD</f>
        <v>DATA: __X__ BASE PERIOD   ____FORECASTED PERIOD</v>
      </c>
      <c r="AO79" s="99" t="s">
        <v>157</v>
      </c>
      <c r="AP79" s="99"/>
    </row>
    <row r="80" spans="1:43" x14ac:dyDescent="0.3"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92"/>
      <c r="Q80" s="192"/>
      <c r="R80" s="192"/>
      <c r="T80" s="98" t="str">
        <f>TYPE</f>
        <v>TYPE OF FILING: _X_ ORIGINAL   ___UPDATED  ___ REVISED</v>
      </c>
      <c r="AO80" s="116" t="str">
        <f>"PAGE 18 OF "&amp;TEXT(Page_Num_2.2,"00")</f>
        <v>PAGE 18 OF 24</v>
      </c>
      <c r="AP80" s="99"/>
    </row>
    <row r="81" spans="1:49" x14ac:dyDescent="0.3">
      <c r="A81" s="99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T81" s="99" t="s">
        <v>170</v>
      </c>
      <c r="AO81" s="99" t="s">
        <v>3</v>
      </c>
      <c r="AP81" s="99"/>
    </row>
    <row r="82" spans="1:49" x14ac:dyDescent="0.3">
      <c r="H82" s="99"/>
      <c r="I82" s="99"/>
      <c r="J82" s="163"/>
      <c r="T82" s="134" t="str">
        <f>TIME</f>
        <v>6 Months Actual and 6 Months Projected with Riders</v>
      </c>
      <c r="AF82" s="99"/>
      <c r="AO82" s="110" t="str">
        <f>WIT</f>
        <v>B. L. Sailers</v>
      </c>
    </row>
    <row r="83" spans="1:49" x14ac:dyDescent="0.3">
      <c r="J83" s="163"/>
      <c r="T83" s="97" t="s">
        <v>130</v>
      </c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149"/>
      <c r="AH83" s="97"/>
      <c r="AI83" s="97"/>
      <c r="AJ83" s="97"/>
      <c r="AK83" s="149"/>
      <c r="AL83" s="97"/>
      <c r="AM83" s="97"/>
      <c r="AN83" s="97"/>
      <c r="AO83" s="97"/>
      <c r="AP83" s="97"/>
      <c r="AQ83" s="149"/>
    </row>
    <row r="84" spans="1:49" x14ac:dyDescent="0.3">
      <c r="J84" s="163"/>
      <c r="L84" s="99"/>
      <c r="M84" s="99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0"/>
      <c r="AF84" s="100"/>
      <c r="AG84" s="150"/>
      <c r="AH84" s="100"/>
      <c r="AI84" s="100"/>
      <c r="AJ84" s="100"/>
      <c r="AK84" s="150"/>
      <c r="AL84" s="100"/>
      <c r="AM84" s="100"/>
      <c r="AN84" s="101"/>
      <c r="AO84" s="101"/>
      <c r="AP84" s="101"/>
      <c r="AQ84" s="191"/>
    </row>
    <row r="85" spans="1:49" ht="18" customHeight="1" x14ac:dyDescent="0.3">
      <c r="J85" s="163"/>
      <c r="R85" s="99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02" t="s">
        <v>8</v>
      </c>
      <c r="AF85" s="102"/>
      <c r="AG85" s="151" t="s">
        <v>7</v>
      </c>
      <c r="AH85" s="102"/>
      <c r="AI85" s="102" t="s">
        <v>9</v>
      </c>
      <c r="AJ85" s="102"/>
      <c r="AK85" s="151" t="s">
        <v>10</v>
      </c>
      <c r="AL85" s="102"/>
      <c r="AN85" s="174"/>
      <c r="AO85" s="254" t="s">
        <v>8</v>
      </c>
      <c r="AP85" s="254"/>
      <c r="AQ85" s="255" t="s">
        <v>11</v>
      </c>
    </row>
    <row r="86" spans="1:49" x14ac:dyDescent="0.3">
      <c r="J86" s="163"/>
      <c r="R86" s="99"/>
      <c r="AC86" s="102" t="s">
        <v>14</v>
      </c>
      <c r="AD86" s="102"/>
      <c r="AE86" s="102" t="s">
        <v>12</v>
      </c>
      <c r="AF86" s="102"/>
      <c r="AG86" s="151" t="s">
        <v>13</v>
      </c>
      <c r="AH86" s="102"/>
      <c r="AI86" s="102" t="s">
        <v>15</v>
      </c>
      <c r="AJ86" s="102"/>
      <c r="AK86" s="151" t="s">
        <v>16</v>
      </c>
      <c r="AL86" s="102"/>
      <c r="AO86" s="102" t="s">
        <v>11</v>
      </c>
      <c r="AP86" s="102"/>
      <c r="AQ86" s="151" t="s">
        <v>9</v>
      </c>
    </row>
    <row r="87" spans="1:49" x14ac:dyDescent="0.3">
      <c r="A87" s="99"/>
      <c r="J87" s="163"/>
      <c r="R87" s="99"/>
      <c r="T87" s="102" t="s">
        <v>17</v>
      </c>
      <c r="V87" s="102" t="s">
        <v>18</v>
      </c>
      <c r="W87" s="102" t="s">
        <v>19</v>
      </c>
      <c r="X87" s="102"/>
      <c r="Y87" s="102" t="s">
        <v>20</v>
      </c>
      <c r="AC87" s="102" t="s">
        <v>8</v>
      </c>
      <c r="AD87" s="102"/>
      <c r="AE87" s="102" t="s">
        <v>593</v>
      </c>
      <c r="AF87" s="102"/>
      <c r="AG87" s="151" t="s">
        <v>593</v>
      </c>
      <c r="AH87" s="102"/>
      <c r="AI87" s="103" t="s">
        <v>708</v>
      </c>
      <c r="AJ87" s="102"/>
      <c r="AK87" s="152" t="s">
        <v>708</v>
      </c>
      <c r="AL87" s="102"/>
      <c r="AM87" s="102" t="s">
        <v>593</v>
      </c>
      <c r="AN87" s="102"/>
      <c r="AO87" s="102" t="s">
        <v>9</v>
      </c>
      <c r="AP87" s="102"/>
      <c r="AQ87" s="151" t="s">
        <v>21</v>
      </c>
    </row>
    <row r="88" spans="1:49" x14ac:dyDescent="0.3">
      <c r="J88" s="163"/>
      <c r="L88" s="99"/>
      <c r="M88" s="99"/>
      <c r="T88" s="102" t="s">
        <v>22</v>
      </c>
      <c r="V88" s="102" t="s">
        <v>23</v>
      </c>
      <c r="W88" s="102" t="s">
        <v>24</v>
      </c>
      <c r="X88" s="102"/>
      <c r="Y88" s="102" t="s">
        <v>25</v>
      </c>
      <c r="AA88" s="102" t="s">
        <v>26</v>
      </c>
      <c r="AB88" s="102"/>
      <c r="AC88" s="103" t="s">
        <v>324</v>
      </c>
      <c r="AD88" s="102"/>
      <c r="AE88" s="102" t="s">
        <v>9</v>
      </c>
      <c r="AF88" s="102"/>
      <c r="AG88" s="151" t="s">
        <v>9</v>
      </c>
      <c r="AH88" s="102"/>
      <c r="AI88" s="131" t="s">
        <v>29</v>
      </c>
      <c r="AJ88" s="131"/>
      <c r="AK88" s="165" t="s">
        <v>30</v>
      </c>
      <c r="AL88" s="102"/>
      <c r="AM88" s="102" t="s">
        <v>323</v>
      </c>
      <c r="AN88" s="102"/>
      <c r="AO88" s="131" t="s">
        <v>31</v>
      </c>
      <c r="AP88" s="131"/>
      <c r="AQ88" s="165" t="s">
        <v>32</v>
      </c>
    </row>
    <row r="89" spans="1:49" x14ac:dyDescent="0.3">
      <c r="A89" s="101"/>
      <c r="B89" s="101"/>
      <c r="C89" s="101"/>
      <c r="D89" s="101"/>
      <c r="E89" s="101"/>
      <c r="F89" s="101"/>
      <c r="G89" s="101"/>
      <c r="H89" s="101"/>
      <c r="I89" s="101"/>
      <c r="J89" s="212"/>
      <c r="K89" s="101"/>
      <c r="L89" s="101"/>
      <c r="M89" s="101"/>
      <c r="N89" s="101"/>
      <c r="O89" s="101"/>
      <c r="P89" s="101"/>
      <c r="Q89" s="101"/>
      <c r="R89" s="101"/>
      <c r="V89" s="131" t="s">
        <v>33</v>
      </c>
      <c r="W89" s="131" t="s">
        <v>34</v>
      </c>
      <c r="X89" s="131"/>
      <c r="Y89" s="131" t="s">
        <v>35</v>
      </c>
      <c r="Z89" s="134"/>
      <c r="AA89" s="131" t="s">
        <v>36</v>
      </c>
      <c r="AB89" s="131"/>
      <c r="AC89" s="128" t="s">
        <v>42</v>
      </c>
      <c r="AD89" s="131"/>
      <c r="AE89" s="131" t="s">
        <v>43</v>
      </c>
      <c r="AF89" s="131"/>
      <c r="AG89" s="165" t="s">
        <v>44</v>
      </c>
      <c r="AH89" s="131"/>
      <c r="AI89" s="131" t="s">
        <v>45</v>
      </c>
      <c r="AJ89" s="131"/>
      <c r="AK89" s="165" t="s">
        <v>46</v>
      </c>
      <c r="AL89" s="131"/>
      <c r="AM89" s="131" t="s">
        <v>40</v>
      </c>
      <c r="AN89" s="131"/>
      <c r="AO89" s="131" t="s">
        <v>47</v>
      </c>
      <c r="AP89" s="131"/>
      <c r="AQ89" s="165" t="s">
        <v>48</v>
      </c>
    </row>
    <row r="90" spans="1:49" ht="17.100000000000001" customHeight="1" x14ac:dyDescent="0.3">
      <c r="J90" s="163"/>
      <c r="L90" s="102"/>
      <c r="M90" s="102"/>
      <c r="N90" s="102"/>
      <c r="O90" s="102"/>
      <c r="R90" s="102"/>
      <c r="T90" s="174"/>
      <c r="U90" s="174"/>
      <c r="V90" s="174"/>
      <c r="W90" s="174"/>
      <c r="X90" s="174"/>
      <c r="Y90" s="174"/>
      <c r="Z90" s="174"/>
      <c r="AA90" s="258" t="s">
        <v>49</v>
      </c>
      <c r="AB90" s="258"/>
      <c r="AC90" s="167" t="s">
        <v>69</v>
      </c>
      <c r="AD90" s="258"/>
      <c r="AE90" s="258" t="s">
        <v>50</v>
      </c>
      <c r="AF90" s="258"/>
      <c r="AG90" s="259" t="s">
        <v>51</v>
      </c>
      <c r="AH90" s="258"/>
      <c r="AI90" s="258" t="s">
        <v>50</v>
      </c>
      <c r="AJ90" s="258"/>
      <c r="AK90" s="259" t="s">
        <v>51</v>
      </c>
      <c r="AL90" s="258"/>
      <c r="AM90" s="258" t="s">
        <v>50</v>
      </c>
      <c r="AN90" s="258"/>
      <c r="AO90" s="258" t="s">
        <v>50</v>
      </c>
      <c r="AP90" s="258"/>
      <c r="AQ90" s="259" t="s">
        <v>51</v>
      </c>
    </row>
    <row r="91" spans="1:49" x14ac:dyDescent="0.3">
      <c r="J91" s="163"/>
      <c r="L91" s="102"/>
      <c r="M91" s="102"/>
      <c r="N91" s="102"/>
      <c r="O91" s="102"/>
      <c r="R91" s="102"/>
      <c r="T91" s="98">
        <v>1</v>
      </c>
      <c r="V91" s="124" t="s">
        <v>73</v>
      </c>
      <c r="W91" s="124" t="s">
        <v>71</v>
      </c>
      <c r="X91" s="99"/>
      <c r="Y91" s="1"/>
      <c r="Z91" s="1"/>
      <c r="AA91" s="215"/>
      <c r="AB91" s="215"/>
      <c r="AC91" s="322" t="s">
        <v>312</v>
      </c>
      <c r="AD91" s="215"/>
      <c r="AE91" s="215"/>
      <c r="AF91" s="215"/>
      <c r="AG91" s="219"/>
      <c r="AH91" s="215"/>
      <c r="AI91" s="215"/>
      <c r="AJ91" s="215"/>
      <c r="AK91" s="219"/>
      <c r="AL91" s="215"/>
      <c r="AM91" s="215"/>
      <c r="AN91" s="215"/>
      <c r="AO91" s="215"/>
      <c r="AP91" s="215"/>
      <c r="AQ91" s="219"/>
    </row>
    <row r="92" spans="1:49" x14ac:dyDescent="0.3">
      <c r="A92" s="102"/>
      <c r="C92" s="102"/>
      <c r="D92" s="102"/>
      <c r="E92" s="102"/>
      <c r="F92" s="102"/>
      <c r="H92" s="102"/>
      <c r="I92" s="102"/>
      <c r="J92" s="213"/>
      <c r="K92" s="102"/>
      <c r="L92" s="102"/>
      <c r="M92" s="102"/>
      <c r="N92" s="102"/>
      <c r="O92" s="102"/>
      <c r="P92" s="102"/>
      <c r="Q92" s="102"/>
      <c r="R92" s="102"/>
      <c r="T92" s="98">
        <v>2</v>
      </c>
      <c r="V92" s="169" t="s">
        <v>258</v>
      </c>
      <c r="W92" s="134"/>
      <c r="X92" s="99"/>
      <c r="Y92" s="1"/>
      <c r="Z92" s="1"/>
      <c r="AA92" s="1"/>
      <c r="AB92" s="1"/>
      <c r="AC92" s="1"/>
      <c r="AD92" s="1"/>
      <c r="AE92" s="1"/>
      <c r="AF92" s="1"/>
      <c r="AG92" s="154"/>
      <c r="AH92" s="1"/>
      <c r="AI92" s="1"/>
      <c r="AJ92" s="1"/>
      <c r="AK92" s="154"/>
      <c r="AL92" s="1"/>
      <c r="AM92" s="1"/>
      <c r="AN92" s="1"/>
      <c r="AO92" s="1"/>
      <c r="AP92" s="1"/>
      <c r="AQ92" s="154"/>
      <c r="AU92" s="102"/>
    </row>
    <row r="93" spans="1:49" x14ac:dyDescent="0.3">
      <c r="C93" s="102"/>
      <c r="D93" s="102"/>
      <c r="E93" s="102"/>
      <c r="F93" s="102"/>
      <c r="H93" s="102"/>
      <c r="I93" s="102"/>
      <c r="J93" s="213"/>
      <c r="K93" s="102"/>
      <c r="L93" s="102"/>
      <c r="M93" s="102"/>
      <c r="N93" s="102"/>
      <c r="O93" s="102"/>
      <c r="P93" s="102"/>
      <c r="Q93" s="102"/>
      <c r="R93" s="102"/>
      <c r="T93" s="98">
        <v>3</v>
      </c>
      <c r="V93" s="124" t="s">
        <v>334</v>
      </c>
      <c r="W93" s="134"/>
      <c r="X93" s="99"/>
      <c r="Y93" s="106"/>
      <c r="Z93" s="1"/>
      <c r="AA93" s="1"/>
      <c r="AB93" s="1"/>
      <c r="AC93" s="1"/>
      <c r="AD93" s="1"/>
      <c r="AE93" s="1"/>
      <c r="AF93" s="1"/>
      <c r="AG93" s="154"/>
      <c r="AH93" s="1"/>
      <c r="AI93" s="1"/>
      <c r="AJ93" s="1"/>
      <c r="AK93" s="154"/>
      <c r="AL93" s="1"/>
      <c r="AM93" s="1"/>
      <c r="AN93" s="1"/>
      <c r="AO93" s="1"/>
      <c r="AP93" s="1"/>
      <c r="AQ93" s="154"/>
      <c r="AU93" s="102"/>
      <c r="AW93" s="98" t="s">
        <v>107</v>
      </c>
    </row>
    <row r="94" spans="1:49" x14ac:dyDescent="0.3">
      <c r="A94" s="101"/>
      <c r="B94" s="101"/>
      <c r="C94" s="101"/>
      <c r="D94" s="101"/>
      <c r="E94" s="101"/>
      <c r="F94" s="101"/>
      <c r="G94" s="101"/>
      <c r="H94" s="101"/>
      <c r="I94" s="101"/>
      <c r="J94" s="212"/>
      <c r="K94" s="101"/>
      <c r="L94" s="101"/>
      <c r="M94" s="101"/>
      <c r="N94" s="101"/>
      <c r="O94" s="101"/>
      <c r="P94" s="101"/>
      <c r="Q94" s="101"/>
      <c r="R94" s="101"/>
      <c r="T94" s="98">
        <v>4</v>
      </c>
      <c r="V94" s="124" t="s">
        <v>335</v>
      </c>
      <c r="W94" s="134"/>
      <c r="X94" s="99"/>
      <c r="Y94" s="106"/>
      <c r="Z94" s="1"/>
      <c r="AA94" s="1"/>
      <c r="AB94" s="1"/>
      <c r="AC94" s="1"/>
      <c r="AD94" s="1"/>
      <c r="AE94" s="1"/>
      <c r="AF94" s="1"/>
      <c r="AG94" s="154"/>
      <c r="AH94" s="1"/>
      <c r="AI94" s="1"/>
      <c r="AJ94" s="1"/>
      <c r="AK94" s="154"/>
      <c r="AL94" s="1"/>
      <c r="AM94" s="1"/>
      <c r="AN94" s="1"/>
      <c r="AO94" s="1"/>
      <c r="AP94" s="1"/>
      <c r="AQ94" s="154"/>
      <c r="AW94" s="98" t="s">
        <v>351</v>
      </c>
    </row>
    <row r="95" spans="1:49" x14ac:dyDescent="0.3">
      <c r="H95" s="102"/>
      <c r="I95" s="102"/>
      <c r="J95" s="213"/>
      <c r="K95" s="102"/>
      <c r="L95" s="102"/>
      <c r="M95" s="102"/>
      <c r="N95" s="102"/>
      <c r="O95" s="102"/>
      <c r="P95" s="102"/>
      <c r="Q95" s="102"/>
      <c r="R95" s="102"/>
      <c r="T95" s="98">
        <v>5</v>
      </c>
      <c r="V95" s="99" t="s">
        <v>206</v>
      </c>
      <c r="X95" s="99"/>
      <c r="Y95" s="106">
        <f>F22</f>
        <v>0</v>
      </c>
      <c r="Z95" s="1"/>
      <c r="AA95" s="106">
        <f>H22</f>
        <v>0</v>
      </c>
      <c r="AB95" s="1"/>
      <c r="AC95" s="308">
        <v>6.8</v>
      </c>
      <c r="AD95" s="1"/>
      <c r="AE95" s="106">
        <f>ROUND(Y95*AC95,0)</f>
        <v>0</v>
      </c>
      <c r="AF95" s="1"/>
      <c r="AG95" s="154">
        <f>ROUND((AE95/AE$145)*100,1)</f>
        <v>0</v>
      </c>
      <c r="AH95" s="1"/>
      <c r="AI95" s="106">
        <f>L22-AE95</f>
        <v>0</v>
      </c>
      <c r="AJ95" s="1"/>
      <c r="AK95" s="154">
        <v>0</v>
      </c>
      <c r="AL95" s="1"/>
      <c r="AM95" s="106">
        <f>ROUND((AM$145/AA$145)*AA95,0)</f>
        <v>0</v>
      </c>
      <c r="AN95" s="1"/>
      <c r="AO95" s="106">
        <f>AM95+AE95</f>
        <v>0</v>
      </c>
      <c r="AP95" s="1"/>
      <c r="AQ95" s="154">
        <v>0</v>
      </c>
      <c r="AU95" s="163"/>
      <c r="AV95" s="1"/>
      <c r="AW95" s="98">
        <v>803</v>
      </c>
    </row>
    <row r="96" spans="1:49" x14ac:dyDescent="0.3">
      <c r="C96" s="99"/>
      <c r="D96" s="99"/>
      <c r="E96" s="99"/>
      <c r="J96" s="163"/>
      <c r="T96" s="98">
        <v>6</v>
      </c>
      <c r="V96" s="99" t="s">
        <v>336</v>
      </c>
      <c r="X96" s="99"/>
      <c r="Y96" s="106">
        <f>F23</f>
        <v>0</v>
      </c>
      <c r="Z96" s="1"/>
      <c r="AA96" s="106">
        <f>H23</f>
        <v>0</v>
      </c>
      <c r="AB96" s="1"/>
      <c r="AC96" s="308">
        <v>8.8000000000000007</v>
      </c>
      <c r="AD96" s="1"/>
      <c r="AE96" s="106">
        <f>ROUND(Y96*AC96,0)</f>
        <v>0</v>
      </c>
      <c r="AF96" s="1"/>
      <c r="AG96" s="154">
        <f>ROUND((AE96/AE$145)*100,1)</f>
        <v>0</v>
      </c>
      <c r="AH96" s="1"/>
      <c r="AI96" s="106">
        <f>L23-AE96</f>
        <v>0</v>
      </c>
      <c r="AJ96" s="1"/>
      <c r="AK96" s="154">
        <v>0</v>
      </c>
      <c r="AL96" s="1"/>
      <c r="AM96" s="106">
        <f>ROUND((AM$145/AA$145)*AA96,0)</f>
        <v>0</v>
      </c>
      <c r="AN96" s="1"/>
      <c r="AO96" s="106">
        <f>AM96+AE96</f>
        <v>0</v>
      </c>
      <c r="AP96" s="1"/>
      <c r="AQ96" s="154">
        <v>0</v>
      </c>
      <c r="AU96" s="163"/>
      <c r="AV96" s="1"/>
      <c r="AW96" s="98">
        <v>1144</v>
      </c>
    </row>
    <row r="97" spans="3:49" x14ac:dyDescent="0.3">
      <c r="D97" s="99"/>
      <c r="E97" s="99"/>
      <c r="J97" s="163"/>
      <c r="T97" s="98">
        <v>7</v>
      </c>
      <c r="V97" s="99" t="s">
        <v>337</v>
      </c>
      <c r="X97" s="99"/>
      <c r="Y97" s="106">
        <f>F24</f>
        <v>0</v>
      </c>
      <c r="Z97" s="1"/>
      <c r="AA97" s="106">
        <f>H24</f>
        <v>0</v>
      </c>
      <c r="AB97" s="1"/>
      <c r="AC97" s="308">
        <v>12.41</v>
      </c>
      <c r="AD97" s="1"/>
      <c r="AE97" s="106">
        <f>ROUND(Y97*AC97,0)</f>
        <v>0</v>
      </c>
      <c r="AF97" s="1"/>
      <c r="AG97" s="154">
        <f>ROUND((AE97/AE$145)*100,1)</f>
        <v>0</v>
      </c>
      <c r="AH97" s="1"/>
      <c r="AI97" s="106">
        <f>L24-AE97</f>
        <v>0</v>
      </c>
      <c r="AJ97" s="1"/>
      <c r="AK97" s="154">
        <v>0</v>
      </c>
      <c r="AL97" s="1"/>
      <c r="AM97" s="106">
        <f>ROUND((AM$145/AA$145)*AA97,0)</f>
        <v>0</v>
      </c>
      <c r="AN97" s="1"/>
      <c r="AO97" s="106">
        <f>AM97+AE97</f>
        <v>0</v>
      </c>
      <c r="AP97" s="1"/>
      <c r="AQ97" s="154">
        <v>0</v>
      </c>
      <c r="AU97" s="163"/>
      <c r="AV97" s="1"/>
      <c r="AW97" s="98">
        <v>1789</v>
      </c>
    </row>
    <row r="98" spans="3:49" ht="15" customHeight="1" x14ac:dyDescent="0.3">
      <c r="J98" s="163"/>
      <c r="V98" s="99"/>
      <c r="X98" s="99"/>
      <c r="Y98" s="106"/>
      <c r="Z98" s="1"/>
      <c r="AA98" s="1"/>
      <c r="AB98" s="1"/>
      <c r="AC98" s="308"/>
      <c r="AD98" s="1"/>
      <c r="AE98" s="1"/>
      <c r="AF98" s="1"/>
      <c r="AG98" s="154"/>
      <c r="AH98" s="1"/>
      <c r="AI98" s="1"/>
      <c r="AJ98" s="1"/>
      <c r="AK98" s="154"/>
      <c r="AL98" s="1"/>
      <c r="AM98" s="1"/>
      <c r="AN98" s="1"/>
      <c r="AO98" s="1"/>
      <c r="AP98" s="1"/>
      <c r="AQ98" s="154"/>
      <c r="AV98" s="1"/>
    </row>
    <row r="99" spans="3:49" x14ac:dyDescent="0.3">
      <c r="C99" s="99"/>
      <c r="F99" s="172"/>
      <c r="H99" s="172"/>
      <c r="I99" s="172"/>
      <c r="J99" s="228"/>
      <c r="K99" s="181"/>
      <c r="L99" s="110"/>
      <c r="M99" s="110"/>
      <c r="N99" s="141"/>
      <c r="O99" s="141"/>
      <c r="R99" s="110"/>
      <c r="T99" s="98">
        <v>8</v>
      </c>
      <c r="V99" s="124" t="s">
        <v>338</v>
      </c>
      <c r="X99" s="99"/>
      <c r="Y99" s="106"/>
      <c r="Z99" s="1"/>
      <c r="AA99" s="1"/>
      <c r="AB99" s="1"/>
      <c r="AC99" s="308"/>
      <c r="AD99" s="1"/>
      <c r="AE99" s="1"/>
      <c r="AF99" s="1"/>
      <c r="AG99" s="154"/>
      <c r="AH99" s="1"/>
      <c r="AI99" s="1"/>
      <c r="AJ99" s="1"/>
      <c r="AK99" s="154"/>
      <c r="AL99" s="1"/>
      <c r="AM99" s="1"/>
      <c r="AN99" s="1"/>
      <c r="AO99" s="1"/>
      <c r="AP99" s="1"/>
      <c r="AQ99" s="154"/>
      <c r="AV99" s="1"/>
    </row>
    <row r="100" spans="3:49" x14ac:dyDescent="0.3">
      <c r="C100" s="99"/>
      <c r="F100" s="172"/>
      <c r="H100" s="172"/>
      <c r="I100" s="172"/>
      <c r="J100" s="228"/>
      <c r="K100" s="181"/>
      <c r="L100" s="110"/>
      <c r="M100" s="110"/>
      <c r="N100" s="141"/>
      <c r="O100" s="141"/>
      <c r="R100" s="110"/>
      <c r="T100" s="98">
        <v>9</v>
      </c>
      <c r="V100" s="99" t="s">
        <v>339</v>
      </c>
      <c r="X100" s="99"/>
      <c r="Y100" s="106">
        <f>F27</f>
        <v>0</v>
      </c>
      <c r="Z100" s="1"/>
      <c r="AA100" s="106">
        <f>H27</f>
        <v>0</v>
      </c>
      <c r="AB100" s="1"/>
      <c r="AC100" s="308">
        <v>6.8</v>
      </c>
      <c r="AD100" s="1"/>
      <c r="AE100" s="106">
        <f>ROUND(Y100*AC100,0)</f>
        <v>0</v>
      </c>
      <c r="AF100" s="1"/>
      <c r="AG100" s="154">
        <f>ROUND((AE100/AE$145)*100,1)</f>
        <v>0</v>
      </c>
      <c r="AH100" s="1"/>
      <c r="AI100" s="106">
        <f>L27-AE100</f>
        <v>0</v>
      </c>
      <c r="AJ100" s="1"/>
      <c r="AK100" s="154">
        <v>0</v>
      </c>
      <c r="AL100" s="1"/>
      <c r="AM100" s="106">
        <f>ROUND((AM$145/AA$145)*AA100,0)</f>
        <v>0</v>
      </c>
      <c r="AN100" s="1"/>
      <c r="AO100" s="106">
        <f>AM100+AE100</f>
        <v>0</v>
      </c>
      <c r="AP100" s="1"/>
      <c r="AQ100" s="154">
        <v>0</v>
      </c>
      <c r="AU100" s="163"/>
      <c r="AV100" s="1"/>
      <c r="AW100" s="98">
        <v>803</v>
      </c>
    </row>
    <row r="101" spans="3:49" x14ac:dyDescent="0.3">
      <c r="F101" s="192"/>
      <c r="H101" s="110"/>
      <c r="I101" s="110"/>
      <c r="J101" s="228"/>
      <c r="K101" s="217"/>
      <c r="L101" s="192"/>
      <c r="M101" s="192"/>
      <c r="N101" s="192"/>
      <c r="O101" s="192"/>
      <c r="P101" s="192"/>
      <c r="Q101" s="192"/>
      <c r="R101" s="192"/>
      <c r="T101" s="98">
        <v>10</v>
      </c>
      <c r="V101" s="99" t="s">
        <v>340</v>
      </c>
      <c r="X101" s="99"/>
      <c r="Y101" s="106">
        <f>F28</f>
        <v>0</v>
      </c>
      <c r="Z101" s="1"/>
      <c r="AA101" s="106">
        <f>H28</f>
        <v>0</v>
      </c>
      <c r="AB101" s="1"/>
      <c r="AC101" s="308">
        <v>8.8000000000000007</v>
      </c>
      <c r="AD101" s="1"/>
      <c r="AE101" s="106">
        <f>ROUND(Y101*AC101,0)</f>
        <v>0</v>
      </c>
      <c r="AF101" s="1"/>
      <c r="AG101" s="154">
        <f>ROUND((AE101/AE$145)*100,1)</f>
        <v>0</v>
      </c>
      <c r="AH101" s="1"/>
      <c r="AI101" s="106">
        <f>L28-AE101</f>
        <v>0</v>
      </c>
      <c r="AJ101" s="1"/>
      <c r="AK101" s="154">
        <v>0</v>
      </c>
      <c r="AL101" s="1"/>
      <c r="AM101" s="106">
        <f>ROUND((AM$145/AA$145)*AA101,0)</f>
        <v>0</v>
      </c>
      <c r="AN101" s="1"/>
      <c r="AO101" s="106">
        <f>AM101+AE101</f>
        <v>0</v>
      </c>
      <c r="AP101" s="1"/>
      <c r="AQ101" s="154">
        <v>0</v>
      </c>
      <c r="AU101" s="163"/>
      <c r="AV101" s="1"/>
      <c r="AW101" s="98">
        <v>1144</v>
      </c>
    </row>
    <row r="102" spans="3:49" x14ac:dyDescent="0.3">
      <c r="C102" s="99"/>
      <c r="F102" s="110"/>
      <c r="H102" s="110"/>
      <c r="I102" s="110"/>
      <c r="J102" s="228"/>
      <c r="K102" s="217"/>
      <c r="L102" s="110"/>
      <c r="M102" s="110"/>
      <c r="N102" s="141"/>
      <c r="O102" s="141"/>
      <c r="P102" s="110"/>
      <c r="Q102" s="110"/>
      <c r="R102" s="110"/>
      <c r="T102" s="98">
        <v>11</v>
      </c>
      <c r="V102" s="99" t="s">
        <v>341</v>
      </c>
      <c r="X102" s="99"/>
      <c r="Y102" s="106">
        <f>F29</f>
        <v>0</v>
      </c>
      <c r="Z102" s="1"/>
      <c r="AA102" s="106">
        <f>H29</f>
        <v>0</v>
      </c>
      <c r="AB102" s="1"/>
      <c r="AC102" s="308">
        <v>12.41</v>
      </c>
      <c r="AD102" s="1"/>
      <c r="AE102" s="106">
        <f>ROUND(Y102*AC102,0)</f>
        <v>0</v>
      </c>
      <c r="AF102" s="1"/>
      <c r="AG102" s="154">
        <f>ROUND((AE102/AE$145)*100,1)</f>
        <v>0</v>
      </c>
      <c r="AH102" s="1"/>
      <c r="AI102" s="106">
        <f>L29-AE102</f>
        <v>0</v>
      </c>
      <c r="AJ102" s="1"/>
      <c r="AK102" s="154">
        <v>0</v>
      </c>
      <c r="AL102" s="1"/>
      <c r="AM102" s="106">
        <f>ROUND((AM$145/AA$145)*AA102,0)</f>
        <v>0</v>
      </c>
      <c r="AN102" s="1"/>
      <c r="AO102" s="106">
        <f>AM102+AE102</f>
        <v>0</v>
      </c>
      <c r="AP102" s="1"/>
      <c r="AQ102" s="154">
        <v>0</v>
      </c>
      <c r="AU102" s="163"/>
      <c r="AV102" s="1"/>
      <c r="AW102" s="98">
        <v>1789</v>
      </c>
    </row>
    <row r="103" spans="3:49" ht="15" customHeight="1" x14ac:dyDescent="0.3">
      <c r="F103" s="192"/>
      <c r="H103" s="110"/>
      <c r="I103" s="110"/>
      <c r="J103" s="228"/>
      <c r="K103" s="217"/>
      <c r="L103" s="192"/>
      <c r="M103" s="192"/>
      <c r="N103" s="192"/>
      <c r="O103" s="192"/>
      <c r="P103" s="192"/>
      <c r="Q103" s="192"/>
      <c r="R103" s="192"/>
      <c r="V103" s="99"/>
      <c r="X103" s="99"/>
      <c r="Y103" s="106"/>
      <c r="Z103" s="1"/>
      <c r="AA103" s="1"/>
      <c r="AB103" s="1"/>
      <c r="AC103" s="308"/>
      <c r="AD103" s="1"/>
      <c r="AE103" s="1"/>
      <c r="AF103" s="1"/>
      <c r="AG103" s="154"/>
      <c r="AH103" s="1"/>
      <c r="AI103" s="1"/>
      <c r="AJ103" s="1"/>
      <c r="AK103" s="154"/>
      <c r="AL103" s="1"/>
      <c r="AM103" s="1"/>
      <c r="AN103" s="1"/>
      <c r="AO103" s="1"/>
      <c r="AP103" s="1"/>
      <c r="AQ103" s="154"/>
      <c r="AV103" s="1"/>
    </row>
    <row r="104" spans="3:49" x14ac:dyDescent="0.3">
      <c r="F104" s="110"/>
      <c r="H104" s="110"/>
      <c r="I104" s="110"/>
      <c r="J104" s="228"/>
      <c r="K104" s="217"/>
      <c r="L104" s="110"/>
      <c r="M104" s="110"/>
      <c r="N104" s="141"/>
      <c r="O104" s="141"/>
      <c r="P104" s="110"/>
      <c r="Q104" s="110"/>
      <c r="R104" s="110"/>
      <c r="T104" s="98">
        <v>12</v>
      </c>
      <c r="V104" s="124" t="s">
        <v>342</v>
      </c>
      <c r="X104" s="99"/>
      <c r="Y104" s="106"/>
      <c r="Z104" s="1"/>
      <c r="AA104" s="1"/>
      <c r="AB104" s="1"/>
      <c r="AC104" s="308"/>
      <c r="AD104" s="1"/>
      <c r="AE104" s="1"/>
      <c r="AF104" s="1"/>
      <c r="AG104" s="154"/>
      <c r="AH104" s="1"/>
      <c r="AI104" s="1"/>
      <c r="AJ104" s="1"/>
      <c r="AK104" s="154"/>
      <c r="AL104" s="1"/>
      <c r="AM104" s="1"/>
      <c r="AN104" s="1"/>
      <c r="AO104" s="1"/>
      <c r="AP104" s="1"/>
      <c r="AQ104" s="154"/>
      <c r="AV104" s="1"/>
    </row>
    <row r="105" spans="3:49" x14ac:dyDescent="0.3">
      <c r="C105" s="99"/>
      <c r="F105" s="172"/>
      <c r="H105" s="172"/>
      <c r="I105" s="172"/>
      <c r="J105" s="228"/>
      <c r="K105" s="181"/>
      <c r="L105" s="110"/>
      <c r="M105" s="110"/>
      <c r="N105" s="141"/>
      <c r="O105" s="141"/>
      <c r="P105" s="110"/>
      <c r="Q105" s="110"/>
      <c r="R105" s="110"/>
      <c r="T105" s="98">
        <v>13</v>
      </c>
      <c r="V105" s="99" t="s">
        <v>343</v>
      </c>
      <c r="X105" s="99"/>
      <c r="Y105" s="106">
        <f>F32</f>
        <v>0</v>
      </c>
      <c r="Z105" s="1"/>
      <c r="AA105" s="106">
        <f>H32</f>
        <v>0</v>
      </c>
      <c r="AB105" s="1"/>
      <c r="AC105" s="308">
        <v>7.67</v>
      </c>
      <c r="AD105" s="1"/>
      <c r="AE105" s="106">
        <f>ROUND(Y105*AC105,0)</f>
        <v>0</v>
      </c>
      <c r="AF105" s="1"/>
      <c r="AG105" s="154">
        <f>ROUND((AE105/AE$145)*100,1)</f>
        <v>0</v>
      </c>
      <c r="AH105" s="1"/>
      <c r="AI105" s="106">
        <f>L32-AE105</f>
        <v>0</v>
      </c>
      <c r="AJ105" s="1"/>
      <c r="AK105" s="154">
        <v>0</v>
      </c>
      <c r="AL105" s="1"/>
      <c r="AM105" s="106">
        <f>ROUND((AM$145/AA$145)*AA105,0)</f>
        <v>0</v>
      </c>
      <c r="AN105" s="1"/>
      <c r="AO105" s="106">
        <f>AM105+AE105</f>
        <v>0</v>
      </c>
      <c r="AP105" s="1"/>
      <c r="AQ105" s="154">
        <v>0</v>
      </c>
      <c r="AU105" s="163"/>
      <c r="AV105" s="1"/>
      <c r="AW105" s="109">
        <f>487</f>
        <v>487</v>
      </c>
    </row>
    <row r="106" spans="3:49" x14ac:dyDescent="0.3">
      <c r="C106" s="99"/>
      <c r="F106" s="172"/>
      <c r="H106" s="172"/>
      <c r="I106" s="172"/>
      <c r="J106" s="228"/>
      <c r="K106" s="181"/>
      <c r="L106" s="110"/>
      <c r="M106" s="110"/>
      <c r="N106" s="141"/>
      <c r="O106" s="141"/>
      <c r="P106" s="110"/>
      <c r="Q106" s="110"/>
      <c r="R106" s="110"/>
      <c r="T106" s="98">
        <v>14</v>
      </c>
      <c r="V106" s="99" t="s">
        <v>211</v>
      </c>
      <c r="X106" s="99"/>
      <c r="Y106" s="106">
        <f>F33</f>
        <v>0</v>
      </c>
      <c r="Z106" s="1"/>
      <c r="AA106" s="106">
        <f>H33</f>
        <v>0</v>
      </c>
      <c r="AB106" s="1"/>
      <c r="AC106" s="308">
        <v>8.73</v>
      </c>
      <c r="AD106" s="1"/>
      <c r="AE106" s="106">
        <f>ROUND(Y106*AC106,0)</f>
        <v>0</v>
      </c>
      <c r="AF106" s="1"/>
      <c r="AG106" s="154">
        <f>ROUND((AE106/AE$145)*100,1)</f>
        <v>0</v>
      </c>
      <c r="AH106" s="1"/>
      <c r="AI106" s="106">
        <f>L33-AE106</f>
        <v>0</v>
      </c>
      <c r="AJ106" s="1"/>
      <c r="AK106" s="154">
        <v>0</v>
      </c>
      <c r="AL106" s="1"/>
      <c r="AM106" s="106">
        <f>ROUND((AM$145/AA$145)*AA106,0)</f>
        <v>0</v>
      </c>
      <c r="AN106" s="1"/>
      <c r="AO106" s="106">
        <f>AM106+AE106</f>
        <v>0</v>
      </c>
      <c r="AP106" s="1"/>
      <c r="AQ106" s="154">
        <v>0</v>
      </c>
      <c r="AU106" s="163"/>
      <c r="AV106" s="1"/>
      <c r="AW106" s="98">
        <v>711</v>
      </c>
    </row>
    <row r="107" spans="3:49" x14ac:dyDescent="0.3">
      <c r="F107" s="110"/>
      <c r="H107" s="192"/>
      <c r="I107" s="192"/>
      <c r="J107" s="228"/>
      <c r="K107" s="217"/>
      <c r="L107" s="192"/>
      <c r="M107" s="192"/>
      <c r="N107" s="192"/>
      <c r="O107" s="192"/>
      <c r="P107" s="192"/>
      <c r="Q107" s="192"/>
      <c r="R107" s="192"/>
      <c r="T107" s="98">
        <v>15</v>
      </c>
      <c r="V107" s="99" t="s">
        <v>212</v>
      </c>
      <c r="X107" s="99"/>
      <c r="Y107" s="106">
        <f>F34</f>
        <v>0</v>
      </c>
      <c r="Z107" s="1"/>
      <c r="AA107" s="106">
        <f>H34</f>
        <v>0</v>
      </c>
      <c r="AB107" s="1"/>
      <c r="AC107" s="308">
        <v>9.77</v>
      </c>
      <c r="AD107" s="1"/>
      <c r="AE107" s="106">
        <f>ROUND(Y107*AC107,0)</f>
        <v>0</v>
      </c>
      <c r="AF107" s="1"/>
      <c r="AG107" s="154">
        <f>ROUND((AE107/AE$145)*100,1)</f>
        <v>0</v>
      </c>
      <c r="AH107" s="1"/>
      <c r="AI107" s="106">
        <f>L34-AE107</f>
        <v>0</v>
      </c>
      <c r="AJ107" s="1"/>
      <c r="AK107" s="154">
        <v>0</v>
      </c>
      <c r="AL107" s="1"/>
      <c r="AM107" s="106">
        <f>ROUND((AM$145/AA$145)*AA107,0)</f>
        <v>0</v>
      </c>
      <c r="AN107" s="1"/>
      <c r="AO107" s="106">
        <f>AM107+AE107</f>
        <v>0</v>
      </c>
      <c r="AP107" s="1"/>
      <c r="AQ107" s="154">
        <v>0</v>
      </c>
      <c r="AU107" s="163"/>
      <c r="AV107" s="1"/>
      <c r="AW107" s="98">
        <v>948</v>
      </c>
    </row>
    <row r="108" spans="3:49" x14ac:dyDescent="0.3">
      <c r="C108" s="99"/>
      <c r="F108" s="110"/>
      <c r="H108" s="110"/>
      <c r="I108" s="110"/>
      <c r="J108" s="228"/>
      <c r="K108" s="217"/>
      <c r="L108" s="110"/>
      <c r="M108" s="110"/>
      <c r="N108" s="141"/>
      <c r="O108" s="141"/>
      <c r="P108" s="110"/>
      <c r="Q108" s="110"/>
      <c r="R108" s="110"/>
      <c r="T108" s="98">
        <v>16</v>
      </c>
      <c r="V108" s="98" t="s">
        <v>278</v>
      </c>
      <c r="X108" s="99"/>
      <c r="Y108" s="106">
        <f>F35</f>
        <v>0</v>
      </c>
      <c r="Z108" s="1"/>
      <c r="AA108" s="106">
        <f>H35</f>
        <v>0</v>
      </c>
      <c r="AB108" s="1"/>
      <c r="AC108" s="308">
        <v>9.77</v>
      </c>
      <c r="AD108" s="1"/>
      <c r="AE108" s="106">
        <f>ROUND(Y108*AC108,0)</f>
        <v>0</v>
      </c>
      <c r="AF108" s="1"/>
      <c r="AG108" s="154">
        <f>ROUND((AE108/AE$145)*100,1)</f>
        <v>0</v>
      </c>
      <c r="AH108" s="1"/>
      <c r="AI108" s="106">
        <f>L35-AE108</f>
        <v>0</v>
      </c>
      <c r="AJ108" s="1"/>
      <c r="AK108" s="154">
        <v>0</v>
      </c>
      <c r="AL108" s="1"/>
      <c r="AM108" s="106">
        <f>ROUND((AM$145/AA$145)*AA108,0)</f>
        <v>0</v>
      </c>
      <c r="AN108" s="1"/>
      <c r="AO108" s="106">
        <f>AM108+AE108</f>
        <v>0</v>
      </c>
      <c r="AP108" s="1"/>
      <c r="AQ108" s="154">
        <v>0</v>
      </c>
      <c r="AU108" s="163"/>
      <c r="AV108" s="1"/>
      <c r="AW108" s="98">
        <v>948</v>
      </c>
    </row>
    <row r="109" spans="3:49" x14ac:dyDescent="0.3">
      <c r="F109" s="110"/>
      <c r="H109" s="192"/>
      <c r="I109" s="192"/>
      <c r="J109" s="228"/>
      <c r="K109" s="217"/>
      <c r="L109" s="192"/>
      <c r="M109" s="192"/>
      <c r="N109" s="192"/>
      <c r="O109" s="192"/>
      <c r="P109" s="192"/>
      <c r="Q109" s="192"/>
      <c r="R109" s="192"/>
      <c r="T109" s="98">
        <v>17</v>
      </c>
      <c r="V109" s="98" t="s">
        <v>213</v>
      </c>
      <c r="X109" s="99"/>
      <c r="Y109" s="106">
        <f>F36</f>
        <v>0</v>
      </c>
      <c r="Z109" s="1"/>
      <c r="AA109" s="106">
        <f>H36</f>
        <v>0</v>
      </c>
      <c r="AB109" s="1"/>
      <c r="AC109" s="308">
        <v>13.96</v>
      </c>
      <c r="AD109" s="1"/>
      <c r="AE109" s="106">
        <f>ROUND(Y109*AC109,0)</f>
        <v>0</v>
      </c>
      <c r="AF109" s="1"/>
      <c r="AG109" s="154">
        <f>ROUND((AE109/AE$145)*100,1)</f>
        <v>0</v>
      </c>
      <c r="AH109" s="1"/>
      <c r="AI109" s="106">
        <f>L36-AE109</f>
        <v>0</v>
      </c>
      <c r="AJ109" s="1"/>
      <c r="AK109" s="154">
        <v>0</v>
      </c>
      <c r="AL109" s="1"/>
      <c r="AM109" s="106">
        <f>ROUND((AM$145/AA$145)*AA109,0)</f>
        <v>0</v>
      </c>
      <c r="AN109" s="1"/>
      <c r="AO109" s="106">
        <f>AM109+AE109</f>
        <v>0</v>
      </c>
      <c r="AP109" s="1"/>
      <c r="AQ109" s="154">
        <v>0</v>
      </c>
      <c r="AU109" s="163"/>
      <c r="AV109" s="1"/>
      <c r="AW109" s="98">
        <v>1959</v>
      </c>
    </row>
    <row r="110" spans="3:49" ht="15" customHeight="1" x14ac:dyDescent="0.3">
      <c r="F110" s="110"/>
      <c r="H110" s="110"/>
      <c r="I110" s="110"/>
      <c r="J110" s="228"/>
      <c r="K110" s="217"/>
      <c r="L110" s="110"/>
      <c r="M110" s="110"/>
      <c r="N110" s="110"/>
      <c r="O110" s="110"/>
      <c r="P110" s="110"/>
      <c r="Q110" s="110"/>
      <c r="R110" s="110"/>
      <c r="V110" s="99"/>
      <c r="X110" s="99"/>
      <c r="Y110" s="106"/>
      <c r="Z110" s="1"/>
      <c r="AA110" s="1"/>
      <c r="AB110" s="1"/>
      <c r="AC110" s="308"/>
      <c r="AD110" s="1"/>
      <c r="AE110" s="1"/>
      <c r="AF110" s="1"/>
      <c r="AG110" s="154"/>
      <c r="AH110" s="1"/>
      <c r="AI110" s="1"/>
      <c r="AJ110" s="1"/>
      <c r="AK110" s="154"/>
      <c r="AL110" s="1"/>
      <c r="AM110" s="1"/>
      <c r="AN110" s="1"/>
      <c r="AO110" s="1"/>
      <c r="AP110" s="1"/>
      <c r="AQ110" s="154"/>
      <c r="AV110" s="1"/>
    </row>
    <row r="111" spans="3:49" x14ac:dyDescent="0.3">
      <c r="C111" s="99"/>
      <c r="F111" s="172"/>
      <c r="H111" s="172"/>
      <c r="I111" s="172"/>
      <c r="J111" s="228"/>
      <c r="K111" s="222"/>
      <c r="L111" s="110"/>
      <c r="M111" s="110"/>
      <c r="N111" s="141"/>
      <c r="O111" s="141"/>
      <c r="P111" s="172"/>
      <c r="Q111" s="172"/>
      <c r="R111" s="110"/>
      <c r="T111" s="98">
        <v>18</v>
      </c>
      <c r="V111" s="124" t="s">
        <v>344</v>
      </c>
      <c r="X111" s="99"/>
      <c r="Y111" s="106"/>
      <c r="Z111" s="1"/>
      <c r="AA111" s="1"/>
      <c r="AB111" s="1"/>
      <c r="AC111" s="308"/>
      <c r="AD111" s="1"/>
      <c r="AE111" s="1"/>
      <c r="AF111" s="1"/>
      <c r="AG111" s="154"/>
      <c r="AH111" s="1"/>
      <c r="AI111" s="1"/>
      <c r="AJ111" s="1"/>
      <c r="AK111" s="154"/>
      <c r="AL111" s="1"/>
      <c r="AM111" s="1"/>
      <c r="AN111" s="1"/>
      <c r="AO111" s="1"/>
      <c r="AP111" s="1"/>
      <c r="AQ111" s="154"/>
      <c r="AV111" s="1"/>
    </row>
    <row r="112" spans="3:49" x14ac:dyDescent="0.3">
      <c r="C112" s="99"/>
      <c r="F112" s="172"/>
      <c r="H112" s="172"/>
      <c r="I112" s="172"/>
      <c r="J112" s="228"/>
      <c r="K112" s="222"/>
      <c r="L112" s="110"/>
      <c r="M112" s="110"/>
      <c r="N112" s="141"/>
      <c r="O112" s="141"/>
      <c r="P112" s="172"/>
      <c r="Q112" s="172"/>
      <c r="R112" s="110"/>
      <c r="T112" s="98">
        <v>19</v>
      </c>
      <c r="V112" s="124" t="s">
        <v>345</v>
      </c>
      <c r="X112" s="99"/>
      <c r="Y112" s="106"/>
      <c r="Z112" s="1"/>
      <c r="AA112" s="1"/>
      <c r="AB112" s="1"/>
      <c r="AC112" s="308"/>
      <c r="AD112" s="1"/>
      <c r="AE112" s="1"/>
      <c r="AF112" s="1"/>
      <c r="AG112" s="154"/>
      <c r="AH112" s="1"/>
      <c r="AI112" s="1"/>
      <c r="AJ112" s="1"/>
      <c r="AK112" s="154"/>
      <c r="AL112" s="1"/>
      <c r="AM112" s="1"/>
      <c r="AN112" s="1"/>
      <c r="AO112" s="1"/>
      <c r="AP112" s="1"/>
      <c r="AQ112" s="154"/>
      <c r="AV112" s="1"/>
    </row>
    <row r="113" spans="1:49" x14ac:dyDescent="0.3">
      <c r="C113" s="99"/>
      <c r="F113" s="172"/>
      <c r="H113" s="172"/>
      <c r="I113" s="172"/>
      <c r="J113" s="228"/>
      <c r="K113" s="222"/>
      <c r="L113" s="110"/>
      <c r="M113" s="110"/>
      <c r="N113" s="141"/>
      <c r="O113" s="141"/>
      <c r="P113" s="172"/>
      <c r="Q113" s="172"/>
      <c r="R113" s="110"/>
      <c r="T113" s="98">
        <v>20</v>
      </c>
      <c r="V113" s="99" t="s">
        <v>231</v>
      </c>
      <c r="X113" s="99"/>
      <c r="Y113" s="106">
        <f>F40</f>
        <v>0</v>
      </c>
      <c r="Z113" s="1"/>
      <c r="AA113" s="106">
        <f>H40</f>
        <v>0</v>
      </c>
      <c r="AB113" s="1"/>
      <c r="AC113" s="308">
        <v>8.49</v>
      </c>
      <c r="AD113" s="1"/>
      <c r="AE113" s="106">
        <f>ROUND(Y113*AC113,0)</f>
        <v>0</v>
      </c>
      <c r="AF113" s="1"/>
      <c r="AG113" s="154">
        <f>ROUND((AE113/AE$145)*100,1)</f>
        <v>0</v>
      </c>
      <c r="AH113" s="1"/>
      <c r="AI113" s="106">
        <f>L40-AE113</f>
        <v>0</v>
      </c>
      <c r="AJ113" s="1"/>
      <c r="AK113" s="154">
        <v>0</v>
      </c>
      <c r="AL113" s="1"/>
      <c r="AM113" s="106">
        <f>ROUND((AM$145/AA$145)*AA113,0)</f>
        <v>0</v>
      </c>
      <c r="AN113" s="1"/>
      <c r="AO113" s="106">
        <f>AM113+AE113</f>
        <v>0</v>
      </c>
      <c r="AP113" s="1"/>
      <c r="AQ113" s="154">
        <v>0</v>
      </c>
      <c r="AU113" s="163"/>
      <c r="AV113" s="1"/>
      <c r="AW113" s="98">
        <v>874</v>
      </c>
    </row>
    <row r="114" spans="1:49" x14ac:dyDescent="0.3">
      <c r="F114" s="192"/>
      <c r="H114" s="192"/>
      <c r="I114" s="192"/>
      <c r="J114" s="228"/>
      <c r="K114" s="217"/>
      <c r="L114" s="192"/>
      <c r="M114" s="192"/>
      <c r="N114" s="192"/>
      <c r="O114" s="192"/>
      <c r="P114" s="192"/>
      <c r="Q114" s="192"/>
      <c r="R114" s="192"/>
      <c r="T114" s="98">
        <v>21</v>
      </c>
      <c r="V114" s="99" t="s">
        <v>346</v>
      </c>
      <c r="X114" s="99"/>
      <c r="Y114" s="106">
        <f>F41</f>
        <v>0</v>
      </c>
      <c r="Z114" s="1"/>
      <c r="AA114" s="106">
        <f>H41</f>
        <v>0</v>
      </c>
      <c r="AB114" s="1"/>
      <c r="AC114" s="308">
        <v>8.4</v>
      </c>
      <c r="AD114" s="1"/>
      <c r="AE114" s="106">
        <f>ROUND(Y114*AC114,0)</f>
        <v>0</v>
      </c>
      <c r="AF114" s="1"/>
      <c r="AG114" s="154">
        <f>ROUND((AE114/AE$145)*100,1)</f>
        <v>0</v>
      </c>
      <c r="AH114" s="1"/>
      <c r="AI114" s="106">
        <f>L41-AE114</f>
        <v>0</v>
      </c>
      <c r="AJ114" s="1"/>
      <c r="AK114" s="154">
        <v>0</v>
      </c>
      <c r="AL114" s="1"/>
      <c r="AM114" s="106">
        <f>ROUND((AM$145/AA$145)*AA114,0)</f>
        <v>0</v>
      </c>
      <c r="AN114" s="1"/>
      <c r="AO114" s="106">
        <f>AM114+AE114</f>
        <v>0</v>
      </c>
      <c r="AP114" s="1"/>
      <c r="AQ114" s="154">
        <v>0</v>
      </c>
      <c r="AU114" s="163"/>
      <c r="AV114" s="1"/>
      <c r="AW114" s="98">
        <v>853</v>
      </c>
    </row>
    <row r="115" spans="1:49" x14ac:dyDescent="0.3">
      <c r="C115" s="99"/>
      <c r="F115" s="110"/>
      <c r="H115" s="110"/>
      <c r="I115" s="110"/>
      <c r="J115" s="163"/>
      <c r="K115" s="198"/>
      <c r="L115" s="110"/>
      <c r="M115" s="110"/>
      <c r="N115" s="141"/>
      <c r="O115" s="141"/>
      <c r="P115" s="110"/>
      <c r="Q115" s="110"/>
      <c r="R115" s="110"/>
      <c r="T115" s="98">
        <v>22</v>
      </c>
      <c r="V115" s="99" t="s">
        <v>232</v>
      </c>
      <c r="X115" s="99"/>
      <c r="Y115" s="106">
        <f>F42</f>
        <v>0</v>
      </c>
      <c r="Z115" s="1"/>
      <c r="AA115" s="106">
        <f>H42</f>
        <v>0</v>
      </c>
      <c r="AB115" s="1"/>
      <c r="AC115" s="308">
        <v>8.49</v>
      </c>
      <c r="AD115" s="1"/>
      <c r="AE115" s="106">
        <f>ROUND(Y115*AC115,0)</f>
        <v>0</v>
      </c>
      <c r="AF115" s="1"/>
      <c r="AG115" s="154">
        <f>ROUND((AE115/AE$145)*100,1)</f>
        <v>0</v>
      </c>
      <c r="AH115" s="1"/>
      <c r="AI115" s="106">
        <f>L42-AE115</f>
        <v>0</v>
      </c>
      <c r="AJ115" s="1"/>
      <c r="AK115" s="154">
        <v>0</v>
      </c>
      <c r="AL115" s="1"/>
      <c r="AM115" s="106">
        <f>ROUND((AM$145/AA$145)*AA115,0)</f>
        <v>0</v>
      </c>
      <c r="AN115" s="1"/>
      <c r="AO115" s="106">
        <f>AM115+AE115</f>
        <v>0</v>
      </c>
      <c r="AP115" s="1"/>
      <c r="AQ115" s="154">
        <v>0</v>
      </c>
      <c r="AU115" s="163"/>
      <c r="AV115" s="1"/>
      <c r="AW115" s="98">
        <v>874</v>
      </c>
    </row>
    <row r="116" spans="1:49" x14ac:dyDescent="0.3">
      <c r="F116" s="192"/>
      <c r="H116" s="192"/>
      <c r="I116" s="192"/>
      <c r="J116" s="228"/>
      <c r="K116" s="217"/>
      <c r="L116" s="192"/>
      <c r="M116" s="192"/>
      <c r="N116" s="192"/>
      <c r="O116" s="192"/>
      <c r="P116" s="192"/>
      <c r="Q116" s="192"/>
      <c r="R116" s="192"/>
      <c r="T116" s="98">
        <v>23</v>
      </c>
      <c r="V116" s="99" t="s">
        <v>233</v>
      </c>
      <c r="X116" s="99"/>
      <c r="Y116" s="106">
        <f>F43</f>
        <v>0</v>
      </c>
      <c r="Z116" s="1"/>
      <c r="AA116" s="106">
        <f>H43</f>
        <v>0</v>
      </c>
      <c r="AB116" s="1"/>
      <c r="AC116" s="308">
        <v>8.49</v>
      </c>
      <c r="AD116" s="1"/>
      <c r="AE116" s="106">
        <f>ROUND(Y116*AC116,0)</f>
        <v>0</v>
      </c>
      <c r="AF116" s="1"/>
      <c r="AG116" s="154">
        <f>ROUND((AE116/AE$145)*100,1)</f>
        <v>0</v>
      </c>
      <c r="AH116" s="1"/>
      <c r="AI116" s="106">
        <f>L43-AE116</f>
        <v>0</v>
      </c>
      <c r="AJ116" s="1"/>
      <c r="AK116" s="154">
        <v>0</v>
      </c>
      <c r="AL116" s="1"/>
      <c r="AM116" s="106">
        <f>ROUND((AM$145/AA$145)*AA116,0)</f>
        <v>0</v>
      </c>
      <c r="AN116" s="1"/>
      <c r="AO116" s="106">
        <f>AM116+AE116</f>
        <v>0</v>
      </c>
      <c r="AP116" s="1"/>
      <c r="AQ116" s="154">
        <v>0</v>
      </c>
      <c r="AU116" s="163"/>
      <c r="AV116" s="1"/>
      <c r="AW116" s="98">
        <v>874</v>
      </c>
    </row>
    <row r="117" spans="1:49" ht="15" customHeight="1" x14ac:dyDescent="0.3">
      <c r="C117" s="99"/>
      <c r="F117" s="110"/>
      <c r="H117" s="110"/>
      <c r="I117" s="110"/>
      <c r="J117" s="163"/>
      <c r="K117" s="198"/>
      <c r="L117" s="110"/>
      <c r="M117" s="110"/>
      <c r="N117" s="141"/>
      <c r="O117" s="141"/>
      <c r="P117" s="110"/>
      <c r="Q117" s="110"/>
      <c r="R117" s="110"/>
      <c r="V117" s="99"/>
      <c r="X117" s="99"/>
      <c r="Y117" s="106"/>
      <c r="Z117" s="1"/>
      <c r="AA117" s="1"/>
      <c r="AB117" s="1"/>
      <c r="AC117" s="308"/>
      <c r="AD117" s="1"/>
      <c r="AE117" s="1"/>
      <c r="AF117" s="1"/>
      <c r="AG117" s="154"/>
      <c r="AH117" s="1"/>
      <c r="AI117" s="1"/>
      <c r="AJ117" s="1"/>
      <c r="AK117" s="154"/>
      <c r="AL117" s="1"/>
      <c r="AM117" s="1"/>
      <c r="AN117" s="1"/>
      <c r="AO117" s="1"/>
      <c r="AP117" s="1"/>
      <c r="AQ117" s="154"/>
      <c r="AV117" s="1"/>
    </row>
    <row r="118" spans="1:49" x14ac:dyDescent="0.3">
      <c r="C118" s="99"/>
      <c r="F118" s="110"/>
      <c r="H118" s="110"/>
      <c r="I118" s="110"/>
      <c r="J118" s="163"/>
      <c r="K118" s="198"/>
      <c r="L118" s="110"/>
      <c r="M118" s="110"/>
      <c r="N118" s="141"/>
      <c r="O118" s="141"/>
      <c r="P118" s="110"/>
      <c r="Q118" s="110"/>
      <c r="R118" s="110"/>
      <c r="T118" s="98">
        <v>24</v>
      </c>
      <c r="V118" s="124" t="s">
        <v>347</v>
      </c>
      <c r="X118" s="99"/>
      <c r="Y118" s="106"/>
      <c r="Z118" s="1"/>
      <c r="AA118" s="1"/>
      <c r="AB118" s="1"/>
      <c r="AC118" s="308"/>
      <c r="AD118" s="1"/>
      <c r="AE118" s="1"/>
      <c r="AF118" s="1"/>
      <c r="AG118" s="154"/>
      <c r="AH118" s="1"/>
      <c r="AI118" s="1"/>
      <c r="AJ118" s="1"/>
      <c r="AK118" s="154"/>
      <c r="AL118" s="1"/>
      <c r="AM118" s="1"/>
      <c r="AN118" s="1"/>
      <c r="AO118" s="1"/>
      <c r="AP118" s="1"/>
      <c r="AQ118" s="154"/>
      <c r="AV118" s="1"/>
    </row>
    <row r="119" spans="1:49" x14ac:dyDescent="0.3">
      <c r="F119" s="192"/>
      <c r="H119" s="192"/>
      <c r="I119" s="192"/>
      <c r="J119" s="228"/>
      <c r="K119" s="217"/>
      <c r="L119" s="192"/>
      <c r="M119" s="192"/>
      <c r="N119" s="192"/>
      <c r="O119" s="192"/>
      <c r="P119" s="192"/>
      <c r="Q119" s="192"/>
      <c r="R119" s="192"/>
      <c r="T119" s="98">
        <v>25</v>
      </c>
      <c r="V119" s="99" t="s">
        <v>348</v>
      </c>
      <c r="X119" s="99"/>
      <c r="Y119" s="106">
        <f>F46</f>
        <v>0</v>
      </c>
      <c r="Z119" s="1"/>
      <c r="AA119" s="106">
        <f>H46</f>
        <v>0</v>
      </c>
      <c r="AB119" s="1"/>
      <c r="AC119" s="308">
        <v>8.4</v>
      </c>
      <c r="AD119" s="1"/>
      <c r="AE119" s="106">
        <f>ROUND(Y119*AC119,0)</f>
        <v>0</v>
      </c>
      <c r="AF119" s="1"/>
      <c r="AG119" s="154">
        <f>ROUND((AE119/AE$145)*100,1)</f>
        <v>0</v>
      </c>
      <c r="AH119" s="1"/>
      <c r="AI119" s="106">
        <f>L46-AE119</f>
        <v>0</v>
      </c>
      <c r="AJ119" s="1"/>
      <c r="AK119" s="154">
        <v>0</v>
      </c>
      <c r="AL119" s="1"/>
      <c r="AM119" s="106">
        <f>ROUND((AM$145/AA$145)*AA119,0)</f>
        <v>0</v>
      </c>
      <c r="AN119" s="1"/>
      <c r="AO119" s="106">
        <f>AM119+AE119</f>
        <v>0</v>
      </c>
      <c r="AP119" s="1"/>
      <c r="AQ119" s="154">
        <v>0</v>
      </c>
      <c r="AU119" s="163"/>
      <c r="AV119" s="1"/>
      <c r="AW119" s="98">
        <v>853</v>
      </c>
    </row>
    <row r="120" spans="1:49" x14ac:dyDescent="0.3">
      <c r="F120" s="110"/>
      <c r="H120" s="110"/>
      <c r="I120" s="110"/>
      <c r="J120" s="163"/>
      <c r="K120" s="198"/>
      <c r="L120" s="110"/>
      <c r="M120" s="110"/>
      <c r="N120" s="110"/>
      <c r="O120" s="110"/>
      <c r="P120" s="110"/>
      <c r="Q120" s="110"/>
      <c r="R120" s="110"/>
      <c r="T120" s="98">
        <v>26</v>
      </c>
      <c r="V120" s="99" t="s">
        <v>268</v>
      </c>
      <c r="X120" s="99"/>
      <c r="Y120" s="106">
        <f>F47</f>
        <v>0</v>
      </c>
      <c r="Z120" s="1"/>
      <c r="AA120" s="106">
        <f>H47</f>
        <v>0</v>
      </c>
      <c r="AB120" s="1"/>
      <c r="AC120" s="308">
        <v>8.56</v>
      </c>
      <c r="AD120" s="1"/>
      <c r="AE120" s="106">
        <f>ROUND(Y120*AC120,0)</f>
        <v>0</v>
      </c>
      <c r="AF120" s="1"/>
      <c r="AG120" s="154">
        <f>ROUND((AE120/AE$145)*100,1)</f>
        <v>0</v>
      </c>
      <c r="AH120" s="1"/>
      <c r="AI120" s="106">
        <f>L47-AE120</f>
        <v>0</v>
      </c>
      <c r="AJ120" s="1"/>
      <c r="AK120" s="154">
        <v>0</v>
      </c>
      <c r="AL120" s="1"/>
      <c r="AM120" s="106">
        <f>ROUND((AM$145/AA$145)*AA120,0)</f>
        <v>0</v>
      </c>
      <c r="AN120" s="1"/>
      <c r="AO120" s="106">
        <f>AM120+AE120</f>
        <v>0</v>
      </c>
      <c r="AP120" s="1"/>
      <c r="AQ120" s="154">
        <v>0</v>
      </c>
      <c r="AU120" s="163"/>
      <c r="AV120" s="1"/>
      <c r="AW120" s="98">
        <v>874</v>
      </c>
    </row>
    <row r="121" spans="1:49" x14ac:dyDescent="0.3">
      <c r="C121" s="99"/>
      <c r="F121" s="110"/>
      <c r="H121" s="110"/>
      <c r="I121" s="110"/>
      <c r="J121" s="163"/>
      <c r="K121" s="198"/>
      <c r="L121" s="110"/>
      <c r="M121" s="110"/>
      <c r="N121" s="110"/>
      <c r="O121" s="110"/>
      <c r="P121" s="110"/>
      <c r="Q121" s="110"/>
      <c r="R121" s="110"/>
      <c r="T121" s="98">
        <v>27</v>
      </c>
      <c r="V121" s="98" t="s">
        <v>232</v>
      </c>
      <c r="X121" s="99"/>
      <c r="Y121" s="106">
        <f>F48</f>
        <v>0</v>
      </c>
      <c r="Z121" s="1"/>
      <c r="AA121" s="106">
        <f>H48</f>
        <v>0</v>
      </c>
      <c r="AB121" s="1"/>
      <c r="AC121" s="308">
        <v>8.56</v>
      </c>
      <c r="AD121" s="1"/>
      <c r="AE121" s="106">
        <f>ROUND(Y121*AC121,0)</f>
        <v>0</v>
      </c>
      <c r="AF121" s="1"/>
      <c r="AG121" s="154">
        <f>ROUND((AE121/AE$145)*100,1)</f>
        <v>0</v>
      </c>
      <c r="AH121" s="1"/>
      <c r="AI121" s="106">
        <f>L48-AE121</f>
        <v>0</v>
      </c>
      <c r="AJ121" s="1"/>
      <c r="AK121" s="154">
        <v>0</v>
      </c>
      <c r="AL121" s="1"/>
      <c r="AM121" s="106">
        <f>ROUND((AM$145/AA$145)*AA121,0)</f>
        <v>0</v>
      </c>
      <c r="AN121" s="1"/>
      <c r="AO121" s="106">
        <f>AM121+AE121</f>
        <v>0</v>
      </c>
      <c r="AP121" s="1"/>
      <c r="AQ121" s="154">
        <v>0</v>
      </c>
      <c r="AU121" s="163"/>
      <c r="AV121" s="1"/>
      <c r="AW121" s="98">
        <v>874</v>
      </c>
    </row>
    <row r="122" spans="1:49" ht="15" customHeight="1" x14ac:dyDescent="0.3">
      <c r="A122" s="99"/>
      <c r="J122" s="163"/>
      <c r="V122" s="99"/>
      <c r="W122" s="99"/>
      <c r="X122" s="99"/>
      <c r="Y122" s="106"/>
      <c r="Z122" s="1"/>
      <c r="AA122" s="1"/>
      <c r="AB122" s="1"/>
      <c r="AC122" s="308"/>
      <c r="AD122" s="1"/>
      <c r="AE122" s="1"/>
      <c r="AF122" s="1"/>
      <c r="AG122" s="154"/>
      <c r="AH122" s="1"/>
      <c r="AI122" s="1"/>
      <c r="AJ122" s="1"/>
      <c r="AK122" s="154"/>
      <c r="AL122" s="1"/>
      <c r="AM122" s="1"/>
      <c r="AN122" s="1"/>
      <c r="AO122" s="1"/>
      <c r="AP122" s="1"/>
      <c r="AQ122" s="154"/>
      <c r="AV122" s="1"/>
    </row>
    <row r="123" spans="1:49" x14ac:dyDescent="0.3">
      <c r="J123" s="163"/>
      <c r="T123" s="98">
        <v>28</v>
      </c>
      <c r="V123" s="124" t="s">
        <v>349</v>
      </c>
      <c r="X123" s="99"/>
      <c r="Y123" s="106"/>
      <c r="Z123" s="1"/>
      <c r="AA123" s="1"/>
      <c r="AB123" s="1"/>
      <c r="AC123" s="308"/>
      <c r="AD123" s="1"/>
      <c r="AE123" s="1"/>
      <c r="AF123" s="1"/>
      <c r="AG123" s="154"/>
      <c r="AH123" s="1"/>
      <c r="AI123" s="1"/>
      <c r="AJ123" s="1"/>
      <c r="AK123" s="154"/>
      <c r="AL123" s="1"/>
      <c r="AM123" s="1"/>
      <c r="AN123" s="1"/>
      <c r="AO123" s="1"/>
      <c r="AP123" s="1"/>
      <c r="AQ123" s="154"/>
      <c r="AV123" s="1"/>
    </row>
    <row r="124" spans="1:49" x14ac:dyDescent="0.3">
      <c r="H124" s="99"/>
      <c r="I124" s="99"/>
      <c r="J124" s="163"/>
      <c r="T124" s="98">
        <v>29</v>
      </c>
      <c r="V124" s="99" t="s">
        <v>346</v>
      </c>
      <c r="W124" s="99"/>
      <c r="X124" s="99"/>
      <c r="Y124" s="106">
        <f t="shared" ref="Y124:Y130" si="5">F51</f>
        <v>0</v>
      </c>
      <c r="Z124" s="1"/>
      <c r="AA124" s="106">
        <f t="shared" ref="AA124:AA130" si="6">H51</f>
        <v>0</v>
      </c>
      <c r="AB124" s="1"/>
      <c r="AC124" s="308">
        <v>7.56</v>
      </c>
      <c r="AD124" s="1"/>
      <c r="AE124" s="106">
        <f t="shared" ref="AE124:AE130" si="7">ROUND(Y124*AC124,0)</f>
        <v>0</v>
      </c>
      <c r="AF124" s="1"/>
      <c r="AG124" s="154">
        <f t="shared" ref="AG124:AG130" si="8">ROUND((AE124/AE$145)*100,1)</f>
        <v>0</v>
      </c>
      <c r="AH124" s="1"/>
      <c r="AI124" s="106">
        <f t="shared" ref="AI124:AI130" si="9">L51-AE124</f>
        <v>0</v>
      </c>
      <c r="AJ124" s="1"/>
      <c r="AK124" s="154">
        <v>0</v>
      </c>
      <c r="AL124" s="1"/>
      <c r="AM124" s="106">
        <f t="shared" ref="AM124:AM130" si="10">ROUND((AM$145/AA$145)*AA124,0)</f>
        <v>0</v>
      </c>
      <c r="AN124" s="1"/>
      <c r="AO124" s="106">
        <f t="shared" ref="AO124:AO130" si="11">AM124+AE124</f>
        <v>0</v>
      </c>
      <c r="AP124" s="1"/>
      <c r="AQ124" s="154">
        <v>0</v>
      </c>
      <c r="AU124" s="163"/>
      <c r="AV124" s="1"/>
      <c r="AW124" s="98">
        <v>487</v>
      </c>
    </row>
    <row r="125" spans="1:49" x14ac:dyDescent="0.3">
      <c r="J125" s="163"/>
      <c r="T125" s="98">
        <v>30</v>
      </c>
      <c r="V125" s="99" t="s">
        <v>348</v>
      </c>
      <c r="W125" s="99"/>
      <c r="X125" s="99"/>
      <c r="Y125" s="106">
        <f t="shared" si="5"/>
        <v>0</v>
      </c>
      <c r="Z125" s="1"/>
      <c r="AA125" s="106">
        <f t="shared" si="6"/>
        <v>0</v>
      </c>
      <c r="AB125" s="1"/>
      <c r="AC125" s="308">
        <v>7.56</v>
      </c>
      <c r="AD125" s="1"/>
      <c r="AE125" s="106">
        <f t="shared" si="7"/>
        <v>0</v>
      </c>
      <c r="AF125" s="1"/>
      <c r="AG125" s="154">
        <f t="shared" si="8"/>
        <v>0</v>
      </c>
      <c r="AH125" s="1"/>
      <c r="AI125" s="106">
        <f t="shared" si="9"/>
        <v>0</v>
      </c>
      <c r="AJ125" s="1"/>
      <c r="AK125" s="154">
        <v>0</v>
      </c>
      <c r="AL125" s="1"/>
      <c r="AM125" s="106">
        <f t="shared" si="10"/>
        <v>0</v>
      </c>
      <c r="AN125" s="1"/>
      <c r="AO125" s="106">
        <f t="shared" si="11"/>
        <v>0</v>
      </c>
      <c r="AP125" s="1"/>
      <c r="AQ125" s="154">
        <v>0</v>
      </c>
      <c r="AU125" s="163"/>
      <c r="AV125" s="1"/>
      <c r="AW125" s="98">
        <v>487</v>
      </c>
    </row>
    <row r="126" spans="1:49" x14ac:dyDescent="0.3">
      <c r="J126" s="163"/>
      <c r="L126" s="99"/>
      <c r="M126" s="99"/>
      <c r="T126" s="98">
        <v>31</v>
      </c>
      <c r="V126" s="99" t="s">
        <v>268</v>
      </c>
      <c r="W126" s="99"/>
      <c r="X126" s="99"/>
      <c r="Y126" s="106">
        <f t="shared" si="5"/>
        <v>0</v>
      </c>
      <c r="Z126" s="1"/>
      <c r="AA126" s="106">
        <f t="shared" si="6"/>
        <v>0</v>
      </c>
      <c r="AB126" s="1"/>
      <c r="AC126" s="308">
        <v>7.91</v>
      </c>
      <c r="AD126" s="1"/>
      <c r="AE126" s="106">
        <f t="shared" si="7"/>
        <v>0</v>
      </c>
      <c r="AF126" s="1"/>
      <c r="AG126" s="154">
        <f t="shared" si="8"/>
        <v>0</v>
      </c>
      <c r="AH126" s="1"/>
      <c r="AI126" s="106">
        <f t="shared" si="9"/>
        <v>0</v>
      </c>
      <c r="AJ126" s="1"/>
      <c r="AK126" s="154">
        <v>0</v>
      </c>
      <c r="AL126" s="1"/>
      <c r="AM126" s="106">
        <f t="shared" si="10"/>
        <v>0</v>
      </c>
      <c r="AN126" s="1"/>
      <c r="AO126" s="106">
        <f t="shared" si="11"/>
        <v>0</v>
      </c>
      <c r="AP126" s="1"/>
      <c r="AQ126" s="154">
        <v>0</v>
      </c>
      <c r="AU126" s="163"/>
      <c r="AV126" s="1"/>
      <c r="AW126" s="98">
        <v>532</v>
      </c>
    </row>
    <row r="127" spans="1:49" x14ac:dyDescent="0.3">
      <c r="J127" s="163"/>
      <c r="R127" s="99"/>
      <c r="T127" s="98">
        <v>32</v>
      </c>
      <c r="V127" s="98" t="s">
        <v>235</v>
      </c>
      <c r="W127" s="99"/>
      <c r="X127" s="99"/>
      <c r="Y127" s="106">
        <f t="shared" si="5"/>
        <v>0</v>
      </c>
      <c r="Z127" s="1"/>
      <c r="AA127" s="106">
        <f t="shared" si="6"/>
        <v>0</v>
      </c>
      <c r="AB127" s="1"/>
      <c r="AC127" s="308">
        <v>7.56</v>
      </c>
      <c r="AD127" s="1"/>
      <c r="AE127" s="106">
        <f t="shared" si="7"/>
        <v>0</v>
      </c>
      <c r="AF127" s="1"/>
      <c r="AG127" s="154">
        <f t="shared" si="8"/>
        <v>0</v>
      </c>
      <c r="AH127" s="1"/>
      <c r="AI127" s="106">
        <f t="shared" si="9"/>
        <v>0</v>
      </c>
      <c r="AJ127" s="1"/>
      <c r="AK127" s="154">
        <v>0</v>
      </c>
      <c r="AL127" s="1"/>
      <c r="AM127" s="106">
        <f t="shared" si="10"/>
        <v>0</v>
      </c>
      <c r="AN127" s="1"/>
      <c r="AO127" s="106">
        <f t="shared" si="11"/>
        <v>0</v>
      </c>
      <c r="AP127" s="1"/>
      <c r="AQ127" s="154">
        <v>0</v>
      </c>
      <c r="AU127" s="163"/>
      <c r="AV127" s="1"/>
      <c r="AW127" s="98">
        <v>487</v>
      </c>
    </row>
    <row r="128" spans="1:49" x14ac:dyDescent="0.3">
      <c r="J128" s="163"/>
      <c r="R128" s="99"/>
      <c r="T128" s="98">
        <v>33</v>
      </c>
      <c r="V128" s="98" t="s">
        <v>233</v>
      </c>
      <c r="W128" s="99"/>
      <c r="X128" s="99"/>
      <c r="Y128" s="106">
        <f t="shared" si="5"/>
        <v>0</v>
      </c>
      <c r="Z128" s="1"/>
      <c r="AA128" s="106">
        <f t="shared" si="6"/>
        <v>0</v>
      </c>
      <c r="AB128" s="1"/>
      <c r="AC128" s="308">
        <v>7.91</v>
      </c>
      <c r="AD128" s="1"/>
      <c r="AE128" s="106">
        <f t="shared" si="7"/>
        <v>0</v>
      </c>
      <c r="AF128" s="1"/>
      <c r="AG128" s="154">
        <f t="shared" si="8"/>
        <v>0</v>
      </c>
      <c r="AH128" s="1"/>
      <c r="AI128" s="106">
        <f t="shared" si="9"/>
        <v>0</v>
      </c>
      <c r="AJ128" s="1"/>
      <c r="AK128" s="154">
        <v>0</v>
      </c>
      <c r="AL128" s="1"/>
      <c r="AM128" s="106">
        <f t="shared" si="10"/>
        <v>0</v>
      </c>
      <c r="AN128" s="1"/>
      <c r="AO128" s="106">
        <f t="shared" si="11"/>
        <v>0</v>
      </c>
      <c r="AP128" s="1"/>
      <c r="AQ128" s="154">
        <v>0</v>
      </c>
      <c r="AU128" s="163"/>
      <c r="AV128" s="1"/>
      <c r="AW128" s="98">
        <v>532</v>
      </c>
    </row>
    <row r="129" spans="1:49" x14ac:dyDescent="0.3">
      <c r="A129" s="99"/>
      <c r="J129" s="163"/>
      <c r="R129" s="99"/>
      <c r="T129" s="98">
        <v>34</v>
      </c>
      <c r="V129" s="99" t="s">
        <v>231</v>
      </c>
      <c r="W129" s="99"/>
      <c r="X129" s="99"/>
      <c r="Y129" s="106">
        <f t="shared" si="5"/>
        <v>0</v>
      </c>
      <c r="Z129" s="1"/>
      <c r="AA129" s="106">
        <f t="shared" si="6"/>
        <v>0</v>
      </c>
      <c r="AB129" s="1"/>
      <c r="AC129" s="308">
        <v>7.91</v>
      </c>
      <c r="AD129" s="1"/>
      <c r="AE129" s="106">
        <f t="shared" si="7"/>
        <v>0</v>
      </c>
      <c r="AF129" s="1"/>
      <c r="AG129" s="154">
        <f t="shared" si="8"/>
        <v>0</v>
      </c>
      <c r="AH129" s="1"/>
      <c r="AI129" s="106">
        <f t="shared" si="9"/>
        <v>0</v>
      </c>
      <c r="AJ129" s="1"/>
      <c r="AK129" s="154">
        <v>0</v>
      </c>
      <c r="AL129" s="1"/>
      <c r="AM129" s="106">
        <f t="shared" si="10"/>
        <v>0</v>
      </c>
      <c r="AN129" s="1"/>
      <c r="AO129" s="106">
        <f t="shared" si="11"/>
        <v>0</v>
      </c>
      <c r="AP129" s="1"/>
      <c r="AQ129" s="154">
        <v>0</v>
      </c>
      <c r="AU129" s="163"/>
      <c r="AV129" s="1"/>
      <c r="AW129" s="98">
        <v>532</v>
      </c>
    </row>
    <row r="130" spans="1:49" x14ac:dyDescent="0.3">
      <c r="J130" s="163"/>
      <c r="L130" s="99"/>
      <c r="M130" s="99"/>
      <c r="T130" s="98">
        <v>35</v>
      </c>
      <c r="V130" s="99" t="s">
        <v>232</v>
      </c>
      <c r="W130" s="99"/>
      <c r="X130" s="99"/>
      <c r="Y130" s="106">
        <f t="shared" si="5"/>
        <v>0</v>
      </c>
      <c r="Z130" s="1"/>
      <c r="AA130" s="106">
        <f t="shared" si="6"/>
        <v>0</v>
      </c>
      <c r="AB130" s="1"/>
      <c r="AC130" s="308">
        <v>7.91</v>
      </c>
      <c r="AD130" s="1"/>
      <c r="AE130" s="106">
        <f t="shared" si="7"/>
        <v>0</v>
      </c>
      <c r="AF130" s="1"/>
      <c r="AG130" s="154">
        <f t="shared" si="8"/>
        <v>0</v>
      </c>
      <c r="AH130" s="1"/>
      <c r="AI130" s="106">
        <f t="shared" si="9"/>
        <v>0</v>
      </c>
      <c r="AJ130" s="1"/>
      <c r="AK130" s="154">
        <v>0</v>
      </c>
      <c r="AL130" s="1"/>
      <c r="AM130" s="106">
        <f t="shared" si="10"/>
        <v>0</v>
      </c>
      <c r="AN130" s="1"/>
      <c r="AO130" s="106">
        <f t="shared" si="11"/>
        <v>0</v>
      </c>
      <c r="AP130" s="1"/>
      <c r="AQ130" s="154">
        <v>0</v>
      </c>
      <c r="AU130" s="163"/>
      <c r="AV130" s="1"/>
      <c r="AW130" s="98">
        <v>532</v>
      </c>
    </row>
    <row r="131" spans="1:49" ht="15" customHeight="1" x14ac:dyDescent="0.3">
      <c r="A131" s="101"/>
      <c r="B131" s="101"/>
      <c r="C131" s="101"/>
      <c r="D131" s="101"/>
      <c r="E131" s="101"/>
      <c r="F131" s="101"/>
      <c r="G131" s="101"/>
      <c r="H131" s="101"/>
      <c r="I131" s="101"/>
      <c r="J131" s="212"/>
      <c r="K131" s="101"/>
      <c r="L131" s="101"/>
      <c r="M131" s="101"/>
      <c r="N131" s="101"/>
      <c r="O131" s="101"/>
      <c r="P131" s="101"/>
      <c r="Q131" s="101"/>
      <c r="R131" s="101"/>
      <c r="V131" s="99"/>
      <c r="W131" s="99"/>
      <c r="X131" s="99"/>
      <c r="Y131" s="106"/>
      <c r="Z131" s="1"/>
      <c r="AA131" s="1"/>
      <c r="AB131" s="1"/>
      <c r="AC131" s="308"/>
      <c r="AD131" s="1"/>
      <c r="AE131" s="1"/>
      <c r="AF131" s="1"/>
      <c r="AG131" s="154"/>
      <c r="AH131" s="1"/>
      <c r="AI131" s="1"/>
      <c r="AJ131" s="1"/>
      <c r="AK131" s="154"/>
      <c r="AL131" s="1"/>
      <c r="AM131" s="1"/>
      <c r="AN131" s="1"/>
      <c r="AO131" s="1"/>
      <c r="AP131" s="1"/>
      <c r="AQ131" s="154"/>
      <c r="AV131" s="1"/>
    </row>
    <row r="132" spans="1:49" x14ac:dyDescent="0.3">
      <c r="J132" s="163"/>
      <c r="L132" s="102"/>
      <c r="M132" s="102"/>
      <c r="N132" s="102"/>
      <c r="O132" s="102"/>
      <c r="R132" s="102"/>
      <c r="T132" s="98">
        <v>36</v>
      </c>
      <c r="V132" s="124" t="s">
        <v>350</v>
      </c>
      <c r="W132" s="99"/>
      <c r="X132" s="99"/>
      <c r="Y132" s="106"/>
      <c r="Z132" s="1"/>
      <c r="AA132" s="1"/>
      <c r="AB132" s="1"/>
      <c r="AC132" s="308"/>
      <c r="AD132" s="1"/>
      <c r="AE132" s="1"/>
      <c r="AF132" s="1"/>
      <c r="AG132" s="154"/>
      <c r="AH132" s="1"/>
      <c r="AI132" s="1"/>
      <c r="AJ132" s="1"/>
      <c r="AK132" s="154"/>
      <c r="AL132" s="1"/>
      <c r="AM132" s="1"/>
      <c r="AN132" s="1"/>
      <c r="AO132" s="1"/>
      <c r="AP132" s="1"/>
      <c r="AQ132" s="154"/>
      <c r="AV132" s="1"/>
    </row>
    <row r="133" spans="1:49" x14ac:dyDescent="0.3">
      <c r="J133" s="163"/>
      <c r="L133" s="102"/>
      <c r="M133" s="102"/>
      <c r="N133" s="102"/>
      <c r="O133" s="102"/>
      <c r="R133" s="102"/>
      <c r="T133" s="98">
        <v>37</v>
      </c>
      <c r="V133" s="99" t="s">
        <v>215</v>
      </c>
      <c r="W133" s="99"/>
      <c r="X133" s="99"/>
      <c r="Y133" s="106">
        <f>F60</f>
        <v>0</v>
      </c>
      <c r="Z133" s="1"/>
      <c r="AA133" s="106">
        <f>H60</f>
        <v>0</v>
      </c>
      <c r="AB133" s="1"/>
      <c r="AC133" s="308">
        <v>10.36</v>
      </c>
      <c r="AD133" s="1"/>
      <c r="AE133" s="106">
        <f>ROUND(Y133*AC133,0)</f>
        <v>0</v>
      </c>
      <c r="AF133" s="1"/>
      <c r="AG133" s="154">
        <f>ROUND((AE133/AE$145)*100,1)</f>
        <v>0</v>
      </c>
      <c r="AH133" s="1"/>
      <c r="AI133" s="106">
        <f>L60-AE133</f>
        <v>0</v>
      </c>
      <c r="AJ133" s="1"/>
      <c r="AK133" s="154">
        <v>0</v>
      </c>
      <c r="AL133" s="1"/>
      <c r="AM133" s="106">
        <f>ROUND((AM$145/AA$145)*AA133,0)</f>
        <v>0</v>
      </c>
      <c r="AN133" s="1"/>
      <c r="AO133" s="106">
        <f>AM133+AE133</f>
        <v>0</v>
      </c>
      <c r="AP133" s="1"/>
      <c r="AQ133" s="154">
        <v>0</v>
      </c>
      <c r="AU133" s="163"/>
      <c r="AV133" s="1"/>
      <c r="AW133" s="98">
        <v>1023</v>
      </c>
    </row>
    <row r="134" spans="1:49" x14ac:dyDescent="0.3">
      <c r="A134" s="102"/>
      <c r="C134" s="102"/>
      <c r="D134" s="102"/>
      <c r="E134" s="102"/>
      <c r="F134" s="102"/>
      <c r="J134" s="213"/>
      <c r="K134" s="102"/>
      <c r="L134" s="102"/>
      <c r="M134" s="102"/>
      <c r="N134" s="102"/>
      <c r="O134" s="102"/>
      <c r="P134" s="102"/>
      <c r="Q134" s="102"/>
      <c r="R134" s="102"/>
      <c r="T134" s="98">
        <v>38</v>
      </c>
      <c r="V134" s="99" t="s">
        <v>216</v>
      </c>
      <c r="W134" s="99"/>
      <c r="X134" s="99"/>
      <c r="Y134" s="106">
        <f>F61</f>
        <v>0</v>
      </c>
      <c r="Z134" s="1"/>
      <c r="AA134" s="106">
        <f>H61</f>
        <v>0</v>
      </c>
      <c r="AB134" s="1"/>
      <c r="AC134" s="308">
        <v>14.38</v>
      </c>
      <c r="AD134" s="1"/>
      <c r="AE134" s="106">
        <f>ROUND(Y134*AC134,0)</f>
        <v>0</v>
      </c>
      <c r="AF134" s="1"/>
      <c r="AG134" s="154">
        <f>ROUND((AE134/AE$145)*100,1)</f>
        <v>0</v>
      </c>
      <c r="AH134" s="1"/>
      <c r="AI134" s="106">
        <f>L61-AE134</f>
        <v>0</v>
      </c>
      <c r="AJ134" s="1"/>
      <c r="AK134" s="154">
        <v>0</v>
      </c>
      <c r="AL134" s="1"/>
      <c r="AM134" s="106">
        <f>ROUND((AM$145/AA$145)*AA134,0)</f>
        <v>0</v>
      </c>
      <c r="AN134" s="1"/>
      <c r="AO134" s="106">
        <f>AM134+AE134</f>
        <v>0</v>
      </c>
      <c r="AP134" s="1"/>
      <c r="AQ134" s="154">
        <v>0</v>
      </c>
      <c r="AU134" s="163"/>
      <c r="AV134" s="1"/>
      <c r="AW134" s="98">
        <v>1959</v>
      </c>
    </row>
    <row r="135" spans="1:49" x14ac:dyDescent="0.3">
      <c r="A135" s="102"/>
      <c r="C135" s="102"/>
      <c r="D135" s="102"/>
      <c r="E135" s="102"/>
      <c r="F135" s="102"/>
      <c r="H135" s="102"/>
      <c r="I135" s="102"/>
      <c r="J135" s="213"/>
      <c r="K135" s="102"/>
      <c r="L135" s="102"/>
      <c r="M135" s="102"/>
      <c r="N135" s="102"/>
      <c r="O135" s="102"/>
      <c r="P135" s="102"/>
      <c r="Q135" s="102"/>
      <c r="R135" s="102"/>
      <c r="V135" s="99"/>
      <c r="W135" s="99"/>
      <c r="X135" s="99"/>
      <c r="Y135" s="106"/>
      <c r="Z135" s="1"/>
      <c r="AA135" s="1"/>
      <c r="AB135" s="1"/>
      <c r="AD135" s="1"/>
      <c r="AE135" s="1"/>
      <c r="AF135" s="1"/>
      <c r="AG135" s="154"/>
      <c r="AH135" s="1"/>
      <c r="AI135" s="1"/>
      <c r="AJ135" s="1"/>
      <c r="AK135" s="154"/>
      <c r="AL135" s="1"/>
      <c r="AM135" s="1"/>
      <c r="AN135" s="1"/>
      <c r="AO135" s="1"/>
      <c r="AP135" s="1"/>
      <c r="AQ135" s="154"/>
      <c r="AV135" s="1"/>
      <c r="AW135" s="1"/>
    </row>
    <row r="136" spans="1:49" x14ac:dyDescent="0.3">
      <c r="C136" s="102"/>
      <c r="D136" s="102"/>
      <c r="E136" s="102"/>
      <c r="F136" s="102"/>
      <c r="H136" s="102"/>
      <c r="I136" s="102"/>
      <c r="J136" s="213"/>
      <c r="K136" s="102"/>
      <c r="L136" s="102"/>
      <c r="M136" s="102"/>
      <c r="N136" s="102"/>
      <c r="O136" s="102"/>
      <c r="P136" s="102"/>
      <c r="Q136" s="102"/>
      <c r="R136" s="102"/>
      <c r="T136" s="98">
        <v>39</v>
      </c>
      <c r="V136" s="124" t="s">
        <v>74</v>
      </c>
      <c r="X136" s="99"/>
      <c r="Y136" s="106"/>
      <c r="Z136" s="1"/>
      <c r="AA136" s="1"/>
      <c r="AB136" s="1"/>
      <c r="AD136" s="1"/>
      <c r="AE136" s="1"/>
      <c r="AF136" s="1"/>
      <c r="AG136" s="154"/>
      <c r="AH136" s="1"/>
      <c r="AI136" s="1"/>
      <c r="AJ136" s="1"/>
      <c r="AK136" s="154"/>
      <c r="AL136" s="1"/>
      <c r="AM136" s="1"/>
      <c r="AN136" s="1"/>
      <c r="AO136" s="1"/>
      <c r="AP136" s="1"/>
      <c r="AQ136" s="154"/>
      <c r="AV136" s="1"/>
      <c r="AW136" s="1"/>
    </row>
    <row r="137" spans="1:49" x14ac:dyDescent="0.3">
      <c r="A137" s="101"/>
      <c r="B137" s="101"/>
      <c r="C137" s="101"/>
      <c r="D137" s="101"/>
      <c r="E137" s="101"/>
      <c r="F137" s="101"/>
      <c r="G137" s="101"/>
      <c r="H137" s="101"/>
      <c r="I137" s="101"/>
      <c r="J137" s="212"/>
      <c r="K137" s="101"/>
      <c r="L137" s="101"/>
      <c r="M137" s="101"/>
      <c r="N137" s="101"/>
      <c r="O137" s="101"/>
      <c r="P137" s="101"/>
      <c r="Q137" s="101"/>
      <c r="R137" s="101"/>
      <c r="T137" s="98">
        <v>40</v>
      </c>
      <c r="V137" s="124" t="s">
        <v>75</v>
      </c>
      <c r="X137" s="99"/>
      <c r="Y137" s="117">
        <f>F64</f>
        <v>2064</v>
      </c>
      <c r="Z137" s="1"/>
      <c r="AA137" s="117">
        <f>H64</f>
        <v>91284</v>
      </c>
      <c r="AB137" s="1"/>
      <c r="AC137" s="324">
        <v>6.6037999999999999E-2</v>
      </c>
      <c r="AD137" s="1"/>
      <c r="AE137" s="117">
        <f>ROUND((AA137*AC137),0)</f>
        <v>6028</v>
      </c>
      <c r="AF137" s="1"/>
      <c r="AG137" s="156">
        <f>ROUND((AE137/AE$145)*100,1)</f>
        <v>96</v>
      </c>
      <c r="AH137" s="1"/>
      <c r="AI137" s="117">
        <f>L64-AE137</f>
        <v>860</v>
      </c>
      <c r="AJ137" s="1"/>
      <c r="AK137" s="154">
        <f>ROUND((AI137/AE137)*100,1)</f>
        <v>14.3</v>
      </c>
      <c r="AL137" s="1"/>
      <c r="AM137" s="117">
        <f>ROUND((AM$145/AA$145)*AA137,0)</f>
        <v>318</v>
      </c>
      <c r="AN137" s="1"/>
      <c r="AO137" s="117">
        <f>AM137+AE137</f>
        <v>6346</v>
      </c>
      <c r="AP137" s="1"/>
      <c r="AQ137" s="156">
        <f>ROUND((AI137/AO137)*100,1)</f>
        <v>13.6</v>
      </c>
      <c r="AU137" s="325"/>
      <c r="AV137" s="1"/>
      <c r="AW137" s="1"/>
    </row>
    <row r="138" spans="1:49" ht="20.100000000000001" customHeight="1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212"/>
      <c r="K138" s="101"/>
      <c r="L138" s="101"/>
      <c r="M138" s="101"/>
      <c r="N138" s="101"/>
      <c r="O138" s="101"/>
      <c r="P138" s="101"/>
      <c r="Q138" s="101"/>
      <c r="R138" s="101"/>
      <c r="T138" s="98">
        <v>41</v>
      </c>
      <c r="V138" s="169" t="s">
        <v>468</v>
      </c>
      <c r="X138" s="99"/>
      <c r="Y138" s="112">
        <f>SUM(Y95:Y137)</f>
        <v>2064</v>
      </c>
      <c r="Z138" s="1"/>
      <c r="AA138" s="112">
        <f>SUM(AA95:AA137)</f>
        <v>91284</v>
      </c>
      <c r="AB138" s="1"/>
      <c r="AC138" s="324"/>
      <c r="AD138" s="1"/>
      <c r="AE138" s="112">
        <f>SUM(AE95:AE137)</f>
        <v>6028</v>
      </c>
      <c r="AF138" s="1"/>
      <c r="AG138" s="158">
        <f>ROUND((AE138/AE$145)*100,1)</f>
        <v>96</v>
      </c>
      <c r="AH138" s="1"/>
      <c r="AI138" s="112">
        <f>SUM(AI95:AI137)</f>
        <v>860</v>
      </c>
      <c r="AJ138" s="1"/>
      <c r="AK138" s="158">
        <f>ROUND((AI138/AE138)*100,1)</f>
        <v>14.3</v>
      </c>
      <c r="AL138" s="1"/>
      <c r="AM138" s="112">
        <f>SUM(AM95:AM137)</f>
        <v>318</v>
      </c>
      <c r="AN138" s="1"/>
      <c r="AO138" s="112">
        <f>SUM(AO95:AO137)</f>
        <v>6346</v>
      </c>
      <c r="AP138" s="1"/>
      <c r="AQ138" s="158">
        <f>ROUND((AI138/AO138)*100,1)</f>
        <v>13.6</v>
      </c>
      <c r="AU138" s="325"/>
      <c r="AV138" s="1"/>
      <c r="AW138" s="1"/>
    </row>
    <row r="139" spans="1:49" x14ac:dyDescent="0.3">
      <c r="A139" s="101"/>
      <c r="B139" s="101"/>
      <c r="C139" s="101"/>
      <c r="D139" s="101"/>
      <c r="E139" s="101"/>
      <c r="F139" s="101"/>
      <c r="G139" s="101"/>
      <c r="H139" s="101"/>
      <c r="I139" s="101"/>
      <c r="J139" s="212"/>
      <c r="K139" s="101"/>
      <c r="L139" s="101"/>
      <c r="M139" s="101"/>
      <c r="N139" s="101"/>
      <c r="O139" s="101"/>
      <c r="P139" s="101"/>
      <c r="Q139" s="101"/>
      <c r="R139" s="101"/>
      <c r="V139" s="169"/>
      <c r="X139" s="99"/>
      <c r="Y139" s="106"/>
      <c r="Z139" s="1"/>
      <c r="AA139" s="106"/>
      <c r="AB139" s="1"/>
      <c r="AC139" s="324"/>
      <c r="AD139" s="1"/>
      <c r="AE139" s="106"/>
      <c r="AF139" s="1"/>
      <c r="AG139" s="154"/>
      <c r="AH139" s="1"/>
      <c r="AI139" s="106"/>
      <c r="AJ139" s="1"/>
      <c r="AK139" s="154"/>
      <c r="AL139" s="1"/>
      <c r="AM139" s="106"/>
      <c r="AN139" s="1"/>
      <c r="AO139" s="106"/>
      <c r="AP139" s="1"/>
      <c r="AQ139" s="154"/>
      <c r="AU139" s="325"/>
      <c r="AV139" s="1"/>
      <c r="AW139" s="1"/>
    </row>
    <row r="140" spans="1:49" x14ac:dyDescent="0.3">
      <c r="A140" s="101"/>
      <c r="B140" s="101"/>
      <c r="C140" s="101"/>
      <c r="D140" s="101"/>
      <c r="E140" s="101"/>
      <c r="F140" s="101"/>
      <c r="G140" s="101"/>
      <c r="H140" s="101"/>
      <c r="I140" s="101"/>
      <c r="J140" s="212"/>
      <c r="K140" s="101"/>
      <c r="L140" s="101"/>
      <c r="M140" s="101"/>
      <c r="N140" s="101"/>
      <c r="O140" s="101"/>
      <c r="P140" s="101"/>
      <c r="Q140" s="101"/>
      <c r="R140" s="101"/>
      <c r="T140" s="98">
        <f>A67</f>
        <v>42</v>
      </c>
      <c r="V140" s="124" t="s">
        <v>465</v>
      </c>
      <c r="X140" s="99"/>
      <c r="Y140" s="106"/>
      <c r="Z140" s="1"/>
      <c r="AA140" s="106"/>
      <c r="AB140" s="1"/>
      <c r="AC140" s="324"/>
      <c r="AD140" s="1"/>
      <c r="AE140" s="106"/>
      <c r="AF140" s="1"/>
      <c r="AG140" s="154"/>
      <c r="AH140" s="1"/>
      <c r="AI140" s="106"/>
      <c r="AJ140" s="1"/>
      <c r="AK140" s="154"/>
      <c r="AL140" s="1"/>
      <c r="AM140" s="106"/>
      <c r="AN140" s="1"/>
      <c r="AO140" s="106"/>
      <c r="AP140" s="1"/>
      <c r="AQ140" s="154"/>
      <c r="AU140" s="325"/>
      <c r="AV140" s="1"/>
      <c r="AW140" s="1"/>
    </row>
    <row r="141" spans="1:49" x14ac:dyDescent="0.3">
      <c r="A141" s="101"/>
      <c r="B141" s="101"/>
      <c r="C141" s="101"/>
      <c r="D141" s="101"/>
      <c r="E141" s="101"/>
      <c r="F141" s="101"/>
      <c r="G141" s="101"/>
      <c r="H141" s="101"/>
      <c r="I141" s="101"/>
      <c r="J141" s="212"/>
      <c r="K141" s="101"/>
      <c r="L141" s="101"/>
      <c r="M141" s="101"/>
      <c r="N141" s="101"/>
      <c r="O141" s="101"/>
      <c r="P141" s="101"/>
      <c r="Q141" s="101"/>
      <c r="R141" s="101"/>
      <c r="T141" s="98">
        <f>A68</f>
        <v>43</v>
      </c>
      <c r="V141" s="176" t="str">
        <f>C68</f>
        <v>ENVIRONMENTAL SURCHARGE MECHANISM RIDER (ESM)</v>
      </c>
      <c r="X141" s="99"/>
      <c r="Y141" s="106"/>
      <c r="Z141" s="1"/>
      <c r="AA141" s="106"/>
      <c r="AB141" s="1"/>
      <c r="AC141" s="304">
        <f>CUR_ESM_NonRes</f>
        <v>6.3863133253205971E-3</v>
      </c>
      <c r="AD141" s="1"/>
      <c r="AE141" s="106">
        <f>ROUND((AO138-(CUR_BASE_FUEL*AA138)+AO142)*AC141,0)</f>
        <v>22</v>
      </c>
      <c r="AF141" s="1"/>
      <c r="AG141" s="154">
        <f>ROUND((AE141/AE$145)*100,1)</f>
        <v>0.4</v>
      </c>
      <c r="AH141" s="1"/>
      <c r="AI141" s="106">
        <f>L68-AE141</f>
        <v>1</v>
      </c>
      <c r="AJ141" s="1"/>
      <c r="AK141" s="154">
        <f>IF(AE141=0,0,ROUND((AI141/AE141)*100,1))</f>
        <v>4.5</v>
      </c>
      <c r="AL141" s="1"/>
      <c r="AM141" s="106"/>
      <c r="AN141" s="1"/>
      <c r="AO141" s="106">
        <f>AM141+AE141</f>
        <v>22</v>
      </c>
      <c r="AP141" s="1"/>
      <c r="AQ141" s="154">
        <f>IF(AO141=0,0,ROUND((AI141/AO141)*100,1))</f>
        <v>4.5</v>
      </c>
      <c r="AU141" s="325"/>
      <c r="AV141" s="1"/>
      <c r="AW141" s="1"/>
    </row>
    <row r="142" spans="1:49" x14ac:dyDescent="0.3">
      <c r="A142" s="101"/>
      <c r="B142" s="101"/>
      <c r="C142" s="101"/>
      <c r="D142" s="101"/>
      <c r="E142" s="101"/>
      <c r="F142" s="101"/>
      <c r="G142" s="101"/>
      <c r="H142" s="101"/>
      <c r="I142" s="101"/>
      <c r="J142" s="212"/>
      <c r="K142" s="101"/>
      <c r="L142" s="101"/>
      <c r="M142" s="101"/>
      <c r="N142" s="101"/>
      <c r="O142" s="101"/>
      <c r="P142" s="101"/>
      <c r="Q142" s="101"/>
      <c r="R142" s="101"/>
      <c r="T142" s="98">
        <f>A69</f>
        <v>44</v>
      </c>
      <c r="V142" s="176" t="str">
        <f>C69</f>
        <v>PROFIT SHARING MECHANISM (PSM)</v>
      </c>
      <c r="X142" s="99"/>
      <c r="Y142" s="106"/>
      <c r="Z142" s="1"/>
      <c r="AA142" s="106"/>
      <c r="AB142" s="1"/>
      <c r="AC142" s="184">
        <f>RS_PSM</f>
        <v>2.4750000000000002E-3</v>
      </c>
      <c r="AD142" s="1"/>
      <c r="AE142" s="117">
        <f>ROUND($AA$138*AC142,0)</f>
        <v>226</v>
      </c>
      <c r="AF142" s="1"/>
      <c r="AG142" s="156">
        <f>ROUND((AE142/AE$145)*100,1)</f>
        <v>3.6</v>
      </c>
      <c r="AH142" s="1"/>
      <c r="AI142" s="117">
        <f>L69-AE142</f>
        <v>0</v>
      </c>
      <c r="AJ142" s="1"/>
      <c r="AK142" s="156">
        <f>ROUND((AI142/AE142)*100,1)</f>
        <v>0</v>
      </c>
      <c r="AL142" s="1"/>
      <c r="AM142" s="117"/>
      <c r="AN142" s="1"/>
      <c r="AO142" s="117">
        <f>AM142+AE142</f>
        <v>226</v>
      </c>
      <c r="AP142" s="1"/>
      <c r="AQ142" s="156">
        <f>ROUND((AI142/AO142)*100,1)</f>
        <v>0</v>
      </c>
      <c r="AU142" s="325"/>
      <c r="AV142" s="1"/>
      <c r="AW142" s="1"/>
    </row>
    <row r="143" spans="1:49" ht="20.100000000000001" customHeight="1" x14ac:dyDescent="0.3">
      <c r="A143" s="101"/>
      <c r="B143" s="101"/>
      <c r="C143" s="101"/>
      <c r="D143" s="101"/>
      <c r="E143" s="101"/>
      <c r="F143" s="101"/>
      <c r="G143" s="101"/>
      <c r="H143" s="101"/>
      <c r="I143" s="101"/>
      <c r="J143" s="212"/>
      <c r="K143" s="101"/>
      <c r="L143" s="101"/>
      <c r="M143" s="101"/>
      <c r="N143" s="101"/>
      <c r="O143" s="101"/>
      <c r="P143" s="101"/>
      <c r="Q143" s="101"/>
      <c r="R143" s="101"/>
      <c r="T143" s="98">
        <f>A70</f>
        <v>45</v>
      </c>
      <c r="V143" s="124" t="s">
        <v>461</v>
      </c>
      <c r="X143" s="99"/>
      <c r="Y143" s="117"/>
      <c r="Z143" s="1"/>
      <c r="AA143" s="117"/>
      <c r="AB143" s="1"/>
      <c r="AC143" s="324"/>
      <c r="AD143" s="1"/>
      <c r="AE143" s="112">
        <f>SUM(AE141:AE142)</f>
        <v>248</v>
      </c>
      <c r="AF143" s="1"/>
      <c r="AG143" s="156">
        <f>ROUND((AE143/AE$145)*100,1)</f>
        <v>4</v>
      </c>
      <c r="AH143" s="1"/>
      <c r="AI143" s="112">
        <f>SUM(AI141:AI142)</f>
        <v>1</v>
      </c>
      <c r="AJ143" s="1"/>
      <c r="AK143" s="158">
        <f>ROUND((AI143/AE143)*100,1)</f>
        <v>0.4</v>
      </c>
      <c r="AL143" s="1"/>
      <c r="AM143" s="112"/>
      <c r="AN143" s="1"/>
      <c r="AO143" s="112">
        <f>SUM(AO141:AO142)</f>
        <v>248</v>
      </c>
      <c r="AP143" s="1"/>
      <c r="AQ143" s="158">
        <f>ROUND((AI143/AO143)*100,1)</f>
        <v>0.4</v>
      </c>
      <c r="AU143" s="325"/>
      <c r="AV143" s="1"/>
      <c r="AW143" s="1"/>
    </row>
    <row r="144" spans="1:49" x14ac:dyDescent="0.3">
      <c r="A144" s="101"/>
      <c r="B144" s="101"/>
      <c r="C144" s="101"/>
      <c r="D144" s="101"/>
      <c r="E144" s="101"/>
      <c r="F144" s="101"/>
      <c r="G144" s="101"/>
      <c r="H144" s="101"/>
      <c r="I144" s="101"/>
      <c r="J144" s="212"/>
      <c r="K144" s="101"/>
      <c r="L144" s="101"/>
      <c r="M144" s="101"/>
      <c r="N144" s="101"/>
      <c r="O144" s="101"/>
      <c r="P144" s="101"/>
      <c r="Q144" s="101"/>
      <c r="R144" s="101"/>
      <c r="V144" s="124"/>
      <c r="X144" s="99"/>
      <c r="Y144" s="106"/>
      <c r="Z144" s="1"/>
      <c r="AA144" s="106"/>
      <c r="AB144" s="1"/>
      <c r="AC144" s="324"/>
      <c r="AD144" s="1"/>
      <c r="AE144" s="106"/>
      <c r="AF144" s="1"/>
      <c r="AG144" s="154"/>
      <c r="AH144" s="1"/>
      <c r="AI144" s="106"/>
      <c r="AJ144" s="1"/>
      <c r="AK144" s="154"/>
      <c r="AL144" s="1"/>
      <c r="AM144" s="106"/>
      <c r="AN144" s="1"/>
      <c r="AO144" s="106"/>
      <c r="AP144" s="1"/>
      <c r="AQ144" s="154"/>
      <c r="AU144" s="325"/>
      <c r="AV144" s="1"/>
      <c r="AW144" s="1"/>
    </row>
    <row r="145" spans="3:49" ht="20.100000000000001" customHeight="1" thickBot="1" x14ac:dyDescent="0.35">
      <c r="C145" s="99"/>
      <c r="D145" s="99"/>
      <c r="E145" s="99"/>
      <c r="J145" s="163"/>
      <c r="T145" s="98">
        <f>A72</f>
        <v>46</v>
      </c>
      <c r="V145" s="124" t="s">
        <v>469</v>
      </c>
      <c r="X145" s="99"/>
      <c r="Y145" s="120">
        <f>Y138</f>
        <v>2064</v>
      </c>
      <c r="Z145" s="321"/>
      <c r="AA145" s="120">
        <f>AA138</f>
        <v>91284</v>
      </c>
      <c r="AB145" s="1"/>
      <c r="AC145" s="1"/>
      <c r="AD145" s="1"/>
      <c r="AE145" s="120">
        <f>AE143+AE138</f>
        <v>6276</v>
      </c>
      <c r="AF145" s="1"/>
      <c r="AG145" s="162">
        <v>100</v>
      </c>
      <c r="AH145" s="1"/>
      <c r="AI145" s="120">
        <f>AI143+AI138</f>
        <v>861</v>
      </c>
      <c r="AJ145" s="1"/>
      <c r="AK145" s="162">
        <f>ROUND((AI145/AE145)*100,1)</f>
        <v>13.7</v>
      </c>
      <c r="AL145" s="1"/>
      <c r="AM145" s="319">
        <f>ROUND(AA145*CUR_FAC,0)</f>
        <v>318</v>
      </c>
      <c r="AN145" s="1"/>
      <c r="AO145" s="120">
        <f>AO143+AO138</f>
        <v>6594</v>
      </c>
      <c r="AP145" s="1"/>
      <c r="AQ145" s="162">
        <f>ROUND((AI145/AO145)*100,1)</f>
        <v>13.1</v>
      </c>
    </row>
    <row r="146" spans="3:49" ht="15" customHeight="1" thickTop="1" x14ac:dyDescent="0.3">
      <c r="J146" s="163"/>
      <c r="V146" s="99"/>
      <c r="W146" s="116"/>
      <c r="X146" s="99"/>
      <c r="Y146" s="106"/>
      <c r="Z146" s="1"/>
      <c r="AA146" s="1"/>
      <c r="AB146" s="1"/>
      <c r="AC146" s="1"/>
      <c r="AD146" s="1"/>
      <c r="AE146" s="1"/>
      <c r="AF146" s="1"/>
      <c r="AG146" s="154"/>
      <c r="AH146" s="1"/>
      <c r="AI146" s="1"/>
      <c r="AJ146" s="1"/>
      <c r="AK146" s="154"/>
      <c r="AL146" s="1"/>
      <c r="AM146" s="1"/>
      <c r="AN146" s="1"/>
      <c r="AO146" s="1"/>
      <c r="AP146" s="1"/>
      <c r="AQ146" s="154"/>
    </row>
    <row r="147" spans="3:49" x14ac:dyDescent="0.3">
      <c r="C147" s="99"/>
      <c r="F147" s="172"/>
      <c r="H147" s="220"/>
      <c r="I147" s="220"/>
      <c r="J147" s="228"/>
      <c r="K147" s="181"/>
      <c r="L147" s="110"/>
      <c r="M147" s="110"/>
      <c r="R147" s="110"/>
      <c r="V147" s="178" t="s">
        <v>76</v>
      </c>
      <c r="W147" s="99"/>
      <c r="X147" s="99"/>
      <c r="Y147" s="106"/>
      <c r="Z147" s="1"/>
      <c r="AA147" s="1"/>
      <c r="AB147" s="1"/>
      <c r="AC147" s="1"/>
      <c r="AD147" s="1"/>
      <c r="AE147" s="1"/>
      <c r="AF147" s="1"/>
      <c r="AG147" s="154"/>
      <c r="AH147" s="1"/>
      <c r="AI147" s="1"/>
      <c r="AJ147" s="1"/>
      <c r="AK147" s="154"/>
      <c r="AL147" s="1"/>
      <c r="AM147" s="1"/>
      <c r="AN147" s="1"/>
      <c r="AO147" s="1"/>
      <c r="AP147" s="1"/>
      <c r="AQ147" s="154"/>
    </row>
    <row r="148" spans="3:49" x14ac:dyDescent="0.3">
      <c r="F148" s="172"/>
      <c r="H148" s="220"/>
      <c r="I148" s="220"/>
      <c r="J148" s="228"/>
      <c r="K148" s="220"/>
      <c r="R148" s="110"/>
      <c r="V148" s="178" t="str">
        <f>"(2) REFLECTS FUEL COMPONENT OF "&amp;TEXT(CUR_FAC,"$0.000000;($0.000000)")&amp;" PER KWH."</f>
        <v>(2) REFLECTS FUEL COMPONENT OF $0.003487 PER KWH.</v>
      </c>
      <c r="W148" s="99"/>
      <c r="X148" s="99"/>
      <c r="Y148" s="110"/>
      <c r="AD148" s="1"/>
    </row>
    <row r="149" spans="3:49" x14ac:dyDescent="0.3">
      <c r="C149" s="99"/>
      <c r="F149" s="172"/>
      <c r="H149" s="172"/>
      <c r="I149" s="172"/>
      <c r="J149" s="228"/>
      <c r="K149" s="222"/>
      <c r="L149" s="110"/>
      <c r="M149" s="110"/>
      <c r="N149" s="141"/>
      <c r="O149" s="141"/>
      <c r="P149" s="172"/>
      <c r="Q149" s="172"/>
      <c r="R149" s="110"/>
      <c r="V149" s="178" t="str">
        <f>"(3) REFLECTS FUEL COST RECOVERY INCLUDED IN BASE RATES OF "&amp;TEXT(CUR_BASE_FUEL,"$0.000000;($0.000000)")&amp;"  PER KWH."</f>
        <v>(3) REFLECTS FUEL COST RECOVERY INCLUDED IN BASE RATES OF $0.033780  PER KWH.</v>
      </c>
      <c r="W149" s="99"/>
      <c r="X149" s="99"/>
      <c r="Y149" s="106"/>
      <c r="Z149" s="1"/>
      <c r="AA149" s="106"/>
      <c r="AB149" s="1"/>
      <c r="AC149" s="3"/>
      <c r="AD149" s="1"/>
      <c r="AE149" s="106"/>
      <c r="AF149" s="1"/>
      <c r="AG149" s="154"/>
      <c r="AH149" s="1"/>
      <c r="AI149" s="106"/>
      <c r="AJ149" s="1"/>
      <c r="AK149" s="154"/>
      <c r="AL149" s="1"/>
      <c r="AM149" s="106"/>
      <c r="AN149" s="1"/>
      <c r="AO149" s="106"/>
      <c r="AP149" s="1"/>
      <c r="AQ149" s="154"/>
      <c r="AW149" s="106"/>
    </row>
    <row r="150" spans="3:49" x14ac:dyDescent="0.3">
      <c r="F150" s="192"/>
      <c r="H150" s="192"/>
      <c r="I150" s="192"/>
      <c r="J150" s="228"/>
      <c r="K150" s="217"/>
      <c r="L150" s="192"/>
      <c r="M150" s="192"/>
      <c r="N150" s="192"/>
      <c r="O150" s="192"/>
      <c r="P150" s="192"/>
      <c r="Q150" s="192"/>
      <c r="R150" s="192"/>
      <c r="V150" s="99"/>
      <c r="W150" s="99"/>
      <c r="X150" s="99"/>
      <c r="Y150" s="106"/>
      <c r="Z150" s="1"/>
      <c r="AA150" s="1"/>
      <c r="AB150" s="1"/>
      <c r="AC150" s="1"/>
      <c r="AD150" s="1"/>
      <c r="AE150" s="1"/>
      <c r="AF150" s="1"/>
      <c r="AG150" s="154"/>
      <c r="AH150" s="1"/>
      <c r="AI150" s="1"/>
      <c r="AJ150" s="1"/>
      <c r="AK150" s="154"/>
      <c r="AL150" s="1"/>
      <c r="AM150" s="1"/>
      <c r="AN150" s="1"/>
      <c r="AO150" s="1"/>
      <c r="AP150" s="1"/>
      <c r="AQ150" s="154"/>
      <c r="AW150" s="1"/>
    </row>
    <row r="151" spans="3:49" x14ac:dyDescent="0.3">
      <c r="D151" s="99"/>
      <c r="E151" s="99"/>
      <c r="F151" s="110"/>
      <c r="H151" s="110"/>
      <c r="I151" s="110"/>
      <c r="J151" s="163"/>
      <c r="K151" s="198"/>
      <c r="L151" s="110"/>
      <c r="M151" s="110"/>
      <c r="N151" s="141"/>
      <c r="O151" s="141"/>
      <c r="P151" s="110"/>
      <c r="Q151" s="110"/>
      <c r="R151" s="110"/>
      <c r="W151" s="99"/>
      <c r="Y151" s="106"/>
      <c r="Z151" s="1"/>
      <c r="AA151" s="1"/>
      <c r="AB151" s="1"/>
      <c r="AC151" s="3"/>
      <c r="AD151" s="1"/>
      <c r="AE151" s="1"/>
      <c r="AF151" s="1"/>
      <c r="AG151" s="154"/>
      <c r="AH151" s="1"/>
      <c r="AI151" s="1"/>
      <c r="AJ151" s="1"/>
      <c r="AK151" s="154"/>
      <c r="AL151" s="1"/>
      <c r="AM151" s="1"/>
      <c r="AN151" s="1"/>
      <c r="AO151" s="1"/>
      <c r="AP151" s="1"/>
      <c r="AQ151" s="154"/>
      <c r="AW151" s="1"/>
    </row>
    <row r="152" spans="3:49" x14ac:dyDescent="0.3">
      <c r="F152" s="192"/>
      <c r="H152" s="192"/>
      <c r="I152" s="192"/>
      <c r="J152" s="228"/>
      <c r="K152" s="217"/>
      <c r="L152" s="192"/>
      <c r="M152" s="192"/>
      <c r="N152" s="192"/>
      <c r="O152" s="192"/>
      <c r="P152" s="192"/>
      <c r="Q152" s="192"/>
      <c r="R152" s="192"/>
      <c r="W152" s="99"/>
      <c r="Y152" s="106"/>
      <c r="Z152" s="1"/>
      <c r="AA152" s="106"/>
      <c r="AB152" s="1"/>
      <c r="AW152" s="147"/>
    </row>
    <row r="153" spans="3:49" x14ac:dyDescent="0.3">
      <c r="J153" s="163"/>
      <c r="R153" s="110"/>
      <c r="V153" s="99"/>
      <c r="Y153" s="106"/>
      <c r="Z153" s="1"/>
      <c r="AA153" s="1"/>
      <c r="AB153" s="1"/>
      <c r="AC153" s="3"/>
      <c r="AD153" s="1"/>
      <c r="AE153" s="1"/>
      <c r="AF153" s="1"/>
      <c r="AG153" s="154"/>
      <c r="AH153" s="1"/>
      <c r="AI153" s="1"/>
      <c r="AJ153" s="1"/>
      <c r="AK153" s="154"/>
      <c r="AL153" s="1"/>
      <c r="AM153" s="1"/>
      <c r="AN153" s="1"/>
      <c r="AO153" s="1"/>
      <c r="AP153" s="1"/>
      <c r="AQ153" s="154"/>
    </row>
    <row r="154" spans="3:49" x14ac:dyDescent="0.3">
      <c r="J154" s="163"/>
      <c r="R154" s="110"/>
    </row>
    <row r="155" spans="3:49" x14ac:dyDescent="0.3">
      <c r="J155" s="163"/>
      <c r="R155" s="110"/>
    </row>
    <row r="156" spans="3:49" x14ac:dyDescent="0.3">
      <c r="C156" s="99"/>
      <c r="D156" s="99"/>
      <c r="E156" s="99"/>
      <c r="H156" s="110"/>
      <c r="I156" s="110"/>
      <c r="J156" s="163"/>
      <c r="K156" s="198"/>
      <c r="L156" s="110"/>
      <c r="M156" s="110"/>
      <c r="N156" s="141"/>
      <c r="O156" s="141"/>
      <c r="P156" s="110"/>
      <c r="Q156" s="110"/>
      <c r="R156" s="110"/>
      <c r="T156" s="99"/>
      <c r="U156" s="99"/>
      <c r="Y156" s="110"/>
      <c r="Z156" s="198"/>
      <c r="AA156" s="110"/>
      <c r="AB156" s="110"/>
      <c r="AC156" s="141"/>
      <c r="AD156" s="141"/>
    </row>
    <row r="157" spans="3:49" x14ac:dyDescent="0.3">
      <c r="H157" s="110"/>
      <c r="I157" s="110"/>
      <c r="J157" s="163"/>
      <c r="K157" s="198"/>
      <c r="L157" s="110"/>
      <c r="M157" s="110"/>
      <c r="N157" s="141"/>
      <c r="O157" s="141"/>
      <c r="P157" s="110"/>
      <c r="Q157" s="110"/>
      <c r="R157" s="110"/>
      <c r="Y157" s="110"/>
      <c r="Z157" s="198"/>
      <c r="AA157" s="110"/>
      <c r="AB157" s="110"/>
      <c r="AC157" s="141"/>
      <c r="AD157" s="141"/>
    </row>
    <row r="158" spans="3:49" x14ac:dyDescent="0.3">
      <c r="C158" s="99"/>
      <c r="F158" s="172"/>
      <c r="H158" s="172"/>
      <c r="I158" s="172"/>
      <c r="J158" s="213"/>
      <c r="K158" s="208"/>
      <c r="L158" s="172"/>
      <c r="M158" s="172"/>
      <c r="N158" s="141"/>
      <c r="O158" s="141"/>
      <c r="P158" s="110"/>
      <c r="Q158" s="110"/>
      <c r="R158" s="110"/>
      <c r="T158" s="99"/>
      <c r="V158" s="110"/>
      <c r="Y158" s="110"/>
      <c r="Z158" s="208"/>
      <c r="AA158" s="110"/>
      <c r="AB158" s="110"/>
      <c r="AC158" s="141"/>
      <c r="AD158" s="141"/>
      <c r="AE158" s="110"/>
      <c r="AF158" s="110"/>
      <c r="AH158" s="207"/>
      <c r="AI158" s="110"/>
      <c r="AJ158" s="110"/>
      <c r="AL158" s="110"/>
      <c r="AM158" s="141"/>
      <c r="AN158" s="141"/>
    </row>
    <row r="159" spans="3:49" x14ac:dyDescent="0.3">
      <c r="F159" s="172"/>
      <c r="H159" s="220"/>
      <c r="I159" s="220"/>
      <c r="J159" s="228"/>
      <c r="K159" s="220"/>
      <c r="R159" s="110"/>
      <c r="V159" s="110"/>
      <c r="Z159" s="220"/>
    </row>
    <row r="160" spans="3:49" x14ac:dyDescent="0.3">
      <c r="C160" s="99"/>
      <c r="F160" s="172"/>
      <c r="H160" s="172"/>
      <c r="I160" s="172"/>
      <c r="J160" s="228"/>
      <c r="K160" s="181"/>
      <c r="L160" s="110"/>
      <c r="M160" s="110"/>
      <c r="N160" s="141"/>
      <c r="O160" s="141"/>
      <c r="P160" s="110"/>
      <c r="Q160" s="110"/>
      <c r="R160" s="110"/>
      <c r="T160" s="99"/>
      <c r="V160" s="110"/>
      <c r="Y160" s="110"/>
      <c r="Z160" s="181"/>
      <c r="AA160" s="110"/>
      <c r="AB160" s="110"/>
      <c r="AC160" s="141"/>
      <c r="AD160" s="141"/>
      <c r="AE160" s="110"/>
      <c r="AF160" s="110"/>
      <c r="AH160" s="207"/>
      <c r="AI160" s="110"/>
      <c r="AJ160" s="110"/>
      <c r="AL160" s="110"/>
      <c r="AM160" s="141"/>
      <c r="AN160" s="141"/>
    </row>
    <row r="161" spans="1:40" x14ac:dyDescent="0.3">
      <c r="F161" s="172"/>
      <c r="H161" s="220"/>
      <c r="I161" s="220"/>
      <c r="J161" s="228"/>
      <c r="K161" s="220"/>
      <c r="R161" s="110"/>
      <c r="V161" s="110"/>
      <c r="Z161" s="220"/>
    </row>
    <row r="162" spans="1:40" x14ac:dyDescent="0.3">
      <c r="C162" s="99"/>
      <c r="F162" s="172"/>
      <c r="H162" s="172"/>
      <c r="I162" s="172"/>
      <c r="J162" s="228"/>
      <c r="K162" s="222"/>
      <c r="L162" s="110"/>
      <c r="M162" s="110"/>
      <c r="N162" s="141"/>
      <c r="O162" s="141"/>
      <c r="P162" s="110"/>
      <c r="Q162" s="110"/>
      <c r="R162" s="110"/>
      <c r="T162" s="99"/>
      <c r="V162" s="110"/>
      <c r="Y162" s="110"/>
      <c r="Z162" s="216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1:40" x14ac:dyDescent="0.3">
      <c r="F163" s="192"/>
      <c r="H163" s="192"/>
      <c r="I163" s="192"/>
      <c r="J163" s="228"/>
      <c r="K163" s="217"/>
      <c r="L163" s="192"/>
      <c r="M163" s="192"/>
      <c r="N163" s="192"/>
      <c r="O163" s="192"/>
      <c r="P163" s="192"/>
      <c r="Q163" s="192"/>
      <c r="R163" s="192"/>
      <c r="S163" s="110"/>
      <c r="V163" s="192"/>
      <c r="Y163" s="192"/>
      <c r="Z163" s="217"/>
      <c r="AA163" s="192"/>
      <c r="AB163" s="192"/>
      <c r="AC163" s="192"/>
      <c r="AD163" s="192"/>
      <c r="AE163" s="192"/>
      <c r="AF163" s="192"/>
      <c r="AI163" s="192"/>
      <c r="AJ163" s="192"/>
      <c r="AK163" s="194"/>
      <c r="AL163" s="192"/>
    </row>
    <row r="164" spans="1:40" x14ac:dyDescent="0.3">
      <c r="D164" s="99"/>
      <c r="E164" s="99"/>
      <c r="F164" s="110"/>
      <c r="H164" s="110"/>
      <c r="I164" s="110"/>
      <c r="J164" s="163"/>
      <c r="K164" s="198"/>
      <c r="L164" s="110"/>
      <c r="M164" s="110"/>
      <c r="N164" s="141"/>
      <c r="O164" s="141"/>
      <c r="P164" s="172"/>
      <c r="Q164" s="172"/>
      <c r="R164" s="110"/>
      <c r="S164" s="110"/>
      <c r="U164" s="99"/>
      <c r="V164" s="110"/>
      <c r="Y164" s="110"/>
      <c r="Z164" s="198"/>
      <c r="AA164" s="110"/>
      <c r="AB164" s="110"/>
      <c r="AC164" s="141"/>
      <c r="AD164" s="141"/>
      <c r="AE164" s="110"/>
      <c r="AF164" s="110"/>
      <c r="AH164" s="207"/>
      <c r="AI164" s="172"/>
      <c r="AJ164" s="172"/>
      <c r="AL164" s="110"/>
      <c r="AM164" s="141"/>
      <c r="AN164" s="141"/>
    </row>
    <row r="165" spans="1:40" x14ac:dyDescent="0.3">
      <c r="F165" s="192"/>
      <c r="H165" s="192"/>
      <c r="I165" s="192"/>
      <c r="J165" s="228"/>
      <c r="K165" s="217"/>
      <c r="L165" s="192"/>
      <c r="M165" s="192"/>
      <c r="N165" s="192"/>
      <c r="O165" s="192"/>
      <c r="P165" s="192"/>
      <c r="Q165" s="192"/>
      <c r="R165" s="192"/>
      <c r="S165" s="110"/>
      <c r="V165" s="192"/>
      <c r="Y165" s="192"/>
      <c r="Z165" s="217"/>
      <c r="AA165" s="192"/>
      <c r="AB165" s="192"/>
      <c r="AC165" s="192"/>
      <c r="AD165" s="192"/>
      <c r="AE165" s="192"/>
      <c r="AF165" s="192"/>
      <c r="AI165" s="192"/>
      <c r="AJ165" s="192"/>
      <c r="AK165" s="194"/>
      <c r="AL165" s="192"/>
    </row>
    <row r="166" spans="1:40" x14ac:dyDescent="0.3">
      <c r="J166" s="163"/>
      <c r="R166" s="110"/>
    </row>
    <row r="167" spans="1:40" x14ac:dyDescent="0.3">
      <c r="F167" s="110"/>
      <c r="H167" s="110"/>
      <c r="I167" s="110"/>
      <c r="J167" s="163"/>
      <c r="K167" s="198"/>
      <c r="L167" s="110"/>
      <c r="M167" s="110"/>
      <c r="N167" s="110"/>
      <c r="O167" s="110"/>
      <c r="P167" s="110"/>
      <c r="Q167" s="110"/>
      <c r="R167" s="110"/>
      <c r="V167" s="110"/>
      <c r="Y167" s="110"/>
      <c r="Z167" s="198"/>
      <c r="AA167" s="110"/>
      <c r="AB167" s="110"/>
      <c r="AC167" s="110"/>
      <c r="AD167" s="110"/>
    </row>
    <row r="168" spans="1:40" x14ac:dyDescent="0.3">
      <c r="C168" s="99"/>
      <c r="F168" s="110"/>
      <c r="H168" s="110"/>
      <c r="I168" s="110"/>
      <c r="J168" s="163"/>
      <c r="K168" s="198"/>
      <c r="L168" s="110"/>
      <c r="M168" s="110"/>
      <c r="N168" s="110"/>
      <c r="O168" s="110"/>
      <c r="P168" s="110"/>
      <c r="Q168" s="110"/>
      <c r="R168" s="110"/>
      <c r="T168" s="99"/>
      <c r="V168" s="110"/>
      <c r="Y168" s="110"/>
      <c r="Z168" s="198"/>
      <c r="AA168" s="110"/>
      <c r="AB168" s="110"/>
      <c r="AC168" s="110"/>
      <c r="AD168" s="110"/>
    </row>
    <row r="169" spans="1:40" x14ac:dyDescent="0.3">
      <c r="C169" s="99"/>
      <c r="J169" s="163"/>
      <c r="T169" s="99"/>
    </row>
    <row r="170" spans="1:40" x14ac:dyDescent="0.3">
      <c r="A170" s="99"/>
      <c r="J170" s="163"/>
    </row>
    <row r="171" spans="1:40" x14ac:dyDescent="0.3">
      <c r="J171" s="163"/>
    </row>
    <row r="172" spans="1:40" x14ac:dyDescent="0.3">
      <c r="J172" s="163"/>
    </row>
    <row r="173" spans="1:40" x14ac:dyDescent="0.3">
      <c r="H173" s="99"/>
      <c r="I173" s="99"/>
      <c r="J173" s="163"/>
      <c r="Y173" s="99"/>
    </row>
    <row r="174" spans="1:40" x14ac:dyDescent="0.3">
      <c r="J174" s="163"/>
    </row>
    <row r="175" spans="1:40" x14ac:dyDescent="0.3">
      <c r="J175" s="163"/>
      <c r="L175" s="99"/>
      <c r="M175" s="99"/>
      <c r="AA175" s="99"/>
      <c r="AB175" s="99"/>
    </row>
    <row r="176" spans="1:40" x14ac:dyDescent="0.3">
      <c r="J176" s="163"/>
      <c r="R176" s="99"/>
      <c r="AK176" s="190"/>
      <c r="AL176" s="99"/>
    </row>
    <row r="177" spans="1:40" x14ac:dyDescent="0.3">
      <c r="J177" s="163"/>
      <c r="R177" s="99"/>
      <c r="AK177" s="190"/>
      <c r="AL177" s="99"/>
    </row>
    <row r="178" spans="1:40" x14ac:dyDescent="0.3">
      <c r="A178" s="99"/>
      <c r="J178" s="163"/>
      <c r="R178" s="99"/>
      <c r="AK178" s="190"/>
      <c r="AL178" s="99"/>
    </row>
    <row r="179" spans="1:40" x14ac:dyDescent="0.3">
      <c r="J179" s="163"/>
      <c r="L179" s="99"/>
      <c r="M179" s="99"/>
      <c r="AA179" s="99"/>
      <c r="AB179" s="99"/>
    </row>
    <row r="180" spans="1:40" x14ac:dyDescent="0.3">
      <c r="A180" s="101"/>
      <c r="B180" s="101"/>
      <c r="C180" s="101"/>
      <c r="D180" s="101"/>
      <c r="E180" s="101"/>
      <c r="F180" s="101"/>
      <c r="G180" s="101"/>
      <c r="H180" s="101"/>
      <c r="I180" s="101"/>
      <c r="J180" s="212"/>
      <c r="K180" s="101"/>
      <c r="L180" s="101"/>
      <c r="M180" s="101"/>
      <c r="N180" s="101"/>
      <c r="O180" s="101"/>
      <c r="P180" s="101"/>
      <c r="Q180" s="101"/>
      <c r="R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91"/>
      <c r="AH180" s="101"/>
      <c r="AI180" s="101"/>
      <c r="AJ180" s="101"/>
      <c r="AK180" s="191"/>
      <c r="AL180" s="101"/>
      <c r="AM180" s="101"/>
      <c r="AN180" s="101"/>
    </row>
    <row r="181" spans="1:40" x14ac:dyDescent="0.3">
      <c r="J181" s="163"/>
      <c r="L181" s="102"/>
      <c r="M181" s="102"/>
      <c r="N181" s="102"/>
      <c r="O181" s="102"/>
      <c r="R181" s="102"/>
      <c r="AA181" s="102"/>
      <c r="AB181" s="102"/>
      <c r="AC181" s="102"/>
      <c r="AD181" s="102"/>
      <c r="AE181" s="102"/>
      <c r="AF181" s="102"/>
      <c r="AG181" s="151"/>
      <c r="AH181" s="102"/>
      <c r="AK181" s="151"/>
      <c r="AL181" s="102"/>
      <c r="AM181" s="102"/>
      <c r="AN181" s="102"/>
    </row>
    <row r="182" spans="1:40" x14ac:dyDescent="0.3">
      <c r="J182" s="163"/>
      <c r="L182" s="102"/>
      <c r="M182" s="102"/>
      <c r="N182" s="102"/>
      <c r="O182" s="102"/>
      <c r="R182" s="102"/>
      <c r="Z182" s="102"/>
      <c r="AA182" s="102"/>
      <c r="AB182" s="102"/>
      <c r="AC182" s="102"/>
      <c r="AD182" s="102"/>
      <c r="AE182" s="102"/>
      <c r="AF182" s="102"/>
      <c r="AG182" s="151"/>
      <c r="AH182" s="102"/>
      <c r="AK182" s="151"/>
      <c r="AL182" s="102"/>
      <c r="AM182" s="102"/>
      <c r="AN182" s="102"/>
    </row>
    <row r="183" spans="1:40" x14ac:dyDescent="0.3">
      <c r="A183" s="102"/>
      <c r="C183" s="102"/>
      <c r="D183" s="102"/>
      <c r="E183" s="102"/>
      <c r="F183" s="102"/>
      <c r="J183" s="213"/>
      <c r="K183" s="102"/>
      <c r="L183" s="102"/>
      <c r="M183" s="102"/>
      <c r="N183" s="102"/>
      <c r="O183" s="102"/>
      <c r="P183" s="102"/>
      <c r="Q183" s="102"/>
      <c r="R183" s="102"/>
      <c r="T183" s="102"/>
      <c r="U183" s="102"/>
      <c r="V183" s="102"/>
      <c r="Z183" s="102"/>
      <c r="AA183" s="102"/>
      <c r="AB183" s="102"/>
      <c r="AC183" s="102"/>
      <c r="AD183" s="102"/>
      <c r="AE183" s="102"/>
      <c r="AF183" s="102"/>
      <c r="AG183" s="151"/>
      <c r="AH183" s="102"/>
      <c r="AI183" s="102"/>
      <c r="AJ183" s="102"/>
      <c r="AK183" s="151"/>
      <c r="AL183" s="102"/>
      <c r="AM183" s="102"/>
      <c r="AN183" s="102"/>
    </row>
    <row r="184" spans="1:40" x14ac:dyDescent="0.3">
      <c r="A184" s="102"/>
      <c r="C184" s="102"/>
      <c r="D184" s="102"/>
      <c r="E184" s="102"/>
      <c r="F184" s="102"/>
      <c r="H184" s="102"/>
      <c r="I184" s="102"/>
      <c r="J184" s="213"/>
      <c r="K184" s="102"/>
      <c r="L184" s="102"/>
      <c r="M184" s="102"/>
      <c r="N184" s="102"/>
      <c r="O184" s="102"/>
      <c r="P184" s="102"/>
      <c r="Q184" s="102"/>
      <c r="R184" s="102"/>
      <c r="T184" s="102"/>
      <c r="U184" s="102"/>
      <c r="V184" s="102"/>
      <c r="Y184" s="102"/>
      <c r="Z184" s="102"/>
      <c r="AA184" s="102"/>
      <c r="AB184" s="102"/>
      <c r="AC184" s="102"/>
      <c r="AD184" s="102"/>
      <c r="AE184" s="102"/>
      <c r="AF184" s="102"/>
      <c r="AG184" s="151"/>
      <c r="AH184" s="102"/>
      <c r="AI184" s="102"/>
      <c r="AJ184" s="102"/>
      <c r="AK184" s="151"/>
      <c r="AL184" s="102"/>
      <c r="AM184" s="102"/>
      <c r="AN184" s="102"/>
    </row>
    <row r="185" spans="1:40" x14ac:dyDescent="0.3">
      <c r="C185" s="102"/>
      <c r="D185" s="102"/>
      <c r="E185" s="102"/>
      <c r="F185" s="102"/>
      <c r="H185" s="102"/>
      <c r="I185" s="102"/>
      <c r="J185" s="213"/>
      <c r="K185" s="102"/>
      <c r="L185" s="102"/>
      <c r="M185" s="102"/>
      <c r="N185" s="102"/>
      <c r="O185" s="102"/>
      <c r="P185" s="102"/>
      <c r="Q185" s="102"/>
      <c r="R185" s="102"/>
      <c r="T185" s="102"/>
      <c r="U185" s="102"/>
      <c r="V185" s="102"/>
      <c r="Y185" s="102"/>
      <c r="Z185" s="102"/>
      <c r="AA185" s="102"/>
      <c r="AB185" s="102"/>
      <c r="AC185" s="102"/>
      <c r="AD185" s="102"/>
      <c r="AE185" s="102"/>
      <c r="AF185" s="102"/>
      <c r="AG185" s="151"/>
      <c r="AH185" s="102"/>
      <c r="AI185" s="102"/>
      <c r="AJ185" s="102"/>
      <c r="AK185" s="151"/>
      <c r="AL185" s="102"/>
      <c r="AM185" s="102"/>
      <c r="AN185" s="102"/>
    </row>
    <row r="186" spans="1:40" x14ac:dyDescent="0.3">
      <c r="A186" s="101"/>
      <c r="B186" s="101"/>
      <c r="C186" s="101"/>
      <c r="D186" s="101"/>
      <c r="E186" s="101"/>
      <c r="F186" s="101"/>
      <c r="G186" s="101"/>
      <c r="H186" s="101"/>
      <c r="I186" s="101"/>
      <c r="J186" s="212"/>
      <c r="K186" s="101"/>
      <c r="L186" s="101"/>
      <c r="M186" s="101"/>
      <c r="N186" s="101"/>
      <c r="O186" s="101"/>
      <c r="P186" s="101"/>
      <c r="Q186" s="101"/>
      <c r="R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91"/>
      <c r="AH186" s="101"/>
      <c r="AI186" s="101"/>
      <c r="AJ186" s="101"/>
      <c r="AK186" s="191"/>
      <c r="AL186" s="101"/>
      <c r="AM186" s="101"/>
      <c r="AN186" s="101"/>
    </row>
    <row r="187" spans="1:40" x14ac:dyDescent="0.3">
      <c r="H187" s="102"/>
      <c r="I187" s="102"/>
      <c r="J187" s="213"/>
      <c r="K187" s="102"/>
      <c r="L187" s="102"/>
      <c r="M187" s="102"/>
      <c r="N187" s="102"/>
      <c r="O187" s="102"/>
      <c r="P187" s="102"/>
      <c r="Q187" s="102"/>
      <c r="R187" s="102"/>
      <c r="Y187" s="102"/>
      <c r="Z187" s="102"/>
      <c r="AA187" s="102"/>
      <c r="AB187" s="102"/>
      <c r="AC187" s="102"/>
      <c r="AD187" s="102"/>
      <c r="AE187" s="102"/>
      <c r="AF187" s="102"/>
      <c r="AG187" s="151"/>
      <c r="AH187" s="102"/>
      <c r="AI187" s="102"/>
      <c r="AJ187" s="102"/>
      <c r="AK187" s="151"/>
      <c r="AL187" s="102"/>
      <c r="AM187" s="102"/>
      <c r="AN187" s="102"/>
    </row>
    <row r="188" spans="1:40" x14ac:dyDescent="0.3">
      <c r="C188" s="99"/>
      <c r="D188" s="99"/>
      <c r="E188" s="99"/>
      <c r="J188" s="163"/>
      <c r="T188" s="99"/>
      <c r="U188" s="99"/>
    </row>
    <row r="189" spans="1:40" x14ac:dyDescent="0.3">
      <c r="D189" s="99"/>
      <c r="E189" s="99"/>
      <c r="J189" s="163"/>
      <c r="U189" s="99"/>
    </row>
    <row r="190" spans="1:40" x14ac:dyDescent="0.3">
      <c r="J190" s="163"/>
    </row>
    <row r="191" spans="1:40" x14ac:dyDescent="0.3">
      <c r="C191" s="99"/>
      <c r="F191" s="110"/>
      <c r="J191" s="163"/>
      <c r="K191" s="209"/>
      <c r="L191" s="110"/>
      <c r="M191" s="110"/>
      <c r="R191" s="110"/>
      <c r="T191" s="99"/>
      <c r="V191" s="110"/>
      <c r="Z191" s="209"/>
      <c r="AA191" s="110"/>
      <c r="AB191" s="110"/>
      <c r="AL191" s="110"/>
    </row>
    <row r="192" spans="1:40" x14ac:dyDescent="0.3">
      <c r="F192" s="110"/>
      <c r="J192" s="163"/>
      <c r="R192" s="110"/>
      <c r="V192" s="110"/>
      <c r="AL192" s="110"/>
    </row>
    <row r="193" spans="3:40" x14ac:dyDescent="0.3">
      <c r="C193" s="99"/>
      <c r="F193" s="172"/>
      <c r="H193" s="172"/>
      <c r="I193" s="172"/>
      <c r="J193" s="228"/>
      <c r="K193" s="181"/>
      <c r="L193" s="110"/>
      <c r="M193" s="110"/>
      <c r="N193" s="141"/>
      <c r="O193" s="141"/>
      <c r="P193" s="110"/>
      <c r="Q193" s="110"/>
      <c r="R193" s="110"/>
      <c r="T193" s="99"/>
      <c r="V193" s="110"/>
      <c r="Y193" s="110"/>
      <c r="Z193" s="181"/>
      <c r="AA193" s="110"/>
      <c r="AB193" s="110"/>
      <c r="AC193" s="141"/>
      <c r="AD193" s="141"/>
      <c r="AE193" s="110"/>
      <c r="AF193" s="110"/>
      <c r="AH193" s="207"/>
      <c r="AI193" s="110"/>
      <c r="AJ193" s="110"/>
      <c r="AL193" s="110"/>
      <c r="AM193" s="141"/>
      <c r="AN193" s="141"/>
    </row>
    <row r="194" spans="3:40" x14ac:dyDescent="0.3">
      <c r="C194" s="99"/>
      <c r="F194" s="172"/>
      <c r="H194" s="220"/>
      <c r="I194" s="220"/>
      <c r="J194" s="228"/>
      <c r="K194" s="181"/>
      <c r="L194" s="110"/>
      <c r="M194" s="110"/>
      <c r="N194" s="141"/>
      <c r="O194" s="141"/>
      <c r="P194" s="110"/>
      <c r="Q194" s="110"/>
      <c r="R194" s="110"/>
      <c r="T194" s="99"/>
      <c r="V194" s="110"/>
      <c r="Y194" s="110"/>
      <c r="Z194" s="181"/>
      <c r="AA194" s="110"/>
      <c r="AB194" s="110"/>
      <c r="AC194" s="141"/>
      <c r="AD194" s="141"/>
      <c r="AE194" s="110"/>
      <c r="AF194" s="110"/>
      <c r="AH194" s="207"/>
      <c r="AI194" s="110"/>
      <c r="AJ194" s="110"/>
      <c r="AL194" s="110"/>
      <c r="AM194" s="141"/>
      <c r="AN194" s="141"/>
    </row>
    <row r="195" spans="3:40" x14ac:dyDescent="0.3">
      <c r="F195" s="192"/>
      <c r="H195" s="110"/>
      <c r="I195" s="110"/>
      <c r="J195" s="228"/>
      <c r="K195" s="217"/>
      <c r="L195" s="192"/>
      <c r="M195" s="192"/>
      <c r="N195" s="192"/>
      <c r="O195" s="192"/>
      <c r="P195" s="192"/>
      <c r="Q195" s="192"/>
      <c r="R195" s="192"/>
      <c r="V195" s="192"/>
      <c r="Y195" s="110"/>
      <c r="Z195" s="217"/>
      <c r="AA195" s="192"/>
      <c r="AB195" s="192"/>
      <c r="AC195" s="192"/>
      <c r="AD195" s="192"/>
      <c r="AE195" s="192"/>
      <c r="AF195" s="192"/>
      <c r="AI195" s="192"/>
      <c r="AJ195" s="192"/>
      <c r="AK195" s="194"/>
      <c r="AL195" s="192"/>
    </row>
    <row r="196" spans="3:40" x14ac:dyDescent="0.3">
      <c r="C196" s="99"/>
      <c r="F196" s="110"/>
      <c r="H196" s="110"/>
      <c r="I196" s="110"/>
      <c r="J196" s="163"/>
      <c r="K196" s="198"/>
      <c r="L196" s="110"/>
      <c r="M196" s="110"/>
      <c r="N196" s="141"/>
      <c r="O196" s="141"/>
      <c r="P196" s="110"/>
      <c r="Q196" s="110"/>
      <c r="R196" s="110"/>
      <c r="T196" s="99"/>
      <c r="V196" s="110"/>
      <c r="Y196" s="110"/>
      <c r="Z196" s="198"/>
      <c r="AA196" s="110"/>
      <c r="AB196" s="110"/>
      <c r="AC196" s="141"/>
      <c r="AD196" s="141"/>
      <c r="AE196" s="110"/>
      <c r="AF196" s="110"/>
      <c r="AH196" s="207"/>
      <c r="AI196" s="110"/>
      <c r="AJ196" s="110"/>
      <c r="AL196" s="110"/>
      <c r="AM196" s="141"/>
      <c r="AN196" s="141"/>
    </row>
    <row r="197" spans="3:40" x14ac:dyDescent="0.3">
      <c r="F197" s="192"/>
      <c r="H197" s="110"/>
      <c r="I197" s="110"/>
      <c r="J197" s="228"/>
      <c r="K197" s="217"/>
      <c r="L197" s="192"/>
      <c r="M197" s="192"/>
      <c r="N197" s="192"/>
      <c r="O197" s="192"/>
      <c r="P197" s="192"/>
      <c r="Q197" s="192"/>
      <c r="R197" s="192"/>
      <c r="V197" s="192"/>
      <c r="Y197" s="110"/>
      <c r="Z197" s="217"/>
      <c r="AA197" s="192"/>
      <c r="AB197" s="192"/>
      <c r="AC197" s="192"/>
      <c r="AD197" s="192"/>
      <c r="AE197" s="192"/>
      <c r="AF197" s="192"/>
      <c r="AI197" s="192"/>
      <c r="AJ197" s="192"/>
      <c r="AK197" s="194"/>
      <c r="AL197" s="192"/>
    </row>
    <row r="198" spans="3:40" x14ac:dyDescent="0.3">
      <c r="F198" s="110"/>
      <c r="J198" s="163"/>
      <c r="R198" s="110"/>
      <c r="V198" s="110"/>
      <c r="AL198" s="110"/>
    </row>
    <row r="199" spans="3:40" x14ac:dyDescent="0.3">
      <c r="C199" s="99"/>
      <c r="F199" s="110"/>
      <c r="J199" s="163"/>
      <c r="R199" s="110"/>
      <c r="T199" s="99"/>
      <c r="V199" s="110"/>
      <c r="AL199" s="110"/>
    </row>
    <row r="200" spans="3:40" x14ac:dyDescent="0.3">
      <c r="F200" s="110"/>
      <c r="J200" s="163"/>
      <c r="R200" s="110"/>
      <c r="V200" s="110"/>
      <c r="AL200" s="110"/>
    </row>
    <row r="201" spans="3:40" x14ac:dyDescent="0.3">
      <c r="C201" s="99"/>
      <c r="F201" s="110"/>
      <c r="H201" s="172"/>
      <c r="I201" s="172"/>
      <c r="J201" s="228"/>
      <c r="K201" s="222"/>
      <c r="L201" s="110"/>
      <c r="M201" s="110"/>
      <c r="N201" s="141"/>
      <c r="O201" s="141"/>
      <c r="P201" s="172"/>
      <c r="Q201" s="172"/>
      <c r="R201" s="110"/>
      <c r="T201" s="99"/>
      <c r="V201" s="110"/>
      <c r="Y201" s="110"/>
      <c r="Z201" s="216"/>
      <c r="AA201" s="110"/>
      <c r="AB201" s="110"/>
      <c r="AC201" s="141"/>
      <c r="AD201" s="141"/>
      <c r="AE201" s="110"/>
      <c r="AF201" s="110"/>
      <c r="AH201" s="207"/>
      <c r="AI201" s="172"/>
      <c r="AJ201" s="172"/>
      <c r="AL201" s="110"/>
      <c r="AM201" s="141"/>
      <c r="AN201" s="141"/>
    </row>
    <row r="202" spans="3:40" x14ac:dyDescent="0.3">
      <c r="H202" s="192"/>
      <c r="I202" s="192"/>
      <c r="J202" s="228"/>
      <c r="K202" s="217"/>
      <c r="L202" s="192"/>
      <c r="M202" s="192"/>
      <c r="N202" s="192"/>
      <c r="O202" s="192"/>
      <c r="P202" s="192"/>
      <c r="Q202" s="192"/>
      <c r="R202" s="192"/>
      <c r="V202" s="192"/>
      <c r="Y202" s="192"/>
      <c r="Z202" s="217"/>
      <c r="AA202" s="192"/>
      <c r="AB202" s="192"/>
      <c r="AC202" s="192"/>
      <c r="AD202" s="192"/>
      <c r="AE202" s="192"/>
      <c r="AF202" s="192"/>
      <c r="AI202" s="192"/>
      <c r="AJ202" s="192"/>
      <c r="AK202" s="194"/>
      <c r="AL202" s="192"/>
    </row>
    <row r="203" spans="3:40" x14ac:dyDescent="0.3">
      <c r="F203" s="192"/>
      <c r="J203" s="163"/>
    </row>
    <row r="204" spans="3:40" x14ac:dyDescent="0.3">
      <c r="C204" s="99"/>
      <c r="F204" s="110"/>
      <c r="H204" s="110"/>
      <c r="I204" s="110"/>
      <c r="J204" s="163"/>
      <c r="K204" s="209"/>
      <c r="L204" s="110"/>
      <c r="M204" s="110"/>
      <c r="N204" s="141"/>
      <c r="O204" s="141"/>
      <c r="P204" s="110"/>
      <c r="Q204" s="110"/>
      <c r="R204" s="110"/>
      <c r="T204" s="99"/>
      <c r="V204" s="110"/>
      <c r="Y204" s="110"/>
      <c r="Z204" s="209"/>
      <c r="AA204" s="110"/>
      <c r="AB204" s="110"/>
      <c r="AC204" s="141"/>
      <c r="AD204" s="141"/>
      <c r="AE204" s="110"/>
      <c r="AF204" s="110"/>
      <c r="AH204" s="207"/>
      <c r="AI204" s="110"/>
      <c r="AJ204" s="110"/>
      <c r="AL204" s="110"/>
      <c r="AM204" s="141"/>
      <c r="AN204" s="141"/>
    </row>
    <row r="205" spans="3:40" x14ac:dyDescent="0.3">
      <c r="F205" s="192"/>
      <c r="H205" s="192"/>
      <c r="I205" s="192"/>
      <c r="J205" s="228"/>
      <c r="K205" s="217"/>
      <c r="L205" s="192"/>
      <c r="M205" s="192"/>
      <c r="N205" s="192"/>
      <c r="O205" s="192"/>
      <c r="P205" s="192"/>
      <c r="Q205" s="192"/>
      <c r="R205" s="192"/>
      <c r="V205" s="192"/>
      <c r="Y205" s="192"/>
      <c r="Z205" s="217"/>
      <c r="AA205" s="192"/>
      <c r="AB205" s="192"/>
      <c r="AC205" s="192"/>
      <c r="AD205" s="192"/>
      <c r="AE205" s="192"/>
      <c r="AF205" s="192"/>
      <c r="AI205" s="192"/>
      <c r="AJ205" s="192"/>
      <c r="AK205" s="194"/>
      <c r="AL205" s="192"/>
    </row>
    <row r="206" spans="3:40" x14ac:dyDescent="0.3">
      <c r="J206" s="163"/>
      <c r="R206" s="110"/>
      <c r="AH206" s="110"/>
    </row>
    <row r="207" spans="3:40" x14ac:dyDescent="0.3">
      <c r="F207" s="110"/>
      <c r="H207" s="110"/>
      <c r="I207" s="110"/>
      <c r="J207" s="163"/>
      <c r="K207" s="198"/>
      <c r="L207" s="110"/>
      <c r="M207" s="110"/>
      <c r="N207" s="110"/>
      <c r="O207" s="110"/>
      <c r="P207" s="110"/>
      <c r="Q207" s="110"/>
      <c r="R207" s="110"/>
      <c r="V207" s="110"/>
      <c r="Y207" s="110"/>
      <c r="Z207" s="198"/>
      <c r="AA207" s="110"/>
      <c r="AB207" s="110"/>
      <c r="AC207" s="110"/>
      <c r="AD207" s="110"/>
      <c r="AE207" s="110"/>
      <c r="AF207" s="110"/>
      <c r="AH207" s="110"/>
    </row>
    <row r="208" spans="3:40" x14ac:dyDescent="0.3">
      <c r="C208" s="99"/>
      <c r="F208" s="110"/>
      <c r="H208" s="110"/>
      <c r="I208" s="110"/>
      <c r="J208" s="163"/>
      <c r="K208" s="198"/>
      <c r="L208" s="110"/>
      <c r="M208" s="110"/>
      <c r="N208" s="110"/>
      <c r="O208" s="110"/>
      <c r="P208" s="110"/>
      <c r="Q208" s="110"/>
      <c r="R208" s="110"/>
      <c r="T208" s="99"/>
      <c r="V208" s="110"/>
      <c r="Y208" s="110"/>
      <c r="Z208" s="198"/>
      <c r="AA208" s="110"/>
      <c r="AB208" s="110"/>
      <c r="AC208" s="110"/>
      <c r="AD208" s="110"/>
      <c r="AE208" s="110"/>
      <c r="AF208" s="110"/>
      <c r="AH208" s="110"/>
    </row>
    <row r="209" spans="1:40" x14ac:dyDescent="0.3">
      <c r="A209" s="99"/>
      <c r="J209" s="163"/>
    </row>
    <row r="210" spans="1:40" x14ac:dyDescent="0.3">
      <c r="J210" s="163"/>
    </row>
    <row r="211" spans="1:40" x14ac:dyDescent="0.3">
      <c r="J211" s="163"/>
    </row>
    <row r="212" spans="1:40" x14ac:dyDescent="0.3">
      <c r="H212" s="99"/>
      <c r="I212" s="99"/>
      <c r="J212" s="163"/>
      <c r="Y212" s="99"/>
    </row>
    <row r="213" spans="1:40" x14ac:dyDescent="0.3">
      <c r="J213" s="163"/>
    </row>
    <row r="214" spans="1:40" x14ac:dyDescent="0.3">
      <c r="J214" s="163"/>
      <c r="L214" s="99"/>
      <c r="M214" s="99"/>
      <c r="AA214" s="99"/>
      <c r="AB214" s="99"/>
    </row>
    <row r="215" spans="1:40" x14ac:dyDescent="0.3">
      <c r="J215" s="163"/>
      <c r="R215" s="99"/>
      <c r="AK215" s="190"/>
      <c r="AL215" s="99"/>
    </row>
    <row r="216" spans="1:40" x14ac:dyDescent="0.3">
      <c r="J216" s="163"/>
      <c r="R216" s="99"/>
      <c r="AK216" s="190"/>
      <c r="AL216" s="99"/>
    </row>
    <row r="217" spans="1:40" x14ac:dyDescent="0.3">
      <c r="A217" s="99"/>
      <c r="J217" s="163"/>
      <c r="R217" s="99"/>
      <c r="AK217" s="190"/>
      <c r="AL217" s="99"/>
    </row>
    <row r="218" spans="1:40" x14ac:dyDescent="0.3">
      <c r="J218" s="163"/>
      <c r="L218" s="99"/>
      <c r="M218" s="99"/>
      <c r="AA218" s="99"/>
      <c r="AB218" s="99"/>
    </row>
    <row r="219" spans="1:40" x14ac:dyDescent="0.3">
      <c r="A219" s="101"/>
      <c r="B219" s="101"/>
      <c r="C219" s="101"/>
      <c r="D219" s="101"/>
      <c r="E219" s="101"/>
      <c r="F219" s="101"/>
      <c r="G219" s="101"/>
      <c r="H219" s="101"/>
      <c r="I219" s="101"/>
      <c r="J219" s="212"/>
      <c r="K219" s="101"/>
      <c r="L219" s="101"/>
      <c r="M219" s="101"/>
      <c r="N219" s="101"/>
      <c r="O219" s="101"/>
      <c r="P219" s="101"/>
      <c r="Q219" s="101"/>
      <c r="R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91"/>
      <c r="AH219" s="101"/>
      <c r="AI219" s="101"/>
      <c r="AJ219" s="101"/>
      <c r="AK219" s="191"/>
      <c r="AL219" s="101"/>
      <c r="AM219" s="101"/>
      <c r="AN219" s="101"/>
    </row>
    <row r="220" spans="1:40" x14ac:dyDescent="0.3">
      <c r="J220" s="163"/>
      <c r="L220" s="102"/>
      <c r="M220" s="102"/>
      <c r="N220" s="102"/>
      <c r="O220" s="102"/>
      <c r="R220" s="102"/>
      <c r="AA220" s="102"/>
      <c r="AB220" s="102"/>
      <c r="AC220" s="102"/>
      <c r="AD220" s="102"/>
      <c r="AE220" s="102"/>
      <c r="AF220" s="102"/>
      <c r="AG220" s="151"/>
      <c r="AH220" s="102"/>
      <c r="AK220" s="151"/>
      <c r="AL220" s="102"/>
      <c r="AM220" s="102"/>
      <c r="AN220" s="102"/>
    </row>
    <row r="221" spans="1:40" x14ac:dyDescent="0.3">
      <c r="J221" s="163"/>
      <c r="L221" s="102"/>
      <c r="M221" s="102"/>
      <c r="N221" s="102"/>
      <c r="O221" s="102"/>
      <c r="R221" s="102"/>
      <c r="Z221" s="102"/>
      <c r="AA221" s="102"/>
      <c r="AB221" s="102"/>
      <c r="AC221" s="102"/>
      <c r="AD221" s="102"/>
      <c r="AE221" s="102"/>
      <c r="AF221" s="102"/>
      <c r="AG221" s="151"/>
      <c r="AH221" s="102"/>
      <c r="AK221" s="151"/>
      <c r="AL221" s="102"/>
      <c r="AM221" s="102"/>
      <c r="AN221" s="102"/>
    </row>
    <row r="222" spans="1:40" x14ac:dyDescent="0.3">
      <c r="A222" s="102"/>
      <c r="C222" s="102"/>
      <c r="D222" s="102"/>
      <c r="E222" s="102"/>
      <c r="F222" s="102"/>
      <c r="J222" s="213"/>
      <c r="K222" s="102"/>
      <c r="L222" s="102"/>
      <c r="M222" s="102"/>
      <c r="N222" s="102"/>
      <c r="O222" s="102"/>
      <c r="P222" s="102"/>
      <c r="Q222" s="102"/>
      <c r="R222" s="102"/>
      <c r="T222" s="102"/>
      <c r="U222" s="102"/>
      <c r="V222" s="102"/>
      <c r="Z222" s="102"/>
      <c r="AA222" s="102"/>
      <c r="AB222" s="102"/>
      <c r="AC222" s="102"/>
      <c r="AD222" s="102"/>
      <c r="AE222" s="102"/>
      <c r="AF222" s="102"/>
      <c r="AG222" s="151"/>
      <c r="AH222" s="102"/>
      <c r="AI222" s="102"/>
      <c r="AJ222" s="102"/>
      <c r="AK222" s="151"/>
      <c r="AL222" s="102"/>
      <c r="AM222" s="102"/>
      <c r="AN222" s="102"/>
    </row>
    <row r="223" spans="1:40" x14ac:dyDescent="0.3">
      <c r="A223" s="102"/>
      <c r="C223" s="102"/>
      <c r="D223" s="102"/>
      <c r="E223" s="102"/>
      <c r="F223" s="102"/>
      <c r="H223" s="102"/>
      <c r="I223" s="102"/>
      <c r="J223" s="213"/>
      <c r="K223" s="102"/>
      <c r="L223" s="102"/>
      <c r="M223" s="102"/>
      <c r="N223" s="102"/>
      <c r="O223" s="102"/>
      <c r="P223" s="102"/>
      <c r="Q223" s="102"/>
      <c r="R223" s="102"/>
      <c r="T223" s="102"/>
      <c r="U223" s="102"/>
      <c r="V223" s="102"/>
      <c r="Y223" s="102"/>
      <c r="Z223" s="102"/>
      <c r="AA223" s="102"/>
      <c r="AB223" s="102"/>
      <c r="AC223" s="102"/>
      <c r="AD223" s="102"/>
      <c r="AE223" s="102"/>
      <c r="AF223" s="102"/>
      <c r="AG223" s="151"/>
      <c r="AH223" s="102"/>
      <c r="AI223" s="102"/>
      <c r="AJ223" s="102"/>
      <c r="AK223" s="151"/>
      <c r="AL223" s="102"/>
      <c r="AM223" s="102"/>
      <c r="AN223" s="102"/>
    </row>
    <row r="224" spans="1:40" x14ac:dyDescent="0.3">
      <c r="C224" s="102"/>
      <c r="D224" s="102"/>
      <c r="E224" s="102"/>
      <c r="F224" s="102"/>
      <c r="H224" s="102"/>
      <c r="I224" s="102"/>
      <c r="J224" s="213"/>
      <c r="K224" s="102"/>
      <c r="L224" s="102"/>
      <c r="M224" s="102"/>
      <c r="N224" s="102"/>
      <c r="O224" s="102"/>
      <c r="P224" s="102"/>
      <c r="Q224" s="102"/>
      <c r="R224" s="102"/>
      <c r="T224" s="102"/>
      <c r="U224" s="102"/>
      <c r="V224" s="102"/>
      <c r="Y224" s="102"/>
      <c r="Z224" s="102"/>
      <c r="AA224" s="102"/>
      <c r="AB224" s="102"/>
      <c r="AC224" s="102"/>
      <c r="AD224" s="102"/>
      <c r="AE224" s="102"/>
      <c r="AF224" s="102"/>
      <c r="AG224" s="151"/>
      <c r="AH224" s="102"/>
      <c r="AI224" s="102"/>
      <c r="AJ224" s="102"/>
      <c r="AK224" s="151"/>
      <c r="AL224" s="102"/>
      <c r="AM224" s="102"/>
      <c r="AN224" s="102"/>
    </row>
    <row r="225" spans="1:40" x14ac:dyDescent="0.3">
      <c r="A225" s="101"/>
      <c r="B225" s="101"/>
      <c r="C225" s="101"/>
      <c r="D225" s="101"/>
      <c r="E225" s="101"/>
      <c r="F225" s="101"/>
      <c r="G225" s="101"/>
      <c r="H225" s="101"/>
      <c r="I225" s="101"/>
      <c r="J225" s="212"/>
      <c r="K225" s="101"/>
      <c r="L225" s="101"/>
      <c r="M225" s="101"/>
      <c r="N225" s="101"/>
      <c r="O225" s="101"/>
      <c r="P225" s="101"/>
      <c r="Q225" s="101"/>
      <c r="R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91"/>
      <c r="AH225" s="101"/>
      <c r="AI225" s="101"/>
      <c r="AJ225" s="101"/>
      <c r="AK225" s="191"/>
      <c r="AL225" s="101"/>
      <c r="AM225" s="101"/>
      <c r="AN225" s="101"/>
    </row>
    <row r="226" spans="1:40" x14ac:dyDescent="0.3">
      <c r="H226" s="102"/>
      <c r="I226" s="102"/>
      <c r="J226" s="213"/>
      <c r="K226" s="102"/>
      <c r="L226" s="102"/>
      <c r="M226" s="102"/>
      <c r="N226" s="102"/>
      <c r="O226" s="102"/>
      <c r="P226" s="102"/>
      <c r="Q226" s="102"/>
      <c r="R226" s="102"/>
      <c r="Y226" s="102"/>
      <c r="Z226" s="102"/>
      <c r="AA226" s="102"/>
      <c r="AB226" s="102"/>
      <c r="AC226" s="102"/>
      <c r="AD226" s="102"/>
      <c r="AE226" s="102"/>
      <c r="AF226" s="102"/>
      <c r="AG226" s="151"/>
      <c r="AH226" s="102"/>
      <c r="AI226" s="102"/>
      <c r="AJ226" s="102"/>
      <c r="AK226" s="151"/>
      <c r="AL226" s="102"/>
      <c r="AM226" s="102"/>
      <c r="AN226" s="102"/>
    </row>
    <row r="227" spans="1:40" x14ac:dyDescent="0.3">
      <c r="C227" s="99"/>
      <c r="D227" s="99"/>
      <c r="E227" s="99"/>
      <c r="J227" s="163"/>
      <c r="T227" s="99"/>
      <c r="U227" s="99"/>
    </row>
    <row r="228" spans="1:40" x14ac:dyDescent="0.3">
      <c r="C228" s="99"/>
      <c r="J228" s="163"/>
      <c r="T228" s="99"/>
    </row>
    <row r="229" spans="1:40" x14ac:dyDescent="0.3">
      <c r="J229" s="163"/>
    </row>
    <row r="230" spans="1:40" x14ac:dyDescent="0.3">
      <c r="C230" s="99"/>
      <c r="F230" s="172"/>
      <c r="H230" s="172"/>
      <c r="I230" s="172"/>
      <c r="J230" s="228"/>
      <c r="K230" s="181"/>
      <c r="L230" s="110"/>
      <c r="M230" s="110"/>
      <c r="N230" s="141"/>
      <c r="O230" s="141"/>
      <c r="R230" s="110"/>
      <c r="T230" s="99"/>
      <c r="V230" s="110"/>
      <c r="Y230" s="172"/>
      <c r="Z230" s="181"/>
      <c r="AA230" s="110"/>
      <c r="AB230" s="110"/>
      <c r="AC230" s="141"/>
      <c r="AD230" s="141"/>
      <c r="AE230" s="110"/>
      <c r="AF230" s="110"/>
      <c r="AH230" s="207"/>
      <c r="AL230" s="110"/>
      <c r="AM230" s="141"/>
      <c r="AN230" s="141"/>
    </row>
    <row r="231" spans="1:40" x14ac:dyDescent="0.3">
      <c r="F231" s="192"/>
      <c r="H231" s="110"/>
      <c r="I231" s="110"/>
      <c r="J231" s="228"/>
      <c r="K231" s="217"/>
      <c r="L231" s="192"/>
      <c r="M231" s="192"/>
      <c r="N231" s="192"/>
      <c r="O231" s="192"/>
      <c r="P231" s="192"/>
      <c r="Q231" s="192"/>
      <c r="R231" s="192"/>
      <c r="V231" s="192"/>
      <c r="Y231" s="110"/>
      <c r="Z231" s="217"/>
      <c r="AA231" s="192"/>
      <c r="AB231" s="192"/>
      <c r="AC231" s="192"/>
      <c r="AD231" s="192"/>
      <c r="AE231" s="192"/>
      <c r="AF231" s="192"/>
      <c r="AI231" s="192"/>
      <c r="AJ231" s="192"/>
      <c r="AK231" s="194"/>
      <c r="AL231" s="192"/>
      <c r="AM231" s="141"/>
      <c r="AN231" s="141"/>
    </row>
    <row r="232" spans="1:40" x14ac:dyDescent="0.3">
      <c r="C232" s="99"/>
      <c r="F232" s="172"/>
      <c r="H232" s="172"/>
      <c r="I232" s="172"/>
      <c r="J232" s="228"/>
      <c r="K232" s="227"/>
      <c r="L232" s="110"/>
      <c r="M232" s="110"/>
      <c r="N232" s="141"/>
      <c r="O232" s="141"/>
      <c r="P232" s="110"/>
      <c r="Q232" s="110"/>
      <c r="R232" s="110"/>
      <c r="S232" s="110"/>
      <c r="T232" s="99"/>
      <c r="V232" s="172"/>
      <c r="Y232" s="172"/>
      <c r="Z232" s="227"/>
      <c r="AA232" s="110"/>
      <c r="AB232" s="110"/>
      <c r="AC232" s="141"/>
      <c r="AD232" s="141"/>
      <c r="AE232" s="110"/>
      <c r="AF232" s="110"/>
      <c r="AH232" s="141"/>
      <c r="AI232" s="110"/>
      <c r="AJ232" s="110"/>
      <c r="AL232" s="110"/>
      <c r="AM232" s="141"/>
      <c r="AN232" s="141"/>
    </row>
    <row r="233" spans="1:40" x14ac:dyDescent="0.3">
      <c r="C233" s="99"/>
      <c r="F233" s="172"/>
      <c r="H233" s="172"/>
      <c r="I233" s="172"/>
      <c r="J233" s="228"/>
      <c r="K233" s="181"/>
      <c r="L233" s="110"/>
      <c r="M233" s="110"/>
      <c r="N233" s="141"/>
      <c r="O233" s="141"/>
      <c r="P233" s="110"/>
      <c r="Q233" s="110"/>
      <c r="R233" s="110"/>
      <c r="T233" s="99"/>
      <c r="V233" s="172"/>
      <c r="Y233" s="110"/>
      <c r="Z233" s="181"/>
      <c r="AA233" s="110"/>
      <c r="AB233" s="110"/>
      <c r="AC233" s="141"/>
      <c r="AD233" s="141"/>
      <c r="AE233" s="110"/>
      <c r="AF233" s="110"/>
      <c r="AH233" s="207"/>
      <c r="AI233" s="110"/>
      <c r="AJ233" s="110"/>
      <c r="AL233" s="110"/>
      <c r="AM233" s="141"/>
      <c r="AN233" s="141"/>
    </row>
    <row r="234" spans="1:40" x14ac:dyDescent="0.3">
      <c r="C234" s="99"/>
      <c r="F234" s="172"/>
      <c r="H234" s="172"/>
      <c r="I234" s="172"/>
      <c r="J234" s="228"/>
      <c r="K234" s="181"/>
      <c r="L234" s="110"/>
      <c r="M234" s="110"/>
      <c r="N234" s="141"/>
      <c r="O234" s="141"/>
      <c r="P234" s="110"/>
      <c r="Q234" s="110"/>
      <c r="R234" s="110"/>
      <c r="T234" s="99"/>
      <c r="V234" s="172"/>
      <c r="Y234" s="110"/>
      <c r="Z234" s="181"/>
      <c r="AA234" s="110"/>
      <c r="AB234" s="110"/>
      <c r="AC234" s="141"/>
      <c r="AD234" s="141"/>
      <c r="AE234" s="110"/>
      <c r="AF234" s="110"/>
      <c r="AH234" s="207"/>
      <c r="AI234" s="110"/>
      <c r="AJ234" s="110"/>
      <c r="AL234" s="110"/>
      <c r="AM234" s="141"/>
      <c r="AN234" s="141"/>
    </row>
    <row r="235" spans="1:40" x14ac:dyDescent="0.3">
      <c r="F235" s="192"/>
      <c r="H235" s="192"/>
      <c r="I235" s="192"/>
      <c r="J235" s="228"/>
      <c r="K235" s="217"/>
      <c r="L235" s="192"/>
      <c r="M235" s="192"/>
      <c r="N235" s="192"/>
      <c r="O235" s="192"/>
      <c r="P235" s="192"/>
      <c r="Q235" s="192"/>
      <c r="R235" s="192"/>
      <c r="V235" s="192"/>
      <c r="Y235" s="192"/>
      <c r="Z235" s="217"/>
      <c r="AA235" s="192"/>
      <c r="AB235" s="192"/>
      <c r="AC235" s="192"/>
      <c r="AD235" s="192"/>
      <c r="AE235" s="192"/>
      <c r="AF235" s="192"/>
      <c r="AI235" s="192"/>
      <c r="AJ235" s="192"/>
      <c r="AK235" s="194"/>
      <c r="AL235" s="192"/>
      <c r="AM235" s="141"/>
      <c r="AN235" s="141"/>
    </row>
    <row r="236" spans="1:40" x14ac:dyDescent="0.3">
      <c r="C236" s="99"/>
      <c r="F236" s="110"/>
      <c r="H236" s="110"/>
      <c r="I236" s="110"/>
      <c r="J236" s="163"/>
      <c r="K236" s="198"/>
      <c r="L236" s="110"/>
      <c r="M236" s="110"/>
      <c r="N236" s="141"/>
      <c r="O236" s="141"/>
      <c r="P236" s="110"/>
      <c r="Q236" s="110"/>
      <c r="R236" s="110"/>
      <c r="T236" s="99"/>
      <c r="V236" s="110"/>
      <c r="Y236" s="110"/>
      <c r="Z236" s="198"/>
      <c r="AA236" s="110"/>
      <c r="AB236" s="110"/>
      <c r="AC236" s="141"/>
      <c r="AD236" s="141"/>
      <c r="AE236" s="110"/>
      <c r="AF236" s="110"/>
      <c r="AH236" s="207"/>
      <c r="AI236" s="110"/>
      <c r="AJ236" s="110"/>
      <c r="AL236" s="110"/>
      <c r="AM236" s="141"/>
      <c r="AN236" s="141"/>
    </row>
    <row r="237" spans="1:40" x14ac:dyDescent="0.3">
      <c r="F237" s="192"/>
      <c r="H237" s="192"/>
      <c r="I237" s="192"/>
      <c r="J237" s="228"/>
      <c r="K237" s="217"/>
      <c r="L237" s="192"/>
      <c r="M237" s="192"/>
      <c r="N237" s="192"/>
      <c r="O237" s="192"/>
      <c r="P237" s="192"/>
      <c r="Q237" s="192"/>
      <c r="R237" s="192"/>
      <c r="V237" s="192"/>
      <c r="Y237" s="192"/>
      <c r="Z237" s="217"/>
      <c r="AA237" s="192"/>
      <c r="AB237" s="192"/>
      <c r="AC237" s="192"/>
      <c r="AD237" s="192"/>
      <c r="AE237" s="192"/>
      <c r="AF237" s="192"/>
      <c r="AI237" s="192"/>
      <c r="AJ237" s="192"/>
      <c r="AK237" s="194"/>
      <c r="AL237" s="192"/>
      <c r="AM237" s="141"/>
      <c r="AN237" s="141"/>
    </row>
    <row r="238" spans="1:40" x14ac:dyDescent="0.3">
      <c r="C238" s="99"/>
      <c r="F238" s="110"/>
      <c r="H238" s="110"/>
      <c r="I238" s="110"/>
      <c r="J238" s="163"/>
      <c r="K238" s="198"/>
      <c r="L238" s="110"/>
      <c r="M238" s="110"/>
      <c r="N238" s="141"/>
      <c r="O238" s="141"/>
      <c r="P238" s="110"/>
      <c r="Q238" s="110"/>
      <c r="R238" s="110"/>
      <c r="T238" s="99"/>
      <c r="V238" s="110"/>
      <c r="Y238" s="110"/>
      <c r="Z238" s="198"/>
      <c r="AA238" s="110"/>
      <c r="AB238" s="110"/>
      <c r="AC238" s="141"/>
      <c r="AD238" s="141"/>
      <c r="AE238" s="110"/>
      <c r="AF238" s="110"/>
      <c r="AH238" s="207"/>
      <c r="AI238" s="110"/>
      <c r="AJ238" s="110"/>
      <c r="AL238" s="110"/>
      <c r="AM238" s="141"/>
      <c r="AN238" s="141"/>
    </row>
    <row r="239" spans="1:40" x14ac:dyDescent="0.3">
      <c r="C239" s="99"/>
      <c r="F239" s="110"/>
      <c r="H239" s="172"/>
      <c r="I239" s="172"/>
      <c r="J239" s="228"/>
      <c r="K239" s="222"/>
      <c r="L239" s="110"/>
      <c r="M239" s="110"/>
      <c r="N239" s="141"/>
      <c r="O239" s="141"/>
      <c r="P239" s="110"/>
      <c r="Q239" s="110"/>
      <c r="R239" s="110"/>
      <c r="T239" s="99"/>
      <c r="V239" s="110"/>
      <c r="Y239" s="110"/>
      <c r="Z239" s="216"/>
      <c r="AA239" s="110"/>
      <c r="AB239" s="110"/>
      <c r="AC239" s="141"/>
      <c r="AD239" s="141"/>
      <c r="AE239" s="110"/>
      <c r="AF239" s="110"/>
      <c r="AH239" s="207"/>
      <c r="AI239" s="110"/>
      <c r="AJ239" s="110"/>
      <c r="AL239" s="110"/>
      <c r="AM239" s="141"/>
      <c r="AN239" s="141"/>
    </row>
    <row r="240" spans="1:40" x14ac:dyDescent="0.3">
      <c r="H240" s="192"/>
      <c r="I240" s="192"/>
      <c r="J240" s="228"/>
      <c r="K240" s="217"/>
      <c r="L240" s="192"/>
      <c r="M240" s="192"/>
      <c r="N240" s="192"/>
      <c r="O240" s="192"/>
      <c r="P240" s="192"/>
      <c r="Q240" s="192"/>
      <c r="R240" s="192"/>
      <c r="V240" s="192"/>
      <c r="Y240" s="192"/>
      <c r="Z240" s="217"/>
      <c r="AA240" s="192"/>
      <c r="AB240" s="192"/>
      <c r="AC240" s="192"/>
      <c r="AD240" s="192"/>
      <c r="AE240" s="192"/>
      <c r="AF240" s="192"/>
      <c r="AI240" s="192"/>
      <c r="AJ240" s="192"/>
      <c r="AK240" s="194"/>
      <c r="AL240" s="192"/>
      <c r="AM240" s="141"/>
      <c r="AN240" s="141"/>
    </row>
    <row r="241" spans="3:40" x14ac:dyDescent="0.3">
      <c r="F241" s="192"/>
      <c r="J241" s="163"/>
    </row>
    <row r="242" spans="3:40" x14ac:dyDescent="0.3">
      <c r="C242" s="99"/>
      <c r="F242" s="110"/>
      <c r="H242" s="110"/>
      <c r="I242" s="110"/>
      <c r="J242" s="228"/>
      <c r="K242" s="217"/>
      <c r="L242" s="110"/>
      <c r="M242" s="110"/>
      <c r="N242" s="141"/>
      <c r="O242" s="141"/>
      <c r="P242" s="110"/>
      <c r="Q242" s="110"/>
      <c r="R242" s="110"/>
      <c r="S242" s="110"/>
      <c r="T242" s="99"/>
      <c r="V242" s="110"/>
      <c r="Y242" s="110"/>
      <c r="Z242" s="217"/>
      <c r="AA242" s="110"/>
      <c r="AB242" s="110"/>
      <c r="AC242" s="141"/>
      <c r="AD242" s="141"/>
      <c r="AE242" s="110"/>
      <c r="AF242" s="110"/>
      <c r="AH242" s="141"/>
      <c r="AI242" s="110"/>
      <c r="AJ242" s="110"/>
      <c r="AL242" s="110"/>
      <c r="AM242" s="141"/>
      <c r="AN242" s="141"/>
    </row>
    <row r="243" spans="3:40" x14ac:dyDescent="0.3">
      <c r="F243" s="192"/>
      <c r="H243" s="192"/>
      <c r="I243" s="192"/>
      <c r="J243" s="228"/>
      <c r="K243" s="217"/>
      <c r="L243" s="192"/>
      <c r="M243" s="192"/>
      <c r="N243" s="192"/>
      <c r="O243" s="192"/>
      <c r="P243" s="192"/>
      <c r="Q243" s="192"/>
      <c r="R243" s="192"/>
      <c r="S243" s="110"/>
      <c r="V243" s="192"/>
      <c r="Y243" s="192"/>
      <c r="Z243" s="217"/>
      <c r="AA243" s="192"/>
      <c r="AB243" s="192"/>
      <c r="AC243" s="192"/>
      <c r="AD243" s="192"/>
      <c r="AE243" s="192"/>
      <c r="AF243" s="192"/>
      <c r="AI243" s="192"/>
      <c r="AJ243" s="192"/>
      <c r="AK243" s="194"/>
      <c r="AL243" s="192"/>
      <c r="AM243" s="141"/>
      <c r="AN243" s="141"/>
    </row>
    <row r="244" spans="3:40" x14ac:dyDescent="0.3">
      <c r="C244" s="99"/>
      <c r="H244" s="172"/>
      <c r="I244" s="172"/>
      <c r="J244" s="228"/>
      <c r="K244" s="217"/>
      <c r="L244" s="110"/>
      <c r="M244" s="110"/>
      <c r="N244" s="141"/>
      <c r="O244" s="141"/>
      <c r="P244" s="110"/>
      <c r="Q244" s="110"/>
      <c r="R244" s="110"/>
      <c r="S244" s="110"/>
      <c r="T244" s="99"/>
      <c r="V244" s="172"/>
      <c r="Y244" s="172"/>
      <c r="Z244" s="217"/>
      <c r="AA244" s="110"/>
      <c r="AB244" s="110"/>
      <c r="AC244" s="141"/>
      <c r="AD244" s="141"/>
      <c r="AE244" s="110"/>
      <c r="AF244" s="110"/>
      <c r="AI244" s="110"/>
      <c r="AJ244" s="110"/>
      <c r="AL244" s="110"/>
      <c r="AM244" s="141"/>
      <c r="AN244" s="141"/>
    </row>
    <row r="245" spans="3:40" x14ac:dyDescent="0.3">
      <c r="F245" s="172"/>
      <c r="J245" s="163"/>
    </row>
    <row r="246" spans="3:40" x14ac:dyDescent="0.3">
      <c r="C246" s="99"/>
      <c r="F246" s="172"/>
      <c r="H246" s="172"/>
      <c r="I246" s="172"/>
      <c r="J246" s="228"/>
      <c r="K246" s="181"/>
      <c r="L246" s="110"/>
      <c r="M246" s="110"/>
      <c r="N246" s="141"/>
      <c r="O246" s="141"/>
      <c r="R246" s="110"/>
      <c r="T246" s="99"/>
      <c r="V246" s="110"/>
      <c r="Y246" s="172"/>
      <c r="Z246" s="181"/>
      <c r="AA246" s="110"/>
      <c r="AB246" s="110"/>
      <c r="AC246" s="141"/>
      <c r="AD246" s="141"/>
      <c r="AE246" s="110"/>
      <c r="AF246" s="110"/>
      <c r="AH246" s="207"/>
      <c r="AL246" s="110"/>
      <c r="AM246" s="141"/>
      <c r="AN246" s="141"/>
    </row>
    <row r="247" spans="3:40" x14ac:dyDescent="0.3">
      <c r="F247" s="192"/>
      <c r="H247" s="110"/>
      <c r="I247" s="110"/>
      <c r="J247" s="228"/>
      <c r="K247" s="217"/>
      <c r="L247" s="192"/>
      <c r="M247" s="192"/>
      <c r="N247" s="192"/>
      <c r="O247" s="192"/>
      <c r="P247" s="192"/>
      <c r="Q247" s="192"/>
      <c r="R247" s="192"/>
      <c r="V247" s="192"/>
      <c r="Y247" s="110"/>
      <c r="Z247" s="217"/>
      <c r="AA247" s="192"/>
      <c r="AB247" s="192"/>
      <c r="AC247" s="192"/>
      <c r="AD247" s="192"/>
      <c r="AE247" s="192"/>
      <c r="AF247" s="192"/>
      <c r="AI247" s="192"/>
      <c r="AJ247" s="192"/>
      <c r="AK247" s="194"/>
      <c r="AL247" s="192"/>
      <c r="AM247" s="141"/>
      <c r="AN247" s="141"/>
    </row>
    <row r="248" spans="3:40" x14ac:dyDescent="0.3">
      <c r="C248" s="99"/>
      <c r="F248" s="172"/>
      <c r="H248" s="172"/>
      <c r="I248" s="172"/>
      <c r="J248" s="228"/>
      <c r="K248" s="227"/>
      <c r="L248" s="110"/>
      <c r="M248" s="110"/>
      <c r="N248" s="141"/>
      <c r="O248" s="141"/>
      <c r="P248" s="110"/>
      <c r="Q248" s="110"/>
      <c r="R248" s="110"/>
      <c r="S248" s="110"/>
      <c r="T248" s="99"/>
      <c r="V248" s="172"/>
      <c r="Y248" s="172"/>
      <c r="Z248" s="227"/>
      <c r="AA248" s="110"/>
      <c r="AB248" s="110"/>
      <c r="AC248" s="141"/>
      <c r="AD248" s="141"/>
      <c r="AE248" s="110"/>
      <c r="AF248" s="110"/>
      <c r="AH248" s="141"/>
      <c r="AI248" s="110"/>
      <c r="AJ248" s="110"/>
      <c r="AL248" s="110"/>
      <c r="AM248" s="141"/>
      <c r="AN248" s="141"/>
    </row>
    <row r="249" spans="3:40" x14ac:dyDescent="0.3">
      <c r="C249" s="99"/>
      <c r="F249" s="172"/>
      <c r="H249" s="172"/>
      <c r="I249" s="172"/>
      <c r="J249" s="228"/>
      <c r="K249" s="181"/>
      <c r="L249" s="110"/>
      <c r="M249" s="110"/>
      <c r="N249" s="141"/>
      <c r="O249" s="141"/>
      <c r="P249" s="110"/>
      <c r="Q249" s="110"/>
      <c r="R249" s="110"/>
      <c r="T249" s="99"/>
      <c r="V249" s="172"/>
      <c r="Y249" s="110"/>
      <c r="Z249" s="181"/>
      <c r="AA249" s="110"/>
      <c r="AB249" s="110"/>
      <c r="AC249" s="141"/>
      <c r="AD249" s="141"/>
      <c r="AE249" s="110"/>
      <c r="AF249" s="110"/>
      <c r="AH249" s="207"/>
      <c r="AI249" s="110"/>
      <c r="AJ249" s="110"/>
      <c r="AL249" s="110"/>
      <c r="AM249" s="141"/>
      <c r="AN249" s="141"/>
    </row>
    <row r="250" spans="3:40" x14ac:dyDescent="0.3">
      <c r="C250" s="99"/>
      <c r="F250" s="172"/>
      <c r="H250" s="172"/>
      <c r="I250" s="172"/>
      <c r="J250" s="228"/>
      <c r="K250" s="181"/>
      <c r="L250" s="110"/>
      <c r="M250" s="110"/>
      <c r="N250" s="141"/>
      <c r="O250" s="141"/>
      <c r="P250" s="110"/>
      <c r="Q250" s="110"/>
      <c r="R250" s="110"/>
      <c r="T250" s="99"/>
      <c r="V250" s="172"/>
      <c r="Y250" s="110"/>
      <c r="Z250" s="181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3:40" x14ac:dyDescent="0.3">
      <c r="F251" s="192"/>
      <c r="H251" s="192"/>
      <c r="I251" s="192"/>
      <c r="J251" s="228"/>
      <c r="K251" s="217"/>
      <c r="L251" s="192"/>
      <c r="M251" s="192"/>
      <c r="N251" s="192"/>
      <c r="O251" s="192"/>
      <c r="P251" s="192"/>
      <c r="Q251" s="192"/>
      <c r="R251" s="192"/>
      <c r="V251" s="192"/>
      <c r="Y251" s="192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  <c r="AM251" s="141"/>
      <c r="AN251" s="141"/>
    </row>
    <row r="252" spans="3:40" x14ac:dyDescent="0.3">
      <c r="C252" s="99"/>
      <c r="F252" s="110"/>
      <c r="H252" s="110"/>
      <c r="I252" s="110"/>
      <c r="J252" s="163"/>
      <c r="K252" s="198"/>
      <c r="L252" s="110"/>
      <c r="M252" s="110"/>
      <c r="N252" s="141"/>
      <c r="O252" s="141"/>
      <c r="P252" s="110"/>
      <c r="Q252" s="110"/>
      <c r="R252" s="110"/>
      <c r="T252" s="99"/>
      <c r="V252" s="110"/>
      <c r="Y252" s="110"/>
      <c r="Z252" s="198"/>
      <c r="AA252" s="110"/>
      <c r="AB252" s="110"/>
      <c r="AC252" s="141"/>
      <c r="AD252" s="141"/>
      <c r="AE252" s="110"/>
      <c r="AF252" s="110"/>
      <c r="AH252" s="207"/>
      <c r="AI252" s="110"/>
      <c r="AJ252" s="110"/>
      <c r="AL252" s="110"/>
      <c r="AM252" s="141"/>
      <c r="AN252" s="141"/>
    </row>
    <row r="253" spans="3:40" x14ac:dyDescent="0.3">
      <c r="F253" s="192"/>
      <c r="H253" s="192"/>
      <c r="I253" s="192"/>
      <c r="J253" s="228"/>
      <c r="K253" s="217"/>
      <c r="L253" s="192"/>
      <c r="M253" s="192"/>
      <c r="N253" s="192"/>
      <c r="O253" s="192"/>
      <c r="P253" s="192"/>
      <c r="Q253" s="192"/>
      <c r="R253" s="192"/>
      <c r="V253" s="192"/>
      <c r="Y253" s="192"/>
      <c r="Z253" s="217"/>
      <c r="AA253" s="192"/>
      <c r="AB253" s="192"/>
      <c r="AC253" s="192"/>
      <c r="AD253" s="192"/>
      <c r="AE253" s="192"/>
      <c r="AF253" s="192"/>
      <c r="AI253" s="192"/>
      <c r="AJ253" s="192"/>
      <c r="AK253" s="194"/>
      <c r="AL253" s="192"/>
      <c r="AM253" s="141"/>
      <c r="AN253" s="141"/>
    </row>
    <row r="254" spans="3:40" x14ac:dyDescent="0.3">
      <c r="C254" s="99"/>
      <c r="F254" s="110"/>
      <c r="H254" s="110"/>
      <c r="I254" s="110"/>
      <c r="J254" s="163"/>
      <c r="K254" s="198"/>
      <c r="L254" s="110"/>
      <c r="M254" s="110"/>
      <c r="N254" s="141"/>
      <c r="O254" s="141"/>
      <c r="P254" s="110"/>
      <c r="Q254" s="110"/>
      <c r="R254" s="110"/>
      <c r="T254" s="99"/>
      <c r="V254" s="110"/>
      <c r="Y254" s="110"/>
      <c r="Z254" s="198"/>
      <c r="AA254" s="110"/>
      <c r="AB254" s="110"/>
      <c r="AC254" s="141"/>
      <c r="AD254" s="141"/>
      <c r="AE254" s="110"/>
      <c r="AF254" s="110"/>
      <c r="AH254" s="207"/>
      <c r="AI254" s="110"/>
      <c r="AJ254" s="110"/>
      <c r="AL254" s="110"/>
      <c r="AM254" s="141"/>
      <c r="AN254" s="141"/>
    </row>
    <row r="255" spans="3:40" x14ac:dyDescent="0.3">
      <c r="C255" s="99"/>
      <c r="F255" s="110"/>
      <c r="H255" s="172"/>
      <c r="I255" s="172"/>
      <c r="J255" s="228"/>
      <c r="K255" s="222"/>
      <c r="L255" s="110"/>
      <c r="M255" s="110"/>
      <c r="N255" s="141"/>
      <c r="O255" s="141"/>
      <c r="P255" s="110"/>
      <c r="Q255" s="110"/>
      <c r="R255" s="110"/>
      <c r="T255" s="99"/>
      <c r="V255" s="110"/>
      <c r="Y255" s="110"/>
      <c r="Z255" s="216"/>
      <c r="AA255" s="110"/>
      <c r="AB255" s="110"/>
      <c r="AC255" s="141"/>
      <c r="AD255" s="141"/>
      <c r="AE255" s="110"/>
      <c r="AF255" s="110"/>
      <c r="AH255" s="207"/>
      <c r="AI255" s="110"/>
      <c r="AJ255" s="110"/>
      <c r="AL255" s="110"/>
      <c r="AM255" s="141"/>
      <c r="AN255" s="141"/>
    </row>
    <row r="256" spans="3:40" x14ac:dyDescent="0.3">
      <c r="H256" s="192"/>
      <c r="I256" s="192"/>
      <c r="J256" s="228"/>
      <c r="K256" s="217"/>
      <c r="L256" s="192"/>
      <c r="M256" s="192"/>
      <c r="N256" s="192"/>
      <c r="O256" s="192"/>
      <c r="P256" s="192"/>
      <c r="Q256" s="192"/>
      <c r="R256" s="192"/>
      <c r="V256" s="192"/>
      <c r="Y256" s="192"/>
      <c r="Z256" s="217"/>
      <c r="AA256" s="192"/>
      <c r="AB256" s="192"/>
      <c r="AC256" s="192"/>
      <c r="AD256" s="192"/>
      <c r="AE256" s="192"/>
      <c r="AF256" s="192"/>
      <c r="AI256" s="192"/>
      <c r="AJ256" s="192"/>
      <c r="AK256" s="194"/>
      <c r="AL256" s="192"/>
      <c r="AM256" s="141"/>
      <c r="AN256" s="141"/>
    </row>
    <row r="257" spans="1:40" x14ac:dyDescent="0.3">
      <c r="F257" s="192"/>
      <c r="J257" s="163"/>
    </row>
    <row r="258" spans="1:40" x14ac:dyDescent="0.3">
      <c r="C258" s="99"/>
      <c r="F258" s="110"/>
      <c r="H258" s="110"/>
      <c r="I258" s="110"/>
      <c r="J258" s="228"/>
      <c r="K258" s="217"/>
      <c r="L258" s="110"/>
      <c r="M258" s="110"/>
      <c r="N258" s="141"/>
      <c r="O258" s="141"/>
      <c r="P258" s="110"/>
      <c r="Q258" s="110"/>
      <c r="R258" s="110"/>
      <c r="S258" s="110"/>
      <c r="T258" s="99"/>
      <c r="V258" s="110"/>
      <c r="Y258" s="110"/>
      <c r="Z258" s="217"/>
      <c r="AA258" s="110"/>
      <c r="AB258" s="110"/>
      <c r="AC258" s="141"/>
      <c r="AD258" s="141"/>
      <c r="AE258" s="110"/>
      <c r="AF258" s="110"/>
      <c r="AH258" s="141"/>
      <c r="AI258" s="110"/>
      <c r="AJ258" s="110"/>
      <c r="AL258" s="110"/>
      <c r="AM258" s="141"/>
      <c r="AN258" s="141"/>
    </row>
    <row r="259" spans="1:40" x14ac:dyDescent="0.3">
      <c r="F259" s="192"/>
      <c r="H259" s="192"/>
      <c r="I259" s="192"/>
      <c r="J259" s="228"/>
      <c r="K259" s="217"/>
      <c r="L259" s="192"/>
      <c r="M259" s="192"/>
      <c r="N259" s="192"/>
      <c r="O259" s="192"/>
      <c r="P259" s="192"/>
      <c r="Q259" s="192"/>
      <c r="R259" s="192"/>
      <c r="S259" s="110"/>
      <c r="V259" s="192"/>
      <c r="Y259" s="192"/>
      <c r="Z259" s="217"/>
      <c r="AA259" s="192"/>
      <c r="AB259" s="192"/>
      <c r="AC259" s="192"/>
      <c r="AD259" s="192"/>
      <c r="AE259" s="192"/>
      <c r="AF259" s="192"/>
      <c r="AI259" s="192"/>
      <c r="AJ259" s="192"/>
      <c r="AK259" s="194"/>
      <c r="AL259" s="192"/>
      <c r="AM259" s="141"/>
      <c r="AN259" s="141"/>
    </row>
    <row r="260" spans="1:40" x14ac:dyDescent="0.3">
      <c r="C260" s="99"/>
      <c r="J260" s="163"/>
      <c r="T260" s="99"/>
    </row>
    <row r="261" spans="1:40" x14ac:dyDescent="0.3">
      <c r="C261" s="99"/>
      <c r="F261" s="110"/>
      <c r="H261" s="110"/>
      <c r="I261" s="110"/>
      <c r="J261" s="163"/>
      <c r="L261" s="110"/>
      <c r="M261" s="110"/>
      <c r="N261" s="141"/>
      <c r="O261" s="141"/>
      <c r="P261" s="172"/>
      <c r="Q261" s="172"/>
      <c r="R261" s="110"/>
      <c r="T261" s="99"/>
      <c r="V261" s="110"/>
      <c r="Y261" s="110"/>
      <c r="AA261" s="110"/>
      <c r="AB261" s="110"/>
      <c r="AC261" s="141"/>
      <c r="AD261" s="141"/>
      <c r="AE261" s="110"/>
      <c r="AF261" s="110"/>
      <c r="AH261" s="141"/>
      <c r="AI261" s="172"/>
      <c r="AJ261" s="172"/>
      <c r="AL261" s="110"/>
      <c r="AM261" s="141"/>
      <c r="AN261" s="141"/>
    </row>
    <row r="262" spans="1:40" x14ac:dyDescent="0.3">
      <c r="H262" s="192"/>
      <c r="I262" s="192"/>
      <c r="J262" s="228"/>
      <c r="K262" s="217"/>
      <c r="L262" s="192"/>
      <c r="M262" s="192"/>
      <c r="N262" s="192"/>
      <c r="O262" s="192"/>
      <c r="P262" s="192"/>
      <c r="Q262" s="192"/>
      <c r="R262" s="192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</row>
    <row r="263" spans="1:40" x14ac:dyDescent="0.3">
      <c r="F263" s="192"/>
      <c r="J263" s="163"/>
    </row>
    <row r="264" spans="1:40" x14ac:dyDescent="0.3">
      <c r="C264" s="99"/>
      <c r="J264" s="163"/>
      <c r="L264" s="110"/>
      <c r="M264" s="110"/>
      <c r="N264" s="110"/>
      <c r="O264" s="110"/>
      <c r="P264" s="110"/>
      <c r="Q264" s="110"/>
      <c r="R264" s="110"/>
      <c r="S264" s="110"/>
      <c r="T264" s="99"/>
      <c r="AA264" s="110"/>
      <c r="AB264" s="110"/>
      <c r="AC264" s="110"/>
      <c r="AD264" s="110"/>
      <c r="AI264" s="110"/>
      <c r="AJ264" s="110"/>
      <c r="AL264" s="110"/>
    </row>
    <row r="265" spans="1:40" x14ac:dyDescent="0.3">
      <c r="A265" s="99"/>
      <c r="J265" s="163"/>
    </row>
    <row r="266" spans="1:40" x14ac:dyDescent="0.3">
      <c r="J266" s="163"/>
    </row>
    <row r="267" spans="1:40" x14ac:dyDescent="0.3">
      <c r="H267" s="99"/>
      <c r="I267" s="99"/>
      <c r="J267" s="163"/>
      <c r="Y267" s="99"/>
    </row>
    <row r="268" spans="1:40" x14ac:dyDescent="0.3">
      <c r="J268" s="163"/>
    </row>
    <row r="269" spans="1:40" x14ac:dyDescent="0.3">
      <c r="J269" s="163"/>
      <c r="L269" s="99"/>
      <c r="M269" s="99"/>
      <c r="AA269" s="99"/>
      <c r="AB269" s="99"/>
    </row>
    <row r="270" spans="1:40" x14ac:dyDescent="0.3">
      <c r="J270" s="163"/>
      <c r="R270" s="99"/>
      <c r="AK270" s="190"/>
      <c r="AL270" s="99"/>
    </row>
    <row r="271" spans="1:40" x14ac:dyDescent="0.3">
      <c r="J271" s="163"/>
      <c r="R271" s="99"/>
      <c r="AK271" s="190"/>
      <c r="AL271" s="99"/>
    </row>
    <row r="272" spans="1:40" x14ac:dyDescent="0.3">
      <c r="A272" s="99"/>
      <c r="J272" s="163"/>
      <c r="R272" s="99"/>
      <c r="AK272" s="190"/>
      <c r="AL272" s="99"/>
    </row>
    <row r="273" spans="1:40" x14ac:dyDescent="0.3">
      <c r="J273" s="163"/>
      <c r="L273" s="99"/>
      <c r="M273" s="99"/>
      <c r="AA273" s="99"/>
      <c r="AB273" s="99"/>
    </row>
    <row r="274" spans="1:40" x14ac:dyDescent="0.3">
      <c r="A274" s="101"/>
      <c r="B274" s="101"/>
      <c r="C274" s="101"/>
      <c r="D274" s="101"/>
      <c r="E274" s="101"/>
      <c r="F274" s="101"/>
      <c r="G274" s="101"/>
      <c r="H274" s="101"/>
      <c r="I274" s="101"/>
      <c r="J274" s="212"/>
      <c r="K274" s="101"/>
      <c r="L274" s="101"/>
      <c r="M274" s="101"/>
      <c r="N274" s="101"/>
      <c r="O274" s="101"/>
      <c r="P274" s="101"/>
      <c r="Q274" s="101"/>
      <c r="R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91"/>
      <c r="AH274" s="101"/>
      <c r="AI274" s="101"/>
      <c r="AJ274" s="101"/>
      <c r="AK274" s="191"/>
      <c r="AL274" s="101"/>
      <c r="AM274" s="101"/>
      <c r="AN274" s="101"/>
    </row>
    <row r="275" spans="1:40" x14ac:dyDescent="0.3">
      <c r="J275" s="163"/>
      <c r="L275" s="102"/>
      <c r="M275" s="102"/>
      <c r="N275" s="102"/>
      <c r="O275" s="102"/>
      <c r="R275" s="102"/>
      <c r="AA275" s="102"/>
      <c r="AB275" s="102"/>
      <c r="AC275" s="102"/>
      <c r="AD275" s="102"/>
      <c r="AE275" s="102"/>
      <c r="AF275" s="102"/>
      <c r="AG275" s="151"/>
      <c r="AH275" s="102"/>
      <c r="AK275" s="151"/>
      <c r="AL275" s="102"/>
      <c r="AM275" s="102"/>
      <c r="AN275" s="102"/>
    </row>
    <row r="276" spans="1:40" x14ac:dyDescent="0.3">
      <c r="J276" s="163"/>
      <c r="L276" s="102"/>
      <c r="M276" s="102"/>
      <c r="N276" s="102"/>
      <c r="O276" s="102"/>
      <c r="R276" s="102"/>
      <c r="Z276" s="102"/>
      <c r="AA276" s="102"/>
      <c r="AB276" s="102"/>
      <c r="AC276" s="102"/>
      <c r="AD276" s="102"/>
      <c r="AE276" s="102"/>
      <c r="AF276" s="102"/>
      <c r="AG276" s="151"/>
      <c r="AH276" s="102"/>
      <c r="AK276" s="151"/>
      <c r="AL276" s="102"/>
      <c r="AM276" s="102"/>
      <c r="AN276" s="102"/>
    </row>
    <row r="277" spans="1:40" x14ac:dyDescent="0.3">
      <c r="A277" s="102"/>
      <c r="C277" s="102"/>
      <c r="D277" s="102"/>
      <c r="E277" s="102"/>
      <c r="F277" s="102"/>
      <c r="J277" s="213"/>
      <c r="K277" s="102"/>
      <c r="L277" s="102"/>
      <c r="M277" s="102"/>
      <c r="N277" s="102"/>
      <c r="O277" s="102"/>
      <c r="P277" s="102"/>
      <c r="Q277" s="102"/>
      <c r="R277" s="102"/>
      <c r="T277" s="102"/>
      <c r="U277" s="102"/>
      <c r="V277" s="102"/>
      <c r="Z277" s="102"/>
      <c r="AA277" s="102"/>
      <c r="AB277" s="102"/>
      <c r="AC277" s="102"/>
      <c r="AD277" s="102"/>
      <c r="AE277" s="102"/>
      <c r="AF277" s="102"/>
      <c r="AG277" s="151"/>
      <c r="AH277" s="102"/>
      <c r="AI277" s="102"/>
      <c r="AJ277" s="102"/>
      <c r="AK277" s="151"/>
      <c r="AL277" s="102"/>
      <c r="AM277" s="102"/>
      <c r="AN277" s="102"/>
    </row>
    <row r="278" spans="1:40" x14ac:dyDescent="0.3">
      <c r="A278" s="102"/>
      <c r="C278" s="102"/>
      <c r="D278" s="102"/>
      <c r="E278" s="102"/>
      <c r="F278" s="102"/>
      <c r="H278" s="102"/>
      <c r="I278" s="102"/>
      <c r="J278" s="213"/>
      <c r="K278" s="102"/>
      <c r="L278" s="102"/>
      <c r="M278" s="102"/>
      <c r="N278" s="102"/>
      <c r="O278" s="102"/>
      <c r="P278" s="102"/>
      <c r="Q278" s="102"/>
      <c r="R278" s="102"/>
      <c r="T278" s="102"/>
      <c r="U278" s="102"/>
      <c r="V278" s="102"/>
      <c r="Y278" s="102"/>
      <c r="Z278" s="102"/>
      <c r="AA278" s="102"/>
      <c r="AB278" s="102"/>
      <c r="AC278" s="102"/>
      <c r="AD278" s="102"/>
      <c r="AE278" s="102"/>
      <c r="AF278" s="102"/>
      <c r="AG278" s="151"/>
      <c r="AH278" s="102"/>
      <c r="AI278" s="102"/>
      <c r="AJ278" s="102"/>
      <c r="AK278" s="151"/>
      <c r="AL278" s="102"/>
      <c r="AM278" s="102"/>
      <c r="AN278" s="102"/>
    </row>
    <row r="279" spans="1:40" x14ac:dyDescent="0.3">
      <c r="C279" s="102"/>
      <c r="D279" s="102"/>
      <c r="E279" s="102"/>
      <c r="F279" s="102"/>
      <c r="H279" s="102"/>
      <c r="I279" s="102"/>
      <c r="J279" s="213"/>
      <c r="K279" s="102"/>
      <c r="L279" s="102"/>
      <c r="M279" s="102"/>
      <c r="N279" s="102"/>
      <c r="O279" s="102"/>
      <c r="P279" s="102"/>
      <c r="Q279" s="102"/>
      <c r="R279" s="102"/>
      <c r="T279" s="102"/>
      <c r="U279" s="102"/>
      <c r="V279" s="102"/>
      <c r="Y279" s="102"/>
      <c r="Z279" s="102"/>
      <c r="AA279" s="102"/>
      <c r="AB279" s="102"/>
      <c r="AC279" s="102"/>
      <c r="AD279" s="102"/>
      <c r="AE279" s="102"/>
      <c r="AF279" s="102"/>
      <c r="AG279" s="151"/>
      <c r="AH279" s="102"/>
      <c r="AI279" s="102"/>
      <c r="AJ279" s="102"/>
      <c r="AK279" s="151"/>
      <c r="AL279" s="102"/>
      <c r="AM279" s="102"/>
      <c r="AN279" s="102"/>
    </row>
    <row r="280" spans="1:40" x14ac:dyDescent="0.3">
      <c r="A280" s="101"/>
      <c r="B280" s="101"/>
      <c r="C280" s="101"/>
      <c r="D280" s="101"/>
      <c r="E280" s="101"/>
      <c r="F280" s="101"/>
      <c r="G280" s="101"/>
      <c r="H280" s="101"/>
      <c r="I280" s="101"/>
      <c r="J280" s="212"/>
      <c r="K280" s="101"/>
      <c r="L280" s="101"/>
      <c r="M280" s="101"/>
      <c r="N280" s="101"/>
      <c r="O280" s="101"/>
      <c r="P280" s="101"/>
      <c r="Q280" s="101"/>
      <c r="R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91"/>
      <c r="AH280" s="101"/>
      <c r="AI280" s="101"/>
      <c r="AJ280" s="101"/>
      <c r="AK280" s="191"/>
      <c r="AL280" s="101"/>
      <c r="AM280" s="101"/>
      <c r="AN280" s="101"/>
    </row>
    <row r="281" spans="1:40" x14ac:dyDescent="0.3">
      <c r="H281" s="102"/>
      <c r="I281" s="102"/>
      <c r="J281" s="213"/>
      <c r="K281" s="102"/>
      <c r="L281" s="102"/>
      <c r="M281" s="102"/>
      <c r="N281" s="102"/>
      <c r="O281" s="102"/>
      <c r="P281" s="102"/>
      <c r="Q281" s="102"/>
      <c r="R281" s="102"/>
      <c r="Y281" s="102"/>
      <c r="Z281" s="102"/>
      <c r="AA281" s="102"/>
      <c r="AB281" s="102"/>
      <c r="AC281" s="102"/>
      <c r="AD281" s="102"/>
      <c r="AE281" s="102"/>
      <c r="AF281" s="102"/>
      <c r="AG281" s="151"/>
      <c r="AH281" s="102"/>
      <c r="AI281" s="102"/>
      <c r="AJ281" s="102"/>
      <c r="AK281" s="151"/>
      <c r="AL281" s="102"/>
      <c r="AM281" s="102"/>
      <c r="AN281" s="102"/>
    </row>
    <row r="282" spans="1:40" x14ac:dyDescent="0.3">
      <c r="C282" s="99"/>
      <c r="D282" s="99"/>
      <c r="E282" s="99"/>
      <c r="J282" s="163"/>
      <c r="T282" s="99"/>
      <c r="U282" s="99"/>
    </row>
    <row r="283" spans="1:40" x14ac:dyDescent="0.3">
      <c r="D283" s="99"/>
      <c r="E283" s="99"/>
      <c r="J283" s="163"/>
      <c r="U283" s="99"/>
    </row>
    <row r="284" spans="1:40" x14ac:dyDescent="0.3">
      <c r="J284" s="163"/>
    </row>
    <row r="285" spans="1:40" x14ac:dyDescent="0.3">
      <c r="C285" s="99"/>
      <c r="J285" s="163"/>
      <c r="T285" s="99"/>
    </row>
    <row r="286" spans="1:40" x14ac:dyDescent="0.3">
      <c r="C286" s="99"/>
      <c r="F286" s="172"/>
      <c r="H286" s="172"/>
      <c r="I286" s="172"/>
      <c r="J286" s="228"/>
      <c r="K286" s="228"/>
      <c r="L286" s="110"/>
      <c r="M286" s="110"/>
      <c r="N286" s="141"/>
      <c r="O286" s="141"/>
      <c r="P286" s="110"/>
      <c r="Q286" s="110"/>
      <c r="R286" s="110"/>
      <c r="T286" s="99"/>
      <c r="V286" s="172"/>
      <c r="W286" s="110"/>
      <c r="X286" s="110"/>
      <c r="Y286" s="172"/>
      <c r="Z286" s="228"/>
      <c r="AA286" s="110"/>
      <c r="AB286" s="110"/>
      <c r="AC286" s="141"/>
      <c r="AD286" s="141"/>
      <c r="AE286" s="110"/>
      <c r="AF286" s="110"/>
      <c r="AH286" s="207"/>
      <c r="AI286" s="110"/>
      <c r="AJ286" s="110"/>
      <c r="AL286" s="110"/>
      <c r="AM286" s="141"/>
      <c r="AN286" s="141"/>
    </row>
    <row r="287" spans="1:40" x14ac:dyDescent="0.3">
      <c r="C287" s="99"/>
      <c r="F287" s="110"/>
      <c r="H287" s="110"/>
      <c r="I287" s="110"/>
      <c r="J287" s="228"/>
      <c r="K287" s="217"/>
      <c r="L287" s="110"/>
      <c r="M287" s="110"/>
      <c r="N287" s="141"/>
      <c r="O287" s="141"/>
      <c r="P287" s="110"/>
      <c r="Q287" s="110"/>
      <c r="R287" s="110"/>
      <c r="T287" s="99"/>
      <c r="V287" s="172"/>
      <c r="W287" s="110"/>
      <c r="X287" s="110"/>
      <c r="Y287" s="172"/>
      <c r="Z287" s="217"/>
      <c r="AA287" s="110"/>
      <c r="AB287" s="110"/>
      <c r="AC287" s="141"/>
      <c r="AD287" s="141"/>
      <c r="AE287" s="110"/>
      <c r="AF287" s="110"/>
      <c r="AH287" s="207"/>
      <c r="AI287" s="110"/>
      <c r="AJ287" s="110"/>
      <c r="AL287" s="110"/>
      <c r="AM287" s="141"/>
      <c r="AN287" s="141"/>
    </row>
    <row r="288" spans="1:40" x14ac:dyDescent="0.3">
      <c r="C288" s="99"/>
      <c r="F288" s="172"/>
      <c r="H288" s="172"/>
      <c r="I288" s="172"/>
      <c r="J288" s="228"/>
      <c r="K288" s="228"/>
      <c r="L288" s="110"/>
      <c r="M288" s="110"/>
      <c r="N288" s="141"/>
      <c r="O288" s="141"/>
      <c r="P288" s="110"/>
      <c r="Q288" s="110"/>
      <c r="R288" s="110"/>
      <c r="T288" s="99"/>
      <c r="V288" s="172"/>
      <c r="W288" s="110"/>
      <c r="X288" s="110"/>
      <c r="Y288" s="172"/>
      <c r="Z288" s="228"/>
      <c r="AA288" s="110"/>
      <c r="AB288" s="110"/>
      <c r="AC288" s="141"/>
      <c r="AD288" s="141"/>
      <c r="AE288" s="110"/>
      <c r="AF288" s="110"/>
      <c r="AH288" s="207"/>
      <c r="AI288" s="110"/>
      <c r="AJ288" s="110"/>
      <c r="AL288" s="110"/>
      <c r="AM288" s="141"/>
      <c r="AN288" s="141"/>
    </row>
    <row r="289" spans="3:40" x14ac:dyDescent="0.3">
      <c r="C289" s="99"/>
      <c r="F289" s="172"/>
      <c r="H289" s="172"/>
      <c r="I289" s="172"/>
      <c r="J289" s="228"/>
      <c r="K289" s="228"/>
      <c r="L289" s="110"/>
      <c r="M289" s="110"/>
      <c r="N289" s="141"/>
      <c r="O289" s="141"/>
      <c r="P289" s="110"/>
      <c r="Q289" s="110"/>
      <c r="R289" s="110"/>
      <c r="T289" s="99"/>
      <c r="V289" s="172"/>
      <c r="W289" s="110"/>
      <c r="X289" s="110"/>
      <c r="Y289" s="172"/>
      <c r="Z289" s="228"/>
      <c r="AA289" s="110"/>
      <c r="AB289" s="110"/>
      <c r="AC289" s="141"/>
      <c r="AD289" s="141"/>
      <c r="AE289" s="110"/>
      <c r="AF289" s="110"/>
      <c r="AH289" s="207"/>
      <c r="AI289" s="110"/>
      <c r="AJ289" s="110"/>
      <c r="AL289" s="110"/>
      <c r="AM289" s="141"/>
      <c r="AN289" s="141"/>
    </row>
    <row r="290" spans="3:40" x14ac:dyDescent="0.3">
      <c r="C290" s="99"/>
      <c r="F290" s="172"/>
      <c r="H290" s="172"/>
      <c r="I290" s="172"/>
      <c r="J290" s="228"/>
      <c r="K290" s="228"/>
      <c r="L290" s="110"/>
      <c r="M290" s="110"/>
      <c r="N290" s="141"/>
      <c r="O290" s="141"/>
      <c r="P290" s="110"/>
      <c r="Q290" s="110"/>
      <c r="R290" s="110"/>
      <c r="T290" s="99"/>
      <c r="V290" s="172"/>
      <c r="W290" s="110"/>
      <c r="X290" s="110"/>
      <c r="Y290" s="172"/>
      <c r="Z290" s="228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3:40" x14ac:dyDescent="0.3">
      <c r="C291" s="99"/>
      <c r="F291" s="110"/>
      <c r="H291" s="110"/>
      <c r="I291" s="110"/>
      <c r="J291" s="228"/>
      <c r="K291" s="228"/>
      <c r="L291" s="110"/>
      <c r="M291" s="110"/>
      <c r="N291" s="141"/>
      <c r="O291" s="141"/>
      <c r="P291" s="110"/>
      <c r="Q291" s="110"/>
      <c r="R291" s="110"/>
      <c r="T291" s="99"/>
      <c r="V291" s="172"/>
      <c r="W291" s="110"/>
      <c r="X291" s="110"/>
      <c r="Y291" s="172"/>
      <c r="Z291" s="228"/>
      <c r="AA291" s="110"/>
      <c r="AB291" s="110"/>
      <c r="AC291" s="141"/>
      <c r="AD291" s="141"/>
      <c r="AE291" s="110"/>
      <c r="AF291" s="110"/>
      <c r="AH291" s="207"/>
      <c r="AI291" s="110"/>
      <c r="AJ291" s="110"/>
      <c r="AL291" s="110"/>
      <c r="AM291" s="141"/>
      <c r="AN291" s="141"/>
    </row>
    <row r="292" spans="3:40" x14ac:dyDescent="0.3">
      <c r="C292" s="99"/>
      <c r="F292" s="110"/>
      <c r="H292" s="110"/>
      <c r="I292" s="110"/>
      <c r="J292" s="228"/>
      <c r="K292" s="228"/>
      <c r="L292" s="110"/>
      <c r="M292" s="110"/>
      <c r="N292" s="141"/>
      <c r="O292" s="141"/>
      <c r="P292" s="110"/>
      <c r="Q292" s="110"/>
      <c r="R292" s="110"/>
      <c r="T292" s="99"/>
      <c r="V292" s="172"/>
      <c r="W292" s="110"/>
      <c r="X292" s="110"/>
      <c r="Y292" s="172"/>
      <c r="Z292" s="228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F293" s="210"/>
      <c r="H293" s="230"/>
      <c r="I293" s="230"/>
      <c r="J293" s="228"/>
      <c r="K293" s="228"/>
      <c r="L293" s="210"/>
      <c r="M293" s="210"/>
      <c r="N293" s="192"/>
      <c r="O293" s="192"/>
      <c r="P293" s="210"/>
      <c r="Q293" s="210"/>
      <c r="R293" s="210"/>
      <c r="V293" s="210"/>
      <c r="W293" s="110"/>
      <c r="X293" s="110"/>
      <c r="Y293" s="210"/>
      <c r="Z293" s="228"/>
      <c r="AA293" s="210"/>
      <c r="AB293" s="210"/>
      <c r="AC293" s="211"/>
      <c r="AD293" s="211"/>
      <c r="AE293" s="210"/>
      <c r="AF293" s="210"/>
      <c r="AH293" s="207"/>
      <c r="AI293" s="210"/>
      <c r="AJ293" s="210"/>
      <c r="AK293" s="191"/>
      <c r="AL293" s="210"/>
      <c r="AM293" s="141"/>
      <c r="AN293" s="141"/>
    </row>
    <row r="294" spans="3:40" x14ac:dyDescent="0.3">
      <c r="C294" s="99"/>
      <c r="F294" s="110"/>
      <c r="H294" s="110"/>
      <c r="I294" s="110"/>
      <c r="J294" s="228"/>
      <c r="K294" s="228"/>
      <c r="L294" s="110"/>
      <c r="M294" s="110"/>
      <c r="N294" s="207"/>
      <c r="O294" s="207"/>
      <c r="P294" s="110"/>
      <c r="Q294" s="110"/>
      <c r="R294" s="110"/>
      <c r="T294" s="102"/>
      <c r="V294" s="110"/>
      <c r="W294" s="110"/>
      <c r="X294" s="110"/>
      <c r="Y294" s="110"/>
      <c r="Z294" s="228"/>
      <c r="AA294" s="110"/>
      <c r="AB294" s="110"/>
      <c r="AC294" s="207"/>
      <c r="AD294" s="207"/>
      <c r="AE294" s="110"/>
      <c r="AF294" s="110"/>
      <c r="AH294" s="207"/>
      <c r="AI294" s="110"/>
      <c r="AJ294" s="110"/>
      <c r="AL294" s="110"/>
      <c r="AM294" s="141"/>
      <c r="AN294" s="141"/>
    </row>
    <row r="295" spans="3:40" x14ac:dyDescent="0.3">
      <c r="F295" s="101"/>
      <c r="H295" s="101"/>
      <c r="I295" s="101"/>
      <c r="J295" s="163"/>
      <c r="L295" s="101"/>
      <c r="M295" s="101"/>
      <c r="N295" s="211"/>
      <c r="O295" s="211"/>
      <c r="P295" s="210"/>
      <c r="Q295" s="210"/>
      <c r="R295" s="210"/>
      <c r="V295" s="210"/>
      <c r="Y295" s="210"/>
      <c r="Z295" s="217"/>
      <c r="AA295" s="210"/>
      <c r="AB295" s="210"/>
      <c r="AC295" s="210"/>
      <c r="AD295" s="210"/>
      <c r="AE295" s="210"/>
      <c r="AF295" s="210"/>
      <c r="AI295" s="210"/>
      <c r="AJ295" s="210"/>
      <c r="AK295" s="191"/>
      <c r="AL295" s="210"/>
      <c r="AM295" s="211"/>
      <c r="AN295" s="211"/>
    </row>
    <row r="296" spans="3:40" x14ac:dyDescent="0.3">
      <c r="J296" s="163"/>
    </row>
    <row r="297" spans="3:40" x14ac:dyDescent="0.3">
      <c r="J297" s="163"/>
    </row>
    <row r="298" spans="3:40" x14ac:dyDescent="0.3">
      <c r="J298" s="163"/>
    </row>
    <row r="299" spans="3:40" x14ac:dyDescent="0.3">
      <c r="J299" s="163"/>
    </row>
    <row r="300" spans="3:40" x14ac:dyDescent="0.3">
      <c r="J300" s="163"/>
      <c r="N300" s="110"/>
      <c r="O300" s="110"/>
      <c r="P300" s="110"/>
      <c r="Q300" s="110"/>
      <c r="R300" s="110"/>
      <c r="V300" s="110"/>
      <c r="Y300" s="110"/>
      <c r="Z300" s="198"/>
      <c r="AA300" s="110"/>
      <c r="AB300" s="110"/>
      <c r="AC300" s="141"/>
      <c r="AD300" s="141"/>
      <c r="AE300" s="110"/>
      <c r="AF300" s="110"/>
      <c r="AH300" s="207"/>
      <c r="AI300" s="110"/>
      <c r="AJ300" s="110"/>
      <c r="AL300" s="110"/>
      <c r="AM300" s="141"/>
      <c r="AN300" s="141"/>
    </row>
    <row r="301" spans="3:40" x14ac:dyDescent="0.3">
      <c r="C301" s="99"/>
      <c r="D301" s="99"/>
      <c r="E301" s="99"/>
      <c r="J301" s="163"/>
      <c r="K301" s="163"/>
      <c r="T301" s="99"/>
      <c r="U301" s="99"/>
      <c r="Z301" s="163"/>
      <c r="AE301" s="110"/>
      <c r="AF301" s="110"/>
      <c r="AI301" s="110"/>
      <c r="AJ301" s="110"/>
      <c r="AL301" s="110"/>
      <c r="AM301" s="141"/>
      <c r="AN301" s="141"/>
    </row>
    <row r="302" spans="3:40" x14ac:dyDescent="0.3">
      <c r="D302" s="99"/>
      <c r="E302" s="99"/>
      <c r="F302" s="110"/>
      <c r="H302" s="110"/>
      <c r="I302" s="110"/>
      <c r="J302" s="228"/>
      <c r="K302" s="228"/>
      <c r="L302" s="110"/>
      <c r="M302" s="110"/>
      <c r="N302" s="141"/>
      <c r="O302" s="141"/>
      <c r="P302" s="110"/>
      <c r="Q302" s="110"/>
      <c r="R302" s="110"/>
      <c r="U302" s="99"/>
      <c r="V302" s="110"/>
      <c r="Y302" s="110"/>
      <c r="Z302" s="228"/>
      <c r="AA302" s="110"/>
      <c r="AB302" s="110"/>
      <c r="AC302" s="141"/>
      <c r="AD302" s="141"/>
      <c r="AE302" s="110"/>
      <c r="AF302" s="110"/>
      <c r="AH302" s="207"/>
      <c r="AI302" s="110"/>
      <c r="AJ302" s="110"/>
      <c r="AL302" s="110"/>
      <c r="AM302" s="141"/>
      <c r="AN302" s="141"/>
    </row>
    <row r="303" spans="3:40" x14ac:dyDescent="0.3">
      <c r="F303" s="110"/>
      <c r="H303" s="110"/>
      <c r="I303" s="110"/>
      <c r="J303" s="228"/>
      <c r="K303" s="217"/>
      <c r="L303" s="110"/>
      <c r="M303" s="110"/>
      <c r="N303" s="110"/>
      <c r="O303" s="110"/>
      <c r="P303" s="110"/>
      <c r="Q303" s="110"/>
      <c r="R303" s="110"/>
      <c r="V303" s="110"/>
      <c r="Y303" s="110"/>
      <c r="Z303" s="217"/>
      <c r="AA303" s="110"/>
      <c r="AB303" s="110"/>
      <c r="AC303" s="110"/>
      <c r="AD303" s="110"/>
      <c r="AE303" s="110"/>
      <c r="AF303" s="110"/>
      <c r="AH303" s="207"/>
      <c r="AI303" s="172"/>
      <c r="AJ303" s="172"/>
      <c r="AL303" s="110"/>
      <c r="AM303" s="141"/>
      <c r="AN303" s="141"/>
    </row>
    <row r="304" spans="3:40" x14ac:dyDescent="0.3">
      <c r="C304" s="99"/>
      <c r="F304" s="172"/>
      <c r="H304" s="172"/>
      <c r="I304" s="172"/>
      <c r="J304" s="228"/>
      <c r="K304" s="216"/>
      <c r="L304" s="110"/>
      <c r="M304" s="110"/>
      <c r="N304" s="141"/>
      <c r="O304" s="141"/>
      <c r="P304" s="110"/>
      <c r="Q304" s="110"/>
      <c r="R304" s="110"/>
      <c r="T304" s="99"/>
      <c r="V304" s="172"/>
      <c r="Y304" s="172"/>
      <c r="Z304" s="216"/>
      <c r="AA304" s="110"/>
      <c r="AB304" s="110"/>
      <c r="AC304" s="141"/>
      <c r="AD304" s="141"/>
      <c r="AE304" s="110"/>
      <c r="AF304" s="110"/>
      <c r="AH304" s="207"/>
      <c r="AI304" s="110"/>
      <c r="AJ304" s="110"/>
      <c r="AL304" s="110"/>
      <c r="AM304" s="141"/>
      <c r="AN304" s="141"/>
    </row>
    <row r="305" spans="1:40" x14ac:dyDescent="0.3">
      <c r="F305" s="101"/>
      <c r="H305" s="101"/>
      <c r="I305" s="101"/>
      <c r="J305" s="163"/>
      <c r="L305" s="101"/>
      <c r="M305" s="101"/>
      <c r="N305" s="101"/>
      <c r="O305" s="101"/>
      <c r="P305" s="101"/>
      <c r="Q305" s="101"/>
      <c r="R305" s="101"/>
      <c r="V305" s="101"/>
      <c r="Y305" s="101"/>
      <c r="AA305" s="101"/>
      <c r="AB305" s="101"/>
      <c r="AC305" s="101"/>
      <c r="AD305" s="101"/>
      <c r="AE305" s="101"/>
      <c r="AF305" s="101"/>
      <c r="AG305" s="191"/>
      <c r="AH305" s="101"/>
      <c r="AI305" s="101"/>
      <c r="AJ305" s="101"/>
      <c r="AK305" s="191"/>
      <c r="AL305" s="101"/>
      <c r="AM305" s="101"/>
      <c r="AN305" s="101"/>
    </row>
    <row r="306" spans="1:40" x14ac:dyDescent="0.3">
      <c r="C306" s="102"/>
      <c r="F306" s="172"/>
      <c r="H306" s="172"/>
      <c r="I306" s="172"/>
      <c r="J306" s="228"/>
      <c r="K306" s="181"/>
      <c r="L306" s="172"/>
      <c r="M306" s="172"/>
      <c r="N306" s="141"/>
      <c r="O306" s="141"/>
      <c r="P306" s="172"/>
      <c r="Q306" s="172"/>
      <c r="R306" s="172"/>
      <c r="T306" s="102"/>
      <c r="V306" s="110"/>
      <c r="Y306" s="110"/>
      <c r="Z306" s="198"/>
      <c r="AA306" s="110"/>
      <c r="AB306" s="110"/>
      <c r="AC306" s="141"/>
      <c r="AD306" s="141"/>
      <c r="AH306" s="207"/>
      <c r="AI306" s="110"/>
      <c r="AJ306" s="110"/>
      <c r="AL306" s="110"/>
      <c r="AM306" s="141"/>
      <c r="AN306" s="141"/>
    </row>
    <row r="307" spans="1:40" x14ac:dyDescent="0.3">
      <c r="F307" s="210"/>
      <c r="H307" s="210"/>
      <c r="I307" s="210"/>
      <c r="J307" s="228"/>
      <c r="K307" s="217"/>
      <c r="L307" s="210"/>
      <c r="M307" s="210"/>
      <c r="N307" s="210"/>
      <c r="O307" s="210"/>
      <c r="P307" s="210"/>
      <c r="Q307" s="210"/>
      <c r="R307" s="210"/>
      <c r="V307" s="101"/>
      <c r="Y307" s="101"/>
      <c r="AA307" s="101"/>
      <c r="AB307" s="101"/>
      <c r="AC307" s="101"/>
      <c r="AD307" s="101"/>
      <c r="AE307" s="101"/>
      <c r="AF307" s="101"/>
      <c r="AG307" s="191"/>
      <c r="AH307" s="101"/>
      <c r="AI307" s="101"/>
      <c r="AJ307" s="101"/>
      <c r="AK307" s="191"/>
      <c r="AL307" s="101"/>
      <c r="AM307" s="101"/>
      <c r="AN307" s="101"/>
    </row>
    <row r="308" spans="1:40" x14ac:dyDescent="0.3">
      <c r="F308" s="172"/>
      <c r="H308" s="172"/>
      <c r="I308" s="172"/>
      <c r="J308" s="228"/>
      <c r="K308" s="227"/>
      <c r="L308" s="110"/>
      <c r="M308" s="110"/>
      <c r="N308" s="141"/>
      <c r="O308" s="141"/>
      <c r="P308" s="110"/>
      <c r="Q308" s="110"/>
      <c r="R308" s="110"/>
    </row>
    <row r="309" spans="1:40" x14ac:dyDescent="0.3">
      <c r="A309" s="99"/>
      <c r="F309" s="172"/>
      <c r="H309" s="172"/>
      <c r="I309" s="172"/>
      <c r="J309" s="228"/>
      <c r="K309" s="181"/>
      <c r="L309" s="110"/>
      <c r="M309" s="110"/>
      <c r="N309" s="141"/>
      <c r="O309" s="141"/>
      <c r="P309" s="110"/>
      <c r="Q309" s="110"/>
      <c r="R309" s="110"/>
    </row>
    <row r="310" spans="1:40" x14ac:dyDescent="0.3">
      <c r="F310" s="172"/>
      <c r="H310" s="172"/>
      <c r="I310" s="172"/>
      <c r="J310" s="228"/>
      <c r="K310" s="181"/>
      <c r="L310" s="110"/>
      <c r="M310" s="110"/>
      <c r="N310" s="141"/>
      <c r="O310" s="141"/>
      <c r="P310" s="110"/>
      <c r="Q310" s="110"/>
      <c r="R310" s="110"/>
    </row>
    <row r="311" spans="1:40" x14ac:dyDescent="0.3">
      <c r="A311" s="99"/>
      <c r="J311" s="163"/>
    </row>
    <row r="312" spans="1:40" x14ac:dyDescent="0.3">
      <c r="J312" s="163"/>
    </row>
    <row r="313" spans="1:40" x14ac:dyDescent="0.3">
      <c r="J313" s="163"/>
    </row>
    <row r="314" spans="1:40" x14ac:dyDescent="0.3">
      <c r="H314" s="99"/>
      <c r="I314" s="99"/>
      <c r="J314" s="163"/>
      <c r="Y314" s="99"/>
    </row>
    <row r="315" spans="1:40" x14ac:dyDescent="0.3">
      <c r="J315" s="163"/>
    </row>
    <row r="316" spans="1:40" x14ac:dyDescent="0.3">
      <c r="J316" s="163"/>
      <c r="L316" s="99"/>
      <c r="M316" s="99"/>
      <c r="AA316" s="99"/>
      <c r="AB316" s="99"/>
    </row>
    <row r="317" spans="1:40" x14ac:dyDescent="0.3">
      <c r="J317" s="163"/>
      <c r="R317" s="99"/>
      <c r="AK317" s="190"/>
      <c r="AL317" s="99"/>
    </row>
    <row r="318" spans="1:40" x14ac:dyDescent="0.3">
      <c r="J318" s="163"/>
      <c r="R318" s="99"/>
      <c r="AK318" s="190"/>
      <c r="AL318" s="99"/>
    </row>
    <row r="319" spans="1:40" x14ac:dyDescent="0.3">
      <c r="A319" s="99"/>
      <c r="J319" s="163"/>
      <c r="R319" s="99"/>
      <c r="AK319" s="190"/>
      <c r="AL319" s="99"/>
    </row>
    <row r="320" spans="1:40" x14ac:dyDescent="0.3">
      <c r="J320" s="163"/>
      <c r="L320" s="99"/>
      <c r="M320" s="99"/>
      <c r="AA320" s="99"/>
      <c r="AB320" s="99"/>
    </row>
    <row r="321" spans="1:40" x14ac:dyDescent="0.3">
      <c r="A321" s="101"/>
      <c r="B321" s="101"/>
      <c r="C321" s="101"/>
      <c r="D321" s="101"/>
      <c r="E321" s="101"/>
      <c r="F321" s="101"/>
      <c r="G321" s="101"/>
      <c r="H321" s="101"/>
      <c r="I321" s="101"/>
      <c r="J321" s="212"/>
      <c r="K321" s="101"/>
      <c r="L321" s="101"/>
      <c r="M321" s="101"/>
      <c r="N321" s="101"/>
      <c r="O321" s="101"/>
      <c r="P321" s="101"/>
      <c r="Q321" s="101"/>
      <c r="R321" s="101"/>
      <c r="T321" s="101"/>
      <c r="U321" s="101"/>
      <c r="V321" s="101"/>
      <c r="W321" s="101"/>
      <c r="X321" s="101"/>
      <c r="Y321" s="101"/>
      <c r="Z321" s="101"/>
      <c r="AA321" s="101"/>
      <c r="AB321" s="101"/>
      <c r="AC321" s="101"/>
      <c r="AD321" s="101"/>
      <c r="AE321" s="101"/>
      <c r="AF321" s="101"/>
      <c r="AG321" s="191"/>
      <c r="AH321" s="101"/>
      <c r="AI321" s="101"/>
      <c r="AJ321" s="101"/>
      <c r="AK321" s="191"/>
      <c r="AL321" s="101"/>
      <c r="AM321" s="101"/>
      <c r="AN321" s="101"/>
    </row>
    <row r="322" spans="1:40" x14ac:dyDescent="0.3">
      <c r="J322" s="163"/>
      <c r="L322" s="102"/>
      <c r="M322" s="102"/>
      <c r="N322" s="102"/>
      <c r="O322" s="102"/>
      <c r="R322" s="102"/>
      <c r="AA322" s="102"/>
      <c r="AB322" s="102"/>
      <c r="AC322" s="102"/>
      <c r="AD322" s="102"/>
      <c r="AE322" s="102"/>
      <c r="AF322" s="102"/>
      <c r="AG322" s="151"/>
      <c r="AH322" s="102"/>
      <c r="AK322" s="151"/>
      <c r="AL322" s="102"/>
      <c r="AM322" s="102"/>
      <c r="AN322" s="102"/>
    </row>
    <row r="323" spans="1:40" x14ac:dyDescent="0.3">
      <c r="J323" s="163"/>
      <c r="L323" s="102"/>
      <c r="M323" s="102"/>
      <c r="N323" s="102"/>
      <c r="O323" s="102"/>
      <c r="R323" s="102"/>
      <c r="Z323" s="102"/>
      <c r="AA323" s="102"/>
      <c r="AB323" s="102"/>
      <c r="AC323" s="102"/>
      <c r="AD323" s="102"/>
      <c r="AE323" s="102"/>
      <c r="AF323" s="102"/>
      <c r="AG323" s="151"/>
      <c r="AH323" s="102"/>
      <c r="AK323" s="151"/>
      <c r="AL323" s="102"/>
      <c r="AM323" s="102"/>
      <c r="AN323" s="102"/>
    </row>
    <row r="324" spans="1:40" x14ac:dyDescent="0.3">
      <c r="A324" s="102"/>
      <c r="C324" s="102"/>
      <c r="D324" s="102"/>
      <c r="E324" s="102"/>
      <c r="F324" s="102"/>
      <c r="J324" s="213"/>
      <c r="K324" s="102"/>
      <c r="L324" s="102"/>
      <c r="M324" s="102"/>
      <c r="N324" s="102"/>
      <c r="O324" s="102"/>
      <c r="P324" s="102"/>
      <c r="Q324" s="102"/>
      <c r="R324" s="102"/>
      <c r="T324" s="102"/>
      <c r="U324" s="102"/>
      <c r="V324" s="102"/>
      <c r="Z324" s="102"/>
      <c r="AA324" s="102"/>
      <c r="AB324" s="102"/>
      <c r="AC324" s="102"/>
      <c r="AD324" s="102"/>
      <c r="AE324" s="102"/>
      <c r="AF324" s="102"/>
      <c r="AG324" s="151"/>
      <c r="AH324" s="102"/>
      <c r="AI324" s="102"/>
      <c r="AJ324" s="102"/>
      <c r="AK324" s="151"/>
      <c r="AL324" s="102"/>
      <c r="AM324" s="102"/>
      <c r="AN324" s="102"/>
    </row>
    <row r="325" spans="1:40" x14ac:dyDescent="0.3">
      <c r="A325" s="102"/>
      <c r="C325" s="102"/>
      <c r="D325" s="102"/>
      <c r="E325" s="102"/>
      <c r="F325" s="102"/>
      <c r="H325" s="102"/>
      <c r="I325" s="102"/>
      <c r="J325" s="213"/>
      <c r="K325" s="102"/>
      <c r="L325" s="102"/>
      <c r="M325" s="102"/>
      <c r="N325" s="102"/>
      <c r="O325" s="102"/>
      <c r="P325" s="102"/>
      <c r="Q325" s="102"/>
      <c r="R325" s="102"/>
      <c r="T325" s="102"/>
      <c r="U325" s="102"/>
      <c r="V325" s="102"/>
      <c r="Y325" s="102"/>
      <c r="Z325" s="102"/>
      <c r="AA325" s="102"/>
      <c r="AB325" s="102"/>
      <c r="AC325" s="102"/>
      <c r="AD325" s="102"/>
      <c r="AE325" s="102"/>
      <c r="AF325" s="102"/>
      <c r="AG325" s="151"/>
      <c r="AH325" s="102"/>
      <c r="AI325" s="102"/>
      <c r="AJ325" s="102"/>
      <c r="AK325" s="151"/>
      <c r="AL325" s="102"/>
      <c r="AM325" s="102"/>
      <c r="AN325" s="102"/>
    </row>
    <row r="326" spans="1:40" x14ac:dyDescent="0.3">
      <c r="C326" s="102"/>
      <c r="D326" s="102"/>
      <c r="E326" s="102"/>
      <c r="F326" s="102"/>
      <c r="H326" s="102"/>
      <c r="I326" s="102"/>
      <c r="J326" s="213"/>
      <c r="K326" s="102"/>
      <c r="L326" s="102"/>
      <c r="M326" s="102"/>
      <c r="N326" s="102"/>
      <c r="O326" s="102"/>
      <c r="P326" s="102"/>
      <c r="Q326" s="102"/>
      <c r="R326" s="102"/>
      <c r="T326" s="102"/>
      <c r="U326" s="102"/>
      <c r="V326" s="102"/>
      <c r="Y326" s="102"/>
      <c r="Z326" s="102"/>
      <c r="AA326" s="102"/>
      <c r="AB326" s="102"/>
      <c r="AC326" s="102"/>
      <c r="AD326" s="102"/>
      <c r="AE326" s="102"/>
      <c r="AF326" s="102"/>
      <c r="AG326" s="151"/>
      <c r="AH326" s="102"/>
      <c r="AI326" s="102"/>
      <c r="AJ326" s="102"/>
      <c r="AK326" s="151"/>
      <c r="AL326" s="102"/>
      <c r="AM326" s="102"/>
      <c r="AN326" s="102"/>
    </row>
    <row r="327" spans="1:40" x14ac:dyDescent="0.3">
      <c r="A327" s="101"/>
      <c r="B327" s="101"/>
      <c r="C327" s="101"/>
      <c r="D327" s="101"/>
      <c r="E327" s="101"/>
      <c r="F327" s="101"/>
      <c r="G327" s="101"/>
      <c r="H327" s="101"/>
      <c r="I327" s="101"/>
      <c r="J327" s="212"/>
      <c r="K327" s="101"/>
      <c r="L327" s="101"/>
      <c r="M327" s="101"/>
      <c r="N327" s="101"/>
      <c r="O327" s="101"/>
      <c r="P327" s="101"/>
      <c r="Q327" s="101"/>
      <c r="R327" s="101"/>
      <c r="T327" s="101"/>
      <c r="U327" s="101"/>
      <c r="V327" s="101"/>
      <c r="W327" s="101"/>
      <c r="X327" s="101"/>
      <c r="Y327" s="101"/>
      <c r="Z327" s="101"/>
      <c r="AA327" s="101"/>
      <c r="AB327" s="101"/>
      <c r="AC327" s="101"/>
      <c r="AD327" s="101"/>
      <c r="AE327" s="101"/>
      <c r="AF327" s="101"/>
      <c r="AG327" s="191"/>
      <c r="AH327" s="101"/>
      <c r="AI327" s="101"/>
      <c r="AJ327" s="101"/>
      <c r="AK327" s="191"/>
      <c r="AL327" s="101"/>
      <c r="AM327" s="101"/>
      <c r="AN327" s="101"/>
    </row>
    <row r="328" spans="1:40" x14ac:dyDescent="0.3">
      <c r="H328" s="102"/>
      <c r="I328" s="102"/>
      <c r="J328" s="213"/>
      <c r="K328" s="102"/>
      <c r="L328" s="102"/>
      <c r="M328" s="102"/>
      <c r="N328" s="102"/>
      <c r="O328" s="102"/>
      <c r="P328" s="102"/>
      <c r="Q328" s="102"/>
      <c r="R328" s="102"/>
      <c r="Y328" s="102"/>
      <c r="Z328" s="102"/>
      <c r="AA328" s="102"/>
      <c r="AB328" s="102"/>
      <c r="AC328" s="102"/>
      <c r="AD328" s="102"/>
      <c r="AE328" s="102"/>
      <c r="AF328" s="102"/>
      <c r="AG328" s="151"/>
      <c r="AH328" s="102"/>
      <c r="AI328" s="102"/>
      <c r="AJ328" s="102"/>
      <c r="AK328" s="151"/>
      <c r="AL328" s="102"/>
      <c r="AM328" s="102"/>
      <c r="AN328" s="102"/>
    </row>
    <row r="329" spans="1:40" x14ac:dyDescent="0.3">
      <c r="C329" s="99"/>
      <c r="D329" s="99"/>
      <c r="E329" s="99"/>
      <c r="J329" s="163"/>
      <c r="T329" s="99"/>
      <c r="U329" s="99"/>
    </row>
    <row r="330" spans="1:40" x14ac:dyDescent="0.3">
      <c r="J330" s="163"/>
    </row>
    <row r="331" spans="1:40" x14ac:dyDescent="0.3">
      <c r="C331" s="99"/>
      <c r="J331" s="163"/>
      <c r="T331" s="99"/>
    </row>
    <row r="332" spans="1:40" x14ac:dyDescent="0.3">
      <c r="C332" s="99"/>
      <c r="F332" s="172"/>
      <c r="H332" s="172"/>
      <c r="I332" s="172"/>
      <c r="J332" s="228"/>
      <c r="K332" s="217"/>
      <c r="L332" s="110"/>
      <c r="M332" s="110"/>
      <c r="N332" s="141"/>
      <c r="O332" s="141"/>
      <c r="P332" s="110"/>
      <c r="Q332" s="110"/>
      <c r="R332" s="110"/>
      <c r="T332" s="99"/>
      <c r="V332" s="172"/>
      <c r="Y332" s="172"/>
      <c r="Z332" s="217"/>
      <c r="AA332" s="110"/>
      <c r="AB332" s="110"/>
      <c r="AC332" s="141"/>
      <c r="AD332" s="141"/>
      <c r="AE332" s="110"/>
      <c r="AF332" s="110"/>
      <c r="AH332" s="207"/>
      <c r="AI332" s="110"/>
      <c r="AJ332" s="110"/>
      <c r="AL332" s="110"/>
      <c r="AM332" s="141"/>
      <c r="AN332" s="141"/>
    </row>
    <row r="333" spans="1:40" x14ac:dyDescent="0.3">
      <c r="C333" s="99"/>
      <c r="J333" s="163"/>
      <c r="T333" s="99"/>
    </row>
    <row r="334" spans="1:40" x14ac:dyDescent="0.3">
      <c r="C334" s="99"/>
      <c r="F334" s="172"/>
      <c r="H334" s="172"/>
      <c r="I334" s="172"/>
      <c r="J334" s="228"/>
      <c r="K334" s="228"/>
      <c r="L334" s="110"/>
      <c r="M334" s="110"/>
      <c r="N334" s="141"/>
      <c r="O334" s="141"/>
      <c r="P334" s="110"/>
      <c r="Q334" s="110"/>
      <c r="R334" s="110"/>
      <c r="T334" s="99"/>
      <c r="V334" s="110"/>
      <c r="Y334" s="110"/>
      <c r="Z334" s="228"/>
      <c r="AA334" s="110"/>
      <c r="AB334" s="110"/>
      <c r="AC334" s="141"/>
      <c r="AD334" s="141"/>
      <c r="AE334" s="110"/>
      <c r="AF334" s="110"/>
      <c r="AH334" s="207"/>
      <c r="AI334" s="110"/>
      <c r="AJ334" s="110"/>
      <c r="AL334" s="110"/>
      <c r="AM334" s="141"/>
      <c r="AN334" s="141"/>
    </row>
    <row r="335" spans="1:40" x14ac:dyDescent="0.3">
      <c r="C335" s="99"/>
      <c r="F335" s="172"/>
      <c r="H335" s="172"/>
      <c r="I335" s="172"/>
      <c r="J335" s="228"/>
      <c r="K335" s="228"/>
      <c r="L335" s="110"/>
      <c r="M335" s="110"/>
      <c r="N335" s="141"/>
      <c r="O335" s="141"/>
      <c r="P335" s="110"/>
      <c r="Q335" s="110"/>
      <c r="R335" s="110"/>
      <c r="T335" s="99"/>
      <c r="V335" s="110"/>
      <c r="Y335" s="110"/>
      <c r="Z335" s="228"/>
      <c r="AA335" s="110"/>
      <c r="AB335" s="110"/>
      <c r="AC335" s="141"/>
      <c r="AD335" s="141"/>
      <c r="AE335" s="110"/>
      <c r="AF335" s="110"/>
      <c r="AH335" s="207"/>
      <c r="AI335" s="110"/>
      <c r="AJ335" s="110"/>
      <c r="AL335" s="110"/>
      <c r="AM335" s="141"/>
      <c r="AN335" s="141"/>
    </row>
    <row r="336" spans="1:40" x14ac:dyDescent="0.3">
      <c r="C336" s="99"/>
      <c r="F336" s="172"/>
      <c r="H336" s="172"/>
      <c r="I336" s="172"/>
      <c r="J336" s="228"/>
      <c r="K336" s="228"/>
      <c r="L336" s="110"/>
      <c r="M336" s="110"/>
      <c r="N336" s="141"/>
      <c r="O336" s="141"/>
      <c r="P336" s="110"/>
      <c r="Q336" s="110"/>
      <c r="R336" s="110"/>
      <c r="T336" s="99"/>
      <c r="V336" s="110"/>
      <c r="Y336" s="110"/>
      <c r="Z336" s="228"/>
      <c r="AA336" s="110"/>
      <c r="AB336" s="110"/>
      <c r="AC336" s="141"/>
      <c r="AD336" s="141"/>
      <c r="AE336" s="110"/>
      <c r="AF336" s="110"/>
      <c r="AH336" s="207"/>
      <c r="AI336" s="110"/>
      <c r="AJ336" s="110"/>
      <c r="AL336" s="110"/>
      <c r="AM336" s="141"/>
      <c r="AN336" s="141"/>
    </row>
    <row r="337" spans="3:40" x14ac:dyDescent="0.3">
      <c r="C337" s="99"/>
      <c r="F337" s="172"/>
      <c r="H337" s="172"/>
      <c r="I337" s="172"/>
      <c r="J337" s="228"/>
      <c r="K337" s="228"/>
      <c r="L337" s="110"/>
      <c r="M337" s="110"/>
      <c r="N337" s="141"/>
      <c r="O337" s="141"/>
      <c r="P337" s="110"/>
      <c r="Q337" s="110"/>
      <c r="R337" s="110"/>
      <c r="T337" s="99"/>
      <c r="V337" s="110"/>
      <c r="Y337" s="110"/>
      <c r="Z337" s="228"/>
      <c r="AA337" s="110"/>
      <c r="AB337" s="110"/>
      <c r="AC337" s="141"/>
      <c r="AD337" s="141"/>
      <c r="AE337" s="110"/>
      <c r="AF337" s="110"/>
      <c r="AH337" s="207"/>
      <c r="AI337" s="110"/>
      <c r="AJ337" s="110"/>
      <c r="AL337" s="110"/>
      <c r="AM337" s="141"/>
      <c r="AN337" s="141"/>
    </row>
    <row r="338" spans="3:40" x14ac:dyDescent="0.3">
      <c r="C338" s="99"/>
      <c r="J338" s="163"/>
      <c r="K338" s="163"/>
      <c r="T338" s="99"/>
      <c r="Z338" s="163"/>
    </row>
    <row r="339" spans="3:40" x14ac:dyDescent="0.3">
      <c r="C339" s="99"/>
      <c r="F339" s="172"/>
      <c r="H339" s="172"/>
      <c r="I339" s="172"/>
      <c r="J339" s="228"/>
      <c r="K339" s="228"/>
      <c r="L339" s="110"/>
      <c r="M339" s="110"/>
      <c r="N339" s="141"/>
      <c r="O339" s="141"/>
      <c r="P339" s="110"/>
      <c r="Q339" s="110"/>
      <c r="R339" s="110"/>
      <c r="T339" s="99"/>
      <c r="V339" s="110"/>
      <c r="Y339" s="110"/>
      <c r="Z339" s="228"/>
      <c r="AA339" s="110"/>
      <c r="AB339" s="110"/>
      <c r="AC339" s="141"/>
      <c r="AD339" s="141"/>
      <c r="AE339" s="110"/>
      <c r="AF339" s="110"/>
      <c r="AH339" s="207"/>
      <c r="AI339" s="110"/>
      <c r="AJ339" s="110"/>
      <c r="AL339" s="110"/>
      <c r="AM339" s="141"/>
      <c r="AN339" s="141"/>
    </row>
    <row r="340" spans="3:40" x14ac:dyDescent="0.3">
      <c r="C340" s="99"/>
      <c r="F340" s="172"/>
      <c r="H340" s="172"/>
      <c r="I340" s="172"/>
      <c r="J340" s="228"/>
      <c r="K340" s="228"/>
      <c r="L340" s="110"/>
      <c r="M340" s="110"/>
      <c r="N340" s="141"/>
      <c r="O340" s="141"/>
      <c r="P340" s="110"/>
      <c r="Q340" s="110"/>
      <c r="R340" s="110"/>
      <c r="T340" s="99"/>
      <c r="V340" s="110"/>
      <c r="Y340" s="110"/>
      <c r="Z340" s="228"/>
      <c r="AA340" s="110"/>
      <c r="AB340" s="110"/>
      <c r="AC340" s="141"/>
      <c r="AD340" s="141"/>
      <c r="AE340" s="110"/>
      <c r="AF340" s="110"/>
      <c r="AH340" s="207"/>
      <c r="AI340" s="110"/>
      <c r="AJ340" s="110"/>
      <c r="AL340" s="110"/>
      <c r="AM340" s="141"/>
      <c r="AN340" s="141"/>
    </row>
    <row r="341" spans="3:40" x14ac:dyDescent="0.3">
      <c r="C341" s="99"/>
      <c r="F341" s="172"/>
      <c r="H341" s="172"/>
      <c r="I341" s="172"/>
      <c r="J341" s="228"/>
      <c r="K341" s="228"/>
      <c r="L341" s="110"/>
      <c r="M341" s="110"/>
      <c r="N341" s="141"/>
      <c r="O341" s="141"/>
      <c r="P341" s="110"/>
      <c r="Q341" s="110"/>
      <c r="R341" s="110"/>
      <c r="T341" s="99"/>
      <c r="V341" s="110"/>
      <c r="Y341" s="110"/>
      <c r="Z341" s="228"/>
      <c r="AA341" s="110"/>
      <c r="AB341" s="110"/>
      <c r="AC341" s="141"/>
      <c r="AD341" s="141"/>
      <c r="AE341" s="110"/>
      <c r="AF341" s="110"/>
      <c r="AH341" s="207"/>
      <c r="AI341" s="110"/>
      <c r="AJ341" s="110"/>
      <c r="AL341" s="110"/>
      <c r="AM341" s="141"/>
      <c r="AN341" s="141"/>
    </row>
    <row r="342" spans="3:40" x14ac:dyDescent="0.3">
      <c r="C342" s="99"/>
      <c r="J342" s="163"/>
      <c r="K342" s="163"/>
      <c r="T342" s="99"/>
      <c r="Z342" s="163"/>
    </row>
    <row r="343" spans="3:40" x14ac:dyDescent="0.3">
      <c r="C343" s="99"/>
      <c r="F343" s="172"/>
      <c r="H343" s="172"/>
      <c r="I343" s="172"/>
      <c r="J343" s="228"/>
      <c r="K343" s="228"/>
      <c r="L343" s="110"/>
      <c r="M343" s="110"/>
      <c r="N343" s="141"/>
      <c r="O343" s="141"/>
      <c r="P343" s="110"/>
      <c r="Q343" s="110"/>
      <c r="R343" s="110"/>
      <c r="T343" s="99"/>
      <c r="V343" s="110"/>
      <c r="Y343" s="110"/>
      <c r="Z343" s="228"/>
      <c r="AA343" s="110"/>
      <c r="AB343" s="110"/>
      <c r="AC343" s="141"/>
      <c r="AD343" s="141"/>
      <c r="AE343" s="110"/>
      <c r="AF343" s="110"/>
      <c r="AH343" s="207"/>
      <c r="AI343" s="110"/>
      <c r="AJ343" s="110"/>
      <c r="AL343" s="110"/>
      <c r="AM343" s="141"/>
      <c r="AN343" s="141"/>
    </row>
    <row r="344" spans="3:40" x14ac:dyDescent="0.3">
      <c r="C344" s="99"/>
      <c r="F344" s="172"/>
      <c r="H344" s="172"/>
      <c r="I344" s="172"/>
      <c r="J344" s="228"/>
      <c r="K344" s="228"/>
      <c r="L344" s="110"/>
      <c r="M344" s="110"/>
      <c r="N344" s="141"/>
      <c r="O344" s="141"/>
      <c r="P344" s="110"/>
      <c r="Q344" s="110"/>
      <c r="R344" s="110"/>
      <c r="T344" s="99"/>
      <c r="V344" s="110"/>
      <c r="Y344" s="110"/>
      <c r="Z344" s="228"/>
      <c r="AA344" s="110"/>
      <c r="AB344" s="110"/>
      <c r="AC344" s="141"/>
      <c r="AD344" s="141"/>
      <c r="AE344" s="110"/>
      <c r="AF344" s="110"/>
      <c r="AH344" s="207"/>
      <c r="AI344" s="110"/>
      <c r="AJ344" s="110"/>
      <c r="AL344" s="110"/>
      <c r="AM344" s="141"/>
      <c r="AN344" s="141"/>
    </row>
    <row r="345" spans="3:40" x14ac:dyDescent="0.3">
      <c r="C345" s="99"/>
      <c r="J345" s="163"/>
      <c r="K345" s="163"/>
      <c r="T345" s="99"/>
      <c r="Z345" s="163"/>
    </row>
    <row r="346" spans="3:40" x14ac:dyDescent="0.3">
      <c r="C346" s="99"/>
      <c r="F346" s="172"/>
      <c r="H346" s="172"/>
      <c r="I346" s="172"/>
      <c r="J346" s="228"/>
      <c r="K346" s="228"/>
      <c r="L346" s="110"/>
      <c r="M346" s="110"/>
      <c r="N346" s="141"/>
      <c r="O346" s="141"/>
      <c r="P346" s="110"/>
      <c r="Q346" s="110"/>
      <c r="R346" s="110"/>
      <c r="T346" s="99"/>
      <c r="V346" s="110"/>
      <c r="Y346" s="110"/>
      <c r="Z346" s="228"/>
      <c r="AA346" s="110"/>
      <c r="AB346" s="110"/>
      <c r="AC346" s="141"/>
      <c r="AD346" s="141"/>
      <c r="AE346" s="110"/>
      <c r="AF346" s="110"/>
      <c r="AH346" s="207"/>
      <c r="AI346" s="110"/>
      <c r="AJ346" s="110"/>
      <c r="AL346" s="110"/>
      <c r="AM346" s="141"/>
      <c r="AN346" s="141"/>
    </row>
    <row r="347" spans="3:40" x14ac:dyDescent="0.3">
      <c r="C347" s="99"/>
      <c r="F347" s="172"/>
      <c r="H347" s="172"/>
      <c r="I347" s="172"/>
      <c r="J347" s="228"/>
      <c r="K347" s="228"/>
      <c r="L347" s="110"/>
      <c r="M347" s="110"/>
      <c r="N347" s="141"/>
      <c r="O347" s="141"/>
      <c r="P347" s="110"/>
      <c r="Q347" s="110"/>
      <c r="R347" s="110"/>
      <c r="T347" s="99"/>
      <c r="V347" s="110"/>
      <c r="Y347" s="110"/>
      <c r="Z347" s="228"/>
      <c r="AA347" s="110"/>
      <c r="AB347" s="110"/>
      <c r="AC347" s="141"/>
      <c r="AD347" s="141"/>
      <c r="AE347" s="110"/>
      <c r="AF347" s="110"/>
      <c r="AH347" s="207"/>
      <c r="AI347" s="110"/>
      <c r="AJ347" s="110"/>
      <c r="AL347" s="110"/>
      <c r="AM347" s="141"/>
      <c r="AN347" s="141"/>
    </row>
    <row r="348" spans="3:40" x14ac:dyDescent="0.3">
      <c r="C348" s="99"/>
      <c r="F348" s="172"/>
      <c r="H348" s="172"/>
      <c r="I348" s="172"/>
      <c r="J348" s="228"/>
      <c r="K348" s="228"/>
      <c r="L348" s="110"/>
      <c r="M348" s="110"/>
      <c r="N348" s="141"/>
      <c r="O348" s="141"/>
      <c r="P348" s="110"/>
      <c r="Q348" s="110"/>
      <c r="R348" s="110"/>
      <c r="T348" s="99"/>
      <c r="V348" s="110"/>
      <c r="Y348" s="110"/>
      <c r="Z348" s="228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F349" s="192"/>
      <c r="H349" s="192"/>
      <c r="I349" s="192"/>
      <c r="J349" s="228"/>
      <c r="K349" s="228"/>
      <c r="L349" s="192"/>
      <c r="M349" s="192"/>
      <c r="N349" s="192"/>
      <c r="O349" s="192"/>
      <c r="P349" s="192"/>
      <c r="Q349" s="192"/>
      <c r="R349" s="192"/>
      <c r="V349" s="192"/>
      <c r="Y349" s="192"/>
      <c r="Z349" s="228"/>
      <c r="AA349" s="192"/>
      <c r="AB349" s="192"/>
      <c r="AC349" s="192"/>
      <c r="AD349" s="192"/>
      <c r="AE349" s="192"/>
      <c r="AF349" s="192"/>
      <c r="AI349" s="192"/>
      <c r="AJ349" s="192"/>
      <c r="AK349" s="194"/>
      <c r="AL349" s="192"/>
    </row>
    <row r="350" spans="3:40" x14ac:dyDescent="0.3">
      <c r="C350" s="102"/>
      <c r="F350" s="110"/>
      <c r="H350" s="110"/>
      <c r="I350" s="110"/>
      <c r="J350" s="163"/>
      <c r="K350" s="163"/>
      <c r="L350" s="110"/>
      <c r="M350" s="110"/>
      <c r="N350" s="207"/>
      <c r="O350" s="207"/>
      <c r="P350" s="110"/>
      <c r="Q350" s="110"/>
      <c r="R350" s="110"/>
      <c r="T350" s="102"/>
      <c r="V350" s="110"/>
      <c r="Y350" s="110"/>
      <c r="Z350" s="163"/>
      <c r="AA350" s="110"/>
      <c r="AB350" s="110"/>
      <c r="AC350" s="110"/>
      <c r="AD350" s="110"/>
      <c r="AE350" s="110"/>
      <c r="AF350" s="110"/>
      <c r="AH350" s="207"/>
      <c r="AI350" s="110"/>
      <c r="AJ350" s="110"/>
      <c r="AL350" s="110"/>
      <c r="AM350" s="141"/>
      <c r="AN350" s="141"/>
    </row>
    <row r="351" spans="3:40" x14ac:dyDescent="0.3">
      <c r="F351" s="192"/>
      <c r="H351" s="192"/>
      <c r="I351" s="192"/>
      <c r="J351" s="228"/>
      <c r="K351" s="228"/>
      <c r="L351" s="192"/>
      <c r="M351" s="192"/>
      <c r="N351" s="192"/>
      <c r="O351" s="192"/>
      <c r="P351" s="192"/>
      <c r="Q351" s="192"/>
      <c r="R351" s="192"/>
      <c r="V351" s="192"/>
      <c r="Y351" s="192"/>
      <c r="Z351" s="228"/>
      <c r="AA351" s="192"/>
      <c r="AB351" s="192"/>
      <c r="AC351" s="192"/>
      <c r="AD351" s="192"/>
      <c r="AE351" s="192"/>
      <c r="AF351" s="192"/>
      <c r="AI351" s="192"/>
      <c r="AJ351" s="192"/>
      <c r="AK351" s="194"/>
      <c r="AL351" s="192"/>
    </row>
    <row r="352" spans="3:40" x14ac:dyDescent="0.3">
      <c r="C352" s="99"/>
      <c r="J352" s="163"/>
      <c r="K352" s="163"/>
      <c r="T352" s="99"/>
      <c r="Z352" s="163"/>
    </row>
    <row r="353" spans="3:40" x14ac:dyDescent="0.3">
      <c r="C353" s="99"/>
      <c r="J353" s="163"/>
      <c r="K353" s="163"/>
      <c r="T353" s="99"/>
      <c r="Z353" s="163"/>
    </row>
    <row r="354" spans="3:40" x14ac:dyDescent="0.3">
      <c r="C354" s="99"/>
      <c r="F354" s="172"/>
      <c r="H354" s="172"/>
      <c r="I354" s="172"/>
      <c r="J354" s="228"/>
      <c r="K354" s="228"/>
      <c r="L354" s="110"/>
      <c r="M354" s="110"/>
      <c r="N354" s="141"/>
      <c r="O354" s="141"/>
      <c r="P354" s="110"/>
      <c r="Q354" s="110"/>
      <c r="R354" s="110"/>
      <c r="T354" s="99"/>
      <c r="V354" s="110"/>
      <c r="Y354" s="110"/>
      <c r="Z354" s="228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3:40" x14ac:dyDescent="0.3">
      <c r="C355" s="99"/>
      <c r="F355" s="172"/>
      <c r="H355" s="172"/>
      <c r="I355" s="172"/>
      <c r="J355" s="228"/>
      <c r="K355" s="228"/>
      <c r="L355" s="110"/>
      <c r="M355" s="110"/>
      <c r="N355" s="141"/>
      <c r="O355" s="141"/>
      <c r="P355" s="110"/>
      <c r="Q355" s="110"/>
      <c r="R355" s="110"/>
      <c r="T355" s="99"/>
      <c r="V355" s="110"/>
      <c r="Y355" s="110"/>
      <c r="Z355" s="228"/>
      <c r="AA355" s="110"/>
      <c r="AB355" s="110"/>
      <c r="AC355" s="141"/>
      <c r="AD355" s="141"/>
      <c r="AE355" s="110"/>
      <c r="AF355" s="110"/>
      <c r="AH355" s="207"/>
      <c r="AI355" s="110"/>
      <c r="AJ355" s="110"/>
      <c r="AL355" s="110"/>
      <c r="AM355" s="141"/>
      <c r="AN355" s="141"/>
    </row>
    <row r="356" spans="3:40" x14ac:dyDescent="0.3">
      <c r="C356" s="99"/>
      <c r="F356" s="172"/>
      <c r="H356" s="172"/>
      <c r="I356" s="172"/>
      <c r="J356" s="228"/>
      <c r="K356" s="228"/>
      <c r="L356" s="110"/>
      <c r="M356" s="110"/>
      <c r="N356" s="141"/>
      <c r="O356" s="141"/>
      <c r="P356" s="110"/>
      <c r="Q356" s="110"/>
      <c r="R356" s="110"/>
      <c r="T356" s="99"/>
      <c r="V356" s="110"/>
      <c r="Y356" s="110"/>
      <c r="Z356" s="228"/>
      <c r="AA356" s="110"/>
      <c r="AB356" s="110"/>
      <c r="AC356" s="141"/>
      <c r="AD356" s="141"/>
      <c r="AE356" s="110"/>
      <c r="AF356" s="110"/>
      <c r="AH356" s="207"/>
      <c r="AI356" s="110"/>
      <c r="AJ356" s="110"/>
      <c r="AL356" s="110"/>
      <c r="AM356" s="141"/>
      <c r="AN356" s="141"/>
    </row>
    <row r="357" spans="3:40" x14ac:dyDescent="0.3">
      <c r="C357" s="99"/>
      <c r="F357" s="172"/>
      <c r="H357" s="172"/>
      <c r="I357" s="172"/>
      <c r="J357" s="228"/>
      <c r="K357" s="228"/>
      <c r="L357" s="110"/>
      <c r="M357" s="110"/>
      <c r="N357" s="141"/>
      <c r="O357" s="141"/>
      <c r="P357" s="110"/>
      <c r="Q357" s="110"/>
      <c r="R357" s="110"/>
      <c r="T357" s="99"/>
      <c r="V357" s="110"/>
      <c r="Y357" s="110"/>
      <c r="Z357" s="228"/>
      <c r="AA357" s="110"/>
      <c r="AB357" s="110"/>
      <c r="AC357" s="141"/>
      <c r="AD357" s="141"/>
      <c r="AE357" s="110"/>
      <c r="AF357" s="110"/>
      <c r="AH357" s="207"/>
      <c r="AI357" s="110"/>
      <c r="AJ357" s="110"/>
      <c r="AL357" s="110"/>
      <c r="AM357" s="141"/>
      <c r="AN357" s="141"/>
    </row>
    <row r="358" spans="3:40" x14ac:dyDescent="0.3">
      <c r="C358" s="99"/>
      <c r="F358" s="172"/>
      <c r="H358" s="172"/>
      <c r="I358" s="172"/>
      <c r="J358" s="228"/>
      <c r="K358" s="228"/>
      <c r="L358" s="110"/>
      <c r="M358" s="110"/>
      <c r="N358" s="141"/>
      <c r="O358" s="141"/>
      <c r="P358" s="110"/>
      <c r="Q358" s="110"/>
      <c r="R358" s="110"/>
      <c r="T358" s="99"/>
      <c r="V358" s="110"/>
      <c r="Y358" s="110"/>
      <c r="Z358" s="228"/>
      <c r="AA358" s="110"/>
      <c r="AB358" s="110"/>
      <c r="AC358" s="141"/>
      <c r="AD358" s="141"/>
      <c r="AE358" s="110"/>
      <c r="AF358" s="110"/>
      <c r="AH358" s="207"/>
      <c r="AI358" s="110"/>
      <c r="AJ358" s="110"/>
      <c r="AL358" s="110"/>
      <c r="AM358" s="141"/>
      <c r="AN358" s="141"/>
    </row>
    <row r="359" spans="3:40" x14ac:dyDescent="0.3">
      <c r="C359" s="99"/>
      <c r="F359" s="172"/>
      <c r="H359" s="172"/>
      <c r="I359" s="172"/>
      <c r="J359" s="228"/>
      <c r="K359" s="228"/>
      <c r="L359" s="110"/>
      <c r="M359" s="110"/>
      <c r="N359" s="141"/>
      <c r="O359" s="141"/>
      <c r="P359" s="110"/>
      <c r="Q359" s="110"/>
      <c r="R359" s="110"/>
      <c r="T359" s="99"/>
      <c r="V359" s="110"/>
      <c r="Y359" s="110"/>
      <c r="Z359" s="228"/>
      <c r="AA359" s="110"/>
      <c r="AB359" s="110"/>
      <c r="AC359" s="141"/>
      <c r="AD359" s="141"/>
      <c r="AE359" s="110"/>
      <c r="AF359" s="110"/>
      <c r="AH359" s="207"/>
      <c r="AI359" s="110"/>
      <c r="AJ359" s="110"/>
      <c r="AL359" s="110"/>
      <c r="AM359" s="141"/>
      <c r="AN359" s="141"/>
    </row>
    <row r="360" spans="3:40" x14ac:dyDescent="0.3">
      <c r="C360" s="99"/>
      <c r="F360" s="172"/>
      <c r="H360" s="172"/>
      <c r="I360" s="172"/>
      <c r="J360" s="228"/>
      <c r="K360" s="228"/>
      <c r="L360" s="110"/>
      <c r="M360" s="110"/>
      <c r="N360" s="141"/>
      <c r="O360" s="141"/>
      <c r="P360" s="110"/>
      <c r="Q360" s="110"/>
      <c r="R360" s="110"/>
      <c r="T360" s="99"/>
      <c r="V360" s="110"/>
      <c r="Y360" s="110"/>
      <c r="Z360" s="228"/>
      <c r="AA360" s="110"/>
      <c r="AB360" s="110"/>
      <c r="AC360" s="141"/>
      <c r="AD360" s="141"/>
      <c r="AE360" s="110"/>
      <c r="AF360" s="110"/>
      <c r="AH360" s="207"/>
      <c r="AI360" s="110"/>
      <c r="AJ360" s="110"/>
      <c r="AL360" s="110"/>
      <c r="AM360" s="141"/>
      <c r="AN360" s="141"/>
    </row>
    <row r="361" spans="3:40" x14ac:dyDescent="0.3">
      <c r="C361" s="99"/>
      <c r="J361" s="163"/>
      <c r="K361" s="163"/>
      <c r="T361" s="99"/>
      <c r="Z361" s="163"/>
    </row>
    <row r="362" spans="3:40" x14ac:dyDescent="0.3">
      <c r="C362" s="99"/>
      <c r="F362" s="172"/>
      <c r="H362" s="172"/>
      <c r="I362" s="172"/>
      <c r="J362" s="228"/>
      <c r="K362" s="228"/>
      <c r="L362" s="110"/>
      <c r="M362" s="110"/>
      <c r="N362" s="141"/>
      <c r="O362" s="141"/>
      <c r="P362" s="110"/>
      <c r="Q362" s="110"/>
      <c r="R362" s="110"/>
      <c r="T362" s="99"/>
      <c r="V362" s="110"/>
      <c r="Y362" s="110"/>
      <c r="Z362" s="228"/>
      <c r="AA362" s="110"/>
      <c r="AB362" s="110"/>
      <c r="AC362" s="141"/>
      <c r="AD362" s="141"/>
      <c r="AE362" s="110"/>
      <c r="AF362" s="110"/>
      <c r="AH362" s="207"/>
      <c r="AI362" s="110"/>
      <c r="AJ362" s="110"/>
      <c r="AL362" s="110"/>
      <c r="AM362" s="141"/>
      <c r="AN362" s="141"/>
    </row>
    <row r="363" spans="3:40" x14ac:dyDescent="0.3">
      <c r="C363" s="99"/>
      <c r="F363" s="172"/>
      <c r="H363" s="172"/>
      <c r="I363" s="172"/>
      <c r="J363" s="228"/>
      <c r="K363" s="228"/>
      <c r="L363" s="110"/>
      <c r="M363" s="110"/>
      <c r="N363" s="141"/>
      <c r="O363" s="141"/>
      <c r="P363" s="110"/>
      <c r="Q363" s="110"/>
      <c r="R363" s="110"/>
      <c r="T363" s="99"/>
      <c r="V363" s="110"/>
      <c r="Y363" s="110"/>
      <c r="Z363" s="228"/>
      <c r="AA363" s="110"/>
      <c r="AB363" s="110"/>
      <c r="AC363" s="141"/>
      <c r="AD363" s="141"/>
      <c r="AE363" s="110"/>
      <c r="AF363" s="110"/>
      <c r="AH363" s="207"/>
      <c r="AI363" s="110"/>
      <c r="AJ363" s="110"/>
      <c r="AL363" s="110"/>
      <c r="AM363" s="141"/>
      <c r="AN363" s="141"/>
    </row>
    <row r="364" spans="3:40" x14ac:dyDescent="0.3">
      <c r="C364" s="99"/>
      <c r="F364" s="172"/>
      <c r="H364" s="172"/>
      <c r="I364" s="172"/>
      <c r="J364" s="228"/>
      <c r="K364" s="228"/>
      <c r="L364" s="110"/>
      <c r="M364" s="110"/>
      <c r="N364" s="141"/>
      <c r="O364" s="141"/>
      <c r="P364" s="110"/>
      <c r="Q364" s="110"/>
      <c r="R364" s="110"/>
      <c r="T364" s="99"/>
      <c r="V364" s="110"/>
      <c r="Y364" s="110"/>
      <c r="Z364" s="228"/>
      <c r="AA364" s="110"/>
      <c r="AB364" s="110"/>
      <c r="AC364" s="141"/>
      <c r="AD364" s="141"/>
      <c r="AE364" s="110"/>
      <c r="AF364" s="110"/>
      <c r="AH364" s="207"/>
      <c r="AI364" s="110"/>
      <c r="AJ364" s="110"/>
      <c r="AL364" s="110"/>
      <c r="AM364" s="141"/>
      <c r="AN364" s="141"/>
    </row>
    <row r="365" spans="3:40" x14ac:dyDescent="0.3">
      <c r="C365" s="99"/>
      <c r="F365" s="172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99"/>
      <c r="V365" s="110"/>
      <c r="Y365" s="110"/>
      <c r="Z365" s="228"/>
      <c r="AA365" s="110"/>
      <c r="AB365" s="110"/>
      <c r="AC365" s="141"/>
      <c r="AD365" s="141"/>
      <c r="AE365" s="110"/>
      <c r="AF365" s="110"/>
      <c r="AH365" s="207"/>
      <c r="AI365" s="110"/>
      <c r="AJ365" s="110"/>
      <c r="AL365" s="110"/>
      <c r="AM365" s="141"/>
      <c r="AN365" s="141"/>
    </row>
    <row r="366" spans="3:40" x14ac:dyDescent="0.3">
      <c r="C366" s="99"/>
      <c r="J366" s="163"/>
      <c r="K366" s="163"/>
      <c r="T366" s="99"/>
      <c r="Z366" s="163"/>
    </row>
    <row r="367" spans="3:40" x14ac:dyDescent="0.3">
      <c r="C367" s="99"/>
      <c r="F367" s="172"/>
      <c r="H367" s="172"/>
      <c r="I367" s="172"/>
      <c r="J367" s="228"/>
      <c r="K367" s="228"/>
      <c r="L367" s="110"/>
      <c r="M367" s="110"/>
      <c r="N367" s="141"/>
      <c r="O367" s="141"/>
      <c r="P367" s="110"/>
      <c r="Q367" s="110"/>
      <c r="R367" s="110"/>
      <c r="T367" s="99"/>
      <c r="V367" s="110"/>
      <c r="Y367" s="110"/>
      <c r="Z367" s="228"/>
      <c r="AA367" s="110"/>
      <c r="AB367" s="110"/>
      <c r="AC367" s="141"/>
      <c r="AD367" s="141"/>
      <c r="AE367" s="110"/>
      <c r="AF367" s="110"/>
      <c r="AH367" s="207"/>
      <c r="AI367" s="110"/>
      <c r="AJ367" s="110"/>
      <c r="AL367" s="110"/>
      <c r="AM367" s="141"/>
      <c r="AN367" s="141"/>
    </row>
    <row r="368" spans="3:40" x14ac:dyDescent="0.3">
      <c r="C368" s="99"/>
      <c r="F368" s="172"/>
      <c r="H368" s="172"/>
      <c r="I368" s="172"/>
      <c r="J368" s="228"/>
      <c r="K368" s="228"/>
      <c r="L368" s="110"/>
      <c r="M368" s="110"/>
      <c r="N368" s="141"/>
      <c r="O368" s="141"/>
      <c r="P368" s="110"/>
      <c r="Q368" s="110"/>
      <c r="R368" s="110"/>
      <c r="T368" s="99"/>
      <c r="V368" s="110"/>
      <c r="Y368" s="110"/>
      <c r="Z368" s="228"/>
      <c r="AA368" s="110"/>
      <c r="AB368" s="110"/>
      <c r="AC368" s="141"/>
      <c r="AD368" s="141"/>
      <c r="AE368" s="110"/>
      <c r="AF368" s="110"/>
      <c r="AH368" s="207"/>
      <c r="AI368" s="110"/>
      <c r="AJ368" s="110"/>
      <c r="AL368" s="110"/>
      <c r="AM368" s="141"/>
      <c r="AN368" s="141"/>
    </row>
    <row r="369" spans="1:40" x14ac:dyDescent="0.3">
      <c r="C369" s="99"/>
      <c r="F369" s="172"/>
      <c r="H369" s="172"/>
      <c r="I369" s="172"/>
      <c r="J369" s="228"/>
      <c r="K369" s="228"/>
      <c r="L369" s="110"/>
      <c r="M369" s="110"/>
      <c r="N369" s="141"/>
      <c r="O369" s="141"/>
      <c r="P369" s="110"/>
      <c r="Q369" s="110"/>
      <c r="R369" s="110"/>
      <c r="T369" s="99"/>
      <c r="V369" s="110"/>
      <c r="Y369" s="110"/>
      <c r="Z369" s="228"/>
      <c r="AA369" s="110"/>
      <c r="AB369" s="110"/>
      <c r="AC369" s="141"/>
      <c r="AD369" s="141"/>
      <c r="AE369" s="110"/>
      <c r="AF369" s="110"/>
      <c r="AH369" s="207"/>
      <c r="AI369" s="110"/>
      <c r="AJ369" s="110"/>
      <c r="AL369" s="110"/>
      <c r="AM369" s="141"/>
      <c r="AN369" s="141"/>
    </row>
    <row r="370" spans="1:40" x14ac:dyDescent="0.3">
      <c r="C370" s="99"/>
      <c r="F370" s="172"/>
      <c r="H370" s="172"/>
      <c r="I370" s="172"/>
      <c r="J370" s="228"/>
      <c r="K370" s="228"/>
      <c r="L370" s="110"/>
      <c r="M370" s="110"/>
      <c r="N370" s="141"/>
      <c r="O370" s="141"/>
      <c r="P370" s="110"/>
      <c r="Q370" s="110"/>
      <c r="R370" s="110"/>
      <c r="T370" s="99"/>
      <c r="V370" s="110"/>
      <c r="Y370" s="110"/>
      <c r="Z370" s="228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1:40" x14ac:dyDescent="0.3">
      <c r="C371" s="99"/>
      <c r="F371" s="172"/>
      <c r="H371" s="172"/>
      <c r="I371" s="172"/>
      <c r="J371" s="228"/>
      <c r="K371" s="228"/>
      <c r="L371" s="110"/>
      <c r="M371" s="110"/>
      <c r="N371" s="141"/>
      <c r="O371" s="141"/>
      <c r="P371" s="110"/>
      <c r="Q371" s="110"/>
      <c r="R371" s="110"/>
      <c r="T371" s="99"/>
      <c r="V371" s="110"/>
      <c r="Y371" s="110"/>
      <c r="Z371" s="228"/>
      <c r="AA371" s="110"/>
      <c r="AB371" s="110"/>
      <c r="AC371" s="141"/>
      <c r="AD371" s="141"/>
      <c r="AE371" s="110"/>
      <c r="AF371" s="110"/>
      <c r="AH371" s="207"/>
      <c r="AI371" s="110"/>
      <c r="AJ371" s="110"/>
      <c r="AL371" s="110"/>
      <c r="AM371" s="141"/>
      <c r="AN371" s="141"/>
    </row>
    <row r="372" spans="1:40" x14ac:dyDescent="0.3">
      <c r="F372" s="192"/>
      <c r="H372" s="192"/>
      <c r="I372" s="192"/>
      <c r="J372" s="228"/>
      <c r="K372" s="217"/>
      <c r="L372" s="192"/>
      <c r="M372" s="192"/>
      <c r="N372" s="192"/>
      <c r="O372" s="192"/>
      <c r="P372" s="192"/>
      <c r="Q372" s="192"/>
      <c r="R372" s="192"/>
      <c r="V372" s="192"/>
      <c r="Y372" s="192"/>
      <c r="Z372" s="228"/>
      <c r="AA372" s="192"/>
      <c r="AB372" s="192"/>
      <c r="AC372" s="192"/>
      <c r="AD372" s="192"/>
      <c r="AE372" s="192"/>
      <c r="AF372" s="192"/>
      <c r="AI372" s="192"/>
      <c r="AJ372" s="192"/>
      <c r="AK372" s="194"/>
      <c r="AL372" s="192"/>
    </row>
    <row r="373" spans="1:40" x14ac:dyDescent="0.3">
      <c r="C373" s="99"/>
      <c r="F373" s="110"/>
      <c r="H373" s="110"/>
      <c r="I373" s="110"/>
      <c r="J373" s="163"/>
      <c r="L373" s="110"/>
      <c r="M373" s="110"/>
      <c r="N373" s="207"/>
      <c r="O373" s="207"/>
      <c r="P373" s="110"/>
      <c r="Q373" s="110"/>
      <c r="R373" s="110"/>
      <c r="T373" s="99"/>
      <c r="V373" s="110"/>
      <c r="Y373" s="110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1:40" x14ac:dyDescent="0.3">
      <c r="F374" s="192"/>
      <c r="H374" s="192"/>
      <c r="I374" s="192"/>
      <c r="J374" s="228"/>
      <c r="K374" s="217"/>
      <c r="L374" s="192"/>
      <c r="M374" s="192"/>
      <c r="N374" s="192"/>
      <c r="O374" s="192"/>
      <c r="P374" s="192"/>
      <c r="Q374" s="192"/>
      <c r="R374" s="192"/>
      <c r="V374" s="192"/>
      <c r="Y374" s="192"/>
      <c r="Z374" s="217"/>
      <c r="AA374" s="192"/>
      <c r="AB374" s="192"/>
      <c r="AC374" s="192"/>
      <c r="AD374" s="192"/>
      <c r="AE374" s="192"/>
      <c r="AF374" s="192"/>
      <c r="AI374" s="192"/>
      <c r="AJ374" s="192"/>
      <c r="AK374" s="194"/>
      <c r="AL374" s="192"/>
    </row>
    <row r="375" spans="1:40" x14ac:dyDescent="0.3">
      <c r="C375" s="99"/>
      <c r="J375" s="163"/>
      <c r="T375" s="99"/>
    </row>
    <row r="376" spans="1:40" x14ac:dyDescent="0.3">
      <c r="C376" s="99"/>
      <c r="F376" s="172"/>
      <c r="H376" s="172"/>
      <c r="I376" s="172"/>
      <c r="J376" s="228"/>
      <c r="K376" s="181"/>
      <c r="L376" s="110"/>
      <c r="M376" s="110"/>
      <c r="N376" s="141"/>
      <c r="O376" s="141"/>
      <c r="P376" s="110"/>
      <c r="Q376" s="110"/>
      <c r="R376" s="110"/>
      <c r="T376" s="99"/>
      <c r="V376" s="110"/>
      <c r="Y376" s="110"/>
      <c r="Z376" s="181"/>
      <c r="AA376" s="110"/>
      <c r="AB376" s="110"/>
      <c r="AC376" s="141"/>
      <c r="AD376" s="141"/>
      <c r="AE376" s="110"/>
      <c r="AF376" s="110"/>
      <c r="AH376" s="207"/>
      <c r="AI376" s="110"/>
      <c r="AJ376" s="110"/>
      <c r="AL376" s="110"/>
      <c r="AM376" s="141"/>
      <c r="AN376" s="141"/>
    </row>
    <row r="377" spans="1:40" x14ac:dyDescent="0.3">
      <c r="C377" s="99"/>
      <c r="F377" s="172"/>
      <c r="H377" s="172"/>
      <c r="I377" s="172"/>
      <c r="J377" s="228"/>
      <c r="K377" s="181"/>
      <c r="L377" s="110"/>
      <c r="M377" s="110"/>
      <c r="N377" s="141"/>
      <c r="O377" s="141"/>
      <c r="P377" s="110"/>
      <c r="Q377" s="110"/>
      <c r="R377" s="110"/>
      <c r="T377" s="99"/>
      <c r="V377" s="110"/>
      <c r="Y377" s="110"/>
      <c r="Z377" s="181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1:40" x14ac:dyDescent="0.3">
      <c r="F378" s="192"/>
      <c r="H378" s="110"/>
      <c r="I378" s="110"/>
      <c r="J378" s="228"/>
      <c r="K378" s="217"/>
      <c r="L378" s="192"/>
      <c r="M378" s="192"/>
      <c r="N378" s="192"/>
      <c r="O378" s="192"/>
      <c r="P378" s="192"/>
      <c r="Q378" s="192"/>
      <c r="R378" s="192"/>
      <c r="V378" s="192"/>
      <c r="Y378" s="110"/>
      <c r="Z378" s="217"/>
      <c r="AA378" s="192"/>
      <c r="AB378" s="192"/>
      <c r="AC378" s="192"/>
      <c r="AD378" s="192"/>
      <c r="AE378" s="192"/>
      <c r="AF378" s="192"/>
      <c r="AI378" s="192"/>
      <c r="AJ378" s="192"/>
      <c r="AK378" s="194"/>
      <c r="AL378" s="192"/>
    </row>
    <row r="379" spans="1:40" x14ac:dyDescent="0.3">
      <c r="F379" s="110"/>
      <c r="H379" s="110"/>
      <c r="I379" s="110"/>
      <c r="J379" s="228"/>
      <c r="K379" s="217"/>
      <c r="L379" s="110"/>
      <c r="M379" s="110"/>
      <c r="N379" s="110"/>
      <c r="O379" s="110"/>
      <c r="P379" s="110"/>
      <c r="Q379" s="110"/>
      <c r="R379" s="110"/>
      <c r="V379" s="110"/>
      <c r="Y379" s="110"/>
      <c r="Z379" s="217"/>
      <c r="AA379" s="110"/>
      <c r="AB379" s="110"/>
      <c r="AC379" s="110"/>
      <c r="AD379" s="110"/>
      <c r="AE379" s="110"/>
      <c r="AF379" s="110"/>
      <c r="AI379" s="110"/>
      <c r="AJ379" s="110"/>
      <c r="AL379" s="110"/>
    </row>
    <row r="380" spans="1:40" x14ac:dyDescent="0.3">
      <c r="C380" s="99"/>
      <c r="F380" s="110"/>
      <c r="H380" s="110"/>
      <c r="I380" s="110"/>
      <c r="J380" s="163"/>
      <c r="L380" s="110"/>
      <c r="M380" s="110"/>
      <c r="N380" s="141"/>
      <c r="O380" s="141"/>
      <c r="P380" s="110"/>
      <c r="Q380" s="110"/>
      <c r="R380" s="110"/>
      <c r="T380" s="99"/>
      <c r="V380" s="110"/>
      <c r="Y380" s="110"/>
      <c r="AA380" s="110"/>
      <c r="AB380" s="110"/>
      <c r="AC380" s="141"/>
      <c r="AD380" s="141"/>
      <c r="AE380" s="110"/>
      <c r="AF380" s="110"/>
      <c r="AH380" s="207"/>
      <c r="AI380" s="172"/>
      <c r="AJ380" s="172"/>
      <c r="AL380" s="110"/>
      <c r="AM380" s="141"/>
      <c r="AN380" s="141"/>
    </row>
    <row r="381" spans="1:40" x14ac:dyDescent="0.3">
      <c r="H381" s="192"/>
      <c r="I381" s="192"/>
      <c r="J381" s="228"/>
      <c r="K381" s="217"/>
      <c r="L381" s="192"/>
      <c r="M381" s="192"/>
      <c r="N381" s="192"/>
      <c r="O381" s="192"/>
      <c r="P381" s="192"/>
      <c r="Q381" s="192"/>
      <c r="R381" s="192"/>
      <c r="V381" s="192"/>
      <c r="Y381" s="192"/>
      <c r="Z381" s="217"/>
      <c r="AA381" s="192"/>
      <c r="AB381" s="192"/>
      <c r="AC381" s="192"/>
      <c r="AD381" s="192"/>
      <c r="AE381" s="192"/>
      <c r="AF381" s="192"/>
      <c r="AI381" s="192"/>
      <c r="AJ381" s="192"/>
      <c r="AK381" s="194"/>
      <c r="AL381" s="192"/>
    </row>
    <row r="382" spans="1:40" x14ac:dyDescent="0.3">
      <c r="F382" s="192"/>
      <c r="J382" s="163"/>
    </row>
    <row r="383" spans="1:40" x14ac:dyDescent="0.3">
      <c r="A383" s="99"/>
      <c r="J383" s="163"/>
      <c r="T383" s="99"/>
    </row>
    <row r="384" spans="1:40" x14ac:dyDescent="0.3">
      <c r="A384" s="99"/>
      <c r="J384" s="163"/>
      <c r="T384" s="99"/>
    </row>
    <row r="385" spans="1:38" x14ac:dyDescent="0.3">
      <c r="A385" s="99"/>
      <c r="J385" s="163"/>
      <c r="T385" s="99"/>
    </row>
    <row r="386" spans="1:38" x14ac:dyDescent="0.3">
      <c r="A386" s="99"/>
      <c r="J386" s="163"/>
      <c r="T386" s="99"/>
    </row>
    <row r="387" spans="1:38" x14ac:dyDescent="0.3">
      <c r="A387" s="99"/>
      <c r="J387" s="163"/>
      <c r="T387" s="99"/>
    </row>
    <row r="388" spans="1:38" x14ac:dyDescent="0.3">
      <c r="A388" s="99"/>
      <c r="J388" s="163"/>
      <c r="T388" s="99"/>
    </row>
    <row r="389" spans="1:38" x14ac:dyDescent="0.3">
      <c r="A389" s="99"/>
      <c r="J389" s="163"/>
      <c r="T389" s="99"/>
    </row>
    <row r="390" spans="1:38" x14ac:dyDescent="0.3">
      <c r="A390" s="99"/>
      <c r="J390" s="163"/>
      <c r="T390" s="99"/>
    </row>
    <row r="391" spans="1:38" x14ac:dyDescent="0.3">
      <c r="A391" s="99"/>
      <c r="J391" s="163"/>
      <c r="T391" s="99"/>
    </row>
    <row r="392" spans="1:38" x14ac:dyDescent="0.3">
      <c r="J392" s="163"/>
    </row>
    <row r="393" spans="1:38" x14ac:dyDescent="0.3">
      <c r="A393" s="99"/>
      <c r="J393" s="163"/>
    </row>
    <row r="394" spans="1:38" x14ac:dyDescent="0.3">
      <c r="J394" s="163"/>
    </row>
    <row r="395" spans="1:38" x14ac:dyDescent="0.3">
      <c r="H395" s="99"/>
      <c r="I395" s="99"/>
      <c r="J395" s="163"/>
      <c r="Y395" s="99"/>
    </row>
    <row r="396" spans="1:38" x14ac:dyDescent="0.3">
      <c r="J396" s="163"/>
    </row>
    <row r="397" spans="1:38" x14ac:dyDescent="0.3">
      <c r="J397" s="163"/>
      <c r="L397" s="99"/>
      <c r="M397" s="99"/>
      <c r="AA397" s="99"/>
      <c r="AB397" s="99"/>
    </row>
    <row r="398" spans="1:38" x14ac:dyDescent="0.3">
      <c r="J398" s="163"/>
      <c r="R398" s="99"/>
      <c r="AK398" s="190"/>
      <c r="AL398" s="99"/>
    </row>
    <row r="399" spans="1:38" x14ac:dyDescent="0.3">
      <c r="J399" s="163"/>
      <c r="R399" s="99"/>
      <c r="AK399" s="190"/>
      <c r="AL399" s="99"/>
    </row>
    <row r="400" spans="1:38" x14ac:dyDescent="0.3">
      <c r="A400" s="99"/>
      <c r="J400" s="163"/>
      <c r="R400" s="99"/>
      <c r="AK400" s="190"/>
      <c r="AL400" s="99"/>
    </row>
    <row r="401" spans="1:40" x14ac:dyDescent="0.3">
      <c r="J401" s="163"/>
      <c r="L401" s="99"/>
      <c r="M401" s="99"/>
      <c r="AA401" s="99"/>
      <c r="AB401" s="99"/>
    </row>
    <row r="402" spans="1:40" x14ac:dyDescent="0.3">
      <c r="A402" s="101"/>
      <c r="B402" s="101"/>
      <c r="C402" s="101"/>
      <c r="D402" s="101"/>
      <c r="E402" s="101"/>
      <c r="F402" s="101"/>
      <c r="G402" s="101"/>
      <c r="H402" s="101"/>
      <c r="I402" s="101"/>
      <c r="J402" s="212"/>
      <c r="K402" s="101"/>
      <c r="L402" s="101"/>
      <c r="M402" s="101"/>
      <c r="N402" s="101"/>
      <c r="O402" s="101"/>
      <c r="P402" s="101"/>
      <c r="Q402" s="101"/>
      <c r="R402" s="101"/>
      <c r="T402" s="101"/>
      <c r="U402" s="101"/>
      <c r="V402" s="101"/>
      <c r="W402" s="101"/>
      <c r="X402" s="101"/>
      <c r="Y402" s="101"/>
      <c r="Z402" s="101"/>
      <c r="AA402" s="101"/>
      <c r="AB402" s="101"/>
      <c r="AC402" s="101"/>
      <c r="AD402" s="101"/>
      <c r="AE402" s="101"/>
      <c r="AF402" s="101"/>
      <c r="AG402" s="191"/>
      <c r="AH402" s="101"/>
      <c r="AI402" s="101"/>
      <c r="AJ402" s="101"/>
      <c r="AK402" s="191"/>
      <c r="AL402" s="101"/>
      <c r="AM402" s="101"/>
      <c r="AN402" s="101"/>
    </row>
    <row r="403" spans="1:40" x14ac:dyDescent="0.3">
      <c r="J403" s="163"/>
      <c r="L403" s="102"/>
      <c r="M403" s="102"/>
      <c r="N403" s="102"/>
      <c r="O403" s="102"/>
      <c r="R403" s="102"/>
      <c r="AA403" s="102"/>
      <c r="AB403" s="102"/>
      <c r="AC403" s="102"/>
      <c r="AD403" s="102"/>
      <c r="AE403" s="102"/>
      <c r="AF403" s="102"/>
      <c r="AG403" s="151"/>
      <c r="AH403" s="102"/>
      <c r="AK403" s="151"/>
      <c r="AL403" s="102"/>
      <c r="AM403" s="102"/>
      <c r="AN403" s="102"/>
    </row>
    <row r="404" spans="1:40" x14ac:dyDescent="0.3">
      <c r="J404" s="163"/>
      <c r="L404" s="102"/>
      <c r="M404" s="102"/>
      <c r="N404" s="102"/>
      <c r="O404" s="102"/>
      <c r="R404" s="102"/>
      <c r="Z404" s="102"/>
      <c r="AA404" s="102"/>
      <c r="AB404" s="102"/>
      <c r="AC404" s="102"/>
      <c r="AD404" s="102"/>
      <c r="AE404" s="102"/>
      <c r="AF404" s="102"/>
      <c r="AG404" s="151"/>
      <c r="AH404" s="102"/>
      <c r="AK404" s="151"/>
      <c r="AL404" s="102"/>
      <c r="AM404" s="102"/>
      <c r="AN404" s="102"/>
    </row>
    <row r="405" spans="1:40" x14ac:dyDescent="0.3">
      <c r="A405" s="102"/>
      <c r="C405" s="102"/>
      <c r="D405" s="102"/>
      <c r="E405" s="102"/>
      <c r="F405" s="102"/>
      <c r="J405" s="213"/>
      <c r="K405" s="102"/>
      <c r="L405" s="102"/>
      <c r="M405" s="102"/>
      <c r="N405" s="102"/>
      <c r="O405" s="102"/>
      <c r="P405" s="102"/>
      <c r="Q405" s="102"/>
      <c r="R405" s="102"/>
      <c r="T405" s="102"/>
      <c r="U405" s="102"/>
      <c r="V405" s="102"/>
      <c r="Z405" s="102"/>
      <c r="AA405" s="102"/>
      <c r="AB405" s="102"/>
      <c r="AC405" s="102"/>
      <c r="AD405" s="102"/>
      <c r="AE405" s="102"/>
      <c r="AF405" s="102"/>
      <c r="AG405" s="151"/>
      <c r="AH405" s="102"/>
      <c r="AI405" s="102"/>
      <c r="AJ405" s="102"/>
      <c r="AK405" s="151"/>
      <c r="AL405" s="102"/>
      <c r="AM405" s="102"/>
      <c r="AN405" s="102"/>
    </row>
    <row r="406" spans="1:40" x14ac:dyDescent="0.3">
      <c r="A406" s="102"/>
      <c r="C406" s="102"/>
      <c r="D406" s="102"/>
      <c r="E406" s="102"/>
      <c r="F406" s="102"/>
      <c r="H406" s="102"/>
      <c r="I406" s="102"/>
      <c r="J406" s="213"/>
      <c r="K406" s="102"/>
      <c r="L406" s="102"/>
      <c r="M406" s="102"/>
      <c r="N406" s="102"/>
      <c r="O406" s="102"/>
      <c r="P406" s="102"/>
      <c r="Q406" s="102"/>
      <c r="R406" s="102"/>
      <c r="T406" s="102"/>
      <c r="U406" s="102"/>
      <c r="V406" s="102"/>
      <c r="Y406" s="102"/>
      <c r="Z406" s="102"/>
      <c r="AA406" s="102"/>
      <c r="AB406" s="102"/>
      <c r="AC406" s="102"/>
      <c r="AD406" s="102"/>
      <c r="AE406" s="102"/>
      <c r="AF406" s="102"/>
      <c r="AG406" s="151"/>
      <c r="AH406" s="102"/>
      <c r="AI406" s="102"/>
      <c r="AJ406" s="102"/>
      <c r="AK406" s="151"/>
      <c r="AL406" s="102"/>
      <c r="AM406" s="102"/>
      <c r="AN406" s="102"/>
    </row>
    <row r="407" spans="1:40" x14ac:dyDescent="0.3">
      <c r="C407" s="102"/>
      <c r="D407" s="102"/>
      <c r="E407" s="102"/>
      <c r="F407" s="102"/>
      <c r="H407" s="102"/>
      <c r="I407" s="102"/>
      <c r="J407" s="213"/>
      <c r="K407" s="102"/>
      <c r="L407" s="102"/>
      <c r="M407" s="102"/>
      <c r="N407" s="102"/>
      <c r="O407" s="102"/>
      <c r="P407" s="102"/>
      <c r="Q407" s="102"/>
      <c r="R407" s="102"/>
      <c r="T407" s="102"/>
      <c r="U407" s="102"/>
      <c r="V407" s="102"/>
      <c r="Y407" s="102"/>
      <c r="Z407" s="102"/>
      <c r="AA407" s="102"/>
      <c r="AB407" s="102"/>
      <c r="AC407" s="102"/>
      <c r="AD407" s="102"/>
      <c r="AE407" s="102"/>
      <c r="AF407" s="102"/>
      <c r="AG407" s="151"/>
      <c r="AH407" s="102"/>
      <c r="AI407" s="102"/>
      <c r="AJ407" s="102"/>
      <c r="AK407" s="151"/>
      <c r="AL407" s="102"/>
      <c r="AM407" s="102"/>
      <c r="AN407" s="102"/>
    </row>
    <row r="408" spans="1:40" x14ac:dyDescent="0.3">
      <c r="A408" s="101"/>
      <c r="B408" s="101"/>
      <c r="C408" s="101"/>
      <c r="D408" s="101"/>
      <c r="E408" s="101"/>
      <c r="F408" s="101"/>
      <c r="G408" s="101"/>
      <c r="H408" s="101"/>
      <c r="I408" s="101"/>
      <c r="J408" s="212"/>
      <c r="K408" s="101"/>
      <c r="L408" s="101"/>
      <c r="M408" s="101"/>
      <c r="N408" s="101"/>
      <c r="O408" s="101"/>
      <c r="P408" s="101"/>
      <c r="Q408" s="101"/>
      <c r="R408" s="101"/>
      <c r="T408" s="101"/>
      <c r="U408" s="101"/>
      <c r="V408" s="101"/>
      <c r="W408" s="101"/>
      <c r="X408" s="101"/>
      <c r="Y408" s="101"/>
      <c r="Z408" s="101"/>
      <c r="AA408" s="101"/>
      <c r="AB408" s="101"/>
      <c r="AC408" s="101"/>
      <c r="AD408" s="101"/>
      <c r="AE408" s="101"/>
      <c r="AF408" s="101"/>
      <c r="AG408" s="191"/>
      <c r="AH408" s="101"/>
      <c r="AI408" s="101"/>
      <c r="AJ408" s="101"/>
      <c r="AK408" s="191"/>
      <c r="AL408" s="101"/>
      <c r="AM408" s="101"/>
      <c r="AN408" s="101"/>
    </row>
    <row r="409" spans="1:40" x14ac:dyDescent="0.3">
      <c r="H409" s="102"/>
      <c r="I409" s="102"/>
      <c r="J409" s="213"/>
      <c r="K409" s="102"/>
      <c r="L409" s="102"/>
      <c r="M409" s="102"/>
      <c r="N409" s="102"/>
      <c r="O409" s="102"/>
      <c r="P409" s="102"/>
      <c r="Q409" s="102"/>
      <c r="R409" s="102"/>
      <c r="Y409" s="102"/>
      <c r="Z409" s="102"/>
      <c r="AA409" s="102"/>
      <c r="AB409" s="102"/>
      <c r="AC409" s="102"/>
      <c r="AD409" s="102"/>
      <c r="AE409" s="102"/>
      <c r="AF409" s="102"/>
      <c r="AG409" s="151"/>
      <c r="AH409" s="102"/>
      <c r="AI409" s="102"/>
      <c r="AJ409" s="102"/>
      <c r="AK409" s="151"/>
      <c r="AL409" s="102"/>
      <c r="AM409" s="102"/>
      <c r="AN409" s="102"/>
    </row>
    <row r="410" spans="1:40" x14ac:dyDescent="0.3">
      <c r="C410" s="99"/>
      <c r="D410" s="99"/>
      <c r="E410" s="99"/>
      <c r="J410" s="163"/>
      <c r="T410" s="99"/>
      <c r="U410" s="99"/>
    </row>
    <row r="411" spans="1:40" x14ac:dyDescent="0.3">
      <c r="D411" s="99"/>
      <c r="E411" s="99"/>
      <c r="J411" s="163"/>
      <c r="U411" s="99"/>
    </row>
    <row r="412" spans="1:40" x14ac:dyDescent="0.3">
      <c r="J412" s="163"/>
    </row>
    <row r="413" spans="1:40" x14ac:dyDescent="0.3">
      <c r="C413" s="99"/>
      <c r="F413" s="110"/>
      <c r="J413" s="163"/>
      <c r="K413" s="209"/>
      <c r="L413" s="110"/>
      <c r="M413" s="110"/>
      <c r="R413" s="110"/>
      <c r="T413" s="99"/>
      <c r="V413" s="110"/>
      <c r="Z413" s="209"/>
      <c r="AA413" s="110"/>
      <c r="AB413" s="110"/>
      <c r="AH413" s="110"/>
      <c r="AL413" s="110"/>
    </row>
    <row r="414" spans="1:40" x14ac:dyDescent="0.3">
      <c r="C414" s="99"/>
      <c r="F414" s="110"/>
      <c r="J414" s="163"/>
      <c r="R414" s="110"/>
      <c r="T414" s="99"/>
      <c r="V414" s="110"/>
      <c r="AH414" s="110"/>
      <c r="AL414" s="110"/>
    </row>
    <row r="415" spans="1:40" x14ac:dyDescent="0.3">
      <c r="J415" s="163"/>
      <c r="AI415" s="110"/>
      <c r="AJ415" s="110"/>
      <c r="AL415" s="110"/>
      <c r="AM415" s="141"/>
      <c r="AN415" s="141"/>
    </row>
    <row r="416" spans="1:40" x14ac:dyDescent="0.3">
      <c r="C416" s="99"/>
      <c r="F416" s="172"/>
      <c r="H416" s="172"/>
      <c r="I416" s="172"/>
      <c r="J416" s="228"/>
      <c r="K416" s="227"/>
      <c r="L416" s="110"/>
      <c r="M416" s="110"/>
      <c r="N416" s="141"/>
      <c r="O416" s="141"/>
      <c r="P416" s="110"/>
      <c r="Q416" s="110"/>
      <c r="R416" s="110"/>
      <c r="T416" s="99"/>
      <c r="V416" s="110"/>
      <c r="Y416" s="110"/>
      <c r="Z416" s="227"/>
      <c r="AA416" s="110"/>
      <c r="AB416" s="110"/>
      <c r="AC416" s="141"/>
      <c r="AD416" s="141"/>
      <c r="AE416" s="110"/>
      <c r="AF416" s="110"/>
      <c r="AH416" s="207"/>
      <c r="AI416" s="110"/>
      <c r="AJ416" s="110"/>
      <c r="AL416" s="110"/>
      <c r="AM416" s="141"/>
      <c r="AN416" s="141"/>
    </row>
    <row r="417" spans="1:40" x14ac:dyDescent="0.3">
      <c r="F417" s="110"/>
      <c r="H417" s="110"/>
      <c r="I417" s="110"/>
      <c r="J417" s="163"/>
      <c r="K417" s="198"/>
      <c r="L417" s="110"/>
      <c r="M417" s="110"/>
      <c r="P417" s="110"/>
      <c r="Q417" s="110"/>
      <c r="R417" s="110"/>
      <c r="V417" s="110"/>
      <c r="Y417" s="110"/>
      <c r="Z417" s="198"/>
      <c r="AA417" s="110"/>
      <c r="AB417" s="110"/>
      <c r="AI417" s="110"/>
      <c r="AJ417" s="110"/>
      <c r="AL417" s="110"/>
      <c r="AM417" s="141"/>
      <c r="AN417" s="141"/>
    </row>
    <row r="418" spans="1:40" x14ac:dyDescent="0.3">
      <c r="F418" s="110"/>
      <c r="J418" s="163"/>
      <c r="R418" s="110"/>
      <c r="V418" s="110"/>
      <c r="AL418" s="110"/>
      <c r="AM418" s="141"/>
      <c r="AN418" s="141"/>
    </row>
    <row r="419" spans="1:40" x14ac:dyDescent="0.3">
      <c r="C419" s="99"/>
      <c r="F419" s="110"/>
      <c r="J419" s="163"/>
      <c r="K419" s="209"/>
      <c r="L419" s="110"/>
      <c r="M419" s="110"/>
      <c r="N419" s="141"/>
      <c r="O419" s="141"/>
      <c r="R419" s="110"/>
      <c r="T419" s="99"/>
      <c r="V419" s="110"/>
      <c r="Z419" s="209"/>
      <c r="AA419" s="110"/>
      <c r="AB419" s="110"/>
      <c r="AC419" s="141"/>
      <c r="AD419" s="141"/>
      <c r="AL419" s="110"/>
      <c r="AM419" s="141"/>
      <c r="AN419" s="141"/>
    </row>
    <row r="420" spans="1:40" x14ac:dyDescent="0.3">
      <c r="C420" s="99"/>
      <c r="F420" s="110"/>
      <c r="H420" s="110"/>
      <c r="I420" s="110"/>
      <c r="J420" s="163"/>
      <c r="K420" s="209"/>
      <c r="L420" s="110"/>
      <c r="M420" s="110"/>
      <c r="N420" s="141"/>
      <c r="O420" s="141"/>
      <c r="P420" s="110"/>
      <c r="Q420" s="110"/>
      <c r="R420" s="110"/>
      <c r="T420" s="99"/>
      <c r="V420" s="110"/>
      <c r="Y420" s="110"/>
      <c r="Z420" s="209"/>
      <c r="AA420" s="110"/>
      <c r="AB420" s="110"/>
      <c r="AC420" s="141"/>
      <c r="AD420" s="141"/>
      <c r="AI420" s="110"/>
      <c r="AJ420" s="110"/>
      <c r="AL420" s="110"/>
      <c r="AM420" s="141"/>
      <c r="AN420" s="141"/>
    </row>
    <row r="421" spans="1:40" x14ac:dyDescent="0.3">
      <c r="C421" s="99"/>
      <c r="J421" s="163"/>
      <c r="T421" s="99"/>
      <c r="AM421" s="141"/>
      <c r="AN421" s="141"/>
    </row>
    <row r="422" spans="1:40" x14ac:dyDescent="0.3">
      <c r="C422" s="99"/>
      <c r="J422" s="163"/>
      <c r="T422" s="99"/>
      <c r="AM422" s="141"/>
      <c r="AN422" s="141"/>
    </row>
    <row r="423" spans="1:40" x14ac:dyDescent="0.3">
      <c r="J423" s="163"/>
      <c r="AM423" s="141"/>
      <c r="AN423" s="141"/>
    </row>
    <row r="424" spans="1:40" x14ac:dyDescent="0.3">
      <c r="C424" s="99"/>
      <c r="F424" s="172"/>
      <c r="H424" s="172"/>
      <c r="I424" s="172"/>
      <c r="J424" s="228"/>
      <c r="K424" s="227"/>
      <c r="L424" s="110"/>
      <c r="M424" s="110"/>
      <c r="N424" s="141"/>
      <c r="O424" s="141"/>
      <c r="P424" s="110"/>
      <c r="Q424" s="110"/>
      <c r="R424" s="110"/>
      <c r="T424" s="99"/>
      <c r="V424" s="110"/>
      <c r="Y424" s="110"/>
      <c r="Z424" s="227"/>
      <c r="AA424" s="110"/>
      <c r="AB424" s="110"/>
      <c r="AC424" s="141"/>
      <c r="AD424" s="141"/>
      <c r="AE424" s="110"/>
      <c r="AF424" s="110"/>
      <c r="AH424" s="207"/>
      <c r="AI424" s="110"/>
      <c r="AJ424" s="110"/>
      <c r="AL424" s="110"/>
      <c r="AM424" s="141"/>
      <c r="AN424" s="141"/>
    </row>
    <row r="425" spans="1:40" x14ac:dyDescent="0.3">
      <c r="F425" s="192"/>
      <c r="H425" s="192"/>
      <c r="I425" s="192"/>
      <c r="J425" s="228"/>
      <c r="K425" s="217"/>
      <c r="L425" s="192"/>
      <c r="M425" s="192"/>
      <c r="N425" s="192"/>
      <c r="O425" s="192"/>
      <c r="P425" s="192"/>
      <c r="Q425" s="192"/>
      <c r="R425" s="192"/>
      <c r="V425" s="192"/>
      <c r="Y425" s="192"/>
      <c r="Z425" s="217"/>
      <c r="AA425" s="192"/>
      <c r="AB425" s="192"/>
      <c r="AC425" s="192"/>
      <c r="AD425" s="192"/>
      <c r="AE425" s="192"/>
      <c r="AF425" s="192"/>
      <c r="AI425" s="192"/>
      <c r="AJ425" s="192"/>
      <c r="AK425" s="194"/>
      <c r="AL425" s="192"/>
      <c r="AM425" s="141"/>
      <c r="AN425" s="141"/>
    </row>
    <row r="426" spans="1:40" x14ac:dyDescent="0.3">
      <c r="H426" s="110"/>
      <c r="I426" s="110"/>
      <c r="J426" s="163"/>
      <c r="Y426" s="110"/>
      <c r="AM426" s="141"/>
      <c r="AN426" s="141"/>
    </row>
    <row r="427" spans="1:40" x14ac:dyDescent="0.3">
      <c r="C427" s="99"/>
      <c r="F427" s="110"/>
      <c r="H427" s="110"/>
      <c r="I427" s="110"/>
      <c r="J427" s="163"/>
      <c r="L427" s="110"/>
      <c r="M427" s="110"/>
      <c r="N427" s="141"/>
      <c r="O427" s="141"/>
      <c r="P427" s="172"/>
      <c r="Q427" s="172"/>
      <c r="R427" s="110"/>
      <c r="T427" s="99"/>
      <c r="V427" s="110"/>
      <c r="Y427" s="110"/>
      <c r="AA427" s="110"/>
      <c r="AB427" s="110"/>
      <c r="AC427" s="141"/>
      <c r="AD427" s="141"/>
      <c r="AE427" s="110"/>
      <c r="AF427" s="110"/>
      <c r="AH427" s="207"/>
      <c r="AI427" s="172"/>
      <c r="AJ427" s="172"/>
      <c r="AL427" s="110"/>
      <c r="AM427" s="141"/>
      <c r="AN427" s="141"/>
    </row>
    <row r="428" spans="1:40" x14ac:dyDescent="0.3">
      <c r="H428" s="192"/>
      <c r="I428" s="192"/>
      <c r="J428" s="228"/>
      <c r="K428" s="217"/>
      <c r="L428" s="192"/>
      <c r="M428" s="192"/>
      <c r="N428" s="192"/>
      <c r="O428" s="192"/>
      <c r="P428" s="192"/>
      <c r="Q428" s="192"/>
      <c r="R428" s="192"/>
      <c r="V428" s="192"/>
      <c r="Y428" s="192"/>
      <c r="Z428" s="217"/>
      <c r="AA428" s="192"/>
      <c r="AB428" s="192"/>
      <c r="AC428" s="192"/>
      <c r="AD428" s="192"/>
      <c r="AE428" s="192"/>
      <c r="AF428" s="192"/>
      <c r="AI428" s="192"/>
      <c r="AJ428" s="192"/>
      <c r="AK428" s="194"/>
      <c r="AL428" s="192"/>
      <c r="AM428" s="141"/>
      <c r="AN428" s="141"/>
    </row>
    <row r="429" spans="1:40" x14ac:dyDescent="0.3">
      <c r="F429" s="192"/>
      <c r="J429" s="163"/>
    </row>
    <row r="430" spans="1:40" x14ac:dyDescent="0.3">
      <c r="F430" s="110"/>
      <c r="H430" s="110"/>
      <c r="I430" s="110"/>
      <c r="J430" s="163"/>
      <c r="K430" s="198"/>
      <c r="L430" s="110"/>
      <c r="M430" s="110"/>
      <c r="N430" s="110"/>
      <c r="O430" s="110"/>
      <c r="P430" s="110"/>
      <c r="Q430" s="110"/>
      <c r="R430" s="110"/>
      <c r="V430" s="110"/>
      <c r="Y430" s="110"/>
      <c r="Z430" s="198"/>
      <c r="AA430" s="110"/>
      <c r="AB430" s="110"/>
      <c r="AC430" s="110"/>
      <c r="AD430" s="110"/>
      <c r="AE430" s="110"/>
      <c r="AF430" s="110"/>
      <c r="AH430" s="110"/>
      <c r="AI430" s="110"/>
      <c r="AJ430" s="110"/>
      <c r="AL430" s="110"/>
    </row>
    <row r="431" spans="1:40" x14ac:dyDescent="0.3">
      <c r="A431" s="99"/>
      <c r="J431" s="163"/>
    </row>
    <row r="432" spans="1:40" x14ac:dyDescent="0.3">
      <c r="J432" s="163"/>
    </row>
    <row r="433" spans="1:40" x14ac:dyDescent="0.3">
      <c r="H433" s="99"/>
      <c r="I433" s="99"/>
      <c r="J433" s="163"/>
      <c r="Y433" s="99"/>
    </row>
    <row r="434" spans="1:40" x14ac:dyDescent="0.3">
      <c r="J434" s="163"/>
    </row>
    <row r="435" spans="1:40" x14ac:dyDescent="0.3">
      <c r="J435" s="163"/>
      <c r="L435" s="99"/>
      <c r="M435" s="99"/>
      <c r="AA435" s="99"/>
      <c r="AB435" s="99"/>
    </row>
    <row r="436" spans="1:40" x14ac:dyDescent="0.3">
      <c r="J436" s="163"/>
      <c r="R436" s="99"/>
      <c r="AK436" s="190"/>
      <c r="AL436" s="99"/>
    </row>
    <row r="437" spans="1:40" x14ac:dyDescent="0.3">
      <c r="J437" s="163"/>
      <c r="R437" s="99"/>
      <c r="AK437" s="190"/>
      <c r="AL437" s="99"/>
    </row>
    <row r="438" spans="1:40" x14ac:dyDescent="0.3">
      <c r="A438" s="99"/>
      <c r="J438" s="163"/>
      <c r="R438" s="99"/>
      <c r="AK438" s="190"/>
      <c r="AL438" s="99"/>
    </row>
    <row r="439" spans="1:40" x14ac:dyDescent="0.3">
      <c r="J439" s="163"/>
      <c r="L439" s="99"/>
      <c r="M439" s="99"/>
      <c r="AA439" s="99"/>
      <c r="AB439" s="99"/>
    </row>
    <row r="440" spans="1:40" x14ac:dyDescent="0.3">
      <c r="A440" s="101"/>
      <c r="B440" s="101"/>
      <c r="C440" s="101"/>
      <c r="D440" s="101"/>
      <c r="E440" s="101"/>
      <c r="F440" s="101"/>
      <c r="G440" s="101"/>
      <c r="H440" s="101"/>
      <c r="I440" s="101"/>
      <c r="J440" s="212"/>
      <c r="K440" s="101"/>
      <c r="L440" s="101"/>
      <c r="M440" s="101"/>
      <c r="N440" s="101"/>
      <c r="O440" s="101"/>
      <c r="P440" s="101"/>
      <c r="Q440" s="101"/>
      <c r="R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91"/>
      <c r="AH440" s="101"/>
      <c r="AI440" s="101"/>
      <c r="AJ440" s="101"/>
      <c r="AK440" s="191"/>
      <c r="AL440" s="101"/>
      <c r="AM440" s="101"/>
      <c r="AN440" s="101"/>
    </row>
    <row r="441" spans="1:40" x14ac:dyDescent="0.3">
      <c r="J441" s="163"/>
      <c r="L441" s="102"/>
      <c r="M441" s="102"/>
      <c r="N441" s="102"/>
      <c r="O441" s="102"/>
      <c r="R441" s="102"/>
      <c r="AA441" s="102"/>
      <c r="AB441" s="102"/>
      <c r="AC441" s="102"/>
      <c r="AD441" s="102"/>
      <c r="AE441" s="102"/>
      <c r="AF441" s="102"/>
      <c r="AG441" s="151"/>
      <c r="AH441" s="102"/>
      <c r="AK441" s="151"/>
      <c r="AL441" s="102"/>
      <c r="AM441" s="102"/>
      <c r="AN441" s="102"/>
    </row>
    <row r="442" spans="1:40" x14ac:dyDescent="0.3">
      <c r="J442" s="163"/>
      <c r="L442" s="102"/>
      <c r="M442" s="102"/>
      <c r="N442" s="102"/>
      <c r="O442" s="102"/>
      <c r="R442" s="102"/>
      <c r="Z442" s="102"/>
      <c r="AA442" s="102"/>
      <c r="AB442" s="102"/>
      <c r="AC442" s="102"/>
      <c r="AD442" s="102"/>
      <c r="AE442" s="102"/>
      <c r="AF442" s="102"/>
      <c r="AG442" s="151"/>
      <c r="AH442" s="102"/>
      <c r="AK442" s="151"/>
      <c r="AL442" s="102"/>
      <c r="AM442" s="102"/>
      <c r="AN442" s="102"/>
    </row>
    <row r="443" spans="1:40" x14ac:dyDescent="0.3">
      <c r="A443" s="102"/>
      <c r="C443" s="102"/>
      <c r="D443" s="102"/>
      <c r="E443" s="102"/>
      <c r="F443" s="102"/>
      <c r="J443" s="213"/>
      <c r="K443" s="102"/>
      <c r="L443" s="102"/>
      <c r="M443" s="102"/>
      <c r="N443" s="102"/>
      <c r="O443" s="102"/>
      <c r="P443" s="102"/>
      <c r="Q443" s="102"/>
      <c r="R443" s="102"/>
      <c r="T443" s="102"/>
      <c r="U443" s="102"/>
      <c r="V443" s="102"/>
      <c r="Z443" s="102"/>
      <c r="AA443" s="102"/>
      <c r="AB443" s="102"/>
      <c r="AC443" s="102"/>
      <c r="AD443" s="102"/>
      <c r="AE443" s="102"/>
      <c r="AF443" s="102"/>
      <c r="AG443" s="151"/>
      <c r="AH443" s="102"/>
      <c r="AI443" s="102"/>
      <c r="AJ443" s="102"/>
      <c r="AK443" s="151"/>
      <c r="AL443" s="102"/>
      <c r="AM443" s="102"/>
      <c r="AN443" s="102"/>
    </row>
    <row r="444" spans="1:40" x14ac:dyDescent="0.3">
      <c r="A444" s="102"/>
      <c r="C444" s="102"/>
      <c r="D444" s="102"/>
      <c r="E444" s="102"/>
      <c r="F444" s="102"/>
      <c r="H444" s="102"/>
      <c r="I444" s="102"/>
      <c r="J444" s="213"/>
      <c r="K444" s="102"/>
      <c r="L444" s="102"/>
      <c r="M444" s="102"/>
      <c r="N444" s="102"/>
      <c r="O444" s="102"/>
      <c r="P444" s="102"/>
      <c r="Q444" s="102"/>
      <c r="R444" s="102"/>
      <c r="T444" s="102"/>
      <c r="U444" s="102"/>
      <c r="V444" s="102"/>
      <c r="Y444" s="102"/>
      <c r="Z444" s="102"/>
      <c r="AA444" s="102"/>
      <c r="AB444" s="102"/>
      <c r="AC444" s="102"/>
      <c r="AD444" s="102"/>
      <c r="AE444" s="102"/>
      <c r="AF444" s="102"/>
      <c r="AG444" s="151"/>
      <c r="AH444" s="102"/>
      <c r="AI444" s="102"/>
      <c r="AJ444" s="102"/>
      <c r="AK444" s="151"/>
      <c r="AL444" s="102"/>
      <c r="AM444" s="102"/>
      <c r="AN444" s="102"/>
    </row>
    <row r="445" spans="1:40" x14ac:dyDescent="0.3">
      <c r="C445" s="102"/>
      <c r="D445" s="102"/>
      <c r="E445" s="102"/>
      <c r="F445" s="102"/>
      <c r="H445" s="102"/>
      <c r="I445" s="102"/>
      <c r="J445" s="213"/>
      <c r="K445" s="102"/>
      <c r="L445" s="102"/>
      <c r="M445" s="102"/>
      <c r="N445" s="102"/>
      <c r="O445" s="102"/>
      <c r="P445" s="102"/>
      <c r="Q445" s="102"/>
      <c r="R445" s="102"/>
      <c r="T445" s="102"/>
      <c r="U445" s="102"/>
      <c r="V445" s="102"/>
      <c r="Y445" s="102"/>
      <c r="Z445" s="102"/>
      <c r="AA445" s="102"/>
      <c r="AB445" s="102"/>
      <c r="AC445" s="102"/>
      <c r="AD445" s="102"/>
      <c r="AE445" s="102"/>
      <c r="AF445" s="102"/>
      <c r="AG445" s="151"/>
      <c r="AH445" s="102"/>
      <c r="AI445" s="102"/>
      <c r="AJ445" s="102"/>
      <c r="AK445" s="151"/>
      <c r="AL445" s="102"/>
      <c r="AM445" s="102"/>
      <c r="AN445" s="102"/>
    </row>
    <row r="446" spans="1:40" x14ac:dyDescent="0.3">
      <c r="A446" s="101"/>
      <c r="B446" s="101"/>
      <c r="C446" s="101"/>
      <c r="D446" s="101"/>
      <c r="E446" s="101"/>
      <c r="F446" s="101"/>
      <c r="G446" s="101"/>
      <c r="H446" s="101"/>
      <c r="I446" s="101"/>
      <c r="J446" s="212"/>
      <c r="K446" s="101"/>
      <c r="L446" s="101"/>
      <c r="M446" s="101"/>
      <c r="N446" s="101"/>
      <c r="O446" s="101"/>
      <c r="P446" s="101"/>
      <c r="Q446" s="101"/>
      <c r="R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91"/>
      <c r="AH446" s="101"/>
      <c r="AI446" s="101"/>
      <c r="AJ446" s="101"/>
      <c r="AK446" s="191"/>
      <c r="AL446" s="101"/>
      <c r="AM446" s="101"/>
      <c r="AN446" s="101"/>
    </row>
    <row r="447" spans="1:40" x14ac:dyDescent="0.3">
      <c r="H447" s="102"/>
      <c r="I447" s="102"/>
      <c r="J447" s="213"/>
      <c r="K447" s="102"/>
      <c r="L447" s="102"/>
      <c r="M447" s="102"/>
      <c r="N447" s="102"/>
      <c r="O447" s="102"/>
      <c r="P447" s="102"/>
      <c r="Q447" s="102"/>
      <c r="R447" s="102"/>
      <c r="Y447" s="102"/>
      <c r="Z447" s="102"/>
      <c r="AA447" s="102"/>
      <c r="AB447" s="102"/>
      <c r="AC447" s="102"/>
      <c r="AD447" s="102"/>
      <c r="AE447" s="102"/>
      <c r="AF447" s="102"/>
      <c r="AG447" s="151"/>
      <c r="AH447" s="102"/>
      <c r="AI447" s="102"/>
      <c r="AJ447" s="102"/>
      <c r="AK447" s="151"/>
      <c r="AL447" s="102"/>
      <c r="AM447" s="102"/>
      <c r="AN447" s="102"/>
    </row>
    <row r="448" spans="1:40" x14ac:dyDescent="0.3">
      <c r="C448" s="99"/>
      <c r="D448" s="99"/>
      <c r="E448" s="99"/>
      <c r="J448" s="163"/>
      <c r="T448" s="99"/>
      <c r="U448" s="99"/>
      <c r="V448" s="110"/>
      <c r="W448" s="110"/>
      <c r="X448" s="110"/>
      <c r="Y448" s="110"/>
      <c r="Z448" s="227"/>
    </row>
    <row r="449" spans="3:40" x14ac:dyDescent="0.3">
      <c r="J449" s="163"/>
    </row>
    <row r="450" spans="3:40" x14ac:dyDescent="0.3">
      <c r="C450" s="99"/>
      <c r="J450" s="163"/>
      <c r="T450" s="99"/>
      <c r="V450" s="110"/>
      <c r="W450" s="110"/>
      <c r="X450" s="110"/>
      <c r="Y450" s="110"/>
      <c r="Z450" s="227"/>
    </row>
    <row r="451" spans="3:40" x14ac:dyDescent="0.3">
      <c r="C451" s="99"/>
      <c r="F451" s="172"/>
      <c r="H451" s="172"/>
      <c r="I451" s="172"/>
      <c r="J451" s="228"/>
      <c r="K451" s="228"/>
      <c r="L451" s="110"/>
      <c r="M451" s="110"/>
      <c r="N451" s="141"/>
      <c r="O451" s="141"/>
      <c r="P451" s="110"/>
      <c r="Q451" s="110"/>
      <c r="R451" s="110"/>
      <c r="T451" s="99"/>
      <c r="V451" s="110"/>
      <c r="W451" s="110"/>
      <c r="X451" s="110"/>
      <c r="Y451" s="110"/>
      <c r="Z451" s="228"/>
      <c r="AA451" s="110"/>
      <c r="AB451" s="110"/>
      <c r="AC451" s="141"/>
      <c r="AD451" s="141"/>
      <c r="AE451" s="110"/>
      <c r="AF451" s="110"/>
      <c r="AH451" s="207"/>
      <c r="AI451" s="110"/>
      <c r="AJ451" s="110"/>
      <c r="AL451" s="110"/>
      <c r="AM451" s="141"/>
      <c r="AN451" s="141"/>
    </row>
    <row r="452" spans="3:40" x14ac:dyDescent="0.3">
      <c r="C452" s="99"/>
      <c r="F452" s="172"/>
      <c r="H452" s="172"/>
      <c r="I452" s="172"/>
      <c r="J452" s="228"/>
      <c r="K452" s="228"/>
      <c r="L452" s="110"/>
      <c r="M452" s="110"/>
      <c r="N452" s="141"/>
      <c r="O452" s="141"/>
      <c r="P452" s="110"/>
      <c r="Q452" s="110"/>
      <c r="R452" s="110"/>
      <c r="T452" s="99"/>
      <c r="V452" s="110"/>
      <c r="W452" s="110"/>
      <c r="X452" s="110"/>
      <c r="Y452" s="110"/>
      <c r="Z452" s="228"/>
      <c r="AA452" s="110"/>
      <c r="AB452" s="110"/>
      <c r="AC452" s="141"/>
      <c r="AD452" s="141"/>
      <c r="AE452" s="110"/>
      <c r="AF452" s="110"/>
      <c r="AH452" s="207"/>
      <c r="AI452" s="110"/>
      <c r="AJ452" s="110"/>
      <c r="AL452" s="110"/>
      <c r="AM452" s="141"/>
      <c r="AN452" s="141"/>
    </row>
    <row r="453" spans="3:40" x14ac:dyDescent="0.3">
      <c r="C453" s="99"/>
      <c r="F453" s="172"/>
      <c r="H453" s="172"/>
      <c r="I453" s="172"/>
      <c r="J453" s="228"/>
      <c r="K453" s="228"/>
      <c r="L453" s="110"/>
      <c r="M453" s="110"/>
      <c r="N453" s="141"/>
      <c r="O453" s="141"/>
      <c r="P453" s="110"/>
      <c r="Q453" s="110"/>
      <c r="R453" s="110"/>
      <c r="T453" s="99"/>
      <c r="V453" s="110"/>
      <c r="W453" s="110"/>
      <c r="X453" s="110"/>
      <c r="Y453" s="110"/>
      <c r="Z453" s="228"/>
      <c r="AA453" s="110"/>
      <c r="AB453" s="110"/>
      <c r="AC453" s="141"/>
      <c r="AD453" s="141"/>
      <c r="AE453" s="110"/>
      <c r="AF453" s="110"/>
      <c r="AH453" s="207"/>
      <c r="AI453" s="110"/>
      <c r="AJ453" s="110"/>
      <c r="AL453" s="110"/>
      <c r="AM453" s="141"/>
      <c r="AN453" s="141"/>
    </row>
    <row r="454" spans="3:40" x14ac:dyDescent="0.3">
      <c r="C454" s="99"/>
      <c r="F454" s="172"/>
      <c r="H454" s="172"/>
      <c r="I454" s="172"/>
      <c r="J454" s="228"/>
      <c r="K454" s="228"/>
      <c r="L454" s="110"/>
      <c r="M454" s="110"/>
      <c r="N454" s="141"/>
      <c r="O454" s="141"/>
      <c r="P454" s="110"/>
      <c r="Q454" s="110"/>
      <c r="R454" s="110"/>
      <c r="T454" s="99"/>
      <c r="V454" s="110"/>
      <c r="W454" s="110"/>
      <c r="X454" s="110"/>
      <c r="Y454" s="110"/>
      <c r="Z454" s="228"/>
      <c r="AA454" s="110"/>
      <c r="AB454" s="110"/>
      <c r="AC454" s="141"/>
      <c r="AD454" s="141"/>
      <c r="AE454" s="110"/>
      <c r="AF454" s="110"/>
      <c r="AH454" s="207"/>
      <c r="AI454" s="110"/>
      <c r="AJ454" s="110"/>
      <c r="AL454" s="110"/>
      <c r="AM454" s="141"/>
      <c r="AN454" s="141"/>
    </row>
    <row r="455" spans="3:40" x14ac:dyDescent="0.3">
      <c r="J455" s="163"/>
      <c r="K455" s="163"/>
      <c r="V455" s="110"/>
      <c r="W455" s="110"/>
      <c r="X455" s="110"/>
      <c r="Y455" s="110"/>
      <c r="Z455" s="228"/>
    </row>
    <row r="456" spans="3:40" x14ac:dyDescent="0.3">
      <c r="C456" s="99"/>
      <c r="F456" s="172"/>
      <c r="H456" s="172"/>
      <c r="I456" s="172"/>
      <c r="J456" s="228"/>
      <c r="K456" s="228"/>
      <c r="L456" s="110"/>
      <c r="M456" s="110"/>
      <c r="N456" s="141"/>
      <c r="O456" s="141"/>
      <c r="P456" s="110"/>
      <c r="Q456" s="110"/>
      <c r="R456" s="110"/>
      <c r="T456" s="99"/>
      <c r="V456" s="110"/>
      <c r="W456" s="110"/>
      <c r="X456" s="110"/>
      <c r="Y456" s="110"/>
      <c r="Z456" s="228"/>
      <c r="AA456" s="110"/>
      <c r="AB456" s="110"/>
      <c r="AC456" s="141"/>
      <c r="AD456" s="141"/>
      <c r="AE456" s="110"/>
      <c r="AF456" s="110"/>
      <c r="AH456" s="207"/>
      <c r="AI456" s="110"/>
      <c r="AJ456" s="110"/>
      <c r="AL456" s="110"/>
      <c r="AM456" s="207"/>
      <c r="AN456" s="207"/>
    </row>
    <row r="457" spans="3:40" x14ac:dyDescent="0.3">
      <c r="C457" s="99"/>
      <c r="J457" s="163"/>
      <c r="K457" s="163"/>
      <c r="T457" s="99"/>
      <c r="V457" s="110"/>
      <c r="W457" s="110"/>
      <c r="X457" s="110"/>
      <c r="Y457" s="110"/>
      <c r="Z457" s="228"/>
    </row>
    <row r="458" spans="3:40" x14ac:dyDescent="0.3">
      <c r="C458" s="99"/>
      <c r="F458" s="172"/>
      <c r="H458" s="172"/>
      <c r="I458" s="172"/>
      <c r="J458" s="228"/>
      <c r="K458" s="228"/>
      <c r="L458" s="110"/>
      <c r="M458" s="110"/>
      <c r="N458" s="141"/>
      <c r="O458" s="141"/>
      <c r="P458" s="110"/>
      <c r="Q458" s="110"/>
      <c r="R458" s="110"/>
      <c r="T458" s="99"/>
      <c r="V458" s="110"/>
      <c r="W458" s="110"/>
      <c r="X458" s="110"/>
      <c r="Y458" s="110"/>
      <c r="Z458" s="228"/>
      <c r="AA458" s="110"/>
      <c r="AB458" s="110"/>
      <c r="AC458" s="141"/>
      <c r="AD458" s="141"/>
      <c r="AE458" s="110"/>
      <c r="AF458" s="110"/>
      <c r="AH458" s="207"/>
      <c r="AI458" s="110"/>
      <c r="AJ458" s="110"/>
      <c r="AL458" s="110"/>
      <c r="AM458" s="207"/>
      <c r="AN458" s="207"/>
    </row>
    <row r="459" spans="3:40" x14ac:dyDescent="0.3">
      <c r="J459" s="163"/>
      <c r="K459" s="163"/>
      <c r="Z459" s="163"/>
    </row>
    <row r="460" spans="3:40" x14ac:dyDescent="0.3">
      <c r="C460" s="99"/>
      <c r="J460" s="163"/>
      <c r="K460" s="163"/>
      <c r="T460" s="99"/>
      <c r="V460" s="110"/>
      <c r="W460" s="110"/>
      <c r="X460" s="110"/>
      <c r="Y460" s="110"/>
      <c r="Z460" s="228"/>
    </row>
    <row r="461" spans="3:40" x14ac:dyDescent="0.3">
      <c r="C461" s="99"/>
      <c r="F461" s="172"/>
      <c r="H461" s="172"/>
      <c r="I461" s="172"/>
      <c r="J461" s="228"/>
      <c r="K461" s="228"/>
      <c r="L461" s="110"/>
      <c r="M461" s="110"/>
      <c r="N461" s="141"/>
      <c r="O461" s="141"/>
      <c r="P461" s="110"/>
      <c r="Q461" s="110"/>
      <c r="R461" s="110"/>
      <c r="T461" s="99"/>
      <c r="V461" s="110"/>
      <c r="W461" s="110"/>
      <c r="X461" s="110"/>
      <c r="Y461" s="110"/>
      <c r="Z461" s="228"/>
      <c r="AA461" s="110"/>
      <c r="AB461" s="110"/>
      <c r="AC461" s="141"/>
      <c r="AD461" s="141"/>
      <c r="AE461" s="110"/>
      <c r="AF461" s="110"/>
      <c r="AH461" s="207"/>
      <c r="AI461" s="110"/>
      <c r="AJ461" s="110"/>
      <c r="AL461" s="110"/>
      <c r="AM461" s="207"/>
      <c r="AN461" s="207"/>
    </row>
    <row r="462" spans="3:40" x14ac:dyDescent="0.3">
      <c r="C462" s="99"/>
      <c r="F462" s="172"/>
      <c r="H462" s="172"/>
      <c r="I462" s="172"/>
      <c r="J462" s="228"/>
      <c r="K462" s="228"/>
      <c r="L462" s="110"/>
      <c r="M462" s="110"/>
      <c r="N462" s="141"/>
      <c r="O462" s="141"/>
      <c r="P462" s="110"/>
      <c r="Q462" s="110"/>
      <c r="R462" s="110"/>
      <c r="T462" s="99"/>
      <c r="V462" s="110"/>
      <c r="W462" s="110"/>
      <c r="X462" s="110"/>
      <c r="Y462" s="110"/>
      <c r="Z462" s="228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207"/>
      <c r="AN462" s="207"/>
    </row>
    <row r="463" spans="3:40" x14ac:dyDescent="0.3">
      <c r="F463" s="192"/>
      <c r="H463" s="192"/>
      <c r="I463" s="192"/>
      <c r="J463" s="228"/>
      <c r="K463" s="228"/>
      <c r="L463" s="192"/>
      <c r="M463" s="192"/>
      <c r="N463" s="192"/>
      <c r="O463" s="192"/>
      <c r="P463" s="192"/>
      <c r="Q463" s="192"/>
      <c r="R463" s="192"/>
      <c r="V463" s="192"/>
      <c r="Y463" s="192"/>
      <c r="Z463" s="217"/>
      <c r="AA463" s="192"/>
      <c r="AB463" s="192"/>
      <c r="AC463" s="192"/>
      <c r="AD463" s="192"/>
      <c r="AE463" s="192"/>
      <c r="AF463" s="192"/>
      <c r="AI463" s="192"/>
      <c r="AJ463" s="192"/>
      <c r="AK463" s="194"/>
      <c r="AL463" s="192"/>
    </row>
    <row r="464" spans="3:40" x14ac:dyDescent="0.3">
      <c r="C464" s="99"/>
      <c r="F464" s="110"/>
      <c r="H464" s="110"/>
      <c r="I464" s="110"/>
      <c r="J464" s="163"/>
      <c r="L464" s="110"/>
      <c r="M464" s="110"/>
      <c r="N464" s="141"/>
      <c r="O464" s="141"/>
      <c r="P464" s="172"/>
      <c r="Q464" s="172"/>
      <c r="R464" s="110"/>
      <c r="T464" s="99"/>
      <c r="V464" s="110"/>
      <c r="W464" s="110"/>
      <c r="X464" s="110"/>
      <c r="Y464" s="110"/>
      <c r="Z464" s="227"/>
      <c r="AA464" s="110"/>
      <c r="AB464" s="110"/>
      <c r="AC464" s="141"/>
      <c r="AD464" s="141"/>
      <c r="AE464" s="110"/>
      <c r="AF464" s="110"/>
      <c r="AH464" s="207"/>
      <c r="AI464" s="172"/>
      <c r="AJ464" s="172"/>
      <c r="AL464" s="110"/>
      <c r="AM464" s="207"/>
      <c r="AN464" s="207"/>
    </row>
    <row r="465" spans="1:40" x14ac:dyDescent="0.3">
      <c r="H465" s="192"/>
      <c r="I465" s="192"/>
      <c r="J465" s="228"/>
      <c r="K465" s="217"/>
      <c r="L465" s="192"/>
      <c r="M465" s="192"/>
      <c r="N465" s="192"/>
      <c r="O465" s="192"/>
      <c r="P465" s="192"/>
      <c r="Q465" s="192"/>
      <c r="R465" s="192"/>
      <c r="V465" s="192"/>
      <c r="Y465" s="192"/>
      <c r="Z465" s="217"/>
      <c r="AA465" s="192"/>
      <c r="AB465" s="192"/>
      <c r="AC465" s="192"/>
      <c r="AD465" s="192"/>
      <c r="AE465" s="192"/>
      <c r="AF465" s="192"/>
      <c r="AI465" s="192"/>
      <c r="AJ465" s="192"/>
      <c r="AK465" s="194"/>
      <c r="AL465" s="192"/>
    </row>
    <row r="466" spans="1:40" x14ac:dyDescent="0.3">
      <c r="F466" s="192"/>
      <c r="J466" s="163"/>
    </row>
    <row r="467" spans="1:40" x14ac:dyDescent="0.3">
      <c r="J467" s="163"/>
    </row>
    <row r="468" spans="1:40" x14ac:dyDescent="0.3">
      <c r="A468" s="99"/>
      <c r="J468" s="163"/>
    </row>
    <row r="469" spans="1:40" x14ac:dyDescent="0.3">
      <c r="J469" s="163"/>
    </row>
    <row r="470" spans="1:40" x14ac:dyDescent="0.3">
      <c r="H470" s="99"/>
      <c r="I470" s="99"/>
      <c r="J470" s="163"/>
      <c r="Y470" s="99"/>
    </row>
    <row r="471" spans="1:40" x14ac:dyDescent="0.3">
      <c r="J471" s="163"/>
    </row>
    <row r="472" spans="1:40" x14ac:dyDescent="0.3">
      <c r="J472" s="163"/>
      <c r="L472" s="99"/>
      <c r="M472" s="99"/>
      <c r="AA472" s="99"/>
      <c r="AB472" s="99"/>
    </row>
    <row r="473" spans="1:40" x14ac:dyDescent="0.3">
      <c r="J473" s="163"/>
      <c r="R473" s="99"/>
      <c r="AK473" s="190"/>
      <c r="AL473" s="99"/>
    </row>
    <row r="474" spans="1:40" x14ac:dyDescent="0.3">
      <c r="J474" s="163"/>
      <c r="R474" s="99"/>
      <c r="AK474" s="190"/>
      <c r="AL474" s="99"/>
    </row>
    <row r="475" spans="1:40" x14ac:dyDescent="0.3">
      <c r="A475" s="99"/>
      <c r="J475" s="163"/>
      <c r="R475" s="99"/>
      <c r="AK475" s="190"/>
      <c r="AL475" s="99"/>
    </row>
    <row r="476" spans="1:40" x14ac:dyDescent="0.3">
      <c r="J476" s="163"/>
      <c r="L476" s="99"/>
      <c r="M476" s="99"/>
      <c r="AA476" s="99"/>
      <c r="AB476" s="99"/>
    </row>
    <row r="477" spans="1:40" x14ac:dyDescent="0.3">
      <c r="A477" s="101"/>
      <c r="B477" s="101"/>
      <c r="C477" s="101"/>
      <c r="D477" s="101"/>
      <c r="E477" s="101"/>
      <c r="F477" s="101"/>
      <c r="G477" s="101"/>
      <c r="H477" s="101"/>
      <c r="I477" s="101"/>
      <c r="J477" s="212"/>
      <c r="K477" s="101"/>
      <c r="L477" s="101"/>
      <c r="M477" s="101"/>
      <c r="N477" s="101"/>
      <c r="O477" s="101"/>
      <c r="P477" s="101"/>
      <c r="Q477" s="101"/>
      <c r="R477" s="101"/>
      <c r="T477" s="101"/>
      <c r="U477" s="101"/>
      <c r="V477" s="101"/>
      <c r="W477" s="101"/>
      <c r="X477" s="101"/>
      <c r="Y477" s="101"/>
      <c r="Z477" s="101"/>
      <c r="AA477" s="101"/>
      <c r="AB477" s="101"/>
      <c r="AC477" s="101"/>
      <c r="AD477" s="101"/>
      <c r="AE477" s="101"/>
      <c r="AF477" s="101"/>
      <c r="AG477" s="191"/>
      <c r="AH477" s="101"/>
      <c r="AI477" s="101"/>
      <c r="AJ477" s="101"/>
      <c r="AK477" s="191"/>
      <c r="AL477" s="101"/>
      <c r="AM477" s="101"/>
      <c r="AN477" s="101"/>
    </row>
    <row r="478" spans="1:40" x14ac:dyDescent="0.3">
      <c r="J478" s="163"/>
      <c r="L478" s="102"/>
      <c r="M478" s="102"/>
      <c r="N478" s="102"/>
      <c r="O478" s="102"/>
      <c r="R478" s="102"/>
      <c r="AA478" s="102"/>
      <c r="AB478" s="102"/>
      <c r="AC478" s="102"/>
      <c r="AD478" s="102"/>
      <c r="AE478" s="102"/>
      <c r="AF478" s="102"/>
      <c r="AG478" s="151"/>
      <c r="AH478" s="102"/>
      <c r="AK478" s="151"/>
      <c r="AL478" s="102"/>
      <c r="AM478" s="102"/>
      <c r="AN478" s="102"/>
    </row>
    <row r="479" spans="1:40" x14ac:dyDescent="0.3">
      <c r="J479" s="163"/>
      <c r="L479" s="102"/>
      <c r="M479" s="102"/>
      <c r="N479" s="102"/>
      <c r="O479" s="102"/>
      <c r="R479" s="102"/>
      <c r="Z479" s="102"/>
      <c r="AA479" s="102"/>
      <c r="AB479" s="102"/>
      <c r="AC479" s="102"/>
      <c r="AD479" s="102"/>
      <c r="AE479" s="102"/>
      <c r="AF479" s="102"/>
      <c r="AG479" s="151"/>
      <c r="AH479" s="102"/>
      <c r="AK479" s="151"/>
      <c r="AL479" s="102"/>
      <c r="AM479" s="102"/>
      <c r="AN479" s="102"/>
    </row>
    <row r="480" spans="1:40" x14ac:dyDescent="0.3">
      <c r="A480" s="102"/>
      <c r="C480" s="102"/>
      <c r="D480" s="102"/>
      <c r="E480" s="102"/>
      <c r="F480" s="102"/>
      <c r="J480" s="213"/>
      <c r="K480" s="102"/>
      <c r="L480" s="102"/>
      <c r="M480" s="102"/>
      <c r="N480" s="102"/>
      <c r="O480" s="102"/>
      <c r="P480" s="102"/>
      <c r="Q480" s="102"/>
      <c r="R480" s="102"/>
      <c r="T480" s="102"/>
      <c r="U480" s="102"/>
      <c r="V480" s="102"/>
      <c r="Z480" s="102"/>
      <c r="AA480" s="102"/>
      <c r="AB480" s="102"/>
      <c r="AC480" s="102"/>
      <c r="AD480" s="102"/>
      <c r="AE480" s="102"/>
      <c r="AF480" s="102"/>
      <c r="AG480" s="151"/>
      <c r="AH480" s="102"/>
      <c r="AI480" s="102"/>
      <c r="AJ480" s="102"/>
      <c r="AK480" s="151"/>
      <c r="AL480" s="102"/>
      <c r="AM480" s="102"/>
      <c r="AN480" s="102"/>
    </row>
    <row r="481" spans="1:40" x14ac:dyDescent="0.3">
      <c r="A481" s="102"/>
      <c r="C481" s="102"/>
      <c r="D481" s="102"/>
      <c r="E481" s="102"/>
      <c r="F481" s="102"/>
      <c r="H481" s="102"/>
      <c r="I481" s="102"/>
      <c r="J481" s="213"/>
      <c r="K481" s="102"/>
      <c r="L481" s="102"/>
      <c r="M481" s="102"/>
      <c r="N481" s="102"/>
      <c r="O481" s="102"/>
      <c r="P481" s="102"/>
      <c r="Q481" s="102"/>
      <c r="R481" s="102"/>
      <c r="T481" s="102"/>
      <c r="U481" s="102"/>
      <c r="V481" s="102"/>
      <c r="Y481" s="102"/>
      <c r="Z481" s="102"/>
      <c r="AA481" s="102"/>
      <c r="AB481" s="102"/>
      <c r="AC481" s="102"/>
      <c r="AD481" s="102"/>
      <c r="AE481" s="102"/>
      <c r="AF481" s="102"/>
      <c r="AG481" s="151"/>
      <c r="AH481" s="102"/>
      <c r="AI481" s="102"/>
      <c r="AJ481" s="102"/>
      <c r="AK481" s="151"/>
      <c r="AL481" s="102"/>
      <c r="AM481" s="102"/>
      <c r="AN481" s="102"/>
    </row>
    <row r="482" spans="1:40" x14ac:dyDescent="0.3">
      <c r="C482" s="102"/>
      <c r="D482" s="102"/>
      <c r="E482" s="102"/>
      <c r="F482" s="102"/>
      <c r="H482" s="102"/>
      <c r="I482" s="102"/>
      <c r="J482" s="213"/>
      <c r="K482" s="102"/>
      <c r="L482" s="102"/>
      <c r="M482" s="102"/>
      <c r="N482" s="102"/>
      <c r="O482" s="102"/>
      <c r="P482" s="102"/>
      <c r="Q482" s="102"/>
      <c r="R482" s="102"/>
      <c r="T482" s="102"/>
      <c r="U482" s="102"/>
      <c r="V482" s="102"/>
      <c r="Y482" s="102"/>
      <c r="Z482" s="102"/>
      <c r="AA482" s="102"/>
      <c r="AB482" s="102"/>
      <c r="AC482" s="102"/>
      <c r="AD482" s="102"/>
      <c r="AE482" s="102"/>
      <c r="AF482" s="102"/>
      <c r="AG482" s="151"/>
      <c r="AH482" s="102"/>
      <c r="AI482" s="102"/>
      <c r="AJ482" s="102"/>
      <c r="AK482" s="151"/>
      <c r="AL482" s="102"/>
      <c r="AM482" s="102"/>
      <c r="AN482" s="102"/>
    </row>
    <row r="483" spans="1:40" x14ac:dyDescent="0.3">
      <c r="A483" s="101"/>
      <c r="B483" s="101"/>
      <c r="C483" s="101"/>
      <c r="D483" s="101"/>
      <c r="E483" s="101"/>
      <c r="F483" s="101"/>
      <c r="G483" s="101"/>
      <c r="H483" s="101"/>
      <c r="I483" s="101"/>
      <c r="J483" s="212"/>
      <c r="K483" s="101"/>
      <c r="L483" s="101"/>
      <c r="M483" s="101"/>
      <c r="N483" s="101"/>
      <c r="O483" s="101"/>
      <c r="P483" s="101"/>
      <c r="Q483" s="101"/>
      <c r="R483" s="101"/>
      <c r="T483" s="101"/>
      <c r="U483" s="101"/>
      <c r="V483" s="101"/>
      <c r="W483" s="101"/>
      <c r="X483" s="101"/>
      <c r="Y483" s="101"/>
      <c r="Z483" s="101"/>
      <c r="AA483" s="101"/>
      <c r="AB483" s="101"/>
      <c r="AC483" s="101"/>
      <c r="AD483" s="101"/>
      <c r="AE483" s="101"/>
      <c r="AF483" s="101"/>
      <c r="AG483" s="191"/>
      <c r="AH483" s="101"/>
      <c r="AI483" s="101"/>
      <c r="AJ483" s="101"/>
      <c r="AK483" s="191"/>
      <c r="AL483" s="101"/>
      <c r="AM483" s="101"/>
      <c r="AN483" s="101"/>
    </row>
    <row r="484" spans="1:40" x14ac:dyDescent="0.3">
      <c r="H484" s="102"/>
      <c r="I484" s="102"/>
      <c r="J484" s="213"/>
      <c r="K484" s="102"/>
      <c r="L484" s="102"/>
      <c r="M484" s="102"/>
      <c r="N484" s="102"/>
      <c r="O484" s="102"/>
      <c r="P484" s="102"/>
      <c r="Q484" s="102"/>
      <c r="R484" s="102"/>
      <c r="Y484" s="102"/>
      <c r="Z484" s="102"/>
      <c r="AA484" s="102"/>
      <c r="AB484" s="102"/>
      <c r="AC484" s="102"/>
      <c r="AD484" s="102"/>
      <c r="AE484" s="102"/>
      <c r="AF484" s="102"/>
      <c r="AG484" s="151"/>
      <c r="AH484" s="102"/>
      <c r="AI484" s="102"/>
      <c r="AJ484" s="102"/>
      <c r="AK484" s="151"/>
      <c r="AL484" s="102"/>
      <c r="AM484" s="102"/>
      <c r="AN484" s="102"/>
    </row>
    <row r="485" spans="1:40" x14ac:dyDescent="0.3">
      <c r="C485" s="99"/>
      <c r="D485" s="99"/>
      <c r="E485" s="99"/>
      <c r="J485" s="163"/>
      <c r="T485" s="99"/>
      <c r="U485" s="99"/>
    </row>
    <row r="486" spans="1:40" x14ac:dyDescent="0.3">
      <c r="J486" s="163"/>
    </row>
    <row r="487" spans="1:40" x14ac:dyDescent="0.3">
      <c r="C487" s="99"/>
      <c r="J487" s="163"/>
      <c r="T487" s="99"/>
    </row>
    <row r="488" spans="1:40" x14ac:dyDescent="0.3">
      <c r="C488" s="99"/>
      <c r="J488" s="163"/>
      <c r="T488" s="99"/>
    </row>
    <row r="489" spans="1:40" x14ac:dyDescent="0.3">
      <c r="C489" s="99"/>
      <c r="F489" s="172"/>
      <c r="H489" s="172"/>
      <c r="I489" s="172"/>
      <c r="J489" s="228"/>
      <c r="K489" s="228"/>
      <c r="L489" s="110"/>
      <c r="M489" s="110"/>
      <c r="N489" s="141"/>
      <c r="O489" s="141"/>
      <c r="P489" s="110"/>
      <c r="Q489" s="110"/>
      <c r="R489" s="110"/>
      <c r="T489" s="99"/>
      <c r="V489" s="110"/>
      <c r="W489" s="110"/>
      <c r="X489" s="110"/>
      <c r="Y489" s="110"/>
      <c r="Z489" s="228"/>
      <c r="AA489" s="110"/>
      <c r="AB489" s="110"/>
      <c r="AC489" s="141"/>
      <c r="AD489" s="141"/>
      <c r="AE489" s="110"/>
      <c r="AF489" s="110"/>
      <c r="AH489" s="207"/>
      <c r="AI489" s="110"/>
      <c r="AJ489" s="110"/>
      <c r="AL489" s="110"/>
      <c r="AM489" s="207"/>
      <c r="AN489" s="207"/>
    </row>
    <row r="490" spans="1:40" x14ac:dyDescent="0.3">
      <c r="C490" s="99"/>
      <c r="F490" s="110"/>
      <c r="H490" s="110"/>
      <c r="I490" s="110"/>
      <c r="J490" s="163"/>
      <c r="K490" s="163"/>
      <c r="L490" s="110"/>
      <c r="M490" s="110"/>
      <c r="N490" s="141"/>
      <c r="O490" s="141"/>
      <c r="P490" s="110"/>
      <c r="Q490" s="110"/>
      <c r="R490" s="110"/>
      <c r="T490" s="99"/>
      <c r="V490" s="110"/>
      <c r="W490" s="110"/>
      <c r="X490" s="110"/>
      <c r="Y490" s="110"/>
      <c r="Z490" s="163"/>
      <c r="AA490" s="110"/>
      <c r="AB490" s="110"/>
      <c r="AC490" s="141"/>
      <c r="AD490" s="141"/>
      <c r="AE490" s="110"/>
      <c r="AF490" s="110"/>
      <c r="AH490" s="207"/>
      <c r="AI490" s="110"/>
      <c r="AJ490" s="110"/>
      <c r="AL490" s="110"/>
      <c r="AM490" s="207"/>
      <c r="AN490" s="207"/>
    </row>
    <row r="491" spans="1:40" x14ac:dyDescent="0.3">
      <c r="C491" s="99"/>
      <c r="F491" s="110"/>
      <c r="H491" s="110"/>
      <c r="I491" s="110"/>
      <c r="J491" s="163"/>
      <c r="K491" s="163"/>
      <c r="L491" s="110"/>
      <c r="M491" s="110"/>
      <c r="N491" s="141"/>
      <c r="O491" s="141"/>
      <c r="P491" s="110"/>
      <c r="Q491" s="110"/>
      <c r="R491" s="110"/>
      <c r="T491" s="99"/>
      <c r="V491" s="110"/>
      <c r="W491" s="110"/>
      <c r="X491" s="110"/>
      <c r="Y491" s="110"/>
      <c r="Z491" s="163"/>
      <c r="AA491" s="110"/>
      <c r="AB491" s="110"/>
      <c r="AC491" s="141"/>
      <c r="AD491" s="141"/>
      <c r="AE491" s="110"/>
      <c r="AF491" s="110"/>
      <c r="AH491" s="207"/>
      <c r="AI491" s="110"/>
      <c r="AJ491" s="110"/>
      <c r="AL491" s="110"/>
      <c r="AM491" s="207"/>
      <c r="AN491" s="207"/>
    </row>
    <row r="492" spans="1:40" x14ac:dyDescent="0.3">
      <c r="C492" s="99"/>
      <c r="F492" s="110"/>
      <c r="H492" s="110"/>
      <c r="I492" s="110"/>
      <c r="J492" s="163"/>
      <c r="K492" s="163"/>
      <c r="T492" s="99"/>
      <c r="V492" s="110"/>
      <c r="Z492" s="163"/>
    </row>
    <row r="493" spans="1:40" x14ac:dyDescent="0.3">
      <c r="C493" s="99"/>
      <c r="F493" s="172"/>
      <c r="H493" s="172"/>
      <c r="I493" s="172"/>
      <c r="J493" s="228"/>
      <c r="K493" s="228"/>
      <c r="L493" s="110"/>
      <c r="M493" s="110"/>
      <c r="N493" s="141"/>
      <c r="O493" s="141"/>
      <c r="P493" s="110"/>
      <c r="Q493" s="110"/>
      <c r="R493" s="110"/>
      <c r="T493" s="99"/>
      <c r="V493" s="110"/>
      <c r="W493" s="110"/>
      <c r="X493" s="110"/>
      <c r="Y493" s="110"/>
      <c r="Z493" s="228"/>
      <c r="AA493" s="110"/>
      <c r="AB493" s="110"/>
      <c r="AC493" s="141"/>
      <c r="AD493" s="141"/>
      <c r="AE493" s="110"/>
      <c r="AF493" s="110"/>
      <c r="AH493" s="207"/>
      <c r="AI493" s="110"/>
      <c r="AJ493" s="110"/>
      <c r="AL493" s="110"/>
      <c r="AM493" s="207"/>
      <c r="AN493" s="207"/>
    </row>
    <row r="494" spans="1:40" x14ac:dyDescent="0.3">
      <c r="C494" s="99"/>
      <c r="F494" s="110"/>
      <c r="H494" s="110"/>
      <c r="I494" s="110"/>
      <c r="J494" s="163"/>
      <c r="K494" s="163"/>
      <c r="T494" s="99"/>
      <c r="V494" s="110"/>
      <c r="W494" s="110"/>
      <c r="X494" s="110"/>
      <c r="Y494" s="110"/>
      <c r="Z494" s="163"/>
      <c r="AC494" s="141"/>
      <c r="AD494" s="141"/>
      <c r="AE494" s="110"/>
      <c r="AF494" s="110"/>
      <c r="AH494" s="207"/>
      <c r="AI494" s="110"/>
      <c r="AJ494" s="110"/>
      <c r="AL494" s="110"/>
      <c r="AM494" s="207"/>
      <c r="AN494" s="207"/>
    </row>
    <row r="495" spans="1:40" x14ac:dyDescent="0.3">
      <c r="C495" s="99"/>
      <c r="F495" s="172"/>
      <c r="H495" s="172"/>
      <c r="I495" s="172"/>
      <c r="J495" s="228"/>
      <c r="K495" s="228"/>
      <c r="L495" s="110"/>
      <c r="M495" s="110"/>
      <c r="N495" s="141"/>
      <c r="O495" s="141"/>
      <c r="P495" s="110"/>
      <c r="Q495" s="110"/>
      <c r="R495" s="110"/>
      <c r="T495" s="99"/>
      <c r="V495" s="110"/>
      <c r="W495" s="110"/>
      <c r="X495" s="110"/>
      <c r="Y495" s="110"/>
      <c r="Z495" s="228"/>
      <c r="AA495" s="110"/>
      <c r="AB495" s="110"/>
      <c r="AC495" s="141"/>
      <c r="AD495" s="141"/>
      <c r="AE495" s="110"/>
      <c r="AF495" s="110"/>
      <c r="AH495" s="207"/>
      <c r="AI495" s="110"/>
      <c r="AJ495" s="110"/>
      <c r="AL495" s="110"/>
      <c r="AM495" s="207"/>
      <c r="AN495" s="207"/>
    </row>
    <row r="496" spans="1:40" x14ac:dyDescent="0.3">
      <c r="C496" s="99"/>
      <c r="F496" s="110"/>
      <c r="H496" s="110"/>
      <c r="I496" s="110"/>
      <c r="J496" s="163"/>
      <c r="K496" s="163"/>
      <c r="L496" s="110"/>
      <c r="M496" s="110"/>
      <c r="N496" s="141"/>
      <c r="O496" s="141"/>
      <c r="P496" s="110"/>
      <c r="Q496" s="110"/>
      <c r="R496" s="110"/>
      <c r="T496" s="99"/>
      <c r="V496" s="110"/>
      <c r="W496" s="110"/>
      <c r="X496" s="110"/>
      <c r="Y496" s="110"/>
      <c r="Z496" s="163"/>
      <c r="AA496" s="110"/>
      <c r="AB496" s="110"/>
      <c r="AC496" s="141"/>
      <c r="AD496" s="141"/>
      <c r="AE496" s="110"/>
      <c r="AF496" s="110"/>
      <c r="AH496" s="207"/>
      <c r="AI496" s="110"/>
      <c r="AJ496" s="110"/>
      <c r="AL496" s="110"/>
      <c r="AM496" s="207"/>
      <c r="AN496" s="207"/>
    </row>
    <row r="497" spans="3:40" x14ac:dyDescent="0.3">
      <c r="F497" s="110"/>
      <c r="H497" s="110"/>
      <c r="I497" s="110"/>
      <c r="J497" s="163"/>
      <c r="K497" s="163"/>
      <c r="Z497" s="163"/>
    </row>
    <row r="498" spans="3:40" x14ac:dyDescent="0.3">
      <c r="C498" s="99"/>
      <c r="F498" s="110"/>
      <c r="H498" s="172"/>
      <c r="I498" s="172"/>
      <c r="J498" s="228"/>
      <c r="K498" s="228"/>
      <c r="L498" s="110"/>
      <c r="M498" s="110"/>
      <c r="N498" s="141"/>
      <c r="O498" s="141"/>
      <c r="P498" s="110"/>
      <c r="Q498" s="110"/>
      <c r="R498" s="110"/>
      <c r="T498" s="99"/>
      <c r="V498" s="110"/>
      <c r="W498" s="110"/>
      <c r="X498" s="110"/>
      <c r="Y498" s="110"/>
      <c r="Z498" s="228"/>
      <c r="AA498" s="110"/>
      <c r="AB498" s="110"/>
      <c r="AC498" s="141"/>
      <c r="AD498" s="141"/>
      <c r="AE498" s="110"/>
      <c r="AF498" s="110"/>
      <c r="AH498" s="207"/>
      <c r="AI498" s="110"/>
      <c r="AJ498" s="110"/>
      <c r="AL498" s="110"/>
      <c r="AM498" s="207"/>
      <c r="AN498" s="207"/>
    </row>
    <row r="499" spans="3:40" x14ac:dyDescent="0.3">
      <c r="F499" s="192"/>
      <c r="H499" s="192"/>
      <c r="I499" s="192"/>
      <c r="J499" s="228"/>
      <c r="K499" s="228"/>
      <c r="L499" s="192"/>
      <c r="M499" s="192"/>
      <c r="N499" s="192"/>
      <c r="O499" s="192"/>
      <c r="P499" s="192"/>
      <c r="Q499" s="192"/>
      <c r="R499" s="192"/>
      <c r="V499" s="192"/>
      <c r="Y499" s="192"/>
      <c r="Z499" s="228"/>
      <c r="AA499" s="192"/>
      <c r="AB499" s="192"/>
      <c r="AC499" s="192"/>
      <c r="AD499" s="192"/>
      <c r="AE499" s="192"/>
      <c r="AF499" s="192"/>
      <c r="AI499" s="192"/>
      <c r="AJ499" s="192"/>
      <c r="AK499" s="194"/>
      <c r="AL499" s="192"/>
    </row>
    <row r="500" spans="3:40" x14ac:dyDescent="0.3">
      <c r="C500" s="99"/>
      <c r="F500" s="110"/>
      <c r="H500" s="110"/>
      <c r="I500" s="110"/>
      <c r="J500" s="163"/>
      <c r="K500" s="163"/>
      <c r="L500" s="110"/>
      <c r="M500" s="110"/>
      <c r="P500" s="110"/>
      <c r="Q500" s="110"/>
      <c r="R500" s="110"/>
      <c r="T500" s="99"/>
      <c r="V500" s="110"/>
      <c r="Y500" s="110"/>
      <c r="Z500" s="163"/>
      <c r="AA500" s="110"/>
      <c r="AB500" s="110"/>
      <c r="AC500" s="207"/>
      <c r="AD500" s="207"/>
      <c r="AE500" s="110"/>
      <c r="AF500" s="110"/>
      <c r="AH500" s="207"/>
      <c r="AI500" s="110"/>
      <c r="AJ500" s="110"/>
      <c r="AL500" s="110"/>
      <c r="AM500" s="207"/>
      <c r="AN500" s="207"/>
    </row>
    <row r="501" spans="3:40" x14ac:dyDescent="0.3">
      <c r="F501" s="192"/>
      <c r="H501" s="192"/>
      <c r="I501" s="192"/>
      <c r="J501" s="228"/>
      <c r="K501" s="228"/>
      <c r="L501" s="192"/>
      <c r="M501" s="192"/>
      <c r="N501" s="192"/>
      <c r="O501" s="192"/>
      <c r="P501" s="192"/>
      <c r="Q501" s="192"/>
      <c r="R501" s="192"/>
      <c r="V501" s="192"/>
      <c r="Y501" s="192"/>
      <c r="Z501" s="228"/>
      <c r="AA501" s="192"/>
      <c r="AB501" s="192"/>
      <c r="AC501" s="192"/>
      <c r="AD501" s="192"/>
      <c r="AE501" s="192"/>
      <c r="AF501" s="192"/>
      <c r="AI501" s="192"/>
      <c r="AJ501" s="192"/>
      <c r="AK501" s="194"/>
      <c r="AL501" s="192"/>
    </row>
    <row r="502" spans="3:40" x14ac:dyDescent="0.3">
      <c r="J502" s="163"/>
      <c r="K502" s="163"/>
      <c r="Z502" s="163"/>
    </row>
    <row r="503" spans="3:40" x14ac:dyDescent="0.3">
      <c r="C503" s="99"/>
      <c r="J503" s="163"/>
      <c r="K503" s="163"/>
      <c r="T503" s="99"/>
      <c r="Z503" s="163"/>
    </row>
    <row r="504" spans="3:40" x14ac:dyDescent="0.3">
      <c r="C504" s="99"/>
      <c r="J504" s="163"/>
      <c r="K504" s="163"/>
      <c r="T504" s="99"/>
      <c r="Z504" s="163"/>
    </row>
    <row r="505" spans="3:40" x14ac:dyDescent="0.3">
      <c r="C505" s="99"/>
      <c r="F505" s="172"/>
      <c r="H505" s="172"/>
      <c r="I505" s="172"/>
      <c r="J505" s="228"/>
      <c r="K505" s="228"/>
      <c r="L505" s="110"/>
      <c r="M505" s="110"/>
      <c r="N505" s="141"/>
      <c r="O505" s="141"/>
      <c r="P505" s="110"/>
      <c r="Q505" s="110"/>
      <c r="R505" s="110"/>
      <c r="T505" s="99"/>
      <c r="V505" s="110"/>
      <c r="W505" s="110"/>
      <c r="X505" s="110"/>
      <c r="Y505" s="110"/>
      <c r="Z505" s="228"/>
      <c r="AA505" s="110"/>
      <c r="AB505" s="110"/>
      <c r="AC505" s="141"/>
      <c r="AD505" s="141"/>
      <c r="AE505" s="110"/>
      <c r="AF505" s="110"/>
      <c r="AH505" s="207"/>
      <c r="AI505" s="110"/>
      <c r="AJ505" s="110"/>
      <c r="AL505" s="110"/>
      <c r="AM505" s="207"/>
      <c r="AN505" s="207"/>
    </row>
    <row r="506" spans="3:40" x14ac:dyDescent="0.3">
      <c r="C506" s="99"/>
      <c r="J506" s="163"/>
      <c r="K506" s="163"/>
      <c r="T506" s="99"/>
      <c r="Z506" s="163"/>
    </row>
    <row r="507" spans="3:40" x14ac:dyDescent="0.3">
      <c r="C507" s="99"/>
      <c r="F507" s="172"/>
      <c r="H507" s="172"/>
      <c r="I507" s="172"/>
      <c r="J507" s="228"/>
      <c r="K507" s="228"/>
      <c r="L507" s="110"/>
      <c r="M507" s="110"/>
      <c r="N507" s="141"/>
      <c r="O507" s="141"/>
      <c r="P507" s="110"/>
      <c r="Q507" s="110"/>
      <c r="R507" s="110"/>
      <c r="T507" s="99"/>
      <c r="V507" s="110"/>
      <c r="W507" s="110"/>
      <c r="X507" s="110"/>
      <c r="Y507" s="110"/>
      <c r="Z507" s="228"/>
      <c r="AA507" s="110"/>
      <c r="AB507" s="110"/>
      <c r="AC507" s="141"/>
      <c r="AD507" s="141"/>
      <c r="AE507" s="110"/>
      <c r="AF507" s="110"/>
      <c r="AH507" s="207"/>
      <c r="AI507" s="110"/>
      <c r="AJ507" s="110"/>
      <c r="AL507" s="110"/>
      <c r="AM507" s="207"/>
      <c r="AN507" s="207"/>
    </row>
    <row r="508" spans="3:40" x14ac:dyDescent="0.3">
      <c r="F508" s="192"/>
      <c r="H508" s="192"/>
      <c r="I508" s="192"/>
      <c r="J508" s="228"/>
      <c r="K508" s="228"/>
      <c r="L508" s="192"/>
      <c r="M508" s="192"/>
      <c r="N508" s="192"/>
      <c r="O508" s="192"/>
      <c r="P508" s="192"/>
      <c r="Q508" s="192"/>
      <c r="R508" s="192"/>
      <c r="V508" s="192"/>
      <c r="Y508" s="192"/>
      <c r="Z508" s="228"/>
      <c r="AA508" s="192"/>
      <c r="AB508" s="192"/>
      <c r="AC508" s="192"/>
      <c r="AD508" s="192"/>
      <c r="AE508" s="192"/>
      <c r="AF508" s="192"/>
      <c r="AI508" s="192"/>
      <c r="AJ508" s="192"/>
      <c r="AK508" s="194"/>
      <c r="AL508" s="192"/>
    </row>
    <row r="509" spans="3:40" x14ac:dyDescent="0.3">
      <c r="C509" s="99"/>
      <c r="F509" s="110"/>
      <c r="H509" s="110"/>
      <c r="I509" s="110"/>
      <c r="J509" s="163"/>
      <c r="K509" s="163"/>
      <c r="L509" s="110"/>
      <c r="M509" s="110"/>
      <c r="N509" s="207"/>
      <c r="O509" s="207"/>
      <c r="P509" s="110"/>
      <c r="Q509" s="110"/>
      <c r="R509" s="110"/>
      <c r="T509" s="99"/>
      <c r="V509" s="110"/>
      <c r="Y509" s="110"/>
      <c r="Z509" s="163"/>
      <c r="AA509" s="110"/>
      <c r="AB509" s="110"/>
      <c r="AC509" s="207"/>
      <c r="AD509" s="207"/>
      <c r="AE509" s="110"/>
      <c r="AF509" s="110"/>
      <c r="AH509" s="207"/>
      <c r="AI509" s="110"/>
      <c r="AJ509" s="110"/>
      <c r="AL509" s="110"/>
      <c r="AM509" s="207"/>
      <c r="AN509" s="207"/>
    </row>
    <row r="510" spans="3:40" x14ac:dyDescent="0.3">
      <c r="F510" s="192"/>
      <c r="H510" s="192"/>
      <c r="I510" s="192"/>
      <c r="J510" s="228"/>
      <c r="K510" s="228"/>
      <c r="L510" s="192"/>
      <c r="M510" s="192"/>
      <c r="N510" s="192"/>
      <c r="O510" s="192"/>
      <c r="P510" s="192"/>
      <c r="Q510" s="192"/>
      <c r="R510" s="192"/>
      <c r="V510" s="192"/>
      <c r="Y510" s="192"/>
      <c r="Z510" s="217"/>
      <c r="AA510" s="192"/>
      <c r="AB510" s="192"/>
      <c r="AC510" s="192"/>
      <c r="AD510" s="192"/>
      <c r="AE510" s="192"/>
      <c r="AF510" s="192"/>
      <c r="AI510" s="192"/>
      <c r="AJ510" s="192"/>
      <c r="AK510" s="194"/>
      <c r="AL510" s="192"/>
    </row>
    <row r="511" spans="3:40" x14ac:dyDescent="0.3">
      <c r="J511" s="163"/>
      <c r="K511" s="163"/>
    </row>
    <row r="512" spans="3:40" x14ac:dyDescent="0.3">
      <c r="C512" s="99"/>
      <c r="F512" s="110"/>
      <c r="H512" s="110"/>
      <c r="I512" s="110"/>
      <c r="J512" s="163"/>
      <c r="K512" s="163"/>
      <c r="L512" s="110"/>
      <c r="M512" s="110"/>
      <c r="N512" s="141"/>
      <c r="O512" s="141"/>
      <c r="P512" s="172"/>
      <c r="Q512" s="172"/>
      <c r="R512" s="110"/>
      <c r="T512" s="99"/>
      <c r="V512" s="110"/>
      <c r="Y512" s="110"/>
      <c r="AA512" s="110"/>
      <c r="AB512" s="110"/>
      <c r="AC512" s="207"/>
      <c r="AD512" s="207"/>
      <c r="AE512" s="110"/>
      <c r="AF512" s="110"/>
      <c r="AH512" s="207"/>
      <c r="AI512" s="172"/>
      <c r="AJ512" s="172"/>
      <c r="AL512" s="110"/>
      <c r="AM512" s="207"/>
      <c r="AN512" s="207"/>
    </row>
    <row r="513" spans="1:40" x14ac:dyDescent="0.3">
      <c r="H513" s="192"/>
      <c r="I513" s="192"/>
      <c r="J513" s="228"/>
      <c r="K513" s="228"/>
      <c r="L513" s="192"/>
      <c r="M513" s="192"/>
      <c r="N513" s="192"/>
      <c r="O513" s="192"/>
      <c r="P513" s="192"/>
      <c r="Q513" s="192"/>
      <c r="R513" s="192"/>
      <c r="V513" s="192"/>
      <c r="Y513" s="192"/>
      <c r="Z513" s="217"/>
      <c r="AA513" s="192"/>
      <c r="AB513" s="192"/>
      <c r="AC513" s="192"/>
      <c r="AD513" s="192"/>
      <c r="AE513" s="192"/>
      <c r="AF513" s="192"/>
      <c r="AI513" s="192"/>
      <c r="AJ513" s="192"/>
      <c r="AK513" s="194"/>
      <c r="AL513" s="192"/>
    </row>
    <row r="514" spans="1:40" x14ac:dyDescent="0.3">
      <c r="F514" s="192"/>
      <c r="J514" s="163"/>
    </row>
    <row r="515" spans="1:40" x14ac:dyDescent="0.3">
      <c r="J515" s="163"/>
    </row>
    <row r="516" spans="1:40" x14ac:dyDescent="0.3">
      <c r="A516" s="99"/>
      <c r="J516" s="163"/>
    </row>
    <row r="517" spans="1:40" x14ac:dyDescent="0.3">
      <c r="J517" s="163"/>
    </row>
    <row r="518" spans="1:40" x14ac:dyDescent="0.3">
      <c r="H518" s="99"/>
      <c r="I518" s="99"/>
      <c r="J518" s="163"/>
      <c r="Y518" s="99"/>
    </row>
    <row r="519" spans="1:40" x14ac:dyDescent="0.3">
      <c r="J519" s="163"/>
    </row>
    <row r="520" spans="1:40" x14ac:dyDescent="0.3">
      <c r="J520" s="163"/>
      <c r="L520" s="99"/>
      <c r="M520" s="99"/>
      <c r="AA520" s="99"/>
      <c r="AB520" s="99"/>
    </row>
    <row r="521" spans="1:40" x14ac:dyDescent="0.3">
      <c r="J521" s="163"/>
      <c r="R521" s="99"/>
      <c r="AK521" s="190"/>
      <c r="AL521" s="99"/>
    </row>
    <row r="522" spans="1:40" x14ac:dyDescent="0.3">
      <c r="J522" s="163"/>
      <c r="R522" s="99"/>
      <c r="AK522" s="190"/>
      <c r="AL522" s="99"/>
    </row>
    <row r="523" spans="1:40" x14ac:dyDescent="0.3">
      <c r="A523" s="99"/>
      <c r="J523" s="163"/>
      <c r="R523" s="99"/>
      <c r="AK523" s="190"/>
      <c r="AL523" s="99"/>
    </row>
    <row r="524" spans="1:40" x14ac:dyDescent="0.3">
      <c r="J524" s="163"/>
      <c r="L524" s="99"/>
      <c r="M524" s="99"/>
      <c r="AA524" s="99"/>
      <c r="AB524" s="99"/>
    </row>
    <row r="525" spans="1:40" x14ac:dyDescent="0.3">
      <c r="A525" s="101"/>
      <c r="B525" s="101"/>
      <c r="C525" s="101"/>
      <c r="D525" s="101"/>
      <c r="E525" s="101"/>
      <c r="F525" s="101"/>
      <c r="G525" s="101"/>
      <c r="H525" s="101"/>
      <c r="I525" s="101"/>
      <c r="J525" s="212"/>
      <c r="K525" s="101"/>
      <c r="L525" s="101"/>
      <c r="M525" s="101"/>
      <c r="N525" s="101"/>
      <c r="O525" s="101"/>
      <c r="P525" s="101"/>
      <c r="Q525" s="101"/>
      <c r="R525" s="101"/>
      <c r="T525" s="101"/>
      <c r="U525" s="101"/>
      <c r="V525" s="101"/>
      <c r="W525" s="101"/>
      <c r="X525" s="101"/>
      <c r="Y525" s="101"/>
      <c r="Z525" s="101"/>
      <c r="AA525" s="101"/>
      <c r="AB525" s="101"/>
      <c r="AC525" s="101"/>
      <c r="AD525" s="101"/>
      <c r="AE525" s="101"/>
      <c r="AF525" s="101"/>
      <c r="AG525" s="191"/>
      <c r="AH525" s="101"/>
      <c r="AI525" s="101"/>
      <c r="AJ525" s="101"/>
      <c r="AK525" s="191"/>
      <c r="AL525" s="101"/>
      <c r="AM525" s="101"/>
      <c r="AN525" s="101"/>
    </row>
    <row r="526" spans="1:40" x14ac:dyDescent="0.3">
      <c r="J526" s="163"/>
      <c r="L526" s="102"/>
      <c r="M526" s="102"/>
      <c r="N526" s="102"/>
      <c r="O526" s="102"/>
      <c r="R526" s="102"/>
      <c r="AA526" s="102"/>
      <c r="AB526" s="102"/>
      <c r="AC526" s="102"/>
      <c r="AD526" s="102"/>
      <c r="AE526" s="102"/>
      <c r="AF526" s="102"/>
      <c r="AG526" s="151"/>
      <c r="AH526" s="102"/>
      <c r="AK526" s="151"/>
      <c r="AL526" s="102"/>
      <c r="AM526" s="102"/>
      <c r="AN526" s="102"/>
    </row>
    <row r="527" spans="1:40" x14ac:dyDescent="0.3">
      <c r="J527" s="163"/>
      <c r="L527" s="102"/>
      <c r="M527" s="102"/>
      <c r="N527" s="102"/>
      <c r="O527" s="102"/>
      <c r="R527" s="102"/>
      <c r="Z527" s="102"/>
      <c r="AA527" s="102"/>
      <c r="AB527" s="102"/>
      <c r="AC527" s="102"/>
      <c r="AD527" s="102"/>
      <c r="AE527" s="102"/>
      <c r="AF527" s="102"/>
      <c r="AG527" s="151"/>
      <c r="AH527" s="102"/>
      <c r="AK527" s="151"/>
      <c r="AL527" s="102"/>
      <c r="AM527" s="102"/>
      <c r="AN527" s="102"/>
    </row>
    <row r="528" spans="1:40" x14ac:dyDescent="0.3">
      <c r="A528" s="102"/>
      <c r="C528" s="102"/>
      <c r="D528" s="102"/>
      <c r="E528" s="102"/>
      <c r="F528" s="102"/>
      <c r="J528" s="213"/>
      <c r="K528" s="102"/>
      <c r="L528" s="102"/>
      <c r="M528" s="102"/>
      <c r="N528" s="102"/>
      <c r="O528" s="102"/>
      <c r="P528" s="102"/>
      <c r="Q528" s="102"/>
      <c r="R528" s="102"/>
      <c r="T528" s="102"/>
      <c r="U528" s="102"/>
      <c r="V528" s="102"/>
      <c r="Z528" s="102"/>
      <c r="AA528" s="102"/>
      <c r="AB528" s="102"/>
      <c r="AC528" s="102"/>
      <c r="AD528" s="102"/>
      <c r="AE528" s="102"/>
      <c r="AF528" s="102"/>
      <c r="AG528" s="151"/>
      <c r="AH528" s="102"/>
      <c r="AI528" s="102"/>
      <c r="AJ528" s="102"/>
      <c r="AK528" s="151"/>
      <c r="AL528" s="102"/>
      <c r="AM528" s="102"/>
      <c r="AN528" s="102"/>
    </row>
    <row r="529" spans="1:40" x14ac:dyDescent="0.3">
      <c r="A529" s="102"/>
      <c r="C529" s="102"/>
      <c r="D529" s="102"/>
      <c r="E529" s="102"/>
      <c r="F529" s="102"/>
      <c r="H529" s="102"/>
      <c r="I529" s="102"/>
      <c r="J529" s="213"/>
      <c r="K529" s="102"/>
      <c r="L529" s="102"/>
      <c r="M529" s="102"/>
      <c r="N529" s="102"/>
      <c r="O529" s="102"/>
      <c r="P529" s="102"/>
      <c r="Q529" s="102"/>
      <c r="R529" s="102"/>
      <c r="T529" s="102"/>
      <c r="U529" s="102"/>
      <c r="V529" s="102"/>
      <c r="Y529" s="102"/>
      <c r="Z529" s="102"/>
      <c r="AA529" s="102"/>
      <c r="AB529" s="102"/>
      <c r="AC529" s="102"/>
      <c r="AD529" s="102"/>
      <c r="AE529" s="102"/>
      <c r="AF529" s="102"/>
      <c r="AG529" s="151"/>
      <c r="AH529" s="102"/>
      <c r="AI529" s="102"/>
      <c r="AJ529" s="102"/>
      <c r="AK529" s="151"/>
      <c r="AL529" s="102"/>
      <c r="AM529" s="102"/>
      <c r="AN529" s="102"/>
    </row>
    <row r="530" spans="1:40" x14ac:dyDescent="0.3">
      <c r="C530" s="102"/>
      <c r="D530" s="102"/>
      <c r="E530" s="102"/>
      <c r="F530" s="102"/>
      <c r="H530" s="102"/>
      <c r="I530" s="102"/>
      <c r="J530" s="213"/>
      <c r="K530" s="102"/>
      <c r="L530" s="102"/>
      <c r="M530" s="102"/>
      <c r="N530" s="102"/>
      <c r="O530" s="102"/>
      <c r="P530" s="102"/>
      <c r="Q530" s="102"/>
      <c r="R530" s="102"/>
      <c r="T530" s="102"/>
      <c r="U530" s="102"/>
      <c r="V530" s="102"/>
      <c r="Y530" s="102"/>
      <c r="Z530" s="102"/>
      <c r="AA530" s="102"/>
      <c r="AB530" s="102"/>
      <c r="AC530" s="102"/>
      <c r="AD530" s="102"/>
      <c r="AE530" s="102"/>
      <c r="AF530" s="102"/>
      <c r="AG530" s="151"/>
      <c r="AH530" s="102"/>
      <c r="AI530" s="102"/>
      <c r="AJ530" s="102"/>
      <c r="AK530" s="151"/>
      <c r="AL530" s="102"/>
      <c r="AM530" s="102"/>
      <c r="AN530" s="102"/>
    </row>
    <row r="531" spans="1:40" x14ac:dyDescent="0.3">
      <c r="A531" s="101"/>
      <c r="B531" s="101"/>
      <c r="C531" s="101"/>
      <c r="D531" s="101"/>
      <c r="E531" s="101"/>
      <c r="F531" s="101"/>
      <c r="G531" s="101"/>
      <c r="H531" s="101"/>
      <c r="I531" s="101"/>
      <c r="J531" s="212"/>
      <c r="K531" s="101"/>
      <c r="L531" s="101"/>
      <c r="M531" s="101"/>
      <c r="N531" s="101"/>
      <c r="O531" s="101"/>
      <c r="P531" s="101"/>
      <c r="Q531" s="101"/>
      <c r="R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/>
      <c r="AD531" s="101"/>
      <c r="AE531" s="101"/>
      <c r="AF531" s="101"/>
      <c r="AG531" s="191"/>
      <c r="AH531" s="101"/>
      <c r="AI531" s="101"/>
      <c r="AJ531" s="101"/>
      <c r="AK531" s="191"/>
      <c r="AL531" s="101"/>
      <c r="AM531" s="101"/>
      <c r="AN531" s="101"/>
    </row>
    <row r="532" spans="1:40" x14ac:dyDescent="0.3">
      <c r="H532" s="102"/>
      <c r="I532" s="102"/>
      <c r="J532" s="213"/>
      <c r="K532" s="102"/>
      <c r="L532" s="102"/>
      <c r="M532" s="102"/>
      <c r="N532" s="102"/>
      <c r="O532" s="102"/>
      <c r="P532" s="102"/>
      <c r="Q532" s="102"/>
      <c r="R532" s="102"/>
      <c r="Y532" s="102"/>
      <c r="Z532" s="102"/>
      <c r="AA532" s="102"/>
      <c r="AB532" s="102"/>
      <c r="AC532" s="102"/>
      <c r="AD532" s="102"/>
      <c r="AE532" s="102"/>
      <c r="AF532" s="102"/>
      <c r="AG532" s="151"/>
      <c r="AH532" s="102"/>
      <c r="AI532" s="102"/>
      <c r="AJ532" s="102"/>
      <c r="AK532" s="151"/>
      <c r="AL532" s="102"/>
      <c r="AM532" s="102"/>
      <c r="AN532" s="102"/>
    </row>
    <row r="533" spans="1:40" x14ac:dyDescent="0.3">
      <c r="C533" s="99"/>
      <c r="D533" s="99"/>
      <c r="E533" s="99"/>
      <c r="J533" s="163"/>
      <c r="T533" s="99"/>
      <c r="U533" s="99"/>
    </row>
    <row r="534" spans="1:40" x14ac:dyDescent="0.3">
      <c r="J534" s="163"/>
    </row>
    <row r="535" spans="1:40" x14ac:dyDescent="0.3">
      <c r="C535" s="99"/>
      <c r="D535" s="99"/>
      <c r="E535" s="99"/>
      <c r="J535" s="163"/>
      <c r="T535" s="99"/>
      <c r="U535" s="99"/>
    </row>
    <row r="536" spans="1:40" x14ac:dyDescent="0.3">
      <c r="C536" s="99"/>
      <c r="J536" s="163"/>
      <c r="T536" s="99"/>
    </row>
    <row r="537" spans="1:40" x14ac:dyDescent="0.3">
      <c r="C537" s="99"/>
      <c r="J537" s="163"/>
      <c r="T537" s="99"/>
    </row>
    <row r="538" spans="1:40" x14ac:dyDescent="0.3">
      <c r="C538" s="99"/>
      <c r="H538" s="172"/>
      <c r="I538" s="172"/>
      <c r="J538" s="228"/>
      <c r="K538" s="228"/>
      <c r="L538" s="110"/>
      <c r="M538" s="110"/>
      <c r="N538" s="141"/>
      <c r="O538" s="141"/>
      <c r="P538" s="110"/>
      <c r="Q538" s="110"/>
      <c r="R538" s="110"/>
      <c r="T538" s="99"/>
      <c r="V538" s="110"/>
      <c r="W538" s="110"/>
      <c r="X538" s="110"/>
      <c r="Y538" s="110"/>
      <c r="Z538" s="228"/>
      <c r="AA538" s="110"/>
      <c r="AB538" s="110"/>
      <c r="AC538" s="141"/>
      <c r="AD538" s="141"/>
      <c r="AE538" s="110"/>
      <c r="AF538" s="110"/>
      <c r="AH538" s="207"/>
      <c r="AI538" s="110"/>
      <c r="AJ538" s="110"/>
      <c r="AL538" s="110"/>
      <c r="AM538" s="141"/>
      <c r="AN538" s="141"/>
    </row>
    <row r="539" spans="1:40" x14ac:dyDescent="0.3">
      <c r="C539" s="99"/>
      <c r="F539" s="172"/>
      <c r="J539" s="163"/>
      <c r="K539" s="163"/>
      <c r="T539" s="99"/>
      <c r="V539" s="110"/>
      <c r="W539" s="110"/>
      <c r="X539" s="110"/>
      <c r="Y539" s="110"/>
      <c r="Z539" s="228"/>
    </row>
    <row r="540" spans="1:40" x14ac:dyDescent="0.3">
      <c r="C540" s="99"/>
      <c r="H540" s="172"/>
      <c r="I540" s="172"/>
      <c r="J540" s="228"/>
      <c r="K540" s="228"/>
      <c r="L540" s="110"/>
      <c r="M540" s="110"/>
      <c r="N540" s="141"/>
      <c r="O540" s="141"/>
      <c r="P540" s="110"/>
      <c r="Q540" s="110"/>
      <c r="R540" s="110"/>
      <c r="T540" s="99"/>
      <c r="V540" s="110"/>
      <c r="W540" s="110"/>
      <c r="X540" s="110"/>
      <c r="Y540" s="110"/>
      <c r="Z540" s="228"/>
      <c r="AA540" s="110"/>
      <c r="AB540" s="110"/>
      <c r="AC540" s="141"/>
      <c r="AD540" s="141"/>
      <c r="AE540" s="110"/>
      <c r="AF540" s="110"/>
      <c r="AH540" s="207"/>
      <c r="AI540" s="110"/>
      <c r="AJ540" s="110"/>
      <c r="AL540" s="110"/>
      <c r="AM540" s="141"/>
      <c r="AN540" s="141"/>
    </row>
    <row r="541" spans="1:40" x14ac:dyDescent="0.3">
      <c r="C541" s="99"/>
      <c r="F541" s="172"/>
      <c r="J541" s="163"/>
      <c r="K541" s="163"/>
      <c r="T541" s="99"/>
      <c r="V541" s="110"/>
      <c r="W541" s="110"/>
      <c r="X541" s="110"/>
      <c r="Y541" s="110"/>
      <c r="Z541" s="228"/>
    </row>
    <row r="542" spans="1:40" x14ac:dyDescent="0.3">
      <c r="C542" s="99"/>
      <c r="H542" s="172"/>
      <c r="I542" s="172"/>
      <c r="J542" s="228"/>
      <c r="K542" s="228"/>
      <c r="L542" s="110"/>
      <c r="M542" s="110"/>
      <c r="N542" s="141"/>
      <c r="O542" s="141"/>
      <c r="P542" s="110"/>
      <c r="Q542" s="110"/>
      <c r="R542" s="110"/>
      <c r="T542" s="99"/>
      <c r="V542" s="110"/>
      <c r="W542" s="110"/>
      <c r="X542" s="110"/>
      <c r="Y542" s="110"/>
      <c r="Z542" s="228"/>
      <c r="AA542" s="110"/>
      <c r="AB542" s="110"/>
      <c r="AC542" s="141"/>
      <c r="AD542" s="141"/>
      <c r="AE542" s="110"/>
      <c r="AF542" s="110"/>
      <c r="AH542" s="207"/>
      <c r="AI542" s="110"/>
      <c r="AJ542" s="110"/>
      <c r="AL542" s="110"/>
      <c r="AM542" s="141"/>
      <c r="AN542" s="141"/>
    </row>
    <row r="543" spans="1:40" x14ac:dyDescent="0.3">
      <c r="C543" s="99"/>
      <c r="F543" s="172"/>
      <c r="J543" s="163"/>
      <c r="K543" s="163"/>
      <c r="T543" s="99"/>
      <c r="V543" s="110"/>
      <c r="W543" s="110"/>
      <c r="X543" s="110"/>
      <c r="Y543" s="110"/>
      <c r="Z543" s="228"/>
    </row>
    <row r="544" spans="1:40" x14ac:dyDescent="0.3">
      <c r="C544" s="99"/>
      <c r="H544" s="172"/>
      <c r="I544" s="172"/>
      <c r="J544" s="228"/>
      <c r="K544" s="228"/>
      <c r="L544" s="110"/>
      <c r="M544" s="110"/>
      <c r="N544" s="141"/>
      <c r="O544" s="141"/>
      <c r="P544" s="110"/>
      <c r="Q544" s="110"/>
      <c r="R544" s="110"/>
      <c r="T544" s="99"/>
      <c r="V544" s="110"/>
      <c r="W544" s="110"/>
      <c r="X544" s="110"/>
      <c r="Y544" s="110"/>
      <c r="Z544" s="228"/>
      <c r="AA544" s="110"/>
      <c r="AB544" s="110"/>
      <c r="AC544" s="141"/>
      <c r="AD544" s="141"/>
      <c r="AE544" s="110"/>
      <c r="AF544" s="110"/>
      <c r="AH544" s="207"/>
      <c r="AI544" s="110"/>
      <c r="AJ544" s="110"/>
      <c r="AL544" s="110"/>
      <c r="AM544" s="141"/>
      <c r="AN544" s="141"/>
    </row>
    <row r="545" spans="3:40" x14ac:dyDescent="0.3">
      <c r="C545" s="99"/>
      <c r="F545" s="172"/>
      <c r="J545" s="163"/>
      <c r="K545" s="163"/>
      <c r="T545" s="99"/>
      <c r="V545" s="110"/>
      <c r="W545" s="110"/>
      <c r="X545" s="110"/>
      <c r="Y545" s="110"/>
      <c r="Z545" s="228"/>
    </row>
    <row r="546" spans="3:40" x14ac:dyDescent="0.3">
      <c r="C546" s="99"/>
      <c r="H546" s="172"/>
      <c r="I546" s="172"/>
      <c r="J546" s="228"/>
      <c r="K546" s="228"/>
      <c r="L546" s="110"/>
      <c r="M546" s="110"/>
      <c r="N546" s="141"/>
      <c r="O546" s="141"/>
      <c r="P546" s="110"/>
      <c r="Q546" s="110"/>
      <c r="R546" s="110"/>
      <c r="T546" s="99"/>
      <c r="V546" s="110"/>
      <c r="W546" s="110"/>
      <c r="X546" s="110"/>
      <c r="Y546" s="110"/>
      <c r="Z546" s="228"/>
      <c r="AA546" s="110"/>
      <c r="AB546" s="110"/>
      <c r="AC546" s="141"/>
      <c r="AD546" s="141"/>
      <c r="AE546" s="110"/>
      <c r="AF546" s="110"/>
      <c r="AH546" s="207"/>
      <c r="AI546" s="110"/>
      <c r="AJ546" s="110"/>
      <c r="AL546" s="110"/>
      <c r="AM546" s="141"/>
      <c r="AN546" s="141"/>
    </row>
    <row r="547" spans="3:40" x14ac:dyDescent="0.3">
      <c r="C547" s="99"/>
      <c r="F547" s="172"/>
      <c r="J547" s="163"/>
      <c r="K547" s="163"/>
      <c r="T547" s="99"/>
      <c r="V547" s="110"/>
      <c r="W547" s="110"/>
      <c r="X547" s="110"/>
      <c r="Y547" s="110"/>
      <c r="Z547" s="228"/>
    </row>
    <row r="548" spans="3:40" x14ac:dyDescent="0.3">
      <c r="C548" s="99"/>
      <c r="H548" s="172"/>
      <c r="I548" s="172"/>
      <c r="J548" s="228"/>
      <c r="K548" s="228"/>
      <c r="L548" s="110"/>
      <c r="M548" s="110"/>
      <c r="N548" s="141"/>
      <c r="O548" s="141"/>
      <c r="P548" s="110"/>
      <c r="Q548" s="110"/>
      <c r="R548" s="110"/>
      <c r="T548" s="99"/>
      <c r="V548" s="110"/>
      <c r="W548" s="110"/>
      <c r="X548" s="110"/>
      <c r="Y548" s="110"/>
      <c r="Z548" s="228"/>
      <c r="AA548" s="110"/>
      <c r="AB548" s="110"/>
      <c r="AC548" s="141"/>
      <c r="AD548" s="141"/>
      <c r="AE548" s="110"/>
      <c r="AF548" s="110"/>
      <c r="AH548" s="207"/>
      <c r="AI548" s="110"/>
      <c r="AJ548" s="110"/>
      <c r="AL548" s="110"/>
      <c r="AM548" s="141"/>
      <c r="AN548" s="141"/>
    </row>
    <row r="549" spans="3:40" x14ac:dyDescent="0.3">
      <c r="F549" s="172"/>
      <c r="H549" s="192"/>
      <c r="I549" s="192"/>
      <c r="J549" s="228"/>
      <c r="K549" s="228"/>
      <c r="L549" s="192"/>
      <c r="M549" s="192"/>
      <c r="N549" s="192"/>
      <c r="O549" s="192"/>
      <c r="P549" s="192"/>
      <c r="Q549" s="192"/>
      <c r="R549" s="192"/>
      <c r="V549" s="192"/>
      <c r="Y549" s="192"/>
      <c r="Z549" s="228"/>
      <c r="AA549" s="192"/>
      <c r="AB549" s="192"/>
      <c r="AC549" s="192"/>
      <c r="AD549" s="192"/>
      <c r="AE549" s="192"/>
      <c r="AF549" s="192"/>
      <c r="AI549" s="192"/>
      <c r="AJ549" s="192"/>
      <c r="AK549" s="194"/>
      <c r="AL549" s="192"/>
      <c r="AM549" s="141"/>
      <c r="AN549" s="141"/>
    </row>
    <row r="550" spans="3:40" x14ac:dyDescent="0.3">
      <c r="C550" s="99"/>
      <c r="F550" s="192"/>
      <c r="H550" s="110"/>
      <c r="I550" s="110"/>
      <c r="J550" s="163"/>
      <c r="K550" s="163"/>
      <c r="L550" s="110"/>
      <c r="M550" s="110"/>
      <c r="N550" s="141"/>
      <c r="O550" s="141"/>
      <c r="P550" s="172"/>
      <c r="Q550" s="172"/>
      <c r="R550" s="110"/>
      <c r="T550" s="99"/>
      <c r="V550" s="110"/>
      <c r="W550" s="110"/>
      <c r="X550" s="110"/>
      <c r="Y550" s="110"/>
      <c r="Z550" s="228"/>
      <c r="AA550" s="110"/>
      <c r="AB550" s="110"/>
      <c r="AC550" s="141"/>
      <c r="AD550" s="141"/>
      <c r="AE550" s="110"/>
      <c r="AF550" s="110"/>
      <c r="AH550" s="207"/>
      <c r="AI550" s="172"/>
      <c r="AJ550" s="172"/>
      <c r="AL550" s="110"/>
      <c r="AM550" s="141"/>
      <c r="AN550" s="141"/>
    </row>
    <row r="551" spans="3:40" x14ac:dyDescent="0.3">
      <c r="F551" s="110"/>
      <c r="H551" s="192"/>
      <c r="I551" s="192"/>
      <c r="J551" s="228"/>
      <c r="K551" s="228"/>
      <c r="L551" s="192"/>
      <c r="M551" s="192"/>
      <c r="N551" s="192"/>
      <c r="O551" s="192"/>
      <c r="P551" s="192"/>
      <c r="Q551" s="192"/>
      <c r="R551" s="192"/>
      <c r="V551" s="192"/>
      <c r="Y551" s="192"/>
      <c r="Z551" s="228"/>
      <c r="AA551" s="192"/>
      <c r="AB551" s="192"/>
      <c r="AC551" s="192"/>
      <c r="AD551" s="192"/>
      <c r="AE551" s="192"/>
      <c r="AF551" s="192"/>
      <c r="AI551" s="192"/>
      <c r="AJ551" s="192"/>
      <c r="AK551" s="194"/>
      <c r="AL551" s="192"/>
    </row>
    <row r="552" spans="3:40" x14ac:dyDescent="0.3">
      <c r="C552" s="99"/>
      <c r="D552" s="99"/>
      <c r="E552" s="99"/>
      <c r="F552" s="192"/>
      <c r="J552" s="163"/>
      <c r="K552" s="163"/>
      <c r="T552" s="99"/>
      <c r="U552" s="99"/>
      <c r="V552" s="110"/>
      <c r="W552" s="110"/>
      <c r="X552" s="110"/>
      <c r="Y552" s="110"/>
      <c r="Z552" s="228"/>
    </row>
    <row r="553" spans="3:40" x14ac:dyDescent="0.3">
      <c r="C553" s="99"/>
      <c r="J553" s="163"/>
      <c r="K553" s="163"/>
      <c r="T553" s="99"/>
      <c r="V553" s="110"/>
      <c r="W553" s="110"/>
      <c r="X553" s="110"/>
      <c r="Y553" s="110"/>
      <c r="Z553" s="228"/>
    </row>
    <row r="554" spans="3:40" x14ac:dyDescent="0.3">
      <c r="C554" s="99"/>
      <c r="J554" s="163"/>
      <c r="K554" s="163"/>
      <c r="T554" s="99"/>
      <c r="V554" s="110"/>
      <c r="W554" s="110"/>
      <c r="X554" s="110"/>
      <c r="Y554" s="110"/>
      <c r="Z554" s="228"/>
    </row>
    <row r="555" spans="3:40" x14ac:dyDescent="0.3">
      <c r="C555" s="99"/>
      <c r="H555" s="172"/>
      <c r="I555" s="172"/>
      <c r="J555" s="228"/>
      <c r="K555" s="228"/>
      <c r="L555" s="110"/>
      <c r="M555" s="110"/>
      <c r="N555" s="141"/>
      <c r="O555" s="141"/>
      <c r="P555" s="110"/>
      <c r="Q555" s="110"/>
      <c r="R555" s="110"/>
      <c r="T555" s="99"/>
      <c r="V555" s="110"/>
      <c r="W555" s="110"/>
      <c r="X555" s="110"/>
      <c r="Y555" s="110"/>
      <c r="Z555" s="228"/>
      <c r="AA555" s="110"/>
      <c r="AB555" s="110"/>
      <c r="AC555" s="141"/>
      <c r="AD555" s="141"/>
      <c r="AE555" s="110"/>
      <c r="AF555" s="110"/>
      <c r="AH555" s="207"/>
      <c r="AI555" s="110"/>
      <c r="AJ555" s="110"/>
      <c r="AL555" s="110"/>
      <c r="AM555" s="141"/>
      <c r="AN555" s="141"/>
    </row>
    <row r="556" spans="3:40" x14ac:dyDescent="0.3">
      <c r="C556" s="99"/>
      <c r="F556" s="172"/>
      <c r="J556" s="163"/>
      <c r="K556" s="163"/>
      <c r="T556" s="99"/>
      <c r="V556" s="110"/>
      <c r="W556" s="110"/>
      <c r="X556" s="110"/>
      <c r="Y556" s="110"/>
      <c r="Z556" s="228"/>
    </row>
    <row r="557" spans="3:40" x14ac:dyDescent="0.3">
      <c r="C557" s="99"/>
      <c r="H557" s="172"/>
      <c r="I557" s="172"/>
      <c r="J557" s="228"/>
      <c r="K557" s="228"/>
      <c r="L557" s="110"/>
      <c r="M557" s="110"/>
      <c r="N557" s="141"/>
      <c r="O557" s="141"/>
      <c r="P557" s="110"/>
      <c r="Q557" s="110"/>
      <c r="R557" s="110"/>
      <c r="T557" s="99"/>
      <c r="V557" s="110"/>
      <c r="W557" s="110"/>
      <c r="X557" s="110"/>
      <c r="Y557" s="110"/>
      <c r="Z557" s="228"/>
      <c r="AA557" s="110"/>
      <c r="AB557" s="110"/>
      <c r="AC557" s="141"/>
      <c r="AD557" s="141"/>
      <c r="AE557" s="110"/>
      <c r="AF557" s="110"/>
      <c r="AH557" s="207"/>
      <c r="AI557" s="110"/>
      <c r="AJ557" s="110"/>
      <c r="AL557" s="110"/>
      <c r="AM557" s="141"/>
      <c r="AN557" s="141"/>
    </row>
    <row r="558" spans="3:40" x14ac:dyDescent="0.3">
      <c r="F558" s="172"/>
      <c r="H558" s="192"/>
      <c r="I558" s="192"/>
      <c r="J558" s="228"/>
      <c r="K558" s="228"/>
      <c r="L558" s="192"/>
      <c r="M558" s="192"/>
      <c r="N558" s="192"/>
      <c r="O558" s="192"/>
      <c r="P558" s="192"/>
      <c r="Q558" s="192"/>
      <c r="R558" s="192"/>
      <c r="V558" s="192"/>
      <c r="Y558" s="192"/>
      <c r="Z558" s="217"/>
      <c r="AA558" s="192"/>
      <c r="AB558" s="192"/>
      <c r="AC558" s="192"/>
      <c r="AD558" s="192"/>
      <c r="AE558" s="192"/>
      <c r="AF558" s="192"/>
      <c r="AI558" s="192"/>
      <c r="AJ558" s="192"/>
      <c r="AK558" s="194"/>
      <c r="AL558" s="192"/>
    </row>
    <row r="559" spans="3:40" x14ac:dyDescent="0.3">
      <c r="C559" s="99"/>
      <c r="F559" s="192"/>
      <c r="H559" s="110"/>
      <c r="I559" s="110"/>
      <c r="L559" s="110"/>
      <c r="M559" s="110"/>
      <c r="N559" s="141"/>
      <c r="O559" s="141"/>
      <c r="P559" s="172"/>
      <c r="Q559" s="172"/>
      <c r="R559" s="110"/>
      <c r="T559" s="99"/>
      <c r="V559" s="110"/>
      <c r="W559" s="110"/>
      <c r="X559" s="110"/>
      <c r="Y559" s="110"/>
      <c r="Z559" s="227"/>
      <c r="AA559" s="110"/>
      <c r="AB559" s="110"/>
      <c r="AC559" s="141"/>
      <c r="AD559" s="141"/>
      <c r="AE559" s="110"/>
      <c r="AF559" s="110"/>
      <c r="AH559" s="207"/>
      <c r="AI559" s="172"/>
      <c r="AJ559" s="172"/>
      <c r="AL559" s="110"/>
      <c r="AM559" s="141"/>
      <c r="AN559" s="141"/>
    </row>
    <row r="560" spans="3:40" x14ac:dyDescent="0.3">
      <c r="F560" s="110"/>
      <c r="H560" s="192"/>
      <c r="I560" s="192"/>
      <c r="J560" s="217"/>
      <c r="K560" s="217"/>
      <c r="L560" s="192"/>
      <c r="M560" s="192"/>
      <c r="N560" s="192"/>
      <c r="O560" s="192"/>
      <c r="P560" s="192"/>
      <c r="Q560" s="192"/>
      <c r="R560" s="192"/>
      <c r="V560" s="192"/>
      <c r="Y560" s="192"/>
      <c r="Z560" s="217"/>
      <c r="AA560" s="192"/>
      <c r="AB560" s="192"/>
      <c r="AC560" s="192"/>
      <c r="AD560" s="192"/>
      <c r="AE560" s="192"/>
      <c r="AF560" s="192"/>
      <c r="AI560" s="192"/>
      <c r="AJ560" s="192"/>
      <c r="AK560" s="194"/>
      <c r="AL560" s="192"/>
    </row>
    <row r="561" spans="3:40" x14ac:dyDescent="0.3">
      <c r="C561" s="99"/>
      <c r="D561" s="99"/>
      <c r="E561" s="99"/>
      <c r="F561" s="192"/>
      <c r="T561" s="99"/>
      <c r="U561" s="99"/>
      <c r="V561" s="110"/>
      <c r="W561" s="110"/>
      <c r="X561" s="110"/>
      <c r="Y561" s="110"/>
      <c r="Z561" s="227"/>
    </row>
    <row r="562" spans="3:40" x14ac:dyDescent="0.3">
      <c r="C562" s="99"/>
      <c r="T562" s="99"/>
      <c r="V562" s="110"/>
      <c r="W562" s="110"/>
      <c r="X562" s="110"/>
      <c r="Y562" s="110"/>
      <c r="Z562" s="227"/>
    </row>
    <row r="563" spans="3:40" x14ac:dyDescent="0.3">
      <c r="C563" s="99"/>
      <c r="H563" s="172"/>
      <c r="I563" s="172"/>
      <c r="J563" s="227"/>
      <c r="K563" s="227"/>
      <c r="L563" s="110"/>
      <c r="M563" s="110"/>
      <c r="N563" s="141"/>
      <c r="O563" s="141"/>
      <c r="P563" s="110"/>
      <c r="Q563" s="110"/>
      <c r="R563" s="110"/>
      <c r="T563" s="99"/>
      <c r="V563" s="110"/>
      <c r="W563" s="110"/>
      <c r="X563" s="110"/>
      <c r="Y563" s="110"/>
      <c r="Z563" s="227"/>
      <c r="AA563" s="110"/>
      <c r="AB563" s="110"/>
      <c r="AC563" s="141"/>
      <c r="AD563" s="141"/>
      <c r="AE563" s="110"/>
      <c r="AF563" s="110"/>
      <c r="AH563" s="207"/>
      <c r="AI563" s="110"/>
      <c r="AJ563" s="110"/>
      <c r="AL563" s="110"/>
      <c r="AM563" s="141"/>
      <c r="AN563" s="141"/>
    </row>
    <row r="564" spans="3:40" x14ac:dyDescent="0.3">
      <c r="C564" s="99"/>
      <c r="F564" s="172"/>
      <c r="T564" s="99"/>
      <c r="V564" s="110"/>
      <c r="W564" s="110"/>
      <c r="X564" s="110"/>
      <c r="Y564" s="110"/>
      <c r="Z564" s="227"/>
    </row>
    <row r="565" spans="3:40" x14ac:dyDescent="0.3">
      <c r="C565" s="99"/>
      <c r="H565" s="172"/>
      <c r="I565" s="172"/>
      <c r="J565" s="227"/>
      <c r="K565" s="227"/>
      <c r="L565" s="110"/>
      <c r="M565" s="110"/>
      <c r="N565" s="141"/>
      <c r="O565" s="141"/>
      <c r="P565" s="110"/>
      <c r="Q565" s="110"/>
      <c r="R565" s="110"/>
      <c r="T565" s="99"/>
      <c r="V565" s="110"/>
      <c r="W565" s="110"/>
      <c r="X565" s="110"/>
      <c r="Y565" s="110"/>
      <c r="Z565" s="227"/>
      <c r="AA565" s="110"/>
      <c r="AB565" s="110"/>
      <c r="AC565" s="141"/>
      <c r="AD565" s="141"/>
      <c r="AE565" s="110"/>
      <c r="AF565" s="110"/>
      <c r="AH565" s="207"/>
      <c r="AI565" s="110"/>
      <c r="AJ565" s="110"/>
      <c r="AL565" s="110"/>
      <c r="AM565" s="141"/>
      <c r="AN565" s="141"/>
    </row>
    <row r="566" spans="3:40" x14ac:dyDescent="0.3">
      <c r="C566" s="99"/>
      <c r="F566" s="172"/>
      <c r="T566" s="99"/>
      <c r="V566" s="110"/>
      <c r="W566" s="110"/>
      <c r="X566" s="110"/>
      <c r="Y566" s="110"/>
      <c r="Z566" s="227"/>
    </row>
    <row r="567" spans="3:40" x14ac:dyDescent="0.3">
      <c r="C567" s="99"/>
      <c r="H567" s="172"/>
      <c r="I567" s="172"/>
      <c r="J567" s="227"/>
      <c r="K567" s="227"/>
      <c r="L567" s="110"/>
      <c r="M567" s="110"/>
      <c r="N567" s="141"/>
      <c r="O567" s="141"/>
      <c r="P567" s="110"/>
      <c r="Q567" s="110"/>
      <c r="R567" s="110"/>
      <c r="T567" s="99"/>
      <c r="V567" s="110"/>
      <c r="W567" s="110"/>
      <c r="X567" s="110"/>
      <c r="Y567" s="110"/>
      <c r="Z567" s="227"/>
      <c r="AA567" s="110"/>
      <c r="AB567" s="110"/>
      <c r="AC567" s="141"/>
      <c r="AD567" s="141"/>
      <c r="AE567" s="110"/>
      <c r="AF567" s="110"/>
      <c r="AH567" s="207"/>
      <c r="AI567" s="110"/>
      <c r="AJ567" s="110"/>
      <c r="AL567" s="110"/>
      <c r="AM567" s="141"/>
      <c r="AN567" s="141"/>
    </row>
    <row r="568" spans="3:40" x14ac:dyDescent="0.3">
      <c r="C568" s="99"/>
      <c r="F568" s="172"/>
      <c r="T568" s="99"/>
      <c r="V568" s="110"/>
      <c r="W568" s="110"/>
      <c r="X568" s="110"/>
      <c r="Y568" s="110"/>
      <c r="Z568" s="227"/>
    </row>
    <row r="569" spans="3:40" x14ac:dyDescent="0.3">
      <c r="C569" s="99"/>
      <c r="H569" s="172"/>
      <c r="I569" s="172"/>
      <c r="J569" s="227"/>
      <c r="K569" s="227"/>
      <c r="L569" s="110"/>
      <c r="M569" s="110"/>
      <c r="N569" s="141"/>
      <c r="O569" s="141"/>
      <c r="P569" s="110"/>
      <c r="Q569" s="110"/>
      <c r="R569" s="110"/>
      <c r="T569" s="99"/>
      <c r="V569" s="110"/>
      <c r="W569" s="110"/>
      <c r="X569" s="110"/>
      <c r="Y569" s="110"/>
      <c r="Z569" s="227"/>
      <c r="AA569" s="110"/>
      <c r="AB569" s="110"/>
      <c r="AC569" s="141"/>
      <c r="AD569" s="141"/>
      <c r="AE569" s="110"/>
      <c r="AF569" s="110"/>
      <c r="AH569" s="207"/>
      <c r="AI569" s="110"/>
      <c r="AJ569" s="110"/>
      <c r="AL569" s="110"/>
      <c r="AM569" s="141"/>
      <c r="AN569" s="141"/>
    </row>
    <row r="570" spans="3:40" x14ac:dyDescent="0.3">
      <c r="F570" s="172"/>
      <c r="H570" s="192"/>
      <c r="I570" s="192"/>
      <c r="J570" s="217"/>
      <c r="K570" s="217"/>
      <c r="L570" s="192"/>
      <c r="M570" s="192"/>
      <c r="N570" s="192"/>
      <c r="O570" s="192"/>
      <c r="P570" s="192"/>
      <c r="Q570" s="192"/>
      <c r="R570" s="192"/>
      <c r="V570" s="192"/>
      <c r="Y570" s="192"/>
      <c r="Z570" s="217"/>
      <c r="AA570" s="192"/>
      <c r="AB570" s="192"/>
      <c r="AC570" s="192"/>
      <c r="AD570" s="192"/>
      <c r="AE570" s="192"/>
      <c r="AF570" s="192"/>
      <c r="AI570" s="192"/>
      <c r="AJ570" s="192"/>
      <c r="AK570" s="194"/>
      <c r="AL570" s="192"/>
    </row>
    <row r="571" spans="3:40" x14ac:dyDescent="0.3">
      <c r="C571" s="99"/>
      <c r="F571" s="192"/>
      <c r="H571" s="110"/>
      <c r="I571" s="110"/>
      <c r="L571" s="110"/>
      <c r="M571" s="110"/>
      <c r="N571" s="141"/>
      <c r="O571" s="141"/>
      <c r="P571" s="172"/>
      <c r="Q571" s="172"/>
      <c r="R571" s="110"/>
      <c r="T571" s="99"/>
      <c r="V571" s="110"/>
      <c r="W571" s="110"/>
      <c r="X571" s="110"/>
      <c r="Y571" s="110"/>
      <c r="Z571" s="227"/>
      <c r="AA571" s="110"/>
      <c r="AB571" s="110"/>
      <c r="AC571" s="141"/>
      <c r="AD571" s="141"/>
      <c r="AE571" s="110"/>
      <c r="AF571" s="110"/>
      <c r="AH571" s="207"/>
      <c r="AI571" s="172"/>
      <c r="AJ571" s="172"/>
      <c r="AL571" s="110"/>
      <c r="AM571" s="141"/>
      <c r="AN571" s="141"/>
    </row>
    <row r="572" spans="3:40" x14ac:dyDescent="0.3">
      <c r="F572" s="110"/>
      <c r="H572" s="192"/>
      <c r="I572" s="192"/>
      <c r="J572" s="217"/>
      <c r="K572" s="217"/>
      <c r="L572" s="192"/>
      <c r="M572" s="192"/>
      <c r="N572" s="192"/>
      <c r="O572" s="192"/>
      <c r="P572" s="192"/>
      <c r="Q572" s="192"/>
      <c r="R572" s="192"/>
      <c r="V572" s="192"/>
      <c r="Y572" s="192"/>
      <c r="Z572" s="217"/>
      <c r="AA572" s="192"/>
      <c r="AB572" s="192"/>
      <c r="AC572" s="192"/>
      <c r="AD572" s="192"/>
      <c r="AE572" s="192"/>
      <c r="AF572" s="192"/>
      <c r="AI572" s="192"/>
      <c r="AJ572" s="192"/>
      <c r="AK572" s="194"/>
      <c r="AL572" s="192"/>
    </row>
    <row r="573" spans="3:40" x14ac:dyDescent="0.3">
      <c r="C573" s="99"/>
      <c r="F573" s="192"/>
      <c r="H573" s="110"/>
      <c r="I573" s="110"/>
      <c r="L573" s="110"/>
      <c r="M573" s="110"/>
      <c r="N573" s="141"/>
      <c r="O573" s="141"/>
      <c r="P573" s="110"/>
      <c r="Q573" s="110"/>
      <c r="R573" s="110"/>
      <c r="T573" s="99"/>
      <c r="V573" s="110"/>
      <c r="W573" s="110"/>
      <c r="X573" s="110"/>
      <c r="Y573" s="110"/>
      <c r="AA573" s="110"/>
      <c r="AB573" s="110"/>
      <c r="AC573" s="141"/>
      <c r="AD573" s="141"/>
      <c r="AE573" s="110"/>
      <c r="AF573" s="110"/>
      <c r="AH573" s="207"/>
      <c r="AI573" s="110"/>
      <c r="AJ573" s="110"/>
      <c r="AL573" s="110"/>
      <c r="AM573" s="207"/>
      <c r="AN573" s="207"/>
    </row>
    <row r="574" spans="3:40" x14ac:dyDescent="0.3">
      <c r="F574" s="110"/>
      <c r="H574" s="192"/>
      <c r="I574" s="192"/>
      <c r="J574" s="217"/>
      <c r="K574" s="217"/>
      <c r="L574" s="192"/>
      <c r="M574" s="192"/>
      <c r="N574" s="192"/>
      <c r="O574" s="192"/>
      <c r="P574" s="192"/>
      <c r="Q574" s="192"/>
      <c r="R574" s="192"/>
      <c r="V574" s="192"/>
      <c r="Y574" s="192"/>
      <c r="Z574" s="217"/>
      <c r="AA574" s="192"/>
      <c r="AB574" s="192"/>
      <c r="AC574" s="192"/>
      <c r="AD574" s="192"/>
      <c r="AE574" s="192"/>
      <c r="AF574" s="192"/>
      <c r="AI574" s="192"/>
      <c r="AJ574" s="192"/>
      <c r="AK574" s="194"/>
      <c r="AL574" s="192"/>
    </row>
    <row r="576" spans="3:40" x14ac:dyDescent="0.3">
      <c r="F576" s="192"/>
    </row>
    <row r="577" spans="1:40" x14ac:dyDescent="0.3">
      <c r="A577" s="99"/>
    </row>
    <row r="579" spans="1:40" x14ac:dyDescent="0.3">
      <c r="H579" s="99"/>
      <c r="I579" s="99"/>
      <c r="Y579" s="99"/>
    </row>
    <row r="581" spans="1:40" x14ac:dyDescent="0.3">
      <c r="L581" s="99"/>
      <c r="M581" s="99"/>
      <c r="AA581" s="99"/>
      <c r="AB581" s="99"/>
    </row>
    <row r="582" spans="1:40" x14ac:dyDescent="0.3">
      <c r="R582" s="99"/>
      <c r="AK582" s="190"/>
      <c r="AL582" s="99"/>
    </row>
    <row r="583" spans="1:40" x14ac:dyDescent="0.3">
      <c r="R583" s="99"/>
      <c r="AK583" s="190"/>
      <c r="AL583" s="99"/>
    </row>
    <row r="584" spans="1:40" x14ac:dyDescent="0.3">
      <c r="A584" s="99"/>
      <c r="R584" s="99"/>
      <c r="AK584" s="190"/>
      <c r="AL584" s="99"/>
    </row>
    <row r="585" spans="1:40" x14ac:dyDescent="0.3">
      <c r="L585" s="99"/>
      <c r="M585" s="99"/>
      <c r="AA585" s="99"/>
      <c r="AB585" s="99"/>
    </row>
    <row r="586" spans="1:40" x14ac:dyDescent="0.3">
      <c r="A586" s="101"/>
      <c r="B586" s="101"/>
      <c r="C586" s="101"/>
      <c r="D586" s="101"/>
      <c r="E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T586" s="101"/>
      <c r="U586" s="101"/>
      <c r="V586" s="101"/>
      <c r="W586" s="101"/>
      <c r="X586" s="101"/>
      <c r="Y586" s="101"/>
      <c r="Z586" s="101"/>
      <c r="AA586" s="101"/>
      <c r="AB586" s="101"/>
      <c r="AC586" s="101"/>
      <c r="AD586" s="101"/>
      <c r="AE586" s="101"/>
      <c r="AF586" s="101"/>
      <c r="AG586" s="191"/>
      <c r="AH586" s="101"/>
      <c r="AI586" s="101"/>
      <c r="AJ586" s="101"/>
      <c r="AK586" s="191"/>
      <c r="AL586" s="101"/>
      <c r="AM586" s="101"/>
      <c r="AN586" s="101"/>
    </row>
    <row r="587" spans="1:40" x14ac:dyDescent="0.3">
      <c r="F587" s="101"/>
      <c r="L587" s="102"/>
      <c r="M587" s="102"/>
      <c r="N587" s="102"/>
      <c r="O587" s="102"/>
      <c r="R587" s="102"/>
      <c r="AA587" s="102"/>
      <c r="AB587" s="102"/>
      <c r="AC587" s="102"/>
      <c r="AD587" s="102"/>
      <c r="AE587" s="102"/>
      <c r="AF587" s="102"/>
      <c r="AG587" s="151"/>
      <c r="AH587" s="102"/>
      <c r="AK587" s="151"/>
      <c r="AL587" s="102"/>
      <c r="AM587" s="102"/>
      <c r="AN587" s="102"/>
    </row>
    <row r="588" spans="1:40" x14ac:dyDescent="0.3">
      <c r="L588" s="102"/>
      <c r="M588" s="102"/>
      <c r="N588" s="102"/>
      <c r="O588" s="102"/>
      <c r="R588" s="102"/>
      <c r="Z588" s="102"/>
      <c r="AA588" s="102"/>
      <c r="AB588" s="102"/>
      <c r="AC588" s="102"/>
      <c r="AD588" s="102"/>
      <c r="AE588" s="102"/>
      <c r="AF588" s="102"/>
      <c r="AG588" s="151"/>
      <c r="AH588" s="102"/>
      <c r="AK588" s="151"/>
      <c r="AL588" s="102"/>
      <c r="AM588" s="102"/>
      <c r="AN588" s="102"/>
    </row>
    <row r="589" spans="1:40" x14ac:dyDescent="0.3">
      <c r="A589" s="102"/>
      <c r="C589" s="102"/>
      <c r="D589" s="102"/>
      <c r="E589" s="102"/>
      <c r="J589" s="102"/>
      <c r="K589" s="102"/>
      <c r="L589" s="102"/>
      <c r="M589" s="102"/>
      <c r="N589" s="102"/>
      <c r="O589" s="102"/>
      <c r="P589" s="102"/>
      <c r="Q589" s="102"/>
      <c r="R589" s="102"/>
      <c r="T589" s="102"/>
      <c r="U589" s="102"/>
      <c r="V589" s="102"/>
      <c r="Z589" s="102"/>
      <c r="AA589" s="102"/>
      <c r="AB589" s="102"/>
      <c r="AC589" s="102"/>
      <c r="AD589" s="102"/>
      <c r="AE589" s="102"/>
      <c r="AF589" s="102"/>
      <c r="AG589" s="151"/>
      <c r="AH589" s="102"/>
      <c r="AI589" s="102"/>
      <c r="AJ589" s="102"/>
      <c r="AK589" s="151"/>
      <c r="AL589" s="102"/>
      <c r="AM589" s="102"/>
      <c r="AN589" s="102"/>
    </row>
    <row r="590" spans="1:40" x14ac:dyDescent="0.3">
      <c r="A590" s="102"/>
      <c r="C590" s="102"/>
      <c r="D590" s="102"/>
      <c r="E590" s="102"/>
      <c r="F590" s="102"/>
      <c r="H590" s="102"/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T590" s="102"/>
      <c r="U590" s="102"/>
      <c r="V590" s="102"/>
      <c r="Y590" s="102"/>
      <c r="Z590" s="102"/>
      <c r="AA590" s="102"/>
      <c r="AB590" s="102"/>
      <c r="AC590" s="102"/>
      <c r="AD590" s="102"/>
      <c r="AE590" s="102"/>
      <c r="AF590" s="102"/>
      <c r="AG590" s="151"/>
      <c r="AH590" s="102"/>
      <c r="AI590" s="102"/>
      <c r="AJ590" s="102"/>
      <c r="AK590" s="151"/>
      <c r="AL590" s="102"/>
      <c r="AM590" s="102"/>
      <c r="AN590" s="102"/>
    </row>
    <row r="591" spans="1:40" x14ac:dyDescent="0.3">
      <c r="C591" s="102"/>
      <c r="D591" s="102"/>
      <c r="E591" s="102"/>
      <c r="F591" s="102"/>
      <c r="H591" s="102"/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T591" s="102"/>
      <c r="U591" s="102"/>
      <c r="V591" s="102"/>
      <c r="Y591" s="102"/>
      <c r="Z591" s="102"/>
      <c r="AA591" s="102"/>
      <c r="AB591" s="102"/>
      <c r="AC591" s="102"/>
      <c r="AD591" s="102"/>
      <c r="AE591" s="102"/>
      <c r="AF591" s="102"/>
      <c r="AG591" s="151"/>
      <c r="AH591" s="102"/>
      <c r="AI591" s="102"/>
      <c r="AJ591" s="102"/>
      <c r="AK591" s="151"/>
      <c r="AL591" s="102"/>
      <c r="AM591" s="102"/>
      <c r="AN591" s="102"/>
    </row>
    <row r="592" spans="1:40" x14ac:dyDescent="0.3">
      <c r="A592" s="101"/>
      <c r="B592" s="101"/>
      <c r="C592" s="101"/>
      <c r="D592" s="101"/>
      <c r="E592" s="101"/>
      <c r="F592" s="102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T592" s="101"/>
      <c r="U592" s="101"/>
      <c r="V592" s="101"/>
      <c r="W592" s="101"/>
      <c r="X592" s="101"/>
      <c r="Y592" s="101"/>
      <c r="Z592" s="101"/>
      <c r="AA592" s="101"/>
      <c r="AB592" s="101"/>
      <c r="AC592" s="101"/>
      <c r="AD592" s="101"/>
      <c r="AE592" s="101"/>
      <c r="AF592" s="101"/>
      <c r="AG592" s="191"/>
      <c r="AH592" s="101"/>
      <c r="AI592" s="101"/>
      <c r="AJ592" s="101"/>
      <c r="AK592" s="191"/>
      <c r="AL592" s="101"/>
      <c r="AM592" s="101"/>
      <c r="AN592" s="101"/>
    </row>
    <row r="593" spans="3:40" x14ac:dyDescent="0.3">
      <c r="F593" s="101"/>
      <c r="H593" s="102"/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Y593" s="102"/>
      <c r="Z593" s="102"/>
      <c r="AA593" s="102"/>
      <c r="AB593" s="102"/>
      <c r="AC593" s="102"/>
      <c r="AD593" s="102"/>
      <c r="AE593" s="102"/>
      <c r="AF593" s="102"/>
      <c r="AG593" s="151"/>
      <c r="AH593" s="102"/>
      <c r="AI593" s="102"/>
      <c r="AJ593" s="102"/>
      <c r="AK593" s="151"/>
      <c r="AL593" s="102"/>
      <c r="AM593" s="102"/>
      <c r="AN593" s="102"/>
    </row>
    <row r="594" spans="3:40" x14ac:dyDescent="0.3">
      <c r="C594" s="99"/>
      <c r="D594" s="99"/>
      <c r="E594" s="99"/>
      <c r="H594" s="110"/>
      <c r="I594" s="110"/>
      <c r="J594" s="198"/>
      <c r="K594" s="198"/>
      <c r="L594" s="110"/>
      <c r="M594" s="110"/>
      <c r="N594" s="198"/>
      <c r="O594" s="198"/>
      <c r="P594" s="110"/>
      <c r="Q594" s="110"/>
      <c r="R594" s="110"/>
      <c r="T594" s="99"/>
      <c r="U594" s="99"/>
      <c r="V594" s="110"/>
      <c r="Y594" s="110"/>
      <c r="Z594" s="198"/>
      <c r="AA594" s="110"/>
      <c r="AB594" s="110"/>
      <c r="AC594" s="198"/>
      <c r="AD594" s="198"/>
      <c r="AE594" s="110"/>
      <c r="AF594" s="110"/>
      <c r="AH594" s="207"/>
      <c r="AI594" s="110"/>
      <c r="AJ594" s="110"/>
      <c r="AL594" s="110"/>
      <c r="AM594" s="141"/>
      <c r="AN594" s="141"/>
    </row>
    <row r="595" spans="3:40" x14ac:dyDescent="0.3">
      <c r="F595" s="110"/>
      <c r="H595" s="192"/>
      <c r="I595" s="192"/>
      <c r="J595" s="217"/>
      <c r="K595" s="217"/>
      <c r="L595" s="192"/>
      <c r="M595" s="192"/>
      <c r="N595" s="192"/>
      <c r="O595" s="192"/>
      <c r="P595" s="192"/>
      <c r="Q595" s="192"/>
      <c r="R595" s="192"/>
      <c r="V595" s="192"/>
      <c r="Y595" s="192"/>
      <c r="Z595" s="217"/>
      <c r="AA595" s="192"/>
      <c r="AB595" s="192"/>
      <c r="AC595" s="192"/>
      <c r="AD595" s="192"/>
      <c r="AE595" s="192"/>
      <c r="AF595" s="192"/>
      <c r="AI595" s="192"/>
      <c r="AJ595" s="192"/>
      <c r="AK595" s="194"/>
      <c r="AL595" s="192"/>
      <c r="AM595" s="141"/>
      <c r="AN595" s="141"/>
    </row>
    <row r="596" spans="3:40" x14ac:dyDescent="0.3">
      <c r="C596" s="99"/>
      <c r="F596" s="192"/>
      <c r="H596" s="110"/>
      <c r="I596" s="110"/>
      <c r="J596" s="198"/>
      <c r="K596" s="198"/>
      <c r="L596" s="110"/>
      <c r="M596" s="110"/>
      <c r="N596" s="198"/>
      <c r="O596" s="198"/>
      <c r="P596" s="110"/>
      <c r="Q596" s="110"/>
      <c r="R596" s="110"/>
      <c r="T596" s="99"/>
      <c r="V596" s="110"/>
      <c r="Y596" s="110"/>
      <c r="Z596" s="198"/>
      <c r="AA596" s="110"/>
      <c r="AB596" s="110"/>
      <c r="AC596" s="198"/>
      <c r="AD596" s="198"/>
      <c r="AE596" s="110"/>
      <c r="AF596" s="110"/>
      <c r="AH596" s="207"/>
      <c r="AI596" s="110"/>
      <c r="AJ596" s="110"/>
      <c r="AL596" s="110"/>
      <c r="AM596" s="141"/>
      <c r="AN596" s="141"/>
    </row>
    <row r="597" spans="3:40" x14ac:dyDescent="0.3">
      <c r="F597" s="110"/>
      <c r="H597" s="110"/>
      <c r="I597" s="110"/>
      <c r="J597" s="198"/>
      <c r="K597" s="198"/>
      <c r="L597" s="110"/>
      <c r="M597" s="110"/>
      <c r="N597" s="198"/>
      <c r="O597" s="198"/>
      <c r="P597" s="110"/>
      <c r="Q597" s="110"/>
      <c r="R597" s="110"/>
      <c r="V597" s="110"/>
      <c r="Y597" s="110"/>
      <c r="Z597" s="198"/>
      <c r="AA597" s="110"/>
      <c r="AB597" s="110"/>
      <c r="AC597" s="198"/>
      <c r="AD597" s="198"/>
      <c r="AH597" s="207"/>
      <c r="AI597" s="110"/>
      <c r="AJ597" s="110"/>
      <c r="AL597" s="110"/>
      <c r="AM597" s="141"/>
      <c r="AN597" s="141"/>
    </row>
    <row r="598" spans="3:40" x14ac:dyDescent="0.3">
      <c r="C598" s="99"/>
      <c r="D598" s="99"/>
      <c r="E598" s="99"/>
      <c r="F598" s="110"/>
      <c r="H598" s="110"/>
      <c r="I598" s="110"/>
      <c r="J598" s="198"/>
      <c r="K598" s="198"/>
      <c r="L598" s="110"/>
      <c r="M598" s="110"/>
      <c r="N598" s="198"/>
      <c r="O598" s="198"/>
      <c r="P598" s="110"/>
      <c r="Q598" s="110"/>
      <c r="R598" s="110"/>
      <c r="T598" s="99"/>
      <c r="U598" s="99"/>
      <c r="V598" s="110"/>
      <c r="Y598" s="110"/>
      <c r="Z598" s="198"/>
      <c r="AA598" s="110"/>
      <c r="AB598" s="110"/>
      <c r="AC598" s="198"/>
      <c r="AD598" s="198"/>
      <c r="AE598" s="110"/>
      <c r="AF598" s="110"/>
      <c r="AH598" s="207"/>
      <c r="AI598" s="110"/>
      <c r="AJ598" s="110"/>
      <c r="AL598" s="110"/>
      <c r="AM598" s="141"/>
      <c r="AN598" s="141"/>
    </row>
    <row r="599" spans="3:40" x14ac:dyDescent="0.3">
      <c r="C599" s="99"/>
      <c r="D599" s="99"/>
      <c r="E599" s="99"/>
      <c r="F599" s="110"/>
      <c r="H599" s="110"/>
      <c r="I599" s="110"/>
      <c r="J599" s="198"/>
      <c r="K599" s="198"/>
      <c r="L599" s="110"/>
      <c r="M599" s="110"/>
      <c r="N599" s="198"/>
      <c r="O599" s="198"/>
      <c r="P599" s="110"/>
      <c r="Q599" s="110"/>
      <c r="R599" s="110"/>
      <c r="T599" s="99"/>
      <c r="U599" s="99"/>
      <c r="V599" s="110"/>
      <c r="Y599" s="110"/>
      <c r="Z599" s="198"/>
      <c r="AA599" s="110"/>
      <c r="AB599" s="110"/>
      <c r="AC599" s="198"/>
      <c r="AD599" s="198"/>
      <c r="AE599" s="110"/>
      <c r="AF599" s="110"/>
      <c r="AH599" s="207"/>
      <c r="AI599" s="110"/>
      <c r="AJ599" s="110"/>
      <c r="AL599" s="110"/>
      <c r="AM599" s="141"/>
      <c r="AN599" s="141"/>
    </row>
    <row r="600" spans="3:40" x14ac:dyDescent="0.3">
      <c r="C600" s="99"/>
      <c r="D600" s="99"/>
      <c r="E600" s="99"/>
      <c r="F600" s="110"/>
      <c r="H600" s="110"/>
      <c r="I600" s="110"/>
      <c r="J600" s="198"/>
      <c r="K600" s="198"/>
      <c r="L600" s="110"/>
      <c r="M600" s="110"/>
      <c r="N600" s="198"/>
      <c r="O600" s="198"/>
      <c r="P600" s="110"/>
      <c r="Q600" s="110"/>
      <c r="R600" s="110"/>
      <c r="T600" s="99"/>
      <c r="U600" s="99"/>
      <c r="V600" s="110"/>
      <c r="Y600" s="110"/>
      <c r="Z600" s="198"/>
      <c r="AA600" s="110"/>
      <c r="AB600" s="110"/>
      <c r="AC600" s="198"/>
      <c r="AD600" s="198"/>
      <c r="AE600" s="110"/>
      <c r="AF600" s="110"/>
      <c r="AH600" s="207"/>
      <c r="AI600" s="110"/>
      <c r="AJ600" s="110"/>
      <c r="AL600" s="110"/>
      <c r="AM600" s="141"/>
      <c r="AN600" s="141"/>
    </row>
    <row r="601" spans="3:40" x14ac:dyDescent="0.3">
      <c r="C601" s="99"/>
      <c r="D601" s="99"/>
      <c r="E601" s="99"/>
      <c r="F601" s="110"/>
      <c r="H601" s="110"/>
      <c r="I601" s="110"/>
      <c r="J601" s="198"/>
      <c r="K601" s="198"/>
      <c r="L601" s="110"/>
      <c r="M601" s="110"/>
      <c r="N601" s="198"/>
      <c r="O601" s="198"/>
      <c r="P601" s="110"/>
      <c r="Q601" s="110"/>
      <c r="R601" s="110"/>
      <c r="T601" s="99"/>
      <c r="U601" s="99"/>
      <c r="V601" s="110"/>
      <c r="Y601" s="110"/>
      <c r="Z601" s="198"/>
      <c r="AA601" s="110"/>
      <c r="AB601" s="110"/>
      <c r="AC601" s="198"/>
      <c r="AD601" s="198"/>
      <c r="AE601" s="110"/>
      <c r="AF601" s="110"/>
      <c r="AH601" s="207"/>
      <c r="AI601" s="110"/>
      <c r="AJ601" s="110"/>
      <c r="AL601" s="110"/>
      <c r="AM601" s="141"/>
      <c r="AN601" s="141"/>
    </row>
    <row r="602" spans="3:40" x14ac:dyDescent="0.3">
      <c r="C602" s="99"/>
      <c r="D602" s="99"/>
      <c r="E602" s="99"/>
      <c r="F602" s="110"/>
      <c r="H602" s="110"/>
      <c r="I602" s="110"/>
      <c r="J602" s="198"/>
      <c r="K602" s="198"/>
      <c r="L602" s="110"/>
      <c r="M602" s="110"/>
      <c r="N602" s="198"/>
      <c r="O602" s="198"/>
      <c r="P602" s="110"/>
      <c r="Q602" s="110"/>
      <c r="R602" s="110"/>
      <c r="T602" s="99"/>
      <c r="U602" s="99"/>
      <c r="V602" s="110"/>
      <c r="Y602" s="110"/>
      <c r="Z602" s="198"/>
      <c r="AA602" s="110"/>
      <c r="AB602" s="110"/>
      <c r="AC602" s="198"/>
      <c r="AD602" s="198"/>
      <c r="AE602" s="110"/>
      <c r="AF602" s="110"/>
      <c r="AH602" s="207"/>
      <c r="AI602" s="110"/>
      <c r="AJ602" s="110"/>
      <c r="AL602" s="110"/>
      <c r="AM602" s="141"/>
      <c r="AN602" s="141"/>
    </row>
    <row r="603" spans="3:40" x14ac:dyDescent="0.3">
      <c r="C603" s="99"/>
      <c r="D603" s="99"/>
      <c r="E603" s="99"/>
      <c r="F603" s="110"/>
      <c r="H603" s="110"/>
      <c r="I603" s="110"/>
      <c r="J603" s="198"/>
      <c r="K603" s="198"/>
      <c r="L603" s="110"/>
      <c r="M603" s="110"/>
      <c r="N603" s="198"/>
      <c r="O603" s="198"/>
      <c r="P603" s="110"/>
      <c r="Q603" s="110"/>
      <c r="R603" s="110"/>
      <c r="T603" s="99"/>
      <c r="U603" s="99"/>
      <c r="V603" s="110"/>
      <c r="Y603" s="110"/>
      <c r="Z603" s="198"/>
      <c r="AA603" s="110"/>
      <c r="AB603" s="110"/>
      <c r="AC603" s="198"/>
      <c r="AD603" s="198"/>
      <c r="AE603" s="110"/>
      <c r="AF603" s="110"/>
      <c r="AH603" s="207"/>
      <c r="AI603" s="110"/>
      <c r="AJ603" s="110"/>
      <c r="AL603" s="110"/>
      <c r="AM603" s="141"/>
      <c r="AN603" s="141"/>
    </row>
    <row r="604" spans="3:40" x14ac:dyDescent="0.3">
      <c r="F604" s="110"/>
      <c r="H604" s="192"/>
      <c r="I604" s="192"/>
      <c r="J604" s="217"/>
      <c r="K604" s="217"/>
      <c r="L604" s="192"/>
      <c r="M604" s="192"/>
      <c r="N604" s="192"/>
      <c r="O604" s="192"/>
      <c r="P604" s="192"/>
      <c r="Q604" s="192"/>
      <c r="R604" s="192"/>
      <c r="V604" s="192"/>
      <c r="Y604" s="192"/>
      <c r="Z604" s="217"/>
      <c r="AA604" s="192"/>
      <c r="AB604" s="192"/>
      <c r="AC604" s="192"/>
      <c r="AD604" s="192"/>
      <c r="AE604" s="192"/>
      <c r="AF604" s="192"/>
      <c r="AI604" s="192"/>
      <c r="AJ604" s="192"/>
      <c r="AK604" s="194"/>
      <c r="AL604" s="192"/>
      <c r="AM604" s="141"/>
      <c r="AN604" s="141"/>
    </row>
    <row r="605" spans="3:40" x14ac:dyDescent="0.3">
      <c r="C605" s="99"/>
      <c r="F605" s="192"/>
      <c r="H605" s="110"/>
      <c r="I605" s="110"/>
      <c r="J605" s="198"/>
      <c r="K605" s="198"/>
      <c r="L605" s="110"/>
      <c r="M605" s="110"/>
      <c r="N605" s="198"/>
      <c r="O605" s="198"/>
      <c r="P605" s="110"/>
      <c r="Q605" s="110"/>
      <c r="R605" s="110"/>
      <c r="T605" s="99"/>
      <c r="V605" s="110"/>
      <c r="Y605" s="110"/>
      <c r="Z605" s="198"/>
      <c r="AA605" s="110"/>
      <c r="AB605" s="110"/>
      <c r="AC605" s="198"/>
      <c r="AD605" s="198"/>
      <c r="AE605" s="110"/>
      <c r="AF605" s="110"/>
      <c r="AH605" s="207"/>
      <c r="AI605" s="110"/>
      <c r="AJ605" s="110"/>
      <c r="AL605" s="110"/>
      <c r="AM605" s="141"/>
      <c r="AN605" s="141"/>
    </row>
    <row r="606" spans="3:40" x14ac:dyDescent="0.3">
      <c r="F606" s="110"/>
      <c r="H606" s="110"/>
      <c r="I606" s="110"/>
      <c r="J606" s="198"/>
      <c r="K606" s="198"/>
      <c r="L606" s="110"/>
      <c r="M606" s="110"/>
      <c r="N606" s="198"/>
      <c r="O606" s="198"/>
      <c r="P606" s="110"/>
      <c r="Q606" s="110"/>
      <c r="R606" s="110"/>
      <c r="V606" s="110"/>
      <c r="Y606" s="110"/>
      <c r="Z606" s="198"/>
      <c r="AA606" s="110"/>
      <c r="AB606" s="110"/>
      <c r="AC606" s="198"/>
      <c r="AD606" s="198"/>
      <c r="AH606" s="207"/>
      <c r="AI606" s="110"/>
      <c r="AJ606" s="110"/>
      <c r="AL606" s="110"/>
      <c r="AM606" s="141"/>
      <c r="AN606" s="141"/>
    </row>
    <row r="607" spans="3:40" x14ac:dyDescent="0.3">
      <c r="C607" s="99"/>
      <c r="D607" s="99"/>
      <c r="E607" s="99"/>
      <c r="F607" s="110"/>
      <c r="H607" s="110"/>
      <c r="I607" s="110"/>
      <c r="J607" s="198"/>
      <c r="K607" s="198"/>
      <c r="L607" s="110"/>
      <c r="M607" s="110"/>
      <c r="N607" s="198"/>
      <c r="O607" s="198"/>
      <c r="P607" s="110"/>
      <c r="Q607" s="110"/>
      <c r="R607" s="110"/>
      <c r="T607" s="99"/>
      <c r="U607" s="99"/>
      <c r="V607" s="110"/>
      <c r="Y607" s="110"/>
      <c r="Z607" s="198"/>
      <c r="AA607" s="110"/>
      <c r="AB607" s="110"/>
      <c r="AC607" s="198"/>
      <c r="AD607" s="198"/>
      <c r="AE607" s="110"/>
      <c r="AF607" s="110"/>
      <c r="AH607" s="207"/>
      <c r="AI607" s="110"/>
      <c r="AJ607" s="110"/>
      <c r="AL607" s="110"/>
      <c r="AM607" s="141"/>
      <c r="AN607" s="141"/>
    </row>
    <row r="608" spans="3:40" x14ac:dyDescent="0.3">
      <c r="F608" s="110"/>
      <c r="H608" s="192"/>
      <c r="I608" s="192"/>
      <c r="J608" s="217"/>
      <c r="K608" s="217"/>
      <c r="L608" s="192"/>
      <c r="M608" s="192"/>
      <c r="N608" s="192"/>
      <c r="O608" s="192"/>
      <c r="P608" s="192"/>
      <c r="Q608" s="192"/>
      <c r="R608" s="192"/>
      <c r="V608" s="192"/>
      <c r="Y608" s="192"/>
      <c r="Z608" s="217"/>
      <c r="AA608" s="192"/>
      <c r="AB608" s="192"/>
      <c r="AC608" s="192"/>
      <c r="AD608" s="192"/>
      <c r="AE608" s="192"/>
      <c r="AF608" s="192"/>
      <c r="AI608" s="192"/>
      <c r="AJ608" s="192"/>
      <c r="AK608" s="194"/>
      <c r="AL608" s="192"/>
      <c r="AM608" s="141"/>
      <c r="AN608" s="141"/>
    </row>
    <row r="609" spans="3:40" x14ac:dyDescent="0.3">
      <c r="C609" s="99"/>
      <c r="F609" s="192"/>
      <c r="H609" s="110"/>
      <c r="I609" s="110"/>
      <c r="J609" s="198"/>
      <c r="K609" s="198"/>
      <c r="L609" s="110"/>
      <c r="M609" s="110"/>
      <c r="N609" s="198"/>
      <c r="O609" s="198"/>
      <c r="P609" s="110"/>
      <c r="Q609" s="110"/>
      <c r="R609" s="110"/>
      <c r="T609" s="99"/>
      <c r="V609" s="110"/>
      <c r="Y609" s="110"/>
      <c r="Z609" s="198"/>
      <c r="AA609" s="110"/>
      <c r="AB609" s="110"/>
      <c r="AC609" s="198"/>
      <c r="AD609" s="198"/>
      <c r="AE609" s="110"/>
      <c r="AF609" s="110"/>
      <c r="AH609" s="207"/>
      <c r="AI609" s="110"/>
      <c r="AJ609" s="110"/>
      <c r="AL609" s="110"/>
      <c r="AM609" s="141"/>
      <c r="AN609" s="141"/>
    </row>
    <row r="610" spans="3:40" x14ac:dyDescent="0.3">
      <c r="F610" s="110"/>
      <c r="H610" s="110"/>
      <c r="I610" s="110"/>
      <c r="J610" s="198"/>
      <c r="K610" s="198"/>
      <c r="L610" s="110"/>
      <c r="M610" s="110"/>
      <c r="N610" s="198"/>
      <c r="O610" s="198"/>
      <c r="P610" s="110"/>
      <c r="Q610" s="110"/>
      <c r="R610" s="110"/>
      <c r="V610" s="110"/>
      <c r="Y610" s="110"/>
      <c r="Z610" s="198"/>
      <c r="AA610" s="110"/>
      <c r="AB610" s="110"/>
      <c r="AC610" s="198"/>
      <c r="AD610" s="198"/>
      <c r="AH610" s="207"/>
      <c r="AI610" s="110"/>
      <c r="AJ610" s="110"/>
      <c r="AL610" s="110"/>
      <c r="AM610" s="141"/>
      <c r="AN610" s="141"/>
    </row>
    <row r="611" spans="3:40" x14ac:dyDescent="0.3">
      <c r="C611" s="99"/>
      <c r="D611" s="99"/>
      <c r="E611" s="99"/>
      <c r="F611" s="110"/>
      <c r="H611" s="110"/>
      <c r="I611" s="110"/>
      <c r="J611" s="198"/>
      <c r="K611" s="198"/>
      <c r="L611" s="110"/>
      <c r="M611" s="110"/>
      <c r="N611" s="198"/>
      <c r="O611" s="198"/>
      <c r="P611" s="110"/>
      <c r="Q611" s="110"/>
      <c r="R611" s="110"/>
      <c r="T611" s="99"/>
      <c r="U611" s="99"/>
      <c r="V611" s="110"/>
      <c r="Y611" s="110"/>
      <c r="Z611" s="198"/>
      <c r="AA611" s="110"/>
      <c r="AB611" s="110"/>
      <c r="AC611" s="198"/>
      <c r="AD611" s="198"/>
      <c r="AE611" s="110"/>
      <c r="AF611" s="110"/>
      <c r="AH611" s="207"/>
      <c r="AI611" s="110"/>
      <c r="AJ611" s="110"/>
      <c r="AL611" s="110"/>
      <c r="AM611" s="141"/>
      <c r="AN611" s="141"/>
    </row>
    <row r="612" spans="3:40" x14ac:dyDescent="0.3">
      <c r="C612" s="99"/>
      <c r="D612" s="99"/>
      <c r="E612" s="99"/>
      <c r="F612" s="110"/>
      <c r="G612" s="110"/>
      <c r="H612" s="110"/>
      <c r="I612" s="110"/>
      <c r="J612" s="198"/>
      <c r="K612" s="198"/>
      <c r="L612" s="110"/>
      <c r="M612" s="110"/>
      <c r="N612" s="198"/>
      <c r="O612" s="198"/>
      <c r="P612" s="110"/>
      <c r="Q612" s="110"/>
      <c r="R612" s="110"/>
      <c r="T612" s="99"/>
      <c r="U612" s="99"/>
      <c r="V612" s="110"/>
      <c r="W612" s="110"/>
      <c r="X612" s="110"/>
      <c r="Y612" s="110"/>
      <c r="Z612" s="198"/>
      <c r="AA612" s="110"/>
      <c r="AB612" s="110"/>
      <c r="AC612" s="198"/>
      <c r="AD612" s="198"/>
      <c r="AE612" s="110"/>
      <c r="AF612" s="110"/>
      <c r="AH612" s="207"/>
      <c r="AI612" s="110"/>
      <c r="AJ612" s="110"/>
      <c r="AL612" s="110"/>
      <c r="AM612" s="141"/>
      <c r="AN612" s="141"/>
    </row>
    <row r="613" spans="3:40" x14ac:dyDescent="0.3">
      <c r="C613" s="99"/>
      <c r="D613" s="99"/>
      <c r="E613" s="99"/>
      <c r="F613" s="110"/>
      <c r="G613" s="110"/>
      <c r="H613" s="110"/>
      <c r="I613" s="110"/>
      <c r="J613" s="198"/>
      <c r="K613" s="198"/>
      <c r="L613" s="110"/>
      <c r="M613" s="110"/>
      <c r="N613" s="198"/>
      <c r="O613" s="198"/>
      <c r="P613" s="110"/>
      <c r="Q613" s="110"/>
      <c r="R613" s="110"/>
      <c r="T613" s="99"/>
      <c r="U613" s="99"/>
      <c r="V613" s="110"/>
      <c r="W613" s="110"/>
      <c r="X613" s="110"/>
      <c r="Y613" s="110"/>
      <c r="Z613" s="198"/>
      <c r="AA613" s="110"/>
      <c r="AB613" s="110"/>
      <c r="AC613" s="198"/>
      <c r="AD613" s="198"/>
      <c r="AE613" s="110"/>
      <c r="AF613" s="110"/>
      <c r="AH613" s="207"/>
      <c r="AI613" s="110"/>
      <c r="AJ613" s="110"/>
      <c r="AL613" s="110"/>
      <c r="AM613" s="141"/>
      <c r="AN613" s="141"/>
    </row>
    <row r="614" spans="3:40" x14ac:dyDescent="0.3">
      <c r="C614" s="99"/>
      <c r="D614" s="99"/>
      <c r="E614" s="99"/>
      <c r="F614" s="110"/>
      <c r="H614" s="110"/>
      <c r="I614" s="110"/>
      <c r="J614" s="198"/>
      <c r="K614" s="198"/>
      <c r="L614" s="110"/>
      <c r="M614" s="110"/>
      <c r="N614" s="198"/>
      <c r="O614" s="198"/>
      <c r="P614" s="110"/>
      <c r="Q614" s="110"/>
      <c r="R614" s="110"/>
      <c r="T614" s="99"/>
      <c r="U614" s="99"/>
      <c r="V614" s="110"/>
      <c r="Y614" s="110"/>
      <c r="Z614" s="198"/>
      <c r="AA614" s="110"/>
      <c r="AB614" s="110"/>
      <c r="AC614" s="198"/>
      <c r="AD614" s="198"/>
      <c r="AE614" s="110"/>
      <c r="AF614" s="110"/>
      <c r="AH614" s="207"/>
      <c r="AI614" s="110"/>
      <c r="AJ614" s="110"/>
      <c r="AL614" s="110"/>
      <c r="AM614" s="141"/>
      <c r="AN614" s="141"/>
    </row>
    <row r="615" spans="3:40" x14ac:dyDescent="0.3">
      <c r="C615" s="99"/>
      <c r="D615" s="99"/>
      <c r="E615" s="99"/>
      <c r="F615" s="110"/>
      <c r="H615" s="110"/>
      <c r="I615" s="110"/>
      <c r="J615" s="198"/>
      <c r="K615" s="198"/>
      <c r="L615" s="110"/>
      <c r="M615" s="110"/>
      <c r="N615" s="198"/>
      <c r="O615" s="198"/>
      <c r="P615" s="110"/>
      <c r="Q615" s="110"/>
      <c r="R615" s="110"/>
      <c r="T615" s="99"/>
      <c r="U615" s="99"/>
      <c r="V615" s="110"/>
      <c r="Y615" s="110"/>
      <c r="Z615" s="198"/>
      <c r="AA615" s="110"/>
      <c r="AB615" s="110"/>
      <c r="AC615" s="198"/>
      <c r="AD615" s="198"/>
      <c r="AE615" s="110"/>
      <c r="AF615" s="110"/>
      <c r="AH615" s="207"/>
      <c r="AI615" s="110"/>
      <c r="AJ615" s="110"/>
      <c r="AL615" s="110"/>
      <c r="AM615" s="141"/>
      <c r="AN615" s="141"/>
    </row>
    <row r="616" spans="3:40" x14ac:dyDescent="0.3">
      <c r="C616" s="99"/>
      <c r="D616" s="99"/>
      <c r="E616" s="99"/>
      <c r="F616" s="110"/>
      <c r="H616" s="110"/>
      <c r="I616" s="110"/>
      <c r="J616" s="198"/>
      <c r="K616" s="198"/>
      <c r="L616" s="110"/>
      <c r="M616" s="110"/>
      <c r="N616" s="198"/>
      <c r="O616" s="198"/>
      <c r="P616" s="110"/>
      <c r="Q616" s="110"/>
      <c r="R616" s="110"/>
      <c r="T616" s="99"/>
      <c r="U616" s="99"/>
      <c r="V616" s="110"/>
      <c r="Y616" s="110"/>
      <c r="Z616" s="198"/>
      <c r="AA616" s="110"/>
      <c r="AB616" s="110"/>
      <c r="AC616" s="198"/>
      <c r="AD616" s="198"/>
      <c r="AE616" s="110"/>
      <c r="AF616" s="110"/>
      <c r="AH616" s="207"/>
      <c r="AI616" s="110"/>
      <c r="AJ616" s="110"/>
      <c r="AL616" s="110"/>
      <c r="AM616" s="141"/>
      <c r="AN616" s="141"/>
    </row>
    <row r="617" spans="3:40" x14ac:dyDescent="0.3">
      <c r="C617" s="99"/>
      <c r="D617" s="99"/>
      <c r="E617" s="99"/>
      <c r="F617" s="110"/>
      <c r="H617" s="110"/>
      <c r="I617" s="110"/>
      <c r="J617" s="198"/>
      <c r="K617" s="198"/>
      <c r="L617" s="110"/>
      <c r="M617" s="110"/>
      <c r="N617" s="198"/>
      <c r="O617" s="198"/>
      <c r="P617" s="110"/>
      <c r="Q617" s="110"/>
      <c r="R617" s="110"/>
      <c r="T617" s="99"/>
      <c r="U617" s="99"/>
      <c r="V617" s="110"/>
      <c r="Y617" s="110"/>
      <c r="Z617" s="198"/>
      <c r="AA617" s="110"/>
      <c r="AB617" s="110"/>
      <c r="AC617" s="198"/>
      <c r="AD617" s="198"/>
      <c r="AE617" s="110"/>
      <c r="AF617" s="110"/>
      <c r="AH617" s="207"/>
      <c r="AI617" s="110"/>
      <c r="AJ617" s="110"/>
      <c r="AL617" s="110"/>
      <c r="AM617" s="141"/>
      <c r="AN617" s="141"/>
    </row>
    <row r="618" spans="3:40" x14ac:dyDescent="0.3">
      <c r="F618" s="110"/>
      <c r="H618" s="192"/>
      <c r="I618" s="192"/>
      <c r="J618" s="217"/>
      <c r="K618" s="217"/>
      <c r="L618" s="192"/>
      <c r="M618" s="192"/>
      <c r="N618" s="192"/>
      <c r="O618" s="192"/>
      <c r="P618" s="192"/>
      <c r="Q618" s="192"/>
      <c r="R618" s="192"/>
      <c r="V618" s="192"/>
      <c r="Y618" s="192"/>
      <c r="Z618" s="217"/>
      <c r="AA618" s="192"/>
      <c r="AB618" s="192"/>
      <c r="AC618" s="192"/>
      <c r="AD618" s="192"/>
      <c r="AE618" s="192"/>
      <c r="AF618" s="192"/>
      <c r="AI618" s="192"/>
      <c r="AJ618" s="192"/>
      <c r="AK618" s="194"/>
      <c r="AL618" s="192"/>
      <c r="AM618" s="141"/>
      <c r="AN618" s="141"/>
    </row>
    <row r="619" spans="3:40" x14ac:dyDescent="0.3">
      <c r="C619" s="99"/>
      <c r="F619" s="192"/>
      <c r="H619" s="110"/>
      <c r="I619" s="110"/>
      <c r="J619" s="198"/>
      <c r="K619" s="198"/>
      <c r="L619" s="110"/>
      <c r="M619" s="110"/>
      <c r="N619" s="198"/>
      <c r="O619" s="198"/>
      <c r="P619" s="110"/>
      <c r="Q619" s="110"/>
      <c r="R619" s="110"/>
      <c r="T619" s="99"/>
      <c r="V619" s="110"/>
      <c r="Y619" s="110"/>
      <c r="Z619" s="198"/>
      <c r="AA619" s="110"/>
      <c r="AB619" s="110"/>
      <c r="AC619" s="198"/>
      <c r="AD619" s="198"/>
      <c r="AE619" s="110"/>
      <c r="AF619" s="110"/>
      <c r="AH619" s="207"/>
      <c r="AI619" s="110"/>
      <c r="AJ619" s="110"/>
      <c r="AL619" s="110"/>
      <c r="AM619" s="141"/>
      <c r="AN619" s="141"/>
    </row>
    <row r="620" spans="3:40" x14ac:dyDescent="0.3">
      <c r="F620" s="110"/>
      <c r="V620" s="110"/>
      <c r="Y620" s="110"/>
      <c r="Z620" s="217"/>
      <c r="AA620" s="110"/>
      <c r="AB620" s="110"/>
      <c r="AC620" s="110"/>
      <c r="AD620" s="110"/>
      <c r="AE620" s="110"/>
      <c r="AF620" s="110"/>
      <c r="AI620" s="110"/>
      <c r="AJ620" s="110"/>
      <c r="AL620" s="110"/>
      <c r="AM620" s="141"/>
      <c r="AN620" s="141"/>
    </row>
    <row r="621" spans="3:40" x14ac:dyDescent="0.3">
      <c r="C621" s="99"/>
      <c r="D621" s="99"/>
      <c r="E621" s="99"/>
      <c r="L621" s="110"/>
      <c r="M621" s="110"/>
      <c r="N621" s="198"/>
      <c r="O621" s="198"/>
      <c r="R621" s="110"/>
      <c r="T621" s="99"/>
      <c r="U621" s="99"/>
      <c r="AA621" s="110"/>
      <c r="AB621" s="110"/>
      <c r="AC621" s="198"/>
      <c r="AD621" s="198"/>
      <c r="AE621" s="110"/>
      <c r="AF621" s="110"/>
      <c r="AH621" s="207"/>
      <c r="AL621" s="110"/>
      <c r="AM621" s="141"/>
      <c r="AN621" s="141"/>
    </row>
    <row r="622" spans="3:40" x14ac:dyDescent="0.3">
      <c r="D622" s="99"/>
      <c r="E622" s="99"/>
      <c r="H622" s="172"/>
      <c r="I622" s="172"/>
      <c r="J622" s="198"/>
      <c r="K622" s="198"/>
      <c r="L622" s="110"/>
      <c r="M622" s="110"/>
      <c r="N622" s="198"/>
      <c r="O622" s="198"/>
      <c r="P622" s="172"/>
      <c r="Q622" s="172"/>
      <c r="R622" s="110"/>
      <c r="U622" s="99"/>
      <c r="V622" s="110"/>
      <c r="Y622" s="110"/>
      <c r="Z622" s="198"/>
      <c r="AA622" s="110"/>
      <c r="AB622" s="110"/>
      <c r="AC622" s="198"/>
      <c r="AD622" s="198"/>
      <c r="AE622" s="110"/>
      <c r="AF622" s="110"/>
      <c r="AH622" s="207"/>
      <c r="AI622" s="110"/>
      <c r="AJ622" s="110"/>
      <c r="AL622" s="110"/>
      <c r="AM622" s="141"/>
      <c r="AN622" s="141"/>
    </row>
    <row r="623" spans="3:40" x14ac:dyDescent="0.3">
      <c r="F623" s="172"/>
      <c r="H623" s="192"/>
      <c r="I623" s="192"/>
      <c r="J623" s="217"/>
      <c r="K623" s="217"/>
      <c r="L623" s="192"/>
      <c r="M623" s="192"/>
      <c r="N623" s="192"/>
      <c r="O623" s="192"/>
      <c r="P623" s="192"/>
      <c r="Q623" s="192"/>
      <c r="R623" s="192"/>
      <c r="V623" s="192"/>
      <c r="Y623" s="192"/>
      <c r="Z623" s="217"/>
      <c r="AA623" s="192"/>
      <c r="AB623" s="192"/>
      <c r="AC623" s="192"/>
      <c r="AD623" s="192"/>
      <c r="AE623" s="192"/>
      <c r="AF623" s="192"/>
      <c r="AI623" s="192"/>
      <c r="AJ623" s="192"/>
      <c r="AK623" s="194"/>
      <c r="AL623" s="192"/>
      <c r="AM623" s="141"/>
      <c r="AN623" s="141"/>
    </row>
    <row r="624" spans="3:40" x14ac:dyDescent="0.3">
      <c r="C624" s="99"/>
      <c r="F624" s="192"/>
      <c r="H624" s="110"/>
      <c r="I624" s="110"/>
      <c r="J624" s="198"/>
      <c r="K624" s="198"/>
      <c r="L624" s="110"/>
      <c r="M624" s="110"/>
      <c r="N624" s="198"/>
      <c r="O624" s="198"/>
      <c r="P624" s="110"/>
      <c r="Q624" s="110"/>
      <c r="R624" s="110"/>
      <c r="T624" s="99"/>
      <c r="V624" s="110"/>
      <c r="Y624" s="110"/>
      <c r="Z624" s="198"/>
      <c r="AA624" s="110"/>
      <c r="AB624" s="110"/>
      <c r="AC624" s="198"/>
      <c r="AD624" s="198"/>
      <c r="AE624" s="110"/>
      <c r="AF624" s="110"/>
      <c r="AH624" s="207"/>
      <c r="AI624" s="110"/>
      <c r="AJ624" s="110"/>
      <c r="AL624" s="110"/>
      <c r="AM624" s="141"/>
      <c r="AN624" s="141"/>
    </row>
    <row r="625" spans="1:40" x14ac:dyDescent="0.3">
      <c r="F625" s="110"/>
      <c r="H625" s="110"/>
      <c r="I625" s="110"/>
      <c r="J625" s="198"/>
      <c r="K625" s="198"/>
      <c r="L625" s="110"/>
      <c r="M625" s="110"/>
      <c r="N625" s="198"/>
      <c r="O625" s="198"/>
      <c r="P625" s="110"/>
      <c r="Q625" s="110"/>
      <c r="R625" s="110"/>
      <c r="V625" s="110"/>
      <c r="Y625" s="110"/>
      <c r="Z625" s="198"/>
      <c r="AA625" s="110"/>
      <c r="AB625" s="110"/>
      <c r="AC625" s="198"/>
      <c r="AD625" s="198"/>
      <c r="AH625" s="207"/>
      <c r="AI625" s="110"/>
      <c r="AJ625" s="110"/>
      <c r="AL625" s="110"/>
      <c r="AM625" s="141"/>
      <c r="AN625" s="141"/>
    </row>
    <row r="626" spans="1:40" x14ac:dyDescent="0.3">
      <c r="D626" s="99"/>
      <c r="E626" s="99"/>
      <c r="F626" s="110"/>
      <c r="H626" s="110"/>
      <c r="I626" s="110"/>
      <c r="J626" s="198"/>
      <c r="K626" s="198"/>
      <c r="L626" s="172"/>
      <c r="M626" s="172"/>
      <c r="N626" s="198"/>
      <c r="O626" s="198"/>
      <c r="P626" s="110"/>
      <c r="Q626" s="110"/>
      <c r="R626" s="110"/>
      <c r="U626" s="99"/>
      <c r="V626" s="110"/>
      <c r="Y626" s="110"/>
      <c r="Z626" s="198"/>
      <c r="AA626" s="172"/>
      <c r="AB626" s="172"/>
      <c r="AC626" s="198"/>
      <c r="AD626" s="198"/>
      <c r="AE626" s="110"/>
      <c r="AF626" s="110"/>
      <c r="AH626" s="207"/>
      <c r="AI626" s="110"/>
      <c r="AJ626" s="110"/>
      <c r="AL626" s="110"/>
      <c r="AM626" s="141"/>
      <c r="AN626" s="141"/>
    </row>
    <row r="627" spans="1:40" x14ac:dyDescent="0.3">
      <c r="D627" s="99"/>
      <c r="E627" s="99"/>
      <c r="F627" s="110"/>
      <c r="H627" s="110"/>
      <c r="I627" s="110"/>
      <c r="J627" s="198"/>
      <c r="K627" s="198"/>
      <c r="L627" s="172"/>
      <c r="M627" s="172"/>
      <c r="N627" s="198"/>
      <c r="O627" s="198"/>
      <c r="P627" s="110"/>
      <c r="Q627" s="110"/>
      <c r="R627" s="110"/>
      <c r="U627" s="99"/>
      <c r="V627" s="110"/>
      <c r="Y627" s="110"/>
      <c r="Z627" s="198"/>
      <c r="AA627" s="172"/>
      <c r="AB627" s="172"/>
      <c r="AC627" s="198"/>
      <c r="AD627" s="198"/>
      <c r="AE627" s="110"/>
      <c r="AF627" s="110"/>
      <c r="AH627" s="207"/>
      <c r="AI627" s="110"/>
      <c r="AJ627" s="110"/>
      <c r="AL627" s="110"/>
      <c r="AM627" s="141"/>
      <c r="AN627" s="141"/>
    </row>
    <row r="628" spans="1:40" x14ac:dyDescent="0.3">
      <c r="D628" s="99"/>
      <c r="E628" s="99"/>
      <c r="F628" s="110"/>
      <c r="H628" s="110"/>
      <c r="I628" s="110"/>
      <c r="J628" s="198"/>
      <c r="K628" s="198"/>
      <c r="L628" s="172"/>
      <c r="M628" s="172"/>
      <c r="N628" s="198"/>
      <c r="O628" s="198"/>
      <c r="P628" s="110"/>
      <c r="Q628" s="110"/>
      <c r="R628" s="110"/>
      <c r="U628" s="99"/>
      <c r="V628" s="110"/>
      <c r="Y628" s="110"/>
      <c r="Z628" s="198"/>
      <c r="AA628" s="172"/>
      <c r="AB628" s="172"/>
      <c r="AC628" s="198"/>
      <c r="AD628" s="198"/>
      <c r="AE628" s="110"/>
      <c r="AF628" s="110"/>
      <c r="AH628" s="207"/>
      <c r="AI628" s="110"/>
      <c r="AJ628" s="110"/>
      <c r="AL628" s="110"/>
      <c r="AM628" s="141"/>
      <c r="AN628" s="141"/>
    </row>
    <row r="629" spans="1:40" x14ac:dyDescent="0.3">
      <c r="F629" s="110"/>
      <c r="H629" s="192"/>
      <c r="I629" s="192"/>
      <c r="J629" s="217"/>
      <c r="K629" s="217"/>
      <c r="L629" s="192"/>
      <c r="M629" s="192"/>
      <c r="N629" s="192"/>
      <c r="O629" s="192"/>
      <c r="P629" s="192"/>
      <c r="Q629" s="192"/>
      <c r="R629" s="192"/>
      <c r="V629" s="192"/>
      <c r="Y629" s="192"/>
      <c r="Z629" s="217"/>
      <c r="AA629" s="192"/>
      <c r="AB629" s="192"/>
      <c r="AC629" s="192"/>
      <c r="AD629" s="192"/>
      <c r="AE629" s="192"/>
      <c r="AF629" s="192"/>
      <c r="AI629" s="192"/>
      <c r="AJ629" s="192"/>
      <c r="AK629" s="194"/>
      <c r="AL629" s="192"/>
      <c r="AM629" s="141"/>
      <c r="AN629" s="141"/>
    </row>
    <row r="630" spans="1:40" x14ac:dyDescent="0.3">
      <c r="C630" s="99"/>
      <c r="F630" s="192"/>
      <c r="H630" s="110"/>
      <c r="I630" s="110"/>
      <c r="J630" s="198"/>
      <c r="K630" s="198"/>
      <c r="L630" s="110"/>
      <c r="M630" s="110"/>
      <c r="N630" s="198"/>
      <c r="O630" s="198"/>
      <c r="P630" s="110"/>
      <c r="Q630" s="110"/>
      <c r="R630" s="110"/>
      <c r="T630" s="99"/>
      <c r="V630" s="110"/>
      <c r="Y630" s="110"/>
      <c r="Z630" s="198"/>
      <c r="AA630" s="110"/>
      <c r="AB630" s="110"/>
      <c r="AC630" s="198"/>
      <c r="AD630" s="198"/>
      <c r="AE630" s="110"/>
      <c r="AF630" s="110"/>
      <c r="AH630" s="207"/>
      <c r="AI630" s="110"/>
      <c r="AJ630" s="110"/>
      <c r="AL630" s="110"/>
      <c r="AM630" s="141"/>
      <c r="AN630" s="141"/>
    </row>
    <row r="631" spans="1:40" x14ac:dyDescent="0.3">
      <c r="F631" s="110"/>
      <c r="H631" s="110"/>
      <c r="I631" s="110"/>
      <c r="J631" s="198"/>
      <c r="K631" s="198"/>
      <c r="L631" s="110"/>
      <c r="M631" s="110"/>
      <c r="N631" s="198"/>
      <c r="O631" s="198"/>
      <c r="P631" s="110"/>
      <c r="Q631" s="110"/>
      <c r="R631" s="110"/>
      <c r="V631" s="110"/>
      <c r="Y631" s="110"/>
      <c r="Z631" s="198"/>
      <c r="AA631" s="110"/>
      <c r="AB631" s="110"/>
      <c r="AC631" s="198"/>
      <c r="AD631" s="198"/>
      <c r="AH631" s="207"/>
      <c r="AI631" s="110"/>
      <c r="AJ631" s="110"/>
      <c r="AL631" s="110"/>
      <c r="AM631" s="141"/>
      <c r="AN631" s="141"/>
    </row>
    <row r="632" spans="1:40" x14ac:dyDescent="0.3">
      <c r="C632" s="99"/>
      <c r="F632" s="110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T632" s="99"/>
      <c r="V632" s="110"/>
      <c r="Y632" s="110"/>
      <c r="Z632" s="198"/>
      <c r="AA632" s="110"/>
      <c r="AB632" s="110"/>
      <c r="AC632" s="198"/>
      <c r="AD632" s="198"/>
      <c r="AE632" s="110"/>
      <c r="AF632" s="110"/>
      <c r="AH632" s="207"/>
      <c r="AI632" s="110"/>
      <c r="AJ632" s="110"/>
      <c r="AL632" s="110"/>
      <c r="AM632" s="141"/>
      <c r="AN632" s="141"/>
    </row>
    <row r="633" spans="1:40" x14ac:dyDescent="0.3">
      <c r="F633" s="110"/>
      <c r="H633" s="192"/>
      <c r="I633" s="192"/>
      <c r="J633" s="217"/>
      <c r="K633" s="217"/>
      <c r="L633" s="192"/>
      <c r="M633" s="192"/>
      <c r="N633" s="192"/>
      <c r="O633" s="192"/>
      <c r="P633" s="192"/>
      <c r="Q633" s="192"/>
      <c r="R633" s="192"/>
      <c r="V633" s="192"/>
      <c r="Y633" s="192"/>
      <c r="Z633" s="217"/>
      <c r="AA633" s="192"/>
      <c r="AB633" s="192"/>
      <c r="AC633" s="192"/>
      <c r="AD633" s="192"/>
      <c r="AE633" s="192"/>
      <c r="AF633" s="192"/>
      <c r="AI633" s="192"/>
      <c r="AJ633" s="192"/>
      <c r="AK633" s="194"/>
      <c r="AL633" s="192"/>
    </row>
    <row r="635" spans="1:40" x14ac:dyDescent="0.3">
      <c r="C635" s="99"/>
      <c r="F635" s="192"/>
      <c r="L635" s="110"/>
      <c r="M635" s="110"/>
      <c r="P635" s="110"/>
      <c r="Q635" s="110"/>
      <c r="R635" s="110"/>
      <c r="T635" s="99"/>
    </row>
    <row r="636" spans="1:40" x14ac:dyDescent="0.3">
      <c r="A636" s="99"/>
      <c r="L636" s="110"/>
      <c r="M636" s="110"/>
      <c r="P636" s="110"/>
      <c r="Q636" s="110"/>
      <c r="R636" s="110"/>
    </row>
    <row r="637" spans="1:40" x14ac:dyDescent="0.3">
      <c r="L637" s="110"/>
      <c r="M637" s="110"/>
      <c r="P637" s="110"/>
      <c r="Q637" s="110"/>
      <c r="R637" s="110"/>
    </row>
    <row r="638" spans="1:40" x14ac:dyDescent="0.3">
      <c r="L638" s="110"/>
      <c r="M638" s="110"/>
      <c r="P638" s="110"/>
      <c r="Q638" s="110"/>
      <c r="R638" s="110"/>
    </row>
    <row r="639" spans="1:40" x14ac:dyDescent="0.3">
      <c r="L639" s="110"/>
      <c r="M639" s="110"/>
      <c r="P639" s="110"/>
      <c r="Q639" s="110"/>
      <c r="R639" s="110"/>
    </row>
    <row r="640" spans="1:40" x14ac:dyDescent="0.3">
      <c r="L640" s="110"/>
      <c r="M640" s="110"/>
      <c r="P640" s="110"/>
      <c r="Q640" s="110"/>
      <c r="R640" s="110"/>
    </row>
    <row r="641" spans="12:18" x14ac:dyDescent="0.3">
      <c r="L641" s="110"/>
      <c r="M641" s="110"/>
      <c r="P641" s="110"/>
      <c r="Q641" s="110"/>
      <c r="R641" s="110"/>
    </row>
    <row r="674" spans="49:49" x14ac:dyDescent="0.3">
      <c r="AW674" s="110"/>
    </row>
    <row r="675" spans="49:49" x14ac:dyDescent="0.3">
      <c r="AW675" s="110"/>
    </row>
    <row r="676" spans="49:49" x14ac:dyDescent="0.3">
      <c r="AW676" s="110"/>
    </row>
    <row r="677" spans="49:49" x14ac:dyDescent="0.3">
      <c r="AW677" s="110"/>
    </row>
    <row r="678" spans="49:49" x14ac:dyDescent="0.3">
      <c r="AW678" s="110"/>
    </row>
    <row r="679" spans="49:49" x14ac:dyDescent="0.3">
      <c r="AW679" s="110"/>
    </row>
    <row r="682" spans="49:49" x14ac:dyDescent="0.3">
      <c r="AW682" s="110"/>
    </row>
    <row r="683" spans="49:49" x14ac:dyDescent="0.3">
      <c r="AW683" s="110"/>
    </row>
    <row r="684" spans="49:49" x14ac:dyDescent="0.3">
      <c r="AW684" s="110"/>
    </row>
    <row r="685" spans="49:49" x14ac:dyDescent="0.3">
      <c r="AW685" s="110"/>
    </row>
    <row r="686" spans="49:49" x14ac:dyDescent="0.3">
      <c r="AW686" s="110"/>
    </row>
    <row r="687" spans="49:49" x14ac:dyDescent="0.3">
      <c r="AW687" s="110"/>
    </row>
    <row r="688" spans="49:49" x14ac:dyDescent="0.3">
      <c r="AW688" s="110"/>
    </row>
    <row r="689" spans="49:49" x14ac:dyDescent="0.3">
      <c r="AW689" s="110"/>
    </row>
    <row r="692" spans="49:49" x14ac:dyDescent="0.3">
      <c r="AW692" s="110"/>
    </row>
    <row r="693" spans="49:49" x14ac:dyDescent="0.3">
      <c r="AW693" s="110"/>
    </row>
    <row r="696" spans="49:49" x14ac:dyDescent="0.3">
      <c r="AW696" s="110"/>
    </row>
    <row r="697" spans="49:49" x14ac:dyDescent="0.3">
      <c r="AW697" s="110"/>
    </row>
    <row r="698" spans="49:49" x14ac:dyDescent="0.3">
      <c r="AW698" s="110"/>
    </row>
    <row r="699" spans="49:49" x14ac:dyDescent="0.3">
      <c r="AW699" s="110"/>
    </row>
    <row r="707" spans="45:69" x14ac:dyDescent="0.3">
      <c r="AY707" s="99"/>
    </row>
    <row r="708" spans="45:69" x14ac:dyDescent="0.3">
      <c r="AY708" s="99"/>
    </row>
    <row r="709" spans="45:69" x14ac:dyDescent="0.3">
      <c r="BD709" s="99"/>
    </row>
    <row r="710" spans="45:69" x14ac:dyDescent="0.3">
      <c r="BD710" s="99"/>
    </row>
    <row r="711" spans="45:69" x14ac:dyDescent="0.3">
      <c r="AS711" s="99"/>
      <c r="BD711" s="99"/>
    </row>
    <row r="713" spans="45:69" x14ac:dyDescent="0.3"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</row>
    <row r="714" spans="45:69" x14ac:dyDescent="0.3">
      <c r="AX714" s="99"/>
    </row>
    <row r="715" spans="45:69" x14ac:dyDescent="0.3">
      <c r="AX715" s="101"/>
      <c r="AY715" s="101"/>
      <c r="AZ715" s="101"/>
      <c r="BA715" s="101"/>
      <c r="BC715" s="102"/>
      <c r="BD715" s="102"/>
    </row>
    <row r="716" spans="45:69" x14ac:dyDescent="0.3">
      <c r="AV716" s="102"/>
      <c r="AW716" s="102"/>
      <c r="AZ716" s="102"/>
      <c r="BA716" s="102"/>
      <c r="BC716" s="102"/>
      <c r="BD716" s="102"/>
      <c r="BE716" s="102"/>
      <c r="BG716" s="101"/>
      <c r="BH716" s="99"/>
      <c r="BK716" s="101"/>
      <c r="BM716" s="101"/>
      <c r="BN716" s="99"/>
      <c r="BQ716" s="101"/>
    </row>
    <row r="717" spans="45:69" x14ac:dyDescent="0.3"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H717" s="102"/>
      <c r="BI717" s="102"/>
      <c r="BJ717" s="102"/>
      <c r="BN717" s="102"/>
      <c r="BO717" s="102"/>
      <c r="BP717" s="102"/>
    </row>
    <row r="718" spans="45:69" x14ac:dyDescent="0.3">
      <c r="AS718" s="102"/>
      <c r="AU718" s="99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G718" s="102"/>
      <c r="BH718" s="102"/>
      <c r="BI718" s="102"/>
      <c r="BJ718" s="102"/>
      <c r="BK718" s="102"/>
      <c r="BM718" s="102"/>
      <c r="BN718" s="102"/>
      <c r="BO718" s="102"/>
      <c r="BP718" s="102"/>
      <c r="BQ718" s="102"/>
    </row>
    <row r="719" spans="45:69" x14ac:dyDescent="0.3">
      <c r="AS719" s="102"/>
      <c r="AU719" s="99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G719" s="102"/>
      <c r="BH719" s="102"/>
      <c r="BI719" s="102"/>
      <c r="BJ719" s="102"/>
      <c r="BK719" s="102"/>
      <c r="BM719" s="102"/>
      <c r="BN719" s="102"/>
      <c r="BO719" s="102"/>
      <c r="BP719" s="102"/>
      <c r="BQ719" s="102"/>
    </row>
    <row r="720" spans="45:69" x14ac:dyDescent="0.3">
      <c r="AS720" s="101"/>
      <c r="AT720" s="101"/>
      <c r="AU720" s="101"/>
      <c r="AV720" s="101"/>
      <c r="AW720" s="101"/>
      <c r="AX720" s="101"/>
      <c r="AY720" s="101"/>
      <c r="AZ720" s="101"/>
      <c r="BA720" s="101"/>
      <c r="BB720" s="101"/>
      <c r="BC720" s="101"/>
      <c r="BD720" s="101"/>
      <c r="BE720" s="101"/>
      <c r="BG720" s="101"/>
      <c r="BH720" s="101"/>
      <c r="BI720" s="101"/>
      <c r="BJ720" s="101"/>
      <c r="BK720" s="101"/>
      <c r="BM720" s="101"/>
      <c r="BN720" s="101"/>
      <c r="BO720" s="101"/>
      <c r="BP720" s="101"/>
      <c r="BQ720" s="101"/>
    </row>
    <row r="721" spans="47:69" x14ac:dyDescent="0.3"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</row>
    <row r="722" spans="47:69" x14ac:dyDescent="0.3">
      <c r="AU722" s="99"/>
      <c r="AV722" s="102"/>
      <c r="AY722" s="198"/>
    </row>
    <row r="723" spans="47:69" x14ac:dyDescent="0.3">
      <c r="AV723" s="102"/>
      <c r="AW723" s="110"/>
      <c r="AX723" s="163"/>
      <c r="AY723" s="163"/>
      <c r="AZ723" s="163"/>
      <c r="BA723" s="141"/>
      <c r="BB723" s="163"/>
      <c r="BC723" s="198"/>
      <c r="BD723" s="198"/>
      <c r="BE723" s="141"/>
      <c r="BG723" s="163"/>
      <c r="BH723" s="163"/>
      <c r="BI723" s="163"/>
      <c r="BJ723" s="163"/>
      <c r="BK723" s="163"/>
      <c r="BM723" s="163"/>
      <c r="BN723" s="163"/>
      <c r="BO723" s="163"/>
      <c r="BP723" s="163"/>
      <c r="BQ723" s="163"/>
    </row>
    <row r="724" spans="47:69" x14ac:dyDescent="0.3">
      <c r="AV724" s="102"/>
      <c r="AW724" s="110"/>
      <c r="AX724" s="163"/>
      <c r="AY724" s="163"/>
      <c r="AZ724" s="163"/>
      <c r="BA724" s="141"/>
      <c r="BB724" s="163"/>
      <c r="BC724" s="198"/>
      <c r="BD724" s="198"/>
      <c r="BE724" s="141"/>
      <c r="BG724" s="163"/>
      <c r="BH724" s="163"/>
      <c r="BI724" s="163"/>
      <c r="BJ724" s="163"/>
      <c r="BK724" s="163"/>
      <c r="BM724" s="163"/>
      <c r="BN724" s="163"/>
      <c r="BO724" s="163"/>
      <c r="BP724" s="163"/>
      <c r="BQ724" s="163"/>
    </row>
    <row r="725" spans="47:69" x14ac:dyDescent="0.3">
      <c r="AV725" s="102"/>
      <c r="AW725" s="110"/>
      <c r="AX725" s="163"/>
      <c r="AY725" s="163"/>
      <c r="AZ725" s="163"/>
      <c r="BA725" s="141"/>
      <c r="BB725" s="163"/>
      <c r="BC725" s="198"/>
      <c r="BD725" s="198"/>
      <c r="BE725" s="141"/>
      <c r="BG725" s="163"/>
      <c r="BH725" s="163"/>
      <c r="BI725" s="163"/>
      <c r="BJ725" s="163"/>
      <c r="BK725" s="163"/>
      <c r="BM725" s="163"/>
      <c r="BN725" s="163"/>
      <c r="BO725" s="163"/>
      <c r="BP725" s="163"/>
      <c r="BQ725" s="163"/>
    </row>
    <row r="726" spans="47:69" x14ac:dyDescent="0.3">
      <c r="AV726" s="102"/>
      <c r="AW726" s="110"/>
      <c r="AX726" s="163"/>
      <c r="AY726" s="163"/>
      <c r="AZ726" s="163"/>
      <c r="BA726" s="141"/>
      <c r="BB726" s="163"/>
      <c r="BC726" s="198"/>
      <c r="BD726" s="198"/>
      <c r="BE726" s="141"/>
      <c r="BG726" s="163"/>
      <c r="BH726" s="163"/>
      <c r="BI726" s="163"/>
      <c r="BJ726" s="163"/>
      <c r="BK726" s="163"/>
      <c r="BM726" s="163"/>
      <c r="BN726" s="163"/>
      <c r="BO726" s="163"/>
      <c r="BP726" s="163"/>
      <c r="BQ726" s="163"/>
    </row>
    <row r="727" spans="47:69" x14ac:dyDescent="0.3">
      <c r="AV727" s="102"/>
      <c r="AW727" s="110"/>
      <c r="AX727" s="163"/>
      <c r="AY727" s="163"/>
      <c r="AZ727" s="163"/>
      <c r="BA727" s="141"/>
      <c r="BB727" s="163"/>
      <c r="BC727" s="198"/>
      <c r="BD727" s="198"/>
      <c r="BE727" s="141"/>
      <c r="BG727" s="163"/>
      <c r="BH727" s="163"/>
      <c r="BI727" s="163"/>
      <c r="BJ727" s="163"/>
      <c r="BK727" s="163"/>
      <c r="BM727" s="163"/>
      <c r="BN727" s="163"/>
      <c r="BO727" s="163"/>
      <c r="BP727" s="163"/>
      <c r="BQ727" s="163"/>
    </row>
    <row r="728" spans="47:69" x14ac:dyDescent="0.3">
      <c r="AV728" s="102"/>
      <c r="AW728" s="110"/>
      <c r="AX728" s="163"/>
      <c r="AY728" s="163"/>
      <c r="AZ728" s="163"/>
      <c r="BA728" s="141"/>
      <c r="BB728" s="163"/>
      <c r="BC728" s="198"/>
      <c r="BD728" s="198"/>
      <c r="BE728" s="141"/>
      <c r="BG728" s="163"/>
      <c r="BH728" s="163"/>
      <c r="BI728" s="163"/>
      <c r="BJ728" s="163"/>
      <c r="BK728" s="163"/>
      <c r="BM728" s="163"/>
      <c r="BN728" s="163"/>
      <c r="BO728" s="163"/>
      <c r="BP728" s="163"/>
      <c r="BQ728" s="163"/>
    </row>
    <row r="729" spans="47:69" x14ac:dyDescent="0.3">
      <c r="AV729" s="102"/>
      <c r="AW729" s="110"/>
      <c r="AX729" s="163"/>
      <c r="AY729" s="163"/>
      <c r="AZ729" s="163"/>
      <c r="BA729" s="141"/>
      <c r="BB729" s="163"/>
      <c r="BC729" s="198"/>
      <c r="BD729" s="198"/>
      <c r="BE729" s="141"/>
      <c r="BG729" s="163"/>
      <c r="BH729" s="163"/>
      <c r="BI729" s="163"/>
      <c r="BJ729" s="163"/>
      <c r="BK729" s="163"/>
      <c r="BM729" s="163"/>
      <c r="BN729" s="163"/>
      <c r="BO729" s="163"/>
      <c r="BP729" s="163"/>
      <c r="BQ729" s="163"/>
    </row>
    <row r="730" spans="47:69" x14ac:dyDescent="0.3">
      <c r="AY730" s="198"/>
      <c r="AZ730" s="163"/>
      <c r="BA730" s="141"/>
      <c r="BB730" s="163"/>
      <c r="BC730" s="198"/>
      <c r="BD730" s="198"/>
      <c r="BE730" s="141"/>
      <c r="BK730" s="163"/>
      <c r="BQ730" s="163"/>
    </row>
    <row r="731" spans="47:69" x14ac:dyDescent="0.3">
      <c r="AV731" s="102"/>
      <c r="AY731" s="198"/>
      <c r="AZ731" s="163"/>
      <c r="BA731" s="141"/>
      <c r="BB731" s="163"/>
      <c r="BC731" s="198"/>
      <c r="BD731" s="198"/>
      <c r="BE731" s="141"/>
      <c r="BK731" s="163"/>
      <c r="BQ731" s="163"/>
    </row>
    <row r="732" spans="47:69" x14ac:dyDescent="0.3">
      <c r="AV732" s="102"/>
      <c r="AW732" s="110"/>
      <c r="AX732" s="163"/>
      <c r="AY732" s="163"/>
      <c r="AZ732" s="163"/>
      <c r="BA732" s="141"/>
      <c r="BB732" s="163"/>
      <c r="BC732" s="198"/>
      <c r="BD732" s="198"/>
      <c r="BE732" s="141"/>
      <c r="BG732" s="163"/>
      <c r="BH732" s="163"/>
      <c r="BI732" s="163"/>
      <c r="BJ732" s="163"/>
      <c r="BK732" s="163"/>
      <c r="BM732" s="163"/>
      <c r="BN732" s="163"/>
      <c r="BO732" s="163"/>
      <c r="BP732" s="163"/>
      <c r="BQ732" s="163"/>
    </row>
    <row r="733" spans="47:69" x14ac:dyDescent="0.3">
      <c r="AV733" s="102"/>
      <c r="AW733" s="110"/>
      <c r="AX733" s="163"/>
      <c r="AY733" s="163"/>
      <c r="AZ733" s="163"/>
      <c r="BA733" s="141"/>
      <c r="BB733" s="163"/>
      <c r="BC733" s="198"/>
      <c r="BD733" s="198"/>
      <c r="BE733" s="141"/>
      <c r="BG733" s="163"/>
      <c r="BH733" s="163"/>
      <c r="BI733" s="163"/>
      <c r="BJ733" s="163"/>
      <c r="BK733" s="163"/>
      <c r="BM733" s="163"/>
      <c r="BN733" s="163"/>
      <c r="BO733" s="163"/>
      <c r="BP733" s="163"/>
      <c r="BQ733" s="163"/>
    </row>
    <row r="734" spans="47:69" x14ac:dyDescent="0.3">
      <c r="AV734" s="102"/>
      <c r="AW734" s="110"/>
      <c r="AX734" s="163"/>
      <c r="AY734" s="163"/>
      <c r="AZ734" s="163"/>
      <c r="BA734" s="141"/>
      <c r="BB734" s="163"/>
      <c r="BC734" s="198"/>
      <c r="BD734" s="198"/>
      <c r="BE734" s="141"/>
      <c r="BG734" s="163"/>
      <c r="BH734" s="163"/>
      <c r="BI734" s="163"/>
      <c r="BJ734" s="163"/>
      <c r="BK734" s="163"/>
      <c r="BM734" s="163"/>
      <c r="BN734" s="163"/>
      <c r="BO734" s="163"/>
      <c r="BP734" s="163"/>
      <c r="BQ734" s="163"/>
    </row>
    <row r="735" spans="47:69" x14ac:dyDescent="0.3">
      <c r="AV735" s="102"/>
      <c r="AW735" s="110"/>
      <c r="AX735" s="163"/>
      <c r="AY735" s="163"/>
      <c r="AZ735" s="163"/>
      <c r="BA735" s="141"/>
      <c r="BB735" s="163"/>
      <c r="BC735" s="198"/>
      <c r="BD735" s="198"/>
      <c r="BE735" s="141"/>
      <c r="BG735" s="163"/>
      <c r="BH735" s="163"/>
      <c r="BI735" s="163"/>
      <c r="BJ735" s="163"/>
      <c r="BK735" s="163"/>
      <c r="BM735" s="163"/>
      <c r="BN735" s="163"/>
      <c r="BO735" s="163"/>
      <c r="BP735" s="163"/>
      <c r="BQ735" s="163"/>
    </row>
    <row r="736" spans="47:69" x14ac:dyDescent="0.3">
      <c r="AV736" s="102"/>
      <c r="AW736" s="110"/>
      <c r="AX736" s="163"/>
      <c r="AY736" s="163"/>
      <c r="AZ736" s="163"/>
      <c r="BA736" s="141"/>
      <c r="BB736" s="163"/>
      <c r="BC736" s="198"/>
      <c r="BD736" s="198"/>
      <c r="BE736" s="141"/>
      <c r="BG736" s="163"/>
      <c r="BH736" s="163"/>
      <c r="BI736" s="163"/>
      <c r="BJ736" s="163"/>
      <c r="BK736" s="163"/>
      <c r="BM736" s="163"/>
      <c r="BN736" s="163"/>
      <c r="BO736" s="163"/>
      <c r="BP736" s="163"/>
      <c r="BQ736" s="163"/>
    </row>
    <row r="737" spans="45:69" x14ac:dyDescent="0.3">
      <c r="AV737" s="102"/>
      <c r="AW737" s="110"/>
      <c r="AX737" s="163"/>
      <c r="AY737" s="163"/>
      <c r="AZ737" s="163"/>
      <c r="BA737" s="141"/>
      <c r="BB737" s="163"/>
      <c r="BC737" s="198"/>
      <c r="BD737" s="198"/>
      <c r="BE737" s="141"/>
      <c r="BG737" s="163"/>
      <c r="BH737" s="163"/>
      <c r="BI737" s="163"/>
      <c r="BJ737" s="163"/>
      <c r="BK737" s="163"/>
      <c r="BM737" s="163"/>
      <c r="BN737" s="163"/>
      <c r="BO737" s="163"/>
      <c r="BP737" s="163"/>
      <c r="BQ737" s="163"/>
    </row>
    <row r="738" spans="45:69" x14ac:dyDescent="0.3">
      <c r="AV738" s="102"/>
      <c r="AW738" s="110"/>
      <c r="AX738" s="163"/>
      <c r="AY738" s="163"/>
      <c r="AZ738" s="163"/>
      <c r="BA738" s="141"/>
      <c r="BB738" s="163"/>
      <c r="BC738" s="198"/>
      <c r="BD738" s="198"/>
      <c r="BE738" s="141"/>
      <c r="BG738" s="163"/>
      <c r="BH738" s="163"/>
      <c r="BI738" s="163"/>
      <c r="BJ738" s="163"/>
      <c r="BK738" s="163"/>
      <c r="BM738" s="163"/>
      <c r="BN738" s="163"/>
      <c r="BO738" s="163"/>
      <c r="BP738" s="163"/>
      <c r="BQ738" s="163"/>
    </row>
    <row r="739" spans="45:69" x14ac:dyDescent="0.3">
      <c r="AV739" s="102"/>
      <c r="AW739" s="110"/>
      <c r="AX739" s="163"/>
      <c r="AY739" s="163"/>
      <c r="AZ739" s="163"/>
      <c r="BA739" s="141"/>
      <c r="BB739" s="163"/>
      <c r="BC739" s="198"/>
      <c r="BD739" s="198"/>
      <c r="BE739" s="141"/>
      <c r="BG739" s="163"/>
      <c r="BH739" s="163"/>
      <c r="BI739" s="163"/>
      <c r="BJ739" s="163"/>
      <c r="BK739" s="163"/>
      <c r="BM739" s="163"/>
      <c r="BN739" s="163"/>
      <c r="BO739" s="163"/>
      <c r="BP739" s="163"/>
      <c r="BQ739" s="163"/>
    </row>
    <row r="740" spans="45:69" x14ac:dyDescent="0.3">
      <c r="AY740" s="198"/>
      <c r="AZ740" s="163"/>
      <c r="BA740" s="141"/>
      <c r="BB740" s="163"/>
      <c r="BC740" s="198"/>
      <c r="BD740" s="198"/>
      <c r="BE740" s="141"/>
      <c r="BK740" s="163"/>
      <c r="BQ740" s="163"/>
    </row>
    <row r="741" spans="45:69" x14ac:dyDescent="0.3">
      <c r="AU741" s="99"/>
      <c r="AZ741" s="163"/>
      <c r="BB741" s="163"/>
      <c r="BG741" s="163"/>
      <c r="BH741" s="163"/>
      <c r="BJ741" s="163"/>
      <c r="BK741" s="163"/>
    </row>
    <row r="742" spans="45:69" x14ac:dyDescent="0.3">
      <c r="AZ742" s="163"/>
      <c r="BB742" s="163"/>
    </row>
    <row r="743" spans="45:69" x14ac:dyDescent="0.3">
      <c r="AS743" s="99"/>
      <c r="AZ743" s="163"/>
      <c r="BB743" s="163"/>
      <c r="BI743" s="163"/>
    </row>
    <row r="744" spans="45:69" x14ac:dyDescent="0.3">
      <c r="AZ744" s="163"/>
      <c r="BB744" s="163"/>
    </row>
    <row r="745" spans="45:69" x14ac:dyDescent="0.3">
      <c r="AY745" s="163"/>
      <c r="BB745" s="163"/>
    </row>
    <row r="746" spans="45:69" x14ac:dyDescent="0.3">
      <c r="AY746" s="99"/>
      <c r="AZ746" s="163"/>
      <c r="BB746" s="163"/>
    </row>
    <row r="747" spans="45:69" x14ac:dyDescent="0.3">
      <c r="AY747" s="99"/>
      <c r="AZ747" s="163"/>
      <c r="BB747" s="163"/>
    </row>
    <row r="748" spans="45:69" x14ac:dyDescent="0.3">
      <c r="AZ748" s="163"/>
      <c r="BB748" s="163"/>
      <c r="BD748" s="99"/>
    </row>
    <row r="749" spans="45:69" x14ac:dyDescent="0.3">
      <c r="AZ749" s="163"/>
      <c r="BB749" s="163"/>
      <c r="BD749" s="99"/>
    </row>
    <row r="750" spans="45:69" x14ac:dyDescent="0.3">
      <c r="AS750" s="99"/>
      <c r="AZ750" s="163"/>
      <c r="BB750" s="163"/>
      <c r="BD750" s="99"/>
    </row>
    <row r="751" spans="45:69" x14ac:dyDescent="0.3">
      <c r="AZ751" s="163"/>
      <c r="BB751" s="163"/>
    </row>
    <row r="752" spans="45:69" x14ac:dyDescent="0.3">
      <c r="AS752" s="101"/>
      <c r="AT752" s="101"/>
      <c r="AU752" s="101"/>
      <c r="AV752" s="101"/>
      <c r="AW752" s="101"/>
      <c r="AX752" s="101"/>
      <c r="AY752" s="101"/>
      <c r="AZ752" s="212"/>
      <c r="BA752" s="101"/>
      <c r="BB752" s="212"/>
      <c r="BC752" s="101"/>
      <c r="BD752" s="101"/>
      <c r="BE752" s="101"/>
    </row>
    <row r="753" spans="45:75" x14ac:dyDescent="0.3">
      <c r="AX753" s="99"/>
      <c r="AZ753" s="163"/>
      <c r="BB753" s="163"/>
    </row>
    <row r="754" spans="45:75" x14ac:dyDescent="0.3">
      <c r="AX754" s="101"/>
      <c r="AY754" s="101"/>
      <c r="AZ754" s="212"/>
      <c r="BA754" s="101"/>
      <c r="BB754" s="163"/>
      <c r="BC754" s="102"/>
      <c r="BD754" s="102"/>
    </row>
    <row r="755" spans="45:75" x14ac:dyDescent="0.3">
      <c r="AV755" s="102"/>
      <c r="AW755" s="102"/>
      <c r="AZ755" s="213"/>
      <c r="BA755" s="102"/>
      <c r="BB755" s="163"/>
      <c r="BC755" s="102"/>
      <c r="BD755" s="102"/>
      <c r="BE755" s="102"/>
      <c r="BG755" s="101"/>
      <c r="BH755" s="101"/>
      <c r="BI755" s="99"/>
      <c r="BM755" s="101"/>
      <c r="BN755" s="101"/>
      <c r="BP755" s="101"/>
      <c r="BQ755" s="101"/>
      <c r="BR755" s="99"/>
      <c r="BV755" s="101"/>
      <c r="BW755" s="101"/>
    </row>
    <row r="756" spans="45:75" x14ac:dyDescent="0.3">
      <c r="AV756" s="102"/>
      <c r="AW756" s="102"/>
      <c r="AX756" s="102"/>
      <c r="AY756" s="102"/>
      <c r="AZ756" s="213"/>
      <c r="BA756" s="102"/>
      <c r="BB756" s="213"/>
      <c r="BC756" s="102"/>
      <c r="BD756" s="102"/>
      <c r="BE756" s="102"/>
      <c r="BH756" s="102"/>
      <c r="BI756" s="102"/>
      <c r="BJ756" s="102"/>
      <c r="BK756" s="102"/>
      <c r="BL756" s="102"/>
      <c r="BM756" s="102"/>
      <c r="BQ756" s="102"/>
      <c r="BR756" s="102"/>
      <c r="BS756" s="102"/>
      <c r="BT756" s="102"/>
      <c r="BU756" s="102"/>
      <c r="BV756" s="102"/>
    </row>
    <row r="757" spans="45:75" x14ac:dyDescent="0.3">
      <c r="AS757" s="102"/>
      <c r="AU757" s="99"/>
      <c r="AV757" s="102"/>
      <c r="AW757" s="102"/>
      <c r="AX757" s="102"/>
      <c r="AY757" s="102"/>
      <c r="AZ757" s="213"/>
      <c r="BA757" s="102"/>
      <c r="BB757" s="213"/>
      <c r="BC757" s="102"/>
      <c r="BD757" s="102"/>
      <c r="BE757" s="102"/>
      <c r="BG757" s="102"/>
      <c r="BH757" s="102"/>
      <c r="BI757" s="102"/>
      <c r="BJ757" s="102"/>
      <c r="BK757" s="102"/>
      <c r="BL757" s="102"/>
      <c r="BM757" s="102"/>
      <c r="BN757" s="102"/>
      <c r="BP757" s="102"/>
      <c r="BQ757" s="102"/>
      <c r="BR757" s="102"/>
      <c r="BS757" s="102"/>
      <c r="BT757" s="102"/>
      <c r="BU757" s="102"/>
      <c r="BV757" s="102"/>
      <c r="BW757" s="102"/>
    </row>
    <row r="758" spans="45:75" x14ac:dyDescent="0.3">
      <c r="AS758" s="102"/>
      <c r="AU758" s="99"/>
      <c r="AV758" s="102"/>
      <c r="AW758" s="102"/>
      <c r="AX758" s="102"/>
      <c r="AY758" s="102"/>
      <c r="AZ758" s="213"/>
      <c r="BA758" s="102"/>
      <c r="BB758" s="213"/>
      <c r="BC758" s="102"/>
      <c r="BD758" s="102"/>
      <c r="BE758" s="102"/>
      <c r="BG758" s="102"/>
      <c r="BH758" s="102"/>
      <c r="BI758" s="102"/>
      <c r="BJ758" s="102"/>
      <c r="BK758" s="102"/>
      <c r="BL758" s="102"/>
      <c r="BM758" s="102"/>
      <c r="BN758" s="102"/>
      <c r="BP758" s="102"/>
      <c r="BQ758" s="102"/>
      <c r="BR758" s="102"/>
      <c r="BS758" s="102"/>
      <c r="BT758" s="102"/>
      <c r="BU758" s="102"/>
      <c r="BV758" s="102"/>
      <c r="BW758" s="102"/>
    </row>
    <row r="759" spans="45:75" x14ac:dyDescent="0.3">
      <c r="AS759" s="101"/>
      <c r="AT759" s="101"/>
      <c r="AU759" s="101"/>
      <c r="AV759" s="101"/>
      <c r="AW759" s="101"/>
      <c r="AX759" s="101"/>
      <c r="AY759" s="101"/>
      <c r="AZ759" s="212"/>
      <c r="BA759" s="101"/>
      <c r="BB759" s="212"/>
      <c r="BC759" s="101"/>
      <c r="BD759" s="101"/>
      <c r="BE759" s="101"/>
      <c r="BG759" s="101"/>
      <c r="BH759" s="101"/>
      <c r="BI759" s="101"/>
      <c r="BJ759" s="101"/>
      <c r="BK759" s="101"/>
      <c r="BL759" s="101"/>
      <c r="BM759" s="101"/>
      <c r="BN759" s="101"/>
      <c r="BP759" s="101"/>
      <c r="BQ759" s="101"/>
      <c r="BR759" s="101"/>
      <c r="BS759" s="101"/>
      <c r="BT759" s="101"/>
      <c r="BU759" s="101"/>
      <c r="BV759" s="101"/>
      <c r="BW759" s="101"/>
    </row>
    <row r="760" spans="45:75" x14ac:dyDescent="0.3">
      <c r="AV760" s="102"/>
      <c r="AW760" s="102"/>
      <c r="AX760" s="102"/>
      <c r="AY760" s="102"/>
      <c r="AZ760" s="213"/>
      <c r="BA760" s="102"/>
      <c r="BB760" s="213"/>
      <c r="BC760" s="102"/>
      <c r="BD760" s="102"/>
      <c r="BE760" s="102"/>
      <c r="BG760" s="163"/>
      <c r="BH760" s="163"/>
      <c r="BI760" s="163"/>
      <c r="BJ760" s="163"/>
      <c r="BK760" s="163"/>
      <c r="BL760" s="163"/>
      <c r="BM760" s="163"/>
      <c r="BN760" s="163"/>
      <c r="BO760" s="163"/>
      <c r="BP760" s="163"/>
      <c r="BQ760" s="163"/>
      <c r="BR760" s="163"/>
      <c r="BS760" s="163"/>
      <c r="BT760" s="163"/>
      <c r="BU760" s="163"/>
      <c r="BV760" s="163"/>
      <c r="BW760" s="163"/>
    </row>
    <row r="761" spans="45:75" x14ac:dyDescent="0.3">
      <c r="AU761" s="99"/>
      <c r="AW761" s="110"/>
      <c r="AX761" s="163"/>
      <c r="AY761" s="163"/>
      <c r="AZ761" s="163"/>
      <c r="BA761" s="207"/>
      <c r="BB761" s="163"/>
      <c r="BC761" s="163"/>
      <c r="BD761" s="163"/>
      <c r="BE761" s="207"/>
      <c r="BG761" s="163"/>
      <c r="BH761" s="163"/>
      <c r="BI761" s="163"/>
      <c r="BJ761" s="163"/>
      <c r="BK761" s="163"/>
      <c r="BL761" s="163"/>
      <c r="BM761" s="163"/>
      <c r="BN761" s="163"/>
      <c r="BO761" s="163"/>
      <c r="BP761" s="163"/>
      <c r="BQ761" s="163"/>
      <c r="BR761" s="163"/>
      <c r="BS761" s="163"/>
      <c r="BT761" s="163"/>
      <c r="BU761" s="163"/>
      <c r="BV761" s="163"/>
      <c r="BW761" s="163"/>
    </row>
    <row r="762" spans="45:75" x14ac:dyDescent="0.3">
      <c r="AW762" s="110"/>
      <c r="AX762" s="163"/>
      <c r="AY762" s="163"/>
      <c r="AZ762" s="163"/>
      <c r="BA762" s="207"/>
      <c r="BB762" s="163"/>
      <c r="BC762" s="163"/>
      <c r="BD762" s="163"/>
      <c r="BE762" s="207"/>
      <c r="BG762" s="163"/>
      <c r="BH762" s="163"/>
      <c r="BI762" s="163"/>
      <c r="BJ762" s="163"/>
      <c r="BK762" s="163"/>
      <c r="BL762" s="163"/>
      <c r="BM762" s="163"/>
      <c r="BN762" s="163"/>
      <c r="BO762" s="163"/>
      <c r="BP762" s="163"/>
      <c r="BQ762" s="163"/>
      <c r="BR762" s="163"/>
      <c r="BS762" s="163"/>
      <c r="BT762" s="163"/>
      <c r="BU762" s="163"/>
      <c r="BV762" s="163"/>
      <c r="BW762" s="163"/>
    </row>
    <row r="763" spans="45:75" x14ac:dyDescent="0.3">
      <c r="AW763" s="110"/>
      <c r="AX763" s="163"/>
      <c r="AY763" s="163"/>
      <c r="AZ763" s="163"/>
      <c r="BA763" s="207"/>
      <c r="BB763" s="163"/>
      <c r="BC763" s="163"/>
      <c r="BD763" s="163"/>
      <c r="BE763" s="207"/>
      <c r="BG763" s="163"/>
      <c r="BH763" s="163"/>
      <c r="BI763" s="163"/>
      <c r="BJ763" s="163"/>
      <c r="BK763" s="163"/>
      <c r="BL763" s="163"/>
      <c r="BM763" s="163"/>
      <c r="BN763" s="163"/>
      <c r="BO763" s="163"/>
      <c r="BP763" s="163"/>
      <c r="BQ763" s="163"/>
      <c r="BR763" s="163"/>
      <c r="BS763" s="163"/>
      <c r="BT763" s="163"/>
      <c r="BU763" s="163"/>
      <c r="BV763" s="163"/>
      <c r="BW763" s="163"/>
    </row>
    <row r="764" spans="45:75" x14ac:dyDescent="0.3">
      <c r="AW764" s="110"/>
      <c r="AX764" s="163"/>
      <c r="AY764" s="163"/>
      <c r="AZ764" s="163"/>
      <c r="BA764" s="207"/>
      <c r="BB764" s="163"/>
      <c r="BC764" s="163"/>
      <c r="BD764" s="163"/>
      <c r="BE764" s="207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</row>
    <row r="765" spans="45:75" x14ac:dyDescent="0.3">
      <c r="AW765" s="110"/>
      <c r="AX765" s="163"/>
      <c r="AY765" s="163"/>
      <c r="AZ765" s="163"/>
      <c r="BA765" s="207"/>
      <c r="BB765" s="163"/>
      <c r="BC765" s="163"/>
      <c r="BD765" s="163"/>
      <c r="BE765" s="207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</row>
    <row r="766" spans="45:75" x14ac:dyDescent="0.3">
      <c r="AW766" s="110"/>
      <c r="AX766" s="163"/>
      <c r="AY766" s="163"/>
      <c r="AZ766" s="163"/>
      <c r="BA766" s="207"/>
      <c r="BB766" s="163"/>
      <c r="BC766" s="163"/>
      <c r="BD766" s="163"/>
      <c r="BE766" s="207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</row>
    <row r="767" spans="45:75" x14ac:dyDescent="0.3">
      <c r="AW767" s="110"/>
      <c r="AX767" s="163"/>
      <c r="AY767" s="163"/>
      <c r="AZ767" s="163"/>
      <c r="BA767" s="207"/>
      <c r="BB767" s="163"/>
      <c r="BC767" s="163"/>
      <c r="BD767" s="163"/>
      <c r="BE767" s="207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</row>
    <row r="768" spans="45:75" x14ac:dyDescent="0.3">
      <c r="AW768" s="110"/>
      <c r="AX768" s="163"/>
      <c r="AY768" s="163"/>
      <c r="AZ768" s="163"/>
      <c r="BA768" s="207"/>
      <c r="BB768" s="163"/>
      <c r="BC768" s="163"/>
      <c r="BD768" s="163"/>
      <c r="BE768" s="207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</row>
    <row r="769" spans="47:75" x14ac:dyDescent="0.3">
      <c r="AW769" s="110"/>
      <c r="AX769" s="163"/>
      <c r="AY769" s="163"/>
      <c r="AZ769" s="163"/>
      <c r="BA769" s="207"/>
      <c r="BB769" s="163"/>
      <c r="BC769" s="163"/>
      <c r="BD769" s="163"/>
      <c r="BE769" s="207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</row>
    <row r="770" spans="47:75" x14ac:dyDescent="0.3">
      <c r="AW770" s="110"/>
      <c r="AX770" s="163"/>
      <c r="AY770" s="163"/>
      <c r="AZ770" s="163"/>
      <c r="BA770" s="207"/>
      <c r="BB770" s="163"/>
      <c r="BC770" s="163"/>
      <c r="BD770" s="163"/>
      <c r="BE770" s="207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</row>
    <row r="771" spans="47:75" x14ac:dyDescent="0.3">
      <c r="AW771" s="110"/>
      <c r="AX771" s="163"/>
      <c r="AY771" s="163"/>
      <c r="AZ771" s="163"/>
      <c r="BA771" s="207"/>
      <c r="BB771" s="163"/>
      <c r="BC771" s="163"/>
      <c r="BD771" s="163"/>
      <c r="BE771" s="207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</row>
    <row r="772" spans="47:75" x14ac:dyDescent="0.3">
      <c r="AW772" s="110"/>
      <c r="AX772" s="163"/>
      <c r="AY772" s="163"/>
      <c r="AZ772" s="163"/>
      <c r="BA772" s="207"/>
      <c r="BB772" s="163"/>
      <c r="BC772" s="163"/>
      <c r="BD772" s="163"/>
      <c r="BE772" s="207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</row>
    <row r="773" spans="47:75" x14ac:dyDescent="0.3">
      <c r="AW773" s="110"/>
      <c r="AX773" s="163"/>
      <c r="AY773" s="163"/>
      <c r="AZ773" s="163"/>
      <c r="BA773" s="207"/>
      <c r="BB773" s="163"/>
      <c r="BC773" s="163"/>
      <c r="BD773" s="163"/>
      <c r="BE773" s="207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</row>
    <row r="774" spans="47:75" x14ac:dyDescent="0.3">
      <c r="AW774" s="110"/>
      <c r="AX774" s="163"/>
      <c r="AY774" s="163"/>
      <c r="AZ774" s="163"/>
      <c r="BA774" s="207"/>
      <c r="BB774" s="163"/>
      <c r="BC774" s="163"/>
      <c r="BD774" s="163"/>
      <c r="BE774" s="207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</row>
    <row r="775" spans="47:75" x14ac:dyDescent="0.3">
      <c r="AW775" s="110"/>
      <c r="AX775" s="163"/>
      <c r="AY775" s="163"/>
      <c r="AZ775" s="163"/>
      <c r="BA775" s="207"/>
      <c r="BB775" s="163"/>
      <c r="BC775" s="163"/>
      <c r="BD775" s="163"/>
      <c r="BE775" s="207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</row>
    <row r="776" spans="47:75" x14ac:dyDescent="0.3">
      <c r="AW776" s="110"/>
      <c r="AX776" s="163"/>
      <c r="AY776" s="163"/>
      <c r="AZ776" s="163"/>
      <c r="BA776" s="207"/>
      <c r="BB776" s="163"/>
      <c r="BC776" s="163"/>
      <c r="BD776" s="163"/>
      <c r="BE776" s="207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</row>
    <row r="777" spans="47:75" x14ac:dyDescent="0.3">
      <c r="AW777" s="110"/>
      <c r="AX777" s="163"/>
      <c r="AY777" s="163"/>
      <c r="AZ777" s="163"/>
      <c r="BA777" s="207"/>
      <c r="BB777" s="163"/>
      <c r="BC777" s="163"/>
      <c r="BD777" s="163"/>
      <c r="BE777" s="207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</row>
    <row r="778" spans="47:75" x14ac:dyDescent="0.3">
      <c r="AW778" s="110"/>
      <c r="AX778" s="163"/>
      <c r="AY778" s="163"/>
      <c r="AZ778" s="163"/>
      <c r="BA778" s="207"/>
      <c r="BB778" s="163"/>
      <c r="BC778" s="163"/>
      <c r="BD778" s="163"/>
      <c r="BE778" s="207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</row>
    <row r="779" spans="47:75" x14ac:dyDescent="0.3">
      <c r="AW779" s="110"/>
      <c r="AX779" s="163"/>
      <c r="AY779" s="163"/>
      <c r="AZ779" s="163"/>
      <c r="BA779" s="207"/>
      <c r="BB779" s="163"/>
      <c r="BC779" s="163"/>
      <c r="BD779" s="163"/>
      <c r="BE779" s="207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</row>
    <row r="780" spans="47:75" x14ac:dyDescent="0.3">
      <c r="AW780" s="110"/>
      <c r="AX780" s="163"/>
      <c r="AY780" s="163"/>
      <c r="AZ780" s="163"/>
      <c r="BA780" s="207"/>
      <c r="BB780" s="163"/>
      <c r="BC780" s="163"/>
      <c r="BD780" s="163"/>
      <c r="BE780" s="207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</row>
    <row r="781" spans="47:75" x14ac:dyDescent="0.3">
      <c r="AW781" s="110"/>
      <c r="AX781" s="163"/>
      <c r="AY781" s="163"/>
      <c r="AZ781" s="163"/>
      <c r="BA781" s="207"/>
      <c r="BB781" s="163"/>
      <c r="BC781" s="163"/>
      <c r="BD781" s="163"/>
      <c r="BE781" s="207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</row>
    <row r="782" spans="47:75" x14ac:dyDescent="0.3">
      <c r="AW782" s="110"/>
      <c r="AX782" s="163"/>
      <c r="AY782" s="163"/>
      <c r="AZ782" s="163"/>
      <c r="BA782" s="207"/>
      <c r="BB782" s="163"/>
      <c r="BC782" s="163"/>
      <c r="BD782" s="163"/>
      <c r="BE782" s="207"/>
      <c r="BG782" s="101"/>
      <c r="BH782" s="101"/>
      <c r="BI782" s="99"/>
      <c r="BM782" s="101"/>
      <c r="BN782" s="101"/>
      <c r="BO782" s="163"/>
      <c r="BP782" s="101"/>
      <c r="BQ782" s="101"/>
      <c r="BR782" s="99"/>
      <c r="BV782" s="101"/>
      <c r="BW782" s="101"/>
    </row>
    <row r="783" spans="47:75" x14ac:dyDescent="0.3">
      <c r="AU783" s="99"/>
      <c r="AV783" s="102"/>
      <c r="AW783" s="110"/>
      <c r="AX783" s="163"/>
      <c r="AY783" s="163"/>
      <c r="AZ783" s="163"/>
      <c r="BA783" s="207"/>
      <c r="BB783" s="163"/>
      <c r="BC783" s="163"/>
      <c r="BD783" s="163"/>
      <c r="BE783" s="207"/>
      <c r="BG783" s="213"/>
      <c r="BH783" s="163"/>
      <c r="BI783" s="163"/>
      <c r="BJ783" s="163"/>
      <c r="BK783" s="213"/>
      <c r="BL783" s="214"/>
      <c r="BM783" s="163"/>
      <c r="BN783" s="213"/>
      <c r="BO783" s="163"/>
      <c r="BP783" s="213"/>
      <c r="BQ783" s="163"/>
      <c r="BR783" s="163"/>
      <c r="BS783" s="163"/>
      <c r="BT783" s="213"/>
      <c r="BU783" s="214"/>
      <c r="BV783" s="163"/>
      <c r="BW783" s="213"/>
    </row>
    <row r="784" spans="47:75" x14ac:dyDescent="0.3">
      <c r="AV784" s="102"/>
      <c r="AW784" s="110"/>
      <c r="AX784" s="163"/>
      <c r="AY784" s="163"/>
      <c r="AZ784" s="163"/>
      <c r="BA784" s="207"/>
      <c r="BB784" s="163"/>
      <c r="BC784" s="163"/>
      <c r="BD784" s="163"/>
      <c r="BE784" s="207"/>
      <c r="BG784" s="163"/>
      <c r="BH784" s="163"/>
      <c r="BI784" s="163"/>
      <c r="BJ784" s="163"/>
      <c r="BK784" s="163"/>
      <c r="BL784" s="214"/>
      <c r="BM784" s="163"/>
      <c r="BN784" s="163"/>
      <c r="BO784" s="163"/>
      <c r="BP784" s="163"/>
      <c r="BQ784" s="163"/>
      <c r="BR784" s="163"/>
      <c r="BS784" s="163"/>
      <c r="BT784" s="163"/>
      <c r="BU784" s="214"/>
      <c r="BV784" s="163"/>
      <c r="BW784" s="163"/>
    </row>
    <row r="785" spans="45:75" x14ac:dyDescent="0.3">
      <c r="AV785" s="102"/>
      <c r="AW785" s="110"/>
      <c r="AX785" s="163"/>
      <c r="AY785" s="163"/>
      <c r="AZ785" s="163"/>
      <c r="BA785" s="207"/>
      <c r="BB785" s="163"/>
      <c r="BC785" s="163"/>
      <c r="BD785" s="163"/>
      <c r="BE785" s="207"/>
      <c r="BG785" s="163"/>
      <c r="BH785" s="163"/>
      <c r="BI785" s="163"/>
      <c r="BJ785" s="163"/>
      <c r="BK785" s="163"/>
      <c r="BL785" s="214"/>
      <c r="BM785" s="163"/>
      <c r="BN785" s="163"/>
      <c r="BO785" s="163"/>
      <c r="BP785" s="163"/>
      <c r="BQ785" s="163"/>
      <c r="BR785" s="163"/>
      <c r="BS785" s="163"/>
      <c r="BT785" s="163"/>
      <c r="BU785" s="214"/>
      <c r="BV785" s="163"/>
      <c r="BW785" s="163"/>
    </row>
    <row r="786" spans="45:75" x14ac:dyDescent="0.3">
      <c r="AV786" s="102"/>
      <c r="AW786" s="110"/>
      <c r="AX786" s="163"/>
      <c r="AY786" s="163"/>
      <c r="AZ786" s="163"/>
      <c r="BA786" s="207"/>
      <c r="BB786" s="163"/>
      <c r="BC786" s="163"/>
      <c r="BD786" s="163"/>
      <c r="BE786" s="207"/>
      <c r="BG786" s="163"/>
      <c r="BH786" s="163"/>
      <c r="BI786" s="163"/>
      <c r="BJ786" s="163"/>
      <c r="BK786" s="163"/>
      <c r="BL786" s="214"/>
      <c r="BM786" s="163"/>
      <c r="BN786" s="163"/>
      <c r="BO786" s="163"/>
      <c r="BP786" s="163"/>
      <c r="BQ786" s="163"/>
      <c r="BR786" s="163"/>
      <c r="BS786" s="163"/>
      <c r="BT786" s="163"/>
      <c r="BU786" s="214"/>
      <c r="BV786" s="163"/>
      <c r="BW786" s="163"/>
    </row>
    <row r="787" spans="45:75" x14ac:dyDescent="0.3">
      <c r="AX787" s="163"/>
      <c r="AY787" s="163"/>
      <c r="AZ787" s="163"/>
      <c r="BA787" s="207"/>
      <c r="BB787" s="163"/>
      <c r="BC787" s="163"/>
      <c r="BD787" s="163"/>
      <c r="BE787" s="207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</row>
    <row r="788" spans="45:75" x14ac:dyDescent="0.3">
      <c r="AU788" s="99"/>
    </row>
    <row r="789" spans="45:75" x14ac:dyDescent="0.3">
      <c r="AU789" s="99"/>
      <c r="AZ789" s="163"/>
      <c r="BA789" s="207"/>
      <c r="BB789" s="163"/>
      <c r="BC789" s="163"/>
      <c r="BD789" s="163"/>
      <c r="BE789" s="207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</row>
    <row r="790" spans="45:75" x14ac:dyDescent="0.3">
      <c r="AS790" s="99"/>
      <c r="AZ790" s="163"/>
      <c r="BB790" s="163"/>
    </row>
    <row r="791" spans="45:75" x14ac:dyDescent="0.3">
      <c r="AZ791" s="163"/>
      <c r="BB791" s="163"/>
      <c r="BO791" s="163"/>
      <c r="BP791" s="163"/>
      <c r="BQ791" s="163"/>
      <c r="BR791" s="163"/>
      <c r="BS791" s="163"/>
      <c r="BT791" s="163"/>
      <c r="BU791" s="163"/>
      <c r="BV791" s="163"/>
    </row>
    <row r="792" spans="45:75" x14ac:dyDescent="0.3">
      <c r="AY792" s="163"/>
      <c r="AZ792" s="163"/>
      <c r="BB792" s="163"/>
      <c r="BO792" s="163"/>
      <c r="BP792" s="163"/>
      <c r="BQ792" s="163"/>
      <c r="BR792" s="163"/>
      <c r="BS792" s="163"/>
      <c r="BT792" s="163"/>
      <c r="BU792" s="163"/>
      <c r="BV792" s="163"/>
    </row>
    <row r="793" spans="45:75" x14ac:dyDescent="0.3">
      <c r="AY793" s="99"/>
      <c r="AZ793" s="163"/>
      <c r="BB793" s="163"/>
      <c r="BO793" s="163"/>
      <c r="BP793" s="163"/>
      <c r="BQ793" s="163"/>
      <c r="BR793" s="163"/>
      <c r="BS793" s="163"/>
      <c r="BT793" s="163"/>
      <c r="BU793" s="163"/>
      <c r="BV793" s="163"/>
    </row>
    <row r="794" spans="45:75" x14ac:dyDescent="0.3">
      <c r="AY794" s="99"/>
      <c r="AZ794" s="163"/>
      <c r="BB794" s="163"/>
      <c r="BO794" s="163"/>
      <c r="BP794" s="163"/>
      <c r="BQ794" s="163"/>
      <c r="BR794" s="163"/>
      <c r="BS794" s="163"/>
      <c r="BT794" s="163"/>
      <c r="BU794" s="163"/>
      <c r="BV794" s="163"/>
    </row>
    <row r="795" spans="45:75" x14ac:dyDescent="0.3">
      <c r="AZ795" s="163"/>
      <c r="BB795" s="163"/>
      <c r="BD795" s="99"/>
      <c r="BO795" s="163"/>
      <c r="BP795" s="163"/>
      <c r="BQ795" s="163"/>
      <c r="BR795" s="163"/>
      <c r="BS795" s="163"/>
      <c r="BT795" s="163"/>
      <c r="BU795" s="163"/>
      <c r="BV795" s="163"/>
    </row>
    <row r="796" spans="45:75" x14ac:dyDescent="0.3">
      <c r="AZ796" s="163"/>
      <c r="BB796" s="163"/>
      <c r="BD796" s="99"/>
      <c r="BO796" s="163"/>
      <c r="BP796" s="163"/>
      <c r="BQ796" s="163"/>
      <c r="BR796" s="163"/>
      <c r="BS796" s="163"/>
      <c r="BT796" s="163"/>
      <c r="BU796" s="163"/>
      <c r="BV796" s="163"/>
    </row>
    <row r="797" spans="45:75" x14ac:dyDescent="0.3">
      <c r="AS797" s="99"/>
      <c r="AZ797" s="163"/>
      <c r="BB797" s="163"/>
      <c r="BD797" s="99"/>
      <c r="BO797" s="163"/>
      <c r="BP797" s="163"/>
      <c r="BQ797" s="163"/>
      <c r="BR797" s="163"/>
      <c r="BS797" s="163"/>
      <c r="BT797" s="163"/>
      <c r="BU797" s="163"/>
      <c r="BV797" s="163"/>
    </row>
    <row r="798" spans="45:75" x14ac:dyDescent="0.3">
      <c r="AZ798" s="163"/>
      <c r="BB798" s="163"/>
      <c r="BO798" s="163"/>
      <c r="BP798" s="163"/>
      <c r="BQ798" s="163"/>
      <c r="BR798" s="163"/>
      <c r="BS798" s="163"/>
      <c r="BT798" s="163"/>
      <c r="BU798" s="163"/>
      <c r="BV798" s="163"/>
    </row>
    <row r="799" spans="45:75" x14ac:dyDescent="0.3">
      <c r="AS799" s="101"/>
      <c r="AT799" s="101"/>
      <c r="AU799" s="101"/>
      <c r="AV799" s="101"/>
      <c r="AW799" s="101"/>
      <c r="AX799" s="101"/>
      <c r="AY799" s="101"/>
      <c r="AZ799" s="212"/>
      <c r="BA799" s="101"/>
      <c r="BB799" s="212"/>
      <c r="BC799" s="101"/>
      <c r="BD799" s="101"/>
      <c r="BE799" s="101"/>
      <c r="BO799" s="163"/>
      <c r="BP799" s="163"/>
      <c r="BQ799" s="163"/>
      <c r="BR799" s="163"/>
      <c r="BS799" s="163"/>
      <c r="BT799" s="163"/>
      <c r="BU799" s="163"/>
      <c r="BV799" s="163"/>
    </row>
    <row r="800" spans="45:75" x14ac:dyDescent="0.3">
      <c r="AX800" s="99"/>
      <c r="AZ800" s="163"/>
      <c r="BB800" s="163"/>
      <c r="BO800" s="163"/>
      <c r="BP800" s="163"/>
      <c r="BQ800" s="163"/>
      <c r="BR800" s="163"/>
      <c r="BS800" s="163"/>
      <c r="BT800" s="163"/>
      <c r="BU800" s="163"/>
      <c r="BV800" s="163"/>
    </row>
    <row r="801" spans="45:74" x14ac:dyDescent="0.3">
      <c r="AX801" s="101"/>
      <c r="AY801" s="101"/>
      <c r="AZ801" s="212"/>
      <c r="BA801" s="101"/>
      <c r="BB801" s="163"/>
      <c r="BC801" s="102"/>
      <c r="BD801" s="102"/>
      <c r="BO801" s="163"/>
      <c r="BP801" s="163"/>
      <c r="BQ801" s="163"/>
      <c r="BR801" s="163"/>
      <c r="BS801" s="163"/>
      <c r="BT801" s="163"/>
      <c r="BU801" s="163"/>
      <c r="BV801" s="163"/>
    </row>
    <row r="802" spans="45:74" x14ac:dyDescent="0.3">
      <c r="AV802" s="102"/>
      <c r="AW802" s="102"/>
      <c r="AZ802" s="213"/>
      <c r="BA802" s="102"/>
      <c r="BB802" s="163"/>
      <c r="BC802" s="102"/>
      <c r="BD802" s="102"/>
      <c r="BE802" s="102"/>
      <c r="BG802" s="101"/>
      <c r="BH802" s="99"/>
      <c r="BK802" s="101"/>
      <c r="BM802" s="101"/>
      <c r="BN802" s="99"/>
      <c r="BQ802" s="101"/>
    </row>
    <row r="803" spans="45:74" x14ac:dyDescent="0.3">
      <c r="AV803" s="102"/>
      <c r="AW803" s="102"/>
      <c r="AX803" s="102"/>
      <c r="AY803" s="102"/>
      <c r="AZ803" s="213"/>
      <c r="BA803" s="102"/>
      <c r="BB803" s="213"/>
      <c r="BC803" s="102"/>
      <c r="BD803" s="102"/>
      <c r="BE803" s="102"/>
      <c r="BH803" s="102"/>
      <c r="BI803" s="102"/>
      <c r="BN803" s="102"/>
      <c r="BO803" s="102"/>
    </row>
    <row r="804" spans="45:74" x14ac:dyDescent="0.3">
      <c r="AS804" s="102"/>
      <c r="AU804" s="99"/>
      <c r="AV804" s="102"/>
      <c r="AW804" s="102"/>
      <c r="AX804" s="102"/>
      <c r="AY804" s="102"/>
      <c r="AZ804" s="213"/>
      <c r="BA804" s="102"/>
      <c r="BB804" s="213"/>
      <c r="BC804" s="102"/>
      <c r="BD804" s="102"/>
      <c r="BE804" s="102"/>
      <c r="BG804" s="102"/>
      <c r="BH804" s="102"/>
      <c r="BI804" s="102"/>
      <c r="BJ804" s="102"/>
      <c r="BK804" s="102"/>
      <c r="BM804" s="102"/>
      <c r="BN804" s="102"/>
      <c r="BO804" s="102"/>
      <c r="BP804" s="102"/>
      <c r="BQ804" s="102"/>
    </row>
    <row r="805" spans="45:74" x14ac:dyDescent="0.3">
      <c r="AS805" s="102"/>
      <c r="AU805" s="99"/>
      <c r="AV805" s="102"/>
      <c r="AW805" s="102"/>
      <c r="AX805" s="102"/>
      <c r="AY805" s="102"/>
      <c r="AZ805" s="213"/>
      <c r="BA805" s="102"/>
      <c r="BB805" s="213"/>
      <c r="BC805" s="102"/>
      <c r="BD805" s="102"/>
      <c r="BE805" s="102"/>
      <c r="BG805" s="102"/>
      <c r="BH805" s="102"/>
      <c r="BI805" s="102"/>
      <c r="BJ805" s="102"/>
      <c r="BK805" s="102"/>
      <c r="BM805" s="102"/>
      <c r="BN805" s="102"/>
      <c r="BO805" s="102"/>
      <c r="BP805" s="102"/>
      <c r="BQ805" s="102"/>
    </row>
    <row r="806" spans="45:74" x14ac:dyDescent="0.3">
      <c r="AS806" s="101"/>
      <c r="AT806" s="101"/>
      <c r="AU806" s="101"/>
      <c r="AV806" s="101"/>
      <c r="AW806" s="101"/>
      <c r="AX806" s="101"/>
      <c r="AY806" s="101"/>
      <c r="AZ806" s="212"/>
      <c r="BA806" s="101"/>
      <c r="BB806" s="212"/>
      <c r="BC806" s="101"/>
      <c r="BD806" s="101"/>
      <c r="BE806" s="101"/>
      <c r="BG806" s="101"/>
      <c r="BH806" s="101"/>
      <c r="BI806" s="101"/>
      <c r="BJ806" s="101"/>
      <c r="BK806" s="101"/>
      <c r="BM806" s="101"/>
      <c r="BN806" s="101"/>
      <c r="BO806" s="101"/>
      <c r="BP806" s="101"/>
      <c r="BQ806" s="101"/>
    </row>
    <row r="807" spans="45:74" x14ac:dyDescent="0.3">
      <c r="AV807" s="102"/>
      <c r="AW807" s="102"/>
      <c r="AX807" s="102"/>
      <c r="AY807" s="102"/>
      <c r="AZ807" s="213"/>
      <c r="BA807" s="102"/>
      <c r="BB807" s="213"/>
      <c r="BC807" s="102"/>
      <c r="BD807" s="102"/>
      <c r="BE807" s="102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</row>
    <row r="808" spans="45:74" x14ac:dyDescent="0.3">
      <c r="AT808" s="99"/>
      <c r="AV808" s="110"/>
      <c r="AW808" s="110"/>
      <c r="AX808" s="163"/>
      <c r="AY808" s="163"/>
      <c r="AZ808" s="163"/>
      <c r="BA808" s="207"/>
      <c r="BB808" s="163"/>
      <c r="BC808" s="163"/>
      <c r="BD808" s="163"/>
      <c r="BE808" s="207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</row>
    <row r="809" spans="45:74" x14ac:dyDescent="0.3">
      <c r="AV809" s="110"/>
      <c r="AW809" s="110"/>
      <c r="AX809" s="163"/>
      <c r="AY809" s="163"/>
      <c r="AZ809" s="163"/>
      <c r="BA809" s="207"/>
      <c r="BB809" s="163"/>
      <c r="BC809" s="163"/>
      <c r="BD809" s="163"/>
      <c r="BE809" s="207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</row>
    <row r="810" spans="45:74" x14ac:dyDescent="0.3">
      <c r="AV810" s="110"/>
      <c r="AW810" s="110"/>
      <c r="AX810" s="163"/>
      <c r="AY810" s="163"/>
      <c r="AZ810" s="163"/>
      <c r="BA810" s="207"/>
      <c r="BB810" s="163"/>
      <c r="BC810" s="163"/>
      <c r="BD810" s="163"/>
      <c r="BE810" s="207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</row>
    <row r="811" spans="45:74" x14ac:dyDescent="0.3">
      <c r="AV811" s="110"/>
      <c r="AW811" s="110"/>
      <c r="AX811" s="163"/>
      <c r="AY811" s="163"/>
      <c r="AZ811" s="163"/>
      <c r="BA811" s="207"/>
      <c r="BB811" s="163"/>
      <c r="BC811" s="163"/>
      <c r="BD811" s="163"/>
      <c r="BE811" s="207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</row>
    <row r="812" spans="45:74" x14ac:dyDescent="0.3">
      <c r="AV812" s="110"/>
      <c r="AW812" s="110"/>
      <c r="AX812" s="163"/>
      <c r="AY812" s="163"/>
      <c r="AZ812" s="163"/>
      <c r="BA812" s="207"/>
      <c r="BB812" s="163"/>
      <c r="BC812" s="163"/>
      <c r="BD812" s="163"/>
      <c r="BE812" s="207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</row>
    <row r="813" spans="45:74" x14ac:dyDescent="0.3">
      <c r="AV813" s="110"/>
      <c r="AW813" s="110"/>
      <c r="AX813" s="163"/>
      <c r="AY813" s="163"/>
      <c r="AZ813" s="163"/>
      <c r="BA813" s="207"/>
      <c r="BB813" s="163"/>
      <c r="BC813" s="163"/>
      <c r="BD813" s="163"/>
      <c r="BE813" s="207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</row>
    <row r="814" spans="45:74" x14ac:dyDescent="0.3">
      <c r="AV814" s="110"/>
      <c r="AW814" s="110"/>
      <c r="AX814" s="163"/>
      <c r="AY814" s="163"/>
      <c r="AZ814" s="163"/>
      <c r="BA814" s="207"/>
      <c r="BB814" s="163"/>
      <c r="BC814" s="163"/>
      <c r="BD814" s="163"/>
      <c r="BE814" s="207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</row>
    <row r="815" spans="45:74" x14ac:dyDescent="0.3">
      <c r="AV815" s="110"/>
      <c r="AW815" s="110"/>
      <c r="AX815" s="163"/>
      <c r="AY815" s="163"/>
      <c r="AZ815" s="163"/>
      <c r="BA815" s="207"/>
      <c r="BB815" s="163"/>
      <c r="BC815" s="163"/>
      <c r="BD815" s="163"/>
      <c r="BE815" s="207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</row>
    <row r="816" spans="45:74" x14ac:dyDescent="0.3">
      <c r="AV816" s="110"/>
      <c r="AW816" s="110"/>
      <c r="AX816" s="163"/>
      <c r="AY816" s="163"/>
      <c r="AZ816" s="163"/>
      <c r="BA816" s="207"/>
      <c r="BB816" s="163"/>
      <c r="BC816" s="163"/>
      <c r="BD816" s="163"/>
      <c r="BE816" s="207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</row>
    <row r="817" spans="46:71" x14ac:dyDescent="0.3">
      <c r="AV817" s="110"/>
      <c r="AW817" s="110"/>
      <c r="AX817" s="163"/>
      <c r="AY817" s="163"/>
      <c r="AZ817" s="163"/>
      <c r="BA817" s="207"/>
      <c r="BB817" s="163"/>
      <c r="BC817" s="163"/>
      <c r="BD817" s="163"/>
      <c r="BE817" s="207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</row>
    <row r="818" spans="46:71" x14ac:dyDescent="0.3">
      <c r="AV818" s="110"/>
      <c r="AW818" s="110"/>
      <c r="AX818" s="163"/>
      <c r="AY818" s="163"/>
      <c r="AZ818" s="163"/>
      <c r="BA818" s="207"/>
      <c r="BB818" s="163"/>
      <c r="BC818" s="163"/>
      <c r="BD818" s="163"/>
      <c r="BE818" s="207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</row>
    <row r="819" spans="46:71" x14ac:dyDescent="0.3">
      <c r="AV819" s="110"/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</row>
    <row r="820" spans="46:71" x14ac:dyDescent="0.3">
      <c r="AV820" s="110"/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</row>
    <row r="821" spans="46:71" x14ac:dyDescent="0.3">
      <c r="AV821" s="110"/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</row>
    <row r="822" spans="46:71" x14ac:dyDescent="0.3">
      <c r="AV822" s="110"/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</row>
    <row r="823" spans="46:71" x14ac:dyDescent="0.3">
      <c r="AV823" s="110"/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</row>
    <row r="824" spans="46:71" x14ac:dyDescent="0.3">
      <c r="AV824" s="110"/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</row>
    <row r="825" spans="46:71" x14ac:dyDescent="0.3">
      <c r="AV825" s="110"/>
      <c r="AW825" s="110"/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</row>
    <row r="826" spans="46:71" x14ac:dyDescent="0.3">
      <c r="AZ826" s="163"/>
      <c r="BB826" s="163"/>
      <c r="BC826" s="163"/>
      <c r="BD826" s="163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</row>
    <row r="827" spans="46:71" x14ac:dyDescent="0.3">
      <c r="AT827" s="99"/>
      <c r="AV827" s="110"/>
      <c r="AW827" s="110"/>
      <c r="AX827" s="163"/>
      <c r="AY827" s="163"/>
      <c r="AZ827" s="163"/>
      <c r="BA827" s="207"/>
      <c r="BB827" s="163"/>
      <c r="BC827" s="163"/>
      <c r="BD827" s="163"/>
      <c r="BE827" s="207"/>
    </row>
    <row r="828" spans="46:71" x14ac:dyDescent="0.3">
      <c r="AV828" s="110"/>
      <c r="AW828" s="110"/>
      <c r="AX828" s="163"/>
      <c r="AY828" s="163"/>
      <c r="AZ828" s="163"/>
      <c r="BA828" s="207"/>
      <c r="BB828" s="163"/>
      <c r="BC828" s="163"/>
      <c r="BD828" s="163"/>
      <c r="BE828" s="207"/>
    </row>
    <row r="829" spans="46:71" x14ac:dyDescent="0.3">
      <c r="AV829" s="110"/>
      <c r="AW829" s="110"/>
      <c r="AX829" s="163"/>
      <c r="AY829" s="163"/>
      <c r="AZ829" s="163"/>
      <c r="BA829" s="207"/>
      <c r="BB829" s="163"/>
      <c r="BC829" s="163"/>
      <c r="BD829" s="163"/>
      <c r="BE829" s="207"/>
    </row>
    <row r="830" spans="46:71" x14ac:dyDescent="0.3">
      <c r="AV830" s="110"/>
      <c r="AW830" s="110"/>
      <c r="AX830" s="163"/>
      <c r="AY830" s="163"/>
      <c r="AZ830" s="163"/>
      <c r="BA830" s="207"/>
      <c r="BB830" s="163"/>
      <c r="BC830" s="163"/>
      <c r="BD830" s="163"/>
      <c r="BE830" s="207"/>
    </row>
    <row r="831" spans="46:71" x14ac:dyDescent="0.3">
      <c r="AV831" s="110"/>
      <c r="AW831" s="110"/>
      <c r="AX831" s="163"/>
      <c r="AY831" s="163"/>
      <c r="AZ831" s="163"/>
      <c r="BA831" s="207"/>
      <c r="BB831" s="163"/>
      <c r="BC831" s="163"/>
      <c r="BD831" s="163"/>
      <c r="BE831" s="207"/>
    </row>
    <row r="832" spans="46:71" x14ac:dyDescent="0.3">
      <c r="AV832" s="110"/>
      <c r="AW832" s="110"/>
      <c r="AX832" s="163"/>
      <c r="AY832" s="163"/>
      <c r="AZ832" s="163"/>
      <c r="BA832" s="207"/>
      <c r="BB832" s="163"/>
      <c r="BC832" s="163"/>
      <c r="BD832" s="163"/>
      <c r="BE832" s="207"/>
    </row>
    <row r="833" spans="47:57" x14ac:dyDescent="0.3">
      <c r="AV833" s="110"/>
      <c r="AW833" s="110"/>
      <c r="AX833" s="163"/>
      <c r="AY833" s="163"/>
      <c r="AZ833" s="163"/>
      <c r="BA833" s="207"/>
      <c r="BB833" s="163"/>
      <c r="BC833" s="163"/>
      <c r="BD833" s="163"/>
      <c r="BE833" s="207"/>
    </row>
    <row r="834" spans="47:57" x14ac:dyDescent="0.3">
      <c r="AV834" s="110"/>
      <c r="AW834" s="110"/>
      <c r="AX834" s="163"/>
      <c r="AY834" s="163"/>
      <c r="AZ834" s="163"/>
      <c r="BA834" s="207"/>
      <c r="BB834" s="163"/>
      <c r="BC834" s="163"/>
      <c r="BD834" s="163"/>
      <c r="BE834" s="207"/>
    </row>
    <row r="835" spans="47:57" x14ac:dyDescent="0.3">
      <c r="AV835" s="110"/>
      <c r="AW835" s="110"/>
      <c r="AX835" s="163"/>
      <c r="AY835" s="163"/>
      <c r="AZ835" s="163"/>
      <c r="BA835" s="207"/>
      <c r="BB835" s="163"/>
      <c r="BC835" s="163"/>
      <c r="BD835" s="163"/>
      <c r="BE835" s="207"/>
    </row>
    <row r="836" spans="47:57" x14ac:dyDescent="0.3">
      <c r="AV836" s="110"/>
      <c r="AW836" s="110"/>
      <c r="AX836" s="163"/>
      <c r="AY836" s="163"/>
      <c r="AZ836" s="163"/>
      <c r="BA836" s="207"/>
      <c r="BB836" s="163"/>
      <c r="BC836" s="163"/>
      <c r="BD836" s="163"/>
      <c r="BE836" s="207"/>
    </row>
    <row r="837" spans="47:57" x14ac:dyDescent="0.3">
      <c r="AV837" s="110"/>
      <c r="AW837" s="110"/>
      <c r="AX837" s="163"/>
      <c r="AY837" s="163"/>
      <c r="AZ837" s="163"/>
      <c r="BA837" s="207"/>
      <c r="BB837" s="163"/>
      <c r="BC837" s="163"/>
      <c r="BD837" s="163"/>
      <c r="BE837" s="207"/>
    </row>
    <row r="838" spans="47:57" x14ac:dyDescent="0.3">
      <c r="AV838" s="110"/>
      <c r="AW838" s="110"/>
      <c r="AX838" s="163"/>
      <c r="AY838" s="163"/>
      <c r="AZ838" s="163"/>
      <c r="BA838" s="207"/>
      <c r="BB838" s="163"/>
      <c r="BC838" s="163"/>
      <c r="BD838" s="163"/>
      <c r="BE838" s="207"/>
    </row>
    <row r="839" spans="47:57" x14ac:dyDescent="0.3">
      <c r="AV839" s="110"/>
      <c r="AW839" s="110"/>
      <c r="AX839" s="163"/>
      <c r="AY839" s="163"/>
      <c r="AZ839" s="163"/>
      <c r="BA839" s="207"/>
      <c r="BB839" s="163"/>
      <c r="BC839" s="163"/>
      <c r="BD839" s="163"/>
      <c r="BE839" s="207"/>
    </row>
    <row r="840" spans="47:57" x14ac:dyDescent="0.3">
      <c r="AV840" s="110"/>
      <c r="AW840" s="110"/>
      <c r="AX840" s="163"/>
      <c r="AY840" s="163"/>
      <c r="AZ840" s="163"/>
      <c r="BA840" s="207"/>
      <c r="BB840" s="163"/>
      <c r="BC840" s="163"/>
      <c r="BD840" s="163"/>
      <c r="BE840" s="207"/>
    </row>
    <row r="841" spans="47:57" x14ac:dyDescent="0.3">
      <c r="AV841" s="110"/>
      <c r="AW841" s="110"/>
      <c r="AX841" s="163"/>
      <c r="AY841" s="163"/>
      <c r="AZ841" s="163"/>
      <c r="BA841" s="207"/>
      <c r="BB841" s="163"/>
      <c r="BC841" s="163"/>
      <c r="BD841" s="163"/>
      <c r="BE841" s="207"/>
    </row>
    <row r="842" spans="47:57" x14ac:dyDescent="0.3">
      <c r="AV842" s="110"/>
      <c r="AW842" s="110"/>
      <c r="AX842" s="163"/>
      <c r="AY842" s="163"/>
      <c r="AZ842" s="163"/>
      <c r="BA842" s="207"/>
      <c r="BB842" s="163"/>
      <c r="BC842" s="163"/>
      <c r="BD842" s="163"/>
      <c r="BE842" s="207"/>
    </row>
    <row r="843" spans="47:57" x14ac:dyDescent="0.3">
      <c r="AV843" s="110"/>
      <c r="AW843" s="110"/>
      <c r="AX843" s="163"/>
      <c r="AY843" s="163"/>
      <c r="AZ843" s="163"/>
      <c r="BA843" s="207"/>
      <c r="BB843" s="163"/>
      <c r="BC843" s="163"/>
      <c r="BD843" s="163"/>
      <c r="BE843" s="207"/>
    </row>
    <row r="844" spans="47:57" x14ac:dyDescent="0.3">
      <c r="AV844" s="110"/>
      <c r="AW844" s="110"/>
      <c r="AX844" s="163"/>
      <c r="AY844" s="163"/>
      <c r="AZ844" s="163"/>
      <c r="BA844" s="207"/>
      <c r="BB844" s="163"/>
      <c r="BC844" s="163"/>
      <c r="BD844" s="163"/>
      <c r="BE844" s="207"/>
    </row>
    <row r="845" spans="47:57" x14ac:dyDescent="0.3">
      <c r="BB845" s="163"/>
    </row>
    <row r="846" spans="47:57" x14ac:dyDescent="0.3">
      <c r="AU846" s="99"/>
      <c r="BB846" s="163"/>
    </row>
    <row r="847" spans="47:57" x14ac:dyDescent="0.3">
      <c r="AU847" s="99"/>
    </row>
    <row r="848" spans="47:57" x14ac:dyDescent="0.3">
      <c r="AU848" s="99"/>
      <c r="BB848" s="163"/>
    </row>
    <row r="849" spans="45:57" x14ac:dyDescent="0.3">
      <c r="AS849" s="99"/>
      <c r="AZ849" s="163"/>
      <c r="BB849" s="163"/>
    </row>
    <row r="850" spans="45:57" x14ac:dyDescent="0.3">
      <c r="AZ850" s="163"/>
      <c r="BB850" s="163"/>
    </row>
    <row r="851" spans="45:57" x14ac:dyDescent="0.3">
      <c r="AY851" s="163"/>
      <c r="AZ851" s="163"/>
      <c r="BB851" s="163"/>
    </row>
    <row r="852" spans="45:57" x14ac:dyDescent="0.3">
      <c r="AY852" s="99"/>
      <c r="AZ852" s="163"/>
      <c r="BB852" s="163"/>
    </row>
    <row r="853" spans="45:57" x14ac:dyDescent="0.3">
      <c r="AY853" s="99"/>
      <c r="AZ853" s="163"/>
      <c r="BB853" s="163"/>
    </row>
    <row r="854" spans="45:57" x14ac:dyDescent="0.3">
      <c r="AZ854" s="163"/>
      <c r="BB854" s="163"/>
      <c r="BD854" s="99"/>
    </row>
    <row r="855" spans="45:57" x14ac:dyDescent="0.3">
      <c r="AZ855" s="163"/>
      <c r="BB855" s="163"/>
      <c r="BD855" s="99"/>
    </row>
    <row r="856" spans="45:57" x14ac:dyDescent="0.3">
      <c r="AS856" s="99"/>
      <c r="AZ856" s="163"/>
      <c r="BB856" s="163"/>
      <c r="BD856" s="99"/>
    </row>
    <row r="857" spans="45:57" x14ac:dyDescent="0.3">
      <c r="AZ857" s="163"/>
      <c r="BB857" s="163"/>
    </row>
    <row r="858" spans="45:57" x14ac:dyDescent="0.3">
      <c r="AS858" s="101"/>
      <c r="AT858" s="101"/>
      <c r="AU858" s="101"/>
      <c r="AV858" s="101"/>
      <c r="AW858" s="101"/>
      <c r="AX858" s="101"/>
      <c r="AY858" s="101"/>
      <c r="AZ858" s="212"/>
      <c r="BA858" s="101"/>
      <c r="BB858" s="212"/>
      <c r="BC858" s="101"/>
      <c r="BD858" s="101"/>
      <c r="BE858" s="101"/>
    </row>
    <row r="859" spans="45:57" x14ac:dyDescent="0.3">
      <c r="AX859" s="99"/>
      <c r="AZ859" s="163"/>
      <c r="BB859" s="163"/>
    </row>
    <row r="860" spans="45:57" x14ac:dyDescent="0.3">
      <c r="AX860" s="101"/>
      <c r="AY860" s="101"/>
      <c r="AZ860" s="212"/>
      <c r="BA860" s="101"/>
      <c r="BB860" s="163"/>
      <c r="BC860" s="102"/>
      <c r="BD860" s="102"/>
    </row>
    <row r="861" spans="45:57" x14ac:dyDescent="0.3">
      <c r="AV861" s="102"/>
      <c r="AW861" s="102"/>
      <c r="AZ861" s="213"/>
      <c r="BA861" s="102"/>
      <c r="BB861" s="163"/>
      <c r="BC861" s="102"/>
      <c r="BD861" s="102"/>
      <c r="BE861" s="102"/>
    </row>
    <row r="862" spans="45:57" x14ac:dyDescent="0.3">
      <c r="AV862" s="102"/>
      <c r="AW862" s="102"/>
      <c r="AX862" s="102"/>
      <c r="AY862" s="102"/>
      <c r="AZ862" s="213"/>
      <c r="BA862" s="102"/>
      <c r="BB862" s="213"/>
      <c r="BC862" s="102"/>
      <c r="BD862" s="102"/>
      <c r="BE862" s="102"/>
    </row>
    <row r="863" spans="45:57" x14ac:dyDescent="0.3">
      <c r="AS863" s="102"/>
      <c r="AU863" s="99"/>
      <c r="AV863" s="102"/>
      <c r="AW863" s="102"/>
      <c r="AX863" s="102"/>
      <c r="AY863" s="102"/>
      <c r="AZ863" s="213"/>
      <c r="BA863" s="102"/>
      <c r="BB863" s="213"/>
      <c r="BC863" s="102"/>
      <c r="BD863" s="102"/>
      <c r="BE863" s="102"/>
    </row>
    <row r="864" spans="45:57" x14ac:dyDescent="0.3">
      <c r="AS864" s="102"/>
      <c r="AU864" s="99"/>
      <c r="AV864" s="102"/>
      <c r="AW864" s="102"/>
      <c r="AX864" s="102"/>
      <c r="AY864" s="102"/>
      <c r="AZ864" s="213"/>
      <c r="BA864" s="102"/>
      <c r="BB864" s="213"/>
      <c r="BC864" s="102"/>
      <c r="BD864" s="102"/>
      <c r="BE864" s="102"/>
    </row>
    <row r="865" spans="45:57" x14ac:dyDescent="0.3">
      <c r="AS865" s="101"/>
      <c r="AT865" s="101"/>
      <c r="AU865" s="101"/>
      <c r="AV865" s="101"/>
      <c r="AW865" s="101"/>
      <c r="AX865" s="101"/>
      <c r="AY865" s="101"/>
      <c r="AZ865" s="212"/>
      <c r="BA865" s="101"/>
      <c r="BB865" s="212"/>
      <c r="BC865" s="101"/>
      <c r="BD865" s="101"/>
      <c r="BE865" s="101"/>
    </row>
    <row r="866" spans="45:57" x14ac:dyDescent="0.3">
      <c r="AV866" s="102"/>
      <c r="AW866" s="102"/>
      <c r="AX866" s="102"/>
      <c r="AY866" s="102"/>
      <c r="AZ866" s="213"/>
      <c r="BA866" s="102"/>
      <c r="BB866" s="213"/>
      <c r="BC866" s="102"/>
      <c r="BD866" s="102"/>
      <c r="BE866" s="102"/>
    </row>
    <row r="867" spans="45:57" x14ac:dyDescent="0.3">
      <c r="AT867" s="99"/>
      <c r="AV867" s="110"/>
      <c r="AW867" s="110"/>
      <c r="AX867" s="163"/>
      <c r="AY867" s="163"/>
      <c r="AZ867" s="163"/>
      <c r="BA867" s="207"/>
      <c r="BB867" s="163"/>
      <c r="BC867" s="163"/>
      <c r="BD867" s="163"/>
      <c r="BE867" s="207"/>
    </row>
    <row r="868" spans="45:57" x14ac:dyDescent="0.3">
      <c r="AV868" s="110"/>
      <c r="AW868" s="110"/>
      <c r="AX868" s="163"/>
      <c r="AY868" s="163"/>
      <c r="AZ868" s="163"/>
      <c r="BA868" s="207"/>
      <c r="BB868" s="163"/>
      <c r="BC868" s="163"/>
      <c r="BD868" s="163"/>
      <c r="BE868" s="207"/>
    </row>
    <row r="869" spans="45:57" x14ac:dyDescent="0.3">
      <c r="AV869" s="110"/>
      <c r="AW869" s="110"/>
      <c r="AX869" s="163"/>
      <c r="AY869" s="163"/>
      <c r="AZ869" s="163"/>
      <c r="BA869" s="207"/>
      <c r="BB869" s="163"/>
      <c r="BC869" s="163"/>
      <c r="BD869" s="163"/>
      <c r="BE869" s="207"/>
    </row>
    <row r="870" spans="45:57" x14ac:dyDescent="0.3">
      <c r="AV870" s="110"/>
      <c r="AW870" s="110"/>
      <c r="AX870" s="163"/>
      <c r="AY870" s="163"/>
      <c r="AZ870" s="163"/>
      <c r="BA870" s="207"/>
      <c r="BB870" s="163"/>
      <c r="BC870" s="163"/>
      <c r="BD870" s="163"/>
      <c r="BE870" s="207"/>
    </row>
    <row r="871" spans="45:57" x14ac:dyDescent="0.3"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</row>
    <row r="872" spans="45:57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</row>
    <row r="873" spans="45:57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</row>
    <row r="874" spans="45:57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</row>
    <row r="875" spans="45:57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</row>
    <row r="876" spans="45:57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</row>
    <row r="877" spans="45:57" x14ac:dyDescent="0.3">
      <c r="AV877" s="110"/>
      <c r="AW877" s="110"/>
      <c r="BB877" s="163"/>
    </row>
    <row r="878" spans="45:57" x14ac:dyDescent="0.3">
      <c r="AT878" s="99"/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</row>
    <row r="879" spans="45:57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</row>
    <row r="880" spans="45:57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</row>
    <row r="881" spans="45:57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</row>
    <row r="882" spans="45:57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</row>
    <row r="883" spans="45:57" x14ac:dyDescent="0.3">
      <c r="AV883" s="110"/>
      <c r="AW883" s="110"/>
      <c r="AX883" s="163"/>
      <c r="AY883" s="163"/>
      <c r="AZ883" s="163"/>
      <c r="BA883" s="207"/>
      <c r="BB883" s="163"/>
      <c r="BC883" s="163"/>
      <c r="BD883" s="163"/>
      <c r="BE883" s="207"/>
    </row>
    <row r="884" spans="45:57" x14ac:dyDescent="0.3">
      <c r="AV884" s="110"/>
      <c r="AW884" s="110"/>
      <c r="AX884" s="163"/>
      <c r="AY884" s="163"/>
      <c r="AZ884" s="163"/>
      <c r="BA884" s="207"/>
      <c r="BB884" s="163"/>
      <c r="BC884" s="163"/>
      <c r="BD884" s="163"/>
      <c r="BE884" s="207"/>
    </row>
    <row r="885" spans="45:57" x14ac:dyDescent="0.3">
      <c r="AV885" s="110"/>
      <c r="AW885" s="110"/>
      <c r="AX885" s="163"/>
      <c r="AY885" s="163"/>
      <c r="AZ885" s="163"/>
      <c r="BA885" s="207"/>
      <c r="BB885" s="163"/>
      <c r="BC885" s="163"/>
      <c r="BD885" s="163"/>
      <c r="BE885" s="207"/>
    </row>
    <row r="886" spans="45:57" x14ac:dyDescent="0.3">
      <c r="AV886" s="110"/>
      <c r="AW886" s="110"/>
      <c r="AX886" s="163"/>
      <c r="AY886" s="163"/>
      <c r="AZ886" s="163"/>
      <c r="BA886" s="207"/>
      <c r="BB886" s="163"/>
      <c r="BC886" s="163"/>
      <c r="BD886" s="163"/>
      <c r="BE886" s="207"/>
    </row>
    <row r="887" spans="45:57" x14ac:dyDescent="0.3">
      <c r="AV887" s="110"/>
      <c r="AW887" s="110"/>
      <c r="AX887" s="163"/>
      <c r="AY887" s="163"/>
      <c r="AZ887" s="163"/>
      <c r="BA887" s="207"/>
      <c r="BB887" s="163"/>
      <c r="BC887" s="163"/>
      <c r="BD887" s="163"/>
      <c r="BE887" s="207"/>
    </row>
    <row r="889" spans="45:57" x14ac:dyDescent="0.3">
      <c r="AU889" s="99"/>
    </row>
    <row r="890" spans="45:57" x14ac:dyDescent="0.3">
      <c r="AU890" s="99"/>
    </row>
    <row r="891" spans="45:57" x14ac:dyDescent="0.3">
      <c r="AU891" s="99"/>
    </row>
    <row r="892" spans="45:57" x14ac:dyDescent="0.3">
      <c r="AS892" s="99"/>
    </row>
    <row r="913" spans="52:71" x14ac:dyDescent="0.3">
      <c r="AZ913" s="163"/>
      <c r="BB913" s="163"/>
      <c r="BC913" s="163"/>
      <c r="BD913" s="163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</row>
    <row r="914" spans="52:71" x14ac:dyDescent="0.3">
      <c r="AZ914" s="163"/>
      <c r="BB914" s="163"/>
      <c r="BC914" s="163"/>
      <c r="BD914" s="163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</row>
    <row r="915" spans="52:71" x14ac:dyDescent="0.3">
      <c r="AZ915" s="163"/>
      <c r="BB915" s="163"/>
      <c r="BC915" s="163"/>
      <c r="BD915" s="163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</row>
    <row r="916" spans="52:71" x14ac:dyDescent="0.3">
      <c r="AZ916" s="163"/>
      <c r="BB916" s="163"/>
      <c r="BC916" s="163"/>
      <c r="BD916" s="163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</row>
    <row r="917" spans="52:71" x14ac:dyDescent="0.3">
      <c r="AZ917" s="163"/>
      <c r="BB917" s="163"/>
      <c r="BC917" s="163"/>
      <c r="BD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</row>
    <row r="918" spans="52:71" x14ac:dyDescent="0.3">
      <c r="AZ918" s="163"/>
      <c r="BB918" s="163"/>
      <c r="BC918" s="163"/>
      <c r="BD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</row>
    <row r="919" spans="52:71" x14ac:dyDescent="0.3">
      <c r="AZ919" s="163"/>
      <c r="BB919" s="163"/>
      <c r="BC919" s="163"/>
      <c r="BD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</row>
    <row r="920" spans="52:71" x14ac:dyDescent="0.3">
      <c r="AZ920" s="163"/>
      <c r="BB920" s="163"/>
      <c r="BC920" s="163"/>
      <c r="BD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</row>
    <row r="921" spans="52:71" x14ac:dyDescent="0.3">
      <c r="AZ921" s="163"/>
      <c r="BB921" s="163"/>
      <c r="BC921" s="163"/>
      <c r="BD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</row>
    <row r="922" spans="52:71" x14ac:dyDescent="0.3">
      <c r="AZ922" s="163"/>
      <c r="BB922" s="163"/>
      <c r="BC922" s="163"/>
      <c r="BD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</row>
    <row r="923" spans="52:71" x14ac:dyDescent="0.3">
      <c r="AZ923" s="163"/>
      <c r="BB923" s="163"/>
      <c r="BC923" s="163"/>
      <c r="BD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</row>
    <row r="924" spans="52:71" x14ac:dyDescent="0.3">
      <c r="AZ924" s="163"/>
      <c r="BB924" s="163"/>
      <c r="BC924" s="163"/>
      <c r="BD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</row>
    <row r="925" spans="52:71" x14ac:dyDescent="0.3">
      <c r="AZ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</row>
    <row r="926" spans="52:71" x14ac:dyDescent="0.3">
      <c r="AZ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</row>
    <row r="927" spans="52:71" x14ac:dyDescent="0.3">
      <c r="AZ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</row>
    <row r="928" spans="52:71" x14ac:dyDescent="0.3">
      <c r="AZ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</row>
    <row r="929" spans="52:71" x14ac:dyDescent="0.3">
      <c r="AZ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</row>
    <row r="930" spans="52:71" x14ac:dyDescent="0.3">
      <c r="AZ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</row>
    <row r="931" spans="52:71" x14ac:dyDescent="0.3">
      <c r="AZ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</row>
    <row r="932" spans="52:71" x14ac:dyDescent="0.3">
      <c r="AZ932" s="163"/>
    </row>
    <row r="933" spans="52:71" x14ac:dyDescent="0.3">
      <c r="AZ933" s="163"/>
    </row>
    <row r="947" spans="1:28" x14ac:dyDescent="0.3">
      <c r="A947" s="99"/>
    </row>
    <row r="950" spans="1:28" x14ac:dyDescent="0.3">
      <c r="Y950" s="99"/>
    </row>
    <row r="951" spans="1:28" x14ac:dyDescent="0.3">
      <c r="A951" s="99"/>
      <c r="H951" s="99"/>
      <c r="I951" s="99"/>
    </row>
    <row r="952" spans="1:28" x14ac:dyDescent="0.3">
      <c r="A952" s="99"/>
      <c r="V952" s="102"/>
      <c r="AA952" s="102"/>
      <c r="AB952" s="102"/>
    </row>
    <row r="953" spans="1:28" x14ac:dyDescent="0.3">
      <c r="A953" s="99"/>
      <c r="V953" s="101"/>
      <c r="AA953" s="101"/>
      <c r="AB953" s="101"/>
    </row>
    <row r="954" spans="1:28" x14ac:dyDescent="0.3">
      <c r="A954" s="99"/>
      <c r="U954" s="99"/>
      <c r="AA954" s="102"/>
      <c r="AB954" s="102"/>
    </row>
    <row r="955" spans="1:28" x14ac:dyDescent="0.3">
      <c r="A955" s="99"/>
    </row>
    <row r="956" spans="1:28" x14ac:dyDescent="0.3">
      <c r="A956" s="99"/>
      <c r="U956" s="99"/>
      <c r="AA956" s="102"/>
      <c r="AB956" s="102"/>
    </row>
    <row r="957" spans="1:28" x14ac:dyDescent="0.3">
      <c r="A957" s="99"/>
    </row>
    <row r="958" spans="1:28" x14ac:dyDescent="0.3">
      <c r="A958" s="99"/>
      <c r="U958" s="99"/>
      <c r="V958" s="231"/>
      <c r="AA958" s="102"/>
      <c r="AB958" s="102"/>
    </row>
    <row r="959" spans="1:28" x14ac:dyDescent="0.3">
      <c r="A959" s="99"/>
    </row>
    <row r="960" spans="1:28" x14ac:dyDescent="0.3">
      <c r="A960" s="99"/>
      <c r="U960" s="99"/>
      <c r="AA960" s="102"/>
      <c r="AB960" s="102"/>
    </row>
    <row r="961" spans="1:28" x14ac:dyDescent="0.3">
      <c r="A961" s="99"/>
    </row>
    <row r="962" spans="1:28" x14ac:dyDescent="0.3">
      <c r="A962" s="99"/>
      <c r="U962" s="99"/>
      <c r="AA962" s="102"/>
      <c r="AB962" s="102"/>
    </row>
    <row r="963" spans="1:28" x14ac:dyDescent="0.3">
      <c r="A963" s="99"/>
    </row>
    <row r="964" spans="1:28" x14ac:dyDescent="0.3">
      <c r="A964" s="99"/>
    </row>
    <row r="965" spans="1:28" x14ac:dyDescent="0.3">
      <c r="A965" s="99"/>
    </row>
    <row r="966" spans="1:28" x14ac:dyDescent="0.3">
      <c r="A966" s="99"/>
    </row>
    <row r="967" spans="1:28" x14ac:dyDescent="0.3">
      <c r="A967" s="99"/>
    </row>
    <row r="968" spans="1:28" x14ac:dyDescent="0.3">
      <c r="A968" s="99"/>
    </row>
    <row r="969" spans="1:28" x14ac:dyDescent="0.3">
      <c r="A969" s="99"/>
    </row>
    <row r="970" spans="1:28" x14ac:dyDescent="0.3">
      <c r="A970" s="99"/>
    </row>
    <row r="971" spans="1:28" x14ac:dyDescent="0.3">
      <c r="A971" s="99"/>
    </row>
    <row r="972" spans="1:28" x14ac:dyDescent="0.3">
      <c r="A972" s="99"/>
    </row>
    <row r="973" spans="1:28" x14ac:dyDescent="0.3">
      <c r="A973" s="99"/>
      <c r="H973" s="99"/>
      <c r="I973" s="99"/>
    </row>
    <row r="976" spans="1:28" x14ac:dyDescent="0.3">
      <c r="A976" s="99"/>
    </row>
    <row r="979" spans="1:1" x14ac:dyDescent="0.3">
      <c r="A979" s="99"/>
    </row>
    <row r="982" spans="1:1" x14ac:dyDescent="0.3">
      <c r="A982" s="99"/>
    </row>
    <row r="983" spans="1:1" x14ac:dyDescent="0.3">
      <c r="A983" s="99"/>
    </row>
    <row r="984" spans="1:1" x14ac:dyDescent="0.3">
      <c r="A984" s="99"/>
    </row>
    <row r="985" spans="1:1" x14ac:dyDescent="0.3">
      <c r="A985" s="99"/>
    </row>
    <row r="986" spans="1:1" x14ac:dyDescent="0.3">
      <c r="A986" s="99"/>
    </row>
    <row r="987" spans="1:1" x14ac:dyDescent="0.3">
      <c r="A987" s="99"/>
    </row>
    <row r="988" spans="1:1" x14ac:dyDescent="0.3">
      <c r="A988" s="99"/>
    </row>
    <row r="989" spans="1:1" x14ac:dyDescent="0.3">
      <c r="A989" s="99"/>
    </row>
    <row r="990" spans="1:1" x14ac:dyDescent="0.3">
      <c r="A990" s="99"/>
    </row>
    <row r="991" spans="1:1" x14ac:dyDescent="0.3">
      <c r="A991" s="99"/>
    </row>
    <row r="992" spans="1:1" x14ac:dyDescent="0.3">
      <c r="A992" s="99"/>
    </row>
    <row r="993" spans="1:1" x14ac:dyDescent="0.3">
      <c r="A993" s="99"/>
    </row>
    <row r="994" spans="1:1" x14ac:dyDescent="0.3">
      <c r="A994" s="99"/>
    </row>
    <row r="995" spans="1:1" x14ac:dyDescent="0.3">
      <c r="A995" s="99"/>
    </row>
    <row r="996" spans="1:1" x14ac:dyDescent="0.3">
      <c r="A996" s="99"/>
    </row>
    <row r="997" spans="1:1" x14ac:dyDescent="0.3">
      <c r="A997" s="99"/>
    </row>
    <row r="998" spans="1:1" x14ac:dyDescent="0.3">
      <c r="A998" s="99"/>
    </row>
    <row r="999" spans="1:1" x14ac:dyDescent="0.3">
      <c r="A999" s="99"/>
    </row>
    <row r="1000" spans="1:1" x14ac:dyDescent="0.3">
      <c r="A1000" s="99"/>
    </row>
    <row r="1001" spans="1:1" x14ac:dyDescent="0.3">
      <c r="A1001" s="99"/>
    </row>
    <row r="1002" spans="1:1" x14ac:dyDescent="0.3">
      <c r="A1002" s="99"/>
    </row>
    <row r="1003" spans="1:1" x14ac:dyDescent="0.3">
      <c r="A1003" s="99"/>
    </row>
    <row r="1004" spans="1:1" x14ac:dyDescent="0.3">
      <c r="A1004" s="99"/>
    </row>
    <row r="1005" spans="1:1" x14ac:dyDescent="0.3">
      <c r="A1005" s="99"/>
    </row>
    <row r="1006" spans="1:1" x14ac:dyDescent="0.3">
      <c r="A1006" s="99"/>
    </row>
    <row r="1007" spans="1:1" x14ac:dyDescent="0.3">
      <c r="A1007" s="99"/>
    </row>
    <row r="1008" spans="1:1" x14ac:dyDescent="0.3">
      <c r="A1008" s="99"/>
    </row>
    <row r="1009" spans="1:1" x14ac:dyDescent="0.3">
      <c r="A1009" s="99"/>
    </row>
    <row r="1010" spans="1:1" x14ac:dyDescent="0.3">
      <c r="A1010" s="99"/>
    </row>
    <row r="1011" spans="1:1" x14ac:dyDescent="0.3">
      <c r="A1011" s="99"/>
    </row>
    <row r="1012" spans="1:1" x14ac:dyDescent="0.3">
      <c r="A1012" s="99"/>
    </row>
    <row r="1013" spans="1:1" x14ac:dyDescent="0.3">
      <c r="A1013" s="99"/>
    </row>
    <row r="1014" spans="1:1" x14ac:dyDescent="0.3">
      <c r="A1014" s="99"/>
    </row>
    <row r="1015" spans="1:1" x14ac:dyDescent="0.3">
      <c r="A1015" s="99"/>
    </row>
    <row r="1016" spans="1:1" x14ac:dyDescent="0.3">
      <c r="A1016" s="99"/>
    </row>
    <row r="1021" spans="1:1" x14ac:dyDescent="0.3">
      <c r="A1021" s="99"/>
    </row>
    <row r="1022" spans="1:1" x14ac:dyDescent="0.3">
      <c r="A1022" s="99"/>
    </row>
    <row r="1025" spans="1:1" x14ac:dyDescent="0.3">
      <c r="A1025" s="99"/>
    </row>
    <row r="1027" spans="1:1" x14ac:dyDescent="0.3">
      <c r="A1027" s="99"/>
    </row>
    <row r="1029" spans="1:1" x14ac:dyDescent="0.3">
      <c r="A1029" s="99"/>
    </row>
    <row r="1031" spans="1:1" x14ac:dyDescent="0.3">
      <c r="A1031" s="99"/>
    </row>
    <row r="1034" spans="1:1" x14ac:dyDescent="0.3">
      <c r="A1034" s="99"/>
    </row>
    <row r="1035" spans="1:1" x14ac:dyDescent="0.3">
      <c r="A1035" s="99"/>
    </row>
    <row r="1036" spans="1:1" x14ac:dyDescent="0.3">
      <c r="A1036" s="99"/>
    </row>
    <row r="1037" spans="1:1" x14ac:dyDescent="0.3">
      <c r="A1037" s="99"/>
    </row>
    <row r="1038" spans="1:1" x14ac:dyDescent="0.3">
      <c r="A1038" s="99"/>
    </row>
    <row r="1039" spans="1:1" x14ac:dyDescent="0.3">
      <c r="A1039" s="99"/>
    </row>
    <row r="1040" spans="1:1" x14ac:dyDescent="0.3">
      <c r="A1040" s="99"/>
    </row>
    <row r="1041" spans="1:1" x14ac:dyDescent="0.3">
      <c r="A1041" s="99"/>
    </row>
  </sheetData>
  <customSheetViews>
    <customSheetView guid="{F562D92E-120C-4AE9-9663-89E64D41DC53}" scale="75" fitToPage="1" topLeftCell="A41">
      <selection activeCell="P67" sqref="P6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1"/>
      <headerFooter alignWithMargins="0"/>
    </customSheetView>
    <customSheetView guid="{35F19056-2E6F-4935-B863-78836FE990BF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3" orientation="landscape" r:id="rId2"/>
      <headerFooter alignWithMargins="0"/>
    </customSheetView>
    <customSheetView guid="{18BDED73-BFA0-442E-87EC-CED86EE4CF94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3"/>
      <headerFooter alignWithMargins="0"/>
    </customSheetView>
    <customSheetView guid="{0BC1F393-8A13-47D5-BC6C-0C99615B5AB9}" scale="75" fitToPage="1" showRuler="0" topLeftCell="A41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6"/>
      <headerFooter alignWithMargins="0"/>
    </customSheetView>
    <customSheetView guid="{8FC77C99-DBF7-40B8-99B8-01B75826CDCB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7"/>
      <headerFooter alignWithMargins="0"/>
    </customSheetView>
    <customSheetView guid="{2EA35095-1ADC-4CC7-8C3C-B487D65FA247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8"/>
      <headerFooter alignWithMargins="0"/>
    </customSheetView>
    <customSheetView guid="{2431C9E5-7CC2-4B8D-99C3-962247B1DBF5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9"/>
      <headerFooter alignWithMargins="0"/>
    </customSheetView>
    <customSheetView guid="{4BC93440-BA85-4935-A8C9-66DC6AE5DE5E}" scale="75" fitToPage="1" showRuler="0" topLeftCell="N100">
      <selection activeCell="AC117" sqref="AC117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46" orientation="landscape" r:id="rId10"/>
      <headerFooter alignWithMargins="0"/>
    </customSheetView>
    <customSheetView guid="{0C49E549-011E-46F4-A82E-2CC8951A9C1E}" scale="75" fitToPage="1" showRuler="0">
      <selection sqref="A1:R72"/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in="19" max="42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52" orientation="landscape" r:id="rId12"/>
      <headerFooter alignWithMargins="0"/>
    </customSheetView>
  </customSheetViews>
  <phoneticPr fontId="11" type="noConversion"/>
  <pageMargins left="0.5" right="0.5" top="1" bottom="0" header="0" footer="0"/>
  <pageSetup scale="41" orientation="landscape" r:id="rId13"/>
  <headerFooter alignWithMargins="0"/>
  <rowBreaks count="16" manualBreakCount="16">
    <brk id="132" min="19" max="42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syncVertical="1" syncRef="A1" transitionEvaluation="1" transitionEntry="1" codeName="Sheet14">
    <pageSetUpPr fitToPage="1"/>
  </sheetPr>
  <dimension ref="A1:BW1079"/>
  <sheetViews>
    <sheetView zoomScale="75" workbookViewId="0"/>
  </sheetViews>
  <sheetFormatPr defaultColWidth="9.75" defaultRowHeight="15.6" x14ac:dyDescent="0.3"/>
  <cols>
    <col min="1" max="1" width="5.25" style="98" customWidth="1"/>
    <col min="2" max="2" width="0.4140625" style="98" customWidth="1"/>
    <col min="3" max="3" width="6.75" style="98" customWidth="1"/>
    <col min="4" max="4" width="37.75" style="98" customWidth="1"/>
    <col min="5" max="5" width="0.7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1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8.25" style="98" customWidth="1"/>
    <col min="19" max="19" width="6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38.58203125" style="98" customWidth="1"/>
    <col min="24" max="24" width="0.9140625" style="98" customWidth="1"/>
    <col min="25" max="25" width="9.6640625" style="98" customWidth="1"/>
    <col min="26" max="26" width="0.6640625" style="98" customWidth="1"/>
    <col min="27" max="27" width="13.33203125" style="98" customWidth="1"/>
    <col min="28" max="28" width="0.6640625" style="98" customWidth="1"/>
    <col min="29" max="29" width="12.33203125" style="98" customWidth="1"/>
    <col min="30" max="30" width="0.91406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75" style="98" customWidth="1"/>
    <col min="37" max="37" width="14.58203125" style="148" customWidth="1"/>
    <col min="38" max="38" width="0.582031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Y1" s="99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Y2" s="99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V3" s="192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V4" s="192"/>
      <c r="AA4" s="99"/>
      <c r="AB4" s="99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V5" s="228"/>
      <c r="AK5" s="190"/>
      <c r="AL5" s="99"/>
    </row>
    <row r="6" spans="1:40" x14ac:dyDescent="0.3">
      <c r="A6" s="98" t="str">
        <f>DATA_PERIOD</f>
        <v>DATA: __X__ BASE PERIOD   ____FORECASTED PERIOD</v>
      </c>
      <c r="R6" s="99" t="s">
        <v>156</v>
      </c>
      <c r="V6" s="228"/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19 OF "&amp;TEXT(Page_Num_2.3,"00")</f>
        <v>PAGE 19 OF 24</v>
      </c>
      <c r="V7" s="228"/>
      <c r="AK7" s="190"/>
      <c r="AL7" s="99"/>
    </row>
    <row r="8" spans="1:40" x14ac:dyDescent="0.3">
      <c r="A8" s="99" t="s">
        <v>170</v>
      </c>
      <c r="R8" s="99" t="s">
        <v>3</v>
      </c>
      <c r="V8" s="228"/>
      <c r="W8" s="97"/>
      <c r="AK8" s="190"/>
      <c r="AL8" s="99"/>
    </row>
    <row r="9" spans="1:40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V9" s="228"/>
      <c r="W9" s="99"/>
      <c r="AA9" s="99"/>
      <c r="AB9" s="99"/>
    </row>
    <row r="10" spans="1:40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T10" s="101"/>
      <c r="U10" s="101"/>
      <c r="V10" s="228"/>
      <c r="W10" s="97"/>
      <c r="X10" s="101"/>
      <c r="Y10" s="101"/>
      <c r="Z10" s="101"/>
      <c r="AA10" s="101"/>
      <c r="AB10" s="101"/>
      <c r="AC10" s="101"/>
      <c r="AD10" s="101"/>
      <c r="AE10" s="101"/>
      <c r="AF10" s="101"/>
      <c r="AG10" s="191"/>
      <c r="AH10" s="101"/>
      <c r="AI10" s="101"/>
      <c r="AJ10" s="101"/>
      <c r="AK10" s="191"/>
      <c r="AL10" s="101"/>
      <c r="AM10" s="101"/>
      <c r="AN10" s="101"/>
    </row>
    <row r="11" spans="1:40" x14ac:dyDescent="0.3">
      <c r="A11" s="101"/>
      <c r="B11" s="101"/>
      <c r="C11" s="101"/>
      <c r="D11" s="101"/>
      <c r="E11" s="101"/>
      <c r="G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V11" s="228"/>
      <c r="W11" s="99"/>
      <c r="AA11" s="102"/>
      <c r="AB11" s="102"/>
      <c r="AC11" s="102"/>
      <c r="AD11" s="102"/>
      <c r="AE11" s="102"/>
      <c r="AF11" s="102"/>
      <c r="AG11" s="151"/>
      <c r="AH11" s="102"/>
      <c r="AK11" s="151"/>
      <c r="AL11" s="102"/>
      <c r="AM11" s="102"/>
      <c r="AN11" s="102"/>
    </row>
    <row r="12" spans="1:40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Z12" s="102"/>
      <c r="AA12" s="102"/>
      <c r="AB12" s="102"/>
      <c r="AC12" s="102"/>
      <c r="AD12" s="102"/>
      <c r="AE12" s="102"/>
      <c r="AF12" s="102"/>
      <c r="AG12" s="151"/>
      <c r="AH12" s="102"/>
      <c r="AK12" s="151"/>
      <c r="AL12" s="102"/>
      <c r="AM12" s="102"/>
      <c r="AN12" s="102"/>
    </row>
    <row r="13" spans="1:40" x14ac:dyDescent="0.3">
      <c r="L13" s="102" t="s">
        <v>12</v>
      </c>
      <c r="M13" s="102"/>
      <c r="N13" s="102" t="s">
        <v>13</v>
      </c>
      <c r="O13" s="102"/>
      <c r="R13" s="102" t="s">
        <v>11</v>
      </c>
      <c r="T13" s="102"/>
      <c r="U13" s="102"/>
      <c r="V13" s="102"/>
      <c r="Z13" s="102"/>
      <c r="AA13" s="102"/>
      <c r="AB13" s="102"/>
      <c r="AC13" s="102"/>
      <c r="AD13" s="102"/>
      <c r="AE13" s="102"/>
      <c r="AF13" s="102"/>
      <c r="AG13" s="151"/>
      <c r="AH13" s="102"/>
      <c r="AI13" s="102"/>
      <c r="AJ13" s="102"/>
      <c r="AK13" s="151"/>
      <c r="AL13" s="102"/>
      <c r="AM13" s="102"/>
      <c r="AN13" s="102"/>
    </row>
    <row r="14" spans="1:40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102" t="s">
        <v>6</v>
      </c>
      <c r="K14" s="102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102"/>
      <c r="U14" s="102"/>
      <c r="V14" s="102"/>
      <c r="Y14" s="102"/>
      <c r="Z14" s="102"/>
      <c r="AA14" s="102"/>
      <c r="AB14" s="102"/>
      <c r="AC14" s="102"/>
      <c r="AD14" s="102"/>
      <c r="AE14" s="102"/>
      <c r="AF14" s="102"/>
      <c r="AG14" s="151"/>
      <c r="AH14" s="102"/>
      <c r="AI14" s="102"/>
      <c r="AJ14" s="102"/>
      <c r="AK14" s="151"/>
      <c r="AL14" s="102"/>
      <c r="AM14" s="102"/>
      <c r="AN14" s="102"/>
    </row>
    <row r="15" spans="1:40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324</v>
      </c>
      <c r="K15" s="102"/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101"/>
      <c r="U15" s="101"/>
      <c r="V15" s="101"/>
      <c r="W15" s="101"/>
      <c r="X15" s="101"/>
      <c r="Y15" s="102"/>
      <c r="Z15" s="101"/>
      <c r="AA15" s="101"/>
      <c r="AB15" s="101"/>
      <c r="AC15" s="101"/>
      <c r="AD15" s="101"/>
      <c r="AE15" s="101"/>
      <c r="AF15" s="101"/>
      <c r="AG15" s="191"/>
      <c r="AH15" s="101"/>
      <c r="AI15" s="101"/>
      <c r="AJ15" s="101"/>
      <c r="AK15" s="191"/>
      <c r="AL15" s="101"/>
      <c r="AM15" s="101"/>
      <c r="AN15" s="101"/>
    </row>
    <row r="16" spans="1:40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31" t="s">
        <v>37</v>
      </c>
      <c r="K16" s="131"/>
      <c r="L16" s="131" t="s">
        <v>38</v>
      </c>
      <c r="M16" s="131"/>
      <c r="N16" s="131" t="s">
        <v>39</v>
      </c>
      <c r="O16" s="131"/>
      <c r="P16" s="131" t="s">
        <v>40</v>
      </c>
      <c r="Q16" s="131"/>
      <c r="R16" s="131" t="s">
        <v>41</v>
      </c>
      <c r="Y16" s="102"/>
      <c r="Z16" s="102"/>
      <c r="AA16" s="102" t="s">
        <v>519</v>
      </c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69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T17" s="99"/>
      <c r="U17" s="99"/>
      <c r="Y17" s="102"/>
      <c r="AA17" s="98" t="s">
        <v>402</v>
      </c>
    </row>
    <row r="18" spans="1:40" x14ac:dyDescent="0.3">
      <c r="A18" s="98">
        <v>1</v>
      </c>
      <c r="C18" s="134" t="s">
        <v>70</v>
      </c>
      <c r="D18" s="169" t="s">
        <v>78</v>
      </c>
      <c r="F18" s="1"/>
      <c r="G18" s="1"/>
      <c r="H18" s="2"/>
      <c r="I18" s="2"/>
      <c r="J18" s="250"/>
      <c r="K18" s="2"/>
      <c r="L18" s="2"/>
      <c r="M18" s="2"/>
      <c r="N18" s="2"/>
      <c r="O18" s="2"/>
      <c r="P18" s="2"/>
      <c r="Q18" s="2"/>
      <c r="R18" s="2"/>
      <c r="T18" s="99"/>
      <c r="U18" s="99"/>
    </row>
    <row r="19" spans="1:40" x14ac:dyDescent="0.3">
      <c r="A19" s="98">
        <v>2</v>
      </c>
      <c r="C19" s="134"/>
      <c r="D19" s="124" t="s">
        <v>72</v>
      </c>
      <c r="E19" s="9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T19" s="99"/>
    </row>
    <row r="20" spans="1:40" x14ac:dyDescent="0.3">
      <c r="D20" s="99"/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T20" s="99"/>
    </row>
    <row r="21" spans="1:40" x14ac:dyDescent="0.3">
      <c r="A21" s="98">
        <v>3</v>
      </c>
      <c r="C21" s="169" t="s">
        <v>229</v>
      </c>
      <c r="F21" s="147"/>
      <c r="G21" s="1"/>
      <c r="H21" s="147"/>
      <c r="I21" s="147"/>
      <c r="J21" s="242"/>
      <c r="K21" s="242"/>
      <c r="L21" s="106"/>
      <c r="M21" s="106"/>
      <c r="N21" s="175"/>
      <c r="O21" s="175"/>
      <c r="P21" s="106"/>
      <c r="Q21" s="106"/>
      <c r="R21" s="106"/>
    </row>
    <row r="22" spans="1:40" x14ac:dyDescent="0.3">
      <c r="A22" s="98">
        <v>4</v>
      </c>
      <c r="C22" s="99" t="s">
        <v>230</v>
      </c>
      <c r="F22" s="110">
        <v>5338</v>
      </c>
      <c r="G22" s="1"/>
      <c r="H22" s="110">
        <f>ROUND(F22*AA22/12,0)</f>
        <v>379443</v>
      </c>
      <c r="I22" s="106"/>
      <c r="J22" s="228">
        <f>ROUND(AC78+(AC78*LT_COS_RATE),2)</f>
        <v>13.46</v>
      </c>
      <c r="K22" s="242"/>
      <c r="L22" s="106">
        <f>ROUND(F22*J22,0)</f>
        <v>71849</v>
      </c>
      <c r="M22" s="106"/>
      <c r="N22" s="175">
        <f>ROUND((L22/L$52)*100,1)</f>
        <v>24.5</v>
      </c>
      <c r="O22" s="175"/>
      <c r="P22" s="106">
        <f>ROUND((P$52/H$52)*H22,0)</f>
        <v>1323</v>
      </c>
      <c r="Q22" s="106"/>
      <c r="R22" s="106">
        <f>P22+L22</f>
        <v>73172</v>
      </c>
      <c r="S22" s="163"/>
      <c r="Y22" s="163"/>
      <c r="AA22" s="98">
        <v>853</v>
      </c>
    </row>
    <row r="23" spans="1:40" x14ac:dyDescent="0.3">
      <c r="A23" s="98">
        <v>5</v>
      </c>
      <c r="C23" s="99" t="s">
        <v>231</v>
      </c>
      <c r="F23" s="110">
        <v>2105</v>
      </c>
      <c r="G23" s="1"/>
      <c r="H23" s="110">
        <f>ROUND(F23*AA23/12,0)</f>
        <v>153314</v>
      </c>
      <c r="I23" s="106"/>
      <c r="J23" s="228">
        <f>ROUND(AC79+(AC79*LT_COS_RATE),2)</f>
        <v>13.52</v>
      </c>
      <c r="K23" s="242"/>
      <c r="L23" s="106">
        <f>ROUND(F23*J23,0)</f>
        <v>28460</v>
      </c>
      <c r="M23" s="106"/>
      <c r="N23" s="175">
        <f>ROUND((L23/L$52)*100,1)</f>
        <v>9.6999999999999993</v>
      </c>
      <c r="O23" s="175"/>
      <c r="P23" s="106">
        <f>ROUND((P$52/H$52)*H23,0)</f>
        <v>535</v>
      </c>
      <c r="Q23" s="106"/>
      <c r="R23" s="106">
        <f>P23+L23</f>
        <v>28995</v>
      </c>
      <c r="S23" s="163"/>
      <c r="Y23" s="163"/>
      <c r="AA23" s="98">
        <v>874</v>
      </c>
    </row>
    <row r="24" spans="1:40" x14ac:dyDescent="0.3">
      <c r="A24" s="98">
        <v>6</v>
      </c>
      <c r="C24" s="99" t="s">
        <v>232</v>
      </c>
      <c r="F24" s="110">
        <v>432</v>
      </c>
      <c r="G24" s="1"/>
      <c r="H24" s="110">
        <f>ROUND(F24*AA24/12,0)</f>
        <v>31464</v>
      </c>
      <c r="I24" s="106"/>
      <c r="J24" s="228">
        <f>ROUND(AC80+(AC80*LT_COS_RATE),2)</f>
        <v>13.52</v>
      </c>
      <c r="K24" s="242"/>
      <c r="L24" s="106">
        <f>ROUND(F24*J24,0)</f>
        <v>5841</v>
      </c>
      <c r="M24" s="106"/>
      <c r="N24" s="175">
        <f>ROUND((L24/L$52)*100,1)</f>
        <v>2</v>
      </c>
      <c r="O24" s="175"/>
      <c r="P24" s="106">
        <f>ROUND((P$52/H$52)*H24,0)</f>
        <v>110</v>
      </c>
      <c r="Q24" s="106"/>
      <c r="R24" s="106">
        <f>P24+L24</f>
        <v>5951</v>
      </c>
      <c r="S24" s="163"/>
      <c r="Y24" s="163"/>
      <c r="AA24" s="98">
        <v>874</v>
      </c>
    </row>
    <row r="25" spans="1:40" x14ac:dyDescent="0.3">
      <c r="A25" s="98">
        <v>7</v>
      </c>
      <c r="C25" s="99" t="s">
        <v>233</v>
      </c>
      <c r="F25" s="110">
        <v>120</v>
      </c>
      <c r="G25" s="1"/>
      <c r="H25" s="110">
        <f>ROUND(F25*AA25/12,0)</f>
        <v>8740</v>
      </c>
      <c r="I25" s="106"/>
      <c r="J25" s="228">
        <f>ROUND(AC81+(AC81*LT_COS_RATE),2)</f>
        <v>13.52</v>
      </c>
      <c r="K25" s="242"/>
      <c r="L25" s="106">
        <f>ROUND(F25*J25,0)</f>
        <v>1622</v>
      </c>
      <c r="M25" s="106"/>
      <c r="N25" s="175">
        <f>ROUND((L25/L$52)*100,1)</f>
        <v>0.6</v>
      </c>
      <c r="O25" s="175"/>
      <c r="P25" s="106">
        <f>ROUND((P$52/H$52)*H25,0)</f>
        <v>30</v>
      </c>
      <c r="Q25" s="106"/>
      <c r="R25" s="106">
        <f>P25+L25</f>
        <v>1652</v>
      </c>
      <c r="S25" s="163"/>
      <c r="Y25" s="163"/>
      <c r="AA25" s="98">
        <v>874</v>
      </c>
    </row>
    <row r="26" spans="1:40" x14ac:dyDescent="0.3">
      <c r="G26" s="1"/>
      <c r="H26" s="1"/>
      <c r="I26" s="1"/>
      <c r="K26" s="1"/>
      <c r="L26" s="1"/>
      <c r="M26" s="1"/>
      <c r="N26" s="1"/>
      <c r="O26" s="1"/>
      <c r="P26" s="1"/>
      <c r="Q26" s="1"/>
      <c r="R26" s="1"/>
      <c r="S26" s="163"/>
    </row>
    <row r="27" spans="1:40" x14ac:dyDescent="0.3">
      <c r="A27" s="98">
        <v>8</v>
      </c>
      <c r="C27" s="124" t="s">
        <v>404</v>
      </c>
      <c r="F27" s="110"/>
      <c r="G27" s="1"/>
      <c r="H27" s="106"/>
      <c r="I27" s="106"/>
      <c r="J27" s="228"/>
      <c r="K27" s="171"/>
      <c r="L27" s="106"/>
      <c r="M27" s="106"/>
      <c r="N27" s="175"/>
      <c r="O27" s="175"/>
      <c r="P27" s="106"/>
      <c r="Q27" s="106"/>
      <c r="R27" s="106"/>
      <c r="S27" s="163"/>
      <c r="V27" s="172"/>
      <c r="Y27" s="172"/>
      <c r="Z27" s="217"/>
      <c r="AA27" s="110"/>
      <c r="AB27" s="110"/>
      <c r="AC27" s="141"/>
      <c r="AD27" s="141"/>
      <c r="AE27" s="110"/>
      <c r="AF27" s="110"/>
      <c r="AI27" s="110"/>
      <c r="AJ27" s="110"/>
      <c r="AL27" s="110"/>
      <c r="AM27" s="141"/>
      <c r="AN27" s="141"/>
    </row>
    <row r="28" spans="1:40" x14ac:dyDescent="0.3">
      <c r="A28" s="98">
        <v>9</v>
      </c>
      <c r="C28" s="99" t="s">
        <v>348</v>
      </c>
      <c r="F28" s="172">
        <v>2320</v>
      </c>
      <c r="G28" s="1"/>
      <c r="H28" s="110">
        <f>ROUND(F28*AA28/12,0)</f>
        <v>164913</v>
      </c>
      <c r="I28" s="106"/>
      <c r="J28" s="228">
        <f>ROUND(AC84+(AC84*LT_COS_RATE),2)</f>
        <v>13.46</v>
      </c>
      <c r="K28" s="242"/>
      <c r="L28" s="106">
        <f>ROUND(F28*J28,0)</f>
        <v>31227</v>
      </c>
      <c r="M28" s="106"/>
      <c r="N28" s="175">
        <f>ROUND((L28/L$52)*100,1)</f>
        <v>10.7</v>
      </c>
      <c r="O28" s="175"/>
      <c r="P28" s="106">
        <f>ROUND((P$52/H$52)*H28,0)</f>
        <v>575</v>
      </c>
      <c r="Q28" s="106"/>
      <c r="R28" s="106">
        <f>P28+L28</f>
        <v>31802</v>
      </c>
      <c r="S28" s="163"/>
      <c r="V28" s="172"/>
      <c r="Y28" s="163"/>
      <c r="Z28" s="217"/>
      <c r="AA28" s="98">
        <v>853</v>
      </c>
      <c r="AB28" s="110"/>
      <c r="AC28" s="141"/>
      <c r="AD28" s="141"/>
      <c r="AE28" s="110"/>
      <c r="AF28" s="110"/>
      <c r="AI28" s="110"/>
      <c r="AJ28" s="110"/>
      <c r="AL28" s="110"/>
      <c r="AM28" s="141"/>
      <c r="AN28" s="141"/>
    </row>
    <row r="29" spans="1:40" x14ac:dyDescent="0.3">
      <c r="A29" s="98">
        <v>10</v>
      </c>
      <c r="C29" s="99" t="s">
        <v>268</v>
      </c>
      <c r="F29" s="172">
        <v>0</v>
      </c>
      <c r="G29" s="1"/>
      <c r="H29" s="110">
        <f>ROUND(F29*AA29/12,0)</f>
        <v>0</v>
      </c>
      <c r="I29" s="106"/>
      <c r="J29" s="228">
        <f>ROUND(AC85+(AC85*LT_COS_RATE),2)</f>
        <v>13.52</v>
      </c>
      <c r="K29" s="242"/>
      <c r="L29" s="106">
        <f>ROUND(F29*J29,0)</f>
        <v>0</v>
      </c>
      <c r="M29" s="106"/>
      <c r="N29" s="175">
        <f>ROUND((L29/L$52)*100,1)</f>
        <v>0</v>
      </c>
      <c r="O29" s="175"/>
      <c r="P29" s="106">
        <f>ROUND((P$52/H$52)*H29,0)</f>
        <v>0</v>
      </c>
      <c r="Q29" s="106"/>
      <c r="R29" s="106">
        <f>P29+L29</f>
        <v>0</v>
      </c>
      <c r="S29" s="163"/>
      <c r="V29" s="172"/>
      <c r="Y29" s="163"/>
      <c r="Z29" s="217"/>
      <c r="AA29" s="98">
        <v>874</v>
      </c>
      <c r="AB29" s="110"/>
      <c r="AC29" s="141"/>
      <c r="AD29" s="141"/>
      <c r="AE29" s="110"/>
      <c r="AF29" s="110"/>
      <c r="AI29" s="110"/>
      <c r="AJ29" s="110"/>
      <c r="AL29" s="110"/>
      <c r="AM29" s="141"/>
      <c r="AN29" s="141"/>
    </row>
    <row r="30" spans="1:40" x14ac:dyDescent="0.3">
      <c r="A30" s="98">
        <v>11</v>
      </c>
      <c r="C30" s="99" t="s">
        <v>232</v>
      </c>
      <c r="F30" s="172">
        <v>362</v>
      </c>
      <c r="G30" s="1"/>
      <c r="H30" s="110">
        <f>ROUND(F30*AA30/12,0)</f>
        <v>26366</v>
      </c>
      <c r="I30" s="106"/>
      <c r="J30" s="228">
        <f>ROUND(AC86+(AC86*LT_COS_RATE),2)</f>
        <v>13.52</v>
      </c>
      <c r="K30" s="242"/>
      <c r="L30" s="106">
        <f>ROUND(F30*J30,0)</f>
        <v>4894</v>
      </c>
      <c r="M30" s="106"/>
      <c r="N30" s="175">
        <f>ROUND((L30/L$52)*100,1)</f>
        <v>1.7</v>
      </c>
      <c r="O30" s="175"/>
      <c r="P30" s="106">
        <f>ROUND((P$52/H$52)*H30,0)</f>
        <v>92</v>
      </c>
      <c r="Q30" s="106"/>
      <c r="R30" s="106">
        <f>P30+L30</f>
        <v>4986</v>
      </c>
      <c r="S30" s="163"/>
      <c r="V30" s="172"/>
      <c r="Y30" s="163"/>
      <c r="Z30" s="217"/>
      <c r="AA30" s="98">
        <v>874</v>
      </c>
      <c r="AB30" s="110"/>
      <c r="AC30" s="141"/>
      <c r="AD30" s="141"/>
      <c r="AE30" s="110"/>
      <c r="AF30" s="110"/>
      <c r="AI30" s="110"/>
      <c r="AJ30" s="110"/>
      <c r="AL30" s="110"/>
      <c r="AM30" s="141"/>
      <c r="AN30" s="141"/>
    </row>
    <row r="31" spans="1:40" x14ac:dyDescent="0.3">
      <c r="G31" s="1"/>
      <c r="H31" s="1"/>
      <c r="I31" s="1"/>
      <c r="K31" s="1"/>
      <c r="L31" s="1"/>
      <c r="M31" s="1"/>
      <c r="N31" s="1"/>
      <c r="O31" s="1"/>
      <c r="P31" s="1"/>
      <c r="Q31" s="1"/>
      <c r="R31" s="1"/>
      <c r="S31" s="163"/>
    </row>
    <row r="32" spans="1:40" x14ac:dyDescent="0.3">
      <c r="A32" s="98">
        <v>12</v>
      </c>
      <c r="C32" s="169" t="s">
        <v>234</v>
      </c>
      <c r="D32" s="134"/>
      <c r="G32" s="1"/>
      <c r="H32" s="1"/>
      <c r="I32" s="1"/>
      <c r="J32" s="163"/>
      <c r="K32" s="1"/>
      <c r="L32" s="1"/>
      <c r="M32" s="1"/>
      <c r="N32" s="1"/>
      <c r="O32" s="1"/>
      <c r="P32" s="1"/>
      <c r="Q32" s="1"/>
      <c r="R32" s="1"/>
      <c r="S32" s="163"/>
      <c r="V32" s="192"/>
      <c r="Y32" s="163"/>
      <c r="Z32" s="172"/>
      <c r="AA32" s="110"/>
      <c r="AB32" s="110"/>
      <c r="AC32" s="141"/>
      <c r="AD32" s="141"/>
      <c r="AE32" s="110"/>
      <c r="AF32" s="110"/>
      <c r="AI32" s="110"/>
      <c r="AJ32" s="110"/>
      <c r="AL32" s="110"/>
    </row>
    <row r="33" spans="1:40" x14ac:dyDescent="0.3">
      <c r="A33" s="98">
        <v>13</v>
      </c>
      <c r="C33" s="99" t="s">
        <v>230</v>
      </c>
      <c r="F33" s="172">
        <v>3035</v>
      </c>
      <c r="G33" s="1"/>
      <c r="H33" s="110">
        <f t="shared" ref="H33:H39" si="0">ROUND(F33*AA33/12,0)</f>
        <v>123170</v>
      </c>
      <c r="I33" s="147"/>
      <c r="J33" s="228">
        <f t="shared" ref="J33:J39" si="1">ROUND(AC89+(AC89*LT_COS_RATE),2)</f>
        <v>14.18</v>
      </c>
      <c r="K33" s="242"/>
      <c r="L33" s="106">
        <f t="shared" ref="L33:L39" si="2">ROUND(F33*J33,0)</f>
        <v>43036</v>
      </c>
      <c r="M33" s="106"/>
      <c r="N33" s="175">
        <f t="shared" ref="N33:N39" si="3">ROUND((L33/L$52)*100,1)</f>
        <v>14.7</v>
      </c>
      <c r="O33" s="175"/>
      <c r="P33" s="106">
        <f t="shared" ref="P33:P39" si="4">ROUND((P$52/H$52)*H33,0)</f>
        <v>430</v>
      </c>
      <c r="Q33" s="106"/>
      <c r="R33" s="106">
        <f t="shared" ref="R33:R39" si="5">P33+L33</f>
        <v>43466</v>
      </c>
      <c r="S33" s="163"/>
      <c r="V33" s="192"/>
      <c r="Y33" s="163"/>
      <c r="Z33" s="217"/>
      <c r="AA33" s="192">
        <v>487</v>
      </c>
      <c r="AB33" s="192"/>
      <c r="AC33" s="192"/>
      <c r="AD33" s="192"/>
      <c r="AE33" s="192"/>
      <c r="AF33" s="192"/>
      <c r="AI33" s="192"/>
      <c r="AJ33" s="192"/>
      <c r="AK33" s="194"/>
      <c r="AL33" s="192"/>
      <c r="AM33" s="141"/>
      <c r="AN33" s="141"/>
    </row>
    <row r="34" spans="1:40" x14ac:dyDescent="0.3">
      <c r="A34" s="98">
        <v>15</v>
      </c>
      <c r="C34" s="99" t="s">
        <v>231</v>
      </c>
      <c r="F34" s="110">
        <v>2290</v>
      </c>
      <c r="G34" s="1"/>
      <c r="H34" s="110">
        <f t="shared" si="0"/>
        <v>101523</v>
      </c>
      <c r="I34" s="106"/>
      <c r="J34" s="228">
        <f t="shared" si="1"/>
        <v>14.43</v>
      </c>
      <c r="K34" s="171"/>
      <c r="L34" s="106">
        <f t="shared" si="2"/>
        <v>33045</v>
      </c>
      <c r="M34" s="106"/>
      <c r="N34" s="175">
        <f t="shared" si="3"/>
        <v>11.3</v>
      </c>
      <c r="O34" s="175"/>
      <c r="P34" s="106">
        <f t="shared" si="4"/>
        <v>354</v>
      </c>
      <c r="Q34" s="106"/>
      <c r="R34" s="106">
        <f t="shared" si="5"/>
        <v>33399</v>
      </c>
      <c r="S34" s="163"/>
      <c r="V34" s="172"/>
      <c r="Y34" s="163"/>
      <c r="Z34" s="217"/>
      <c r="AA34" s="110">
        <v>532</v>
      </c>
      <c r="AB34" s="110"/>
      <c r="AC34" s="141"/>
      <c r="AD34" s="141"/>
      <c r="AE34" s="110"/>
      <c r="AF34" s="110"/>
      <c r="AI34" s="110"/>
      <c r="AJ34" s="110"/>
      <c r="AL34" s="110"/>
      <c r="AM34" s="141"/>
      <c r="AN34" s="141"/>
    </row>
    <row r="35" spans="1:40" x14ac:dyDescent="0.3">
      <c r="A35" s="98">
        <v>16</v>
      </c>
      <c r="C35" s="116" t="s">
        <v>235</v>
      </c>
      <c r="F35" s="110">
        <v>696</v>
      </c>
      <c r="G35" s="1"/>
      <c r="H35" s="110">
        <f t="shared" si="0"/>
        <v>28246</v>
      </c>
      <c r="I35" s="106"/>
      <c r="J35" s="228">
        <f t="shared" si="1"/>
        <v>14.18</v>
      </c>
      <c r="K35" s="171"/>
      <c r="L35" s="106">
        <f t="shared" si="2"/>
        <v>9869</v>
      </c>
      <c r="M35" s="106"/>
      <c r="N35" s="175">
        <f t="shared" si="3"/>
        <v>3.4</v>
      </c>
      <c r="O35" s="175"/>
      <c r="P35" s="106">
        <f t="shared" si="4"/>
        <v>98</v>
      </c>
      <c r="Q35" s="106"/>
      <c r="R35" s="106">
        <f t="shared" si="5"/>
        <v>9967</v>
      </c>
      <c r="S35" s="163"/>
      <c r="V35" s="172"/>
      <c r="Y35" s="163"/>
      <c r="Z35" s="217"/>
      <c r="AA35" s="110">
        <v>487</v>
      </c>
      <c r="AB35" s="110"/>
      <c r="AC35" s="141"/>
      <c r="AD35" s="141"/>
      <c r="AE35" s="110"/>
      <c r="AF35" s="110"/>
      <c r="AI35" s="110"/>
      <c r="AJ35" s="110"/>
      <c r="AL35" s="110"/>
      <c r="AM35" s="141"/>
      <c r="AN35" s="141"/>
    </row>
    <row r="36" spans="1:40" x14ac:dyDescent="0.3">
      <c r="A36" s="98">
        <v>17</v>
      </c>
      <c r="C36" s="99" t="s">
        <v>232</v>
      </c>
      <c r="F36" s="110">
        <v>952</v>
      </c>
      <c r="G36" s="1"/>
      <c r="H36" s="110">
        <f t="shared" si="0"/>
        <v>42205</v>
      </c>
      <c r="I36" s="106"/>
      <c r="J36" s="228">
        <f t="shared" si="1"/>
        <v>14.42</v>
      </c>
      <c r="K36" s="171"/>
      <c r="L36" s="106">
        <f t="shared" si="2"/>
        <v>13728</v>
      </c>
      <c r="M36" s="106"/>
      <c r="N36" s="175">
        <f t="shared" si="3"/>
        <v>4.7</v>
      </c>
      <c r="O36" s="175"/>
      <c r="P36" s="106">
        <f t="shared" si="4"/>
        <v>147</v>
      </c>
      <c r="Q36" s="106"/>
      <c r="R36" s="106">
        <f t="shared" si="5"/>
        <v>13875</v>
      </c>
      <c r="S36" s="163"/>
      <c r="V36" s="172"/>
      <c r="Y36" s="163"/>
      <c r="Z36" s="217"/>
      <c r="AA36" s="110">
        <v>532</v>
      </c>
      <c r="AB36" s="110"/>
      <c r="AC36" s="141"/>
      <c r="AD36" s="141"/>
      <c r="AE36" s="110"/>
      <c r="AF36" s="110"/>
      <c r="AI36" s="110"/>
      <c r="AJ36" s="110"/>
      <c r="AL36" s="110"/>
      <c r="AM36" s="141"/>
      <c r="AN36" s="141"/>
    </row>
    <row r="37" spans="1:40" x14ac:dyDescent="0.3">
      <c r="A37" s="98">
        <v>19</v>
      </c>
      <c r="C37" s="99" t="s">
        <v>233</v>
      </c>
      <c r="F37" s="110">
        <v>2293</v>
      </c>
      <c r="G37" s="1"/>
      <c r="H37" s="110">
        <f t="shared" si="0"/>
        <v>101656</v>
      </c>
      <c r="I37" s="106"/>
      <c r="J37" s="228">
        <f t="shared" si="1"/>
        <v>14.42</v>
      </c>
      <c r="K37" s="171"/>
      <c r="L37" s="106">
        <f t="shared" si="2"/>
        <v>33065</v>
      </c>
      <c r="M37" s="106"/>
      <c r="N37" s="175">
        <f t="shared" si="3"/>
        <v>11.3</v>
      </c>
      <c r="O37" s="175"/>
      <c r="P37" s="106">
        <f t="shared" si="4"/>
        <v>354</v>
      </c>
      <c r="Q37" s="106"/>
      <c r="R37" s="106">
        <f t="shared" si="5"/>
        <v>33419</v>
      </c>
      <c r="S37" s="163"/>
      <c r="V37" s="172"/>
      <c r="Y37" s="163"/>
      <c r="Z37" s="217"/>
      <c r="AA37" s="110">
        <v>532</v>
      </c>
      <c r="AB37" s="110"/>
      <c r="AC37" s="141"/>
      <c r="AD37" s="141"/>
      <c r="AE37" s="110"/>
      <c r="AF37" s="110"/>
      <c r="AI37" s="110"/>
      <c r="AJ37" s="110"/>
      <c r="AL37" s="110"/>
      <c r="AM37" s="141"/>
      <c r="AN37" s="141"/>
    </row>
    <row r="38" spans="1:40" x14ac:dyDescent="0.3">
      <c r="A38" s="98">
        <v>14</v>
      </c>
      <c r="C38" s="99" t="s">
        <v>281</v>
      </c>
      <c r="F38" s="172">
        <v>0</v>
      </c>
      <c r="G38" s="1"/>
      <c r="H38" s="110">
        <f t="shared" si="0"/>
        <v>0</v>
      </c>
      <c r="I38" s="147"/>
      <c r="J38" s="228">
        <f t="shared" si="1"/>
        <v>14.18</v>
      </c>
      <c r="K38" s="242"/>
      <c r="L38" s="106">
        <f t="shared" si="2"/>
        <v>0</v>
      </c>
      <c r="M38" s="106"/>
      <c r="N38" s="175">
        <f t="shared" si="3"/>
        <v>0</v>
      </c>
      <c r="O38" s="175"/>
      <c r="P38" s="106">
        <f t="shared" si="4"/>
        <v>0</v>
      </c>
      <c r="Q38" s="106"/>
      <c r="R38" s="106">
        <f t="shared" si="5"/>
        <v>0</v>
      </c>
      <c r="S38" s="163"/>
      <c r="V38" s="192"/>
      <c r="Y38" s="163"/>
      <c r="Z38" s="217"/>
      <c r="AA38" s="192">
        <v>487</v>
      </c>
      <c r="AB38" s="192"/>
      <c r="AC38" s="192"/>
      <c r="AD38" s="192"/>
      <c r="AE38" s="192"/>
      <c r="AF38" s="192"/>
      <c r="AI38" s="192"/>
      <c r="AJ38" s="192"/>
      <c r="AK38" s="194"/>
      <c r="AL38" s="192"/>
      <c r="AM38" s="141"/>
      <c r="AN38" s="141"/>
    </row>
    <row r="39" spans="1:40" x14ac:dyDescent="0.3">
      <c r="A39" s="98">
        <v>18</v>
      </c>
      <c r="C39" s="99" t="s">
        <v>268</v>
      </c>
      <c r="F39" s="110">
        <v>84</v>
      </c>
      <c r="G39" s="1"/>
      <c r="H39" s="110">
        <f t="shared" si="0"/>
        <v>3724</v>
      </c>
      <c r="I39" s="106"/>
      <c r="J39" s="228">
        <f t="shared" si="1"/>
        <v>14.42</v>
      </c>
      <c r="K39" s="171"/>
      <c r="L39" s="106">
        <f t="shared" si="2"/>
        <v>1211</v>
      </c>
      <c r="M39" s="106"/>
      <c r="N39" s="175">
        <f t="shared" si="3"/>
        <v>0.4</v>
      </c>
      <c r="O39" s="175"/>
      <c r="P39" s="106">
        <f t="shared" si="4"/>
        <v>13</v>
      </c>
      <c r="Q39" s="106"/>
      <c r="R39" s="106">
        <f t="shared" si="5"/>
        <v>1224</v>
      </c>
      <c r="S39" s="163"/>
      <c r="V39" s="172"/>
      <c r="Y39" s="163"/>
      <c r="Z39" s="217"/>
      <c r="AA39" s="110">
        <v>532</v>
      </c>
      <c r="AB39" s="110"/>
      <c r="AC39" s="141"/>
      <c r="AD39" s="141"/>
      <c r="AE39" s="110"/>
      <c r="AF39" s="110"/>
      <c r="AI39" s="110"/>
      <c r="AJ39" s="110"/>
      <c r="AL39" s="110"/>
      <c r="AM39" s="141"/>
      <c r="AN39" s="141"/>
    </row>
    <row r="40" spans="1:40" x14ac:dyDescent="0.3">
      <c r="C40" s="99"/>
      <c r="F40" s="110"/>
      <c r="G40" s="1"/>
      <c r="H40" s="106"/>
      <c r="I40" s="106"/>
      <c r="J40" s="228"/>
      <c r="K40" s="171"/>
      <c r="L40" s="106"/>
      <c r="M40" s="106"/>
      <c r="N40" s="175"/>
      <c r="O40" s="175"/>
      <c r="P40" s="106"/>
      <c r="Q40" s="106"/>
      <c r="R40" s="106"/>
      <c r="S40" s="163"/>
      <c r="V40" s="172"/>
      <c r="Y40" s="172"/>
      <c r="Z40" s="217"/>
      <c r="AA40" s="110"/>
      <c r="AB40" s="110"/>
      <c r="AC40" s="141"/>
      <c r="AD40" s="141"/>
      <c r="AE40" s="110"/>
      <c r="AF40" s="110"/>
      <c r="AI40" s="110"/>
      <c r="AJ40" s="110"/>
      <c r="AL40" s="110"/>
      <c r="AM40" s="141"/>
      <c r="AN40" s="141"/>
    </row>
    <row r="41" spans="1:40" x14ac:dyDescent="0.3">
      <c r="A41" s="98">
        <v>20</v>
      </c>
      <c r="C41" s="124" t="s">
        <v>202</v>
      </c>
      <c r="F41" s="110"/>
      <c r="G41" s="1"/>
      <c r="H41" s="106"/>
      <c r="I41" s="106"/>
      <c r="J41" s="228"/>
      <c r="K41" s="171"/>
      <c r="L41" s="106"/>
      <c r="M41" s="106"/>
      <c r="N41" s="175"/>
      <c r="O41" s="175"/>
      <c r="P41" s="106"/>
      <c r="Q41" s="106"/>
      <c r="R41" s="106"/>
      <c r="S41" s="163"/>
      <c r="V41" s="172"/>
      <c r="Y41" s="172"/>
      <c r="Z41" s="217"/>
      <c r="AA41" s="110"/>
      <c r="AB41" s="110"/>
      <c r="AC41" s="141"/>
      <c r="AD41" s="141"/>
      <c r="AE41" s="110"/>
      <c r="AF41" s="110"/>
      <c r="AI41" s="110"/>
      <c r="AJ41" s="110"/>
      <c r="AL41" s="110"/>
      <c r="AM41" s="141"/>
      <c r="AN41" s="141"/>
    </row>
    <row r="42" spans="1:40" x14ac:dyDescent="0.3">
      <c r="A42" s="98">
        <v>21</v>
      </c>
      <c r="C42" s="116" t="s">
        <v>238</v>
      </c>
      <c r="F42" s="172">
        <v>480</v>
      </c>
      <c r="G42" s="1"/>
      <c r="H42" s="110">
        <f>ROUND(F42*AA42/12,0)</f>
        <v>40920</v>
      </c>
      <c r="I42" s="147"/>
      <c r="J42" s="228">
        <f>ROUND(AC98+(AC98*LT_COS_RATE),2)</f>
        <v>20.73</v>
      </c>
      <c r="K42" s="242"/>
      <c r="L42" s="106">
        <f>ROUND(F42*J42,0)</f>
        <v>9950</v>
      </c>
      <c r="M42" s="106"/>
      <c r="N42" s="175">
        <f>ROUND((L42/L$52)*100,1)</f>
        <v>3.4</v>
      </c>
      <c r="O42" s="175"/>
      <c r="P42" s="106">
        <f>ROUND((P$52/H$52)*H42,0)</f>
        <v>143</v>
      </c>
      <c r="Q42" s="106"/>
      <c r="R42" s="106">
        <f>P42+L42</f>
        <v>10093</v>
      </c>
      <c r="S42" s="163"/>
      <c r="V42" s="192"/>
      <c r="Y42" s="163"/>
      <c r="Z42" s="217"/>
      <c r="AA42" s="192">
        <v>1023</v>
      </c>
      <c r="AB42" s="192"/>
      <c r="AC42" s="192"/>
      <c r="AD42" s="192"/>
      <c r="AE42" s="192"/>
      <c r="AF42" s="192"/>
      <c r="AI42" s="192"/>
      <c r="AJ42" s="192"/>
      <c r="AK42" s="194"/>
      <c r="AL42" s="192"/>
      <c r="AM42" s="141"/>
      <c r="AN42" s="141"/>
    </row>
    <row r="43" spans="1:40" x14ac:dyDescent="0.3">
      <c r="A43" s="98">
        <v>22</v>
      </c>
      <c r="C43" s="116" t="s">
        <v>237</v>
      </c>
      <c r="F43" s="172">
        <v>24</v>
      </c>
      <c r="G43" s="1"/>
      <c r="H43" s="110">
        <f>ROUND(F43*AA43/12,0)</f>
        <v>3918</v>
      </c>
      <c r="I43" s="147"/>
      <c r="J43" s="228">
        <f>ROUND(AC99+(AC99*LT_COS_RATE),2)</f>
        <v>28.09</v>
      </c>
      <c r="K43" s="242"/>
      <c r="L43" s="106">
        <f>ROUND(F43*J43,0)</f>
        <v>674</v>
      </c>
      <c r="M43" s="106"/>
      <c r="N43" s="175">
        <f>ROUND((L43/L$52)*100,1)</f>
        <v>0.2</v>
      </c>
      <c r="O43" s="175"/>
      <c r="P43" s="106">
        <f>ROUND((P$52/H$52)*H43,0)</f>
        <v>14</v>
      </c>
      <c r="Q43" s="106"/>
      <c r="R43" s="106">
        <f>P43+L43</f>
        <v>688</v>
      </c>
      <c r="S43" s="163"/>
      <c r="Y43" s="163"/>
      <c r="AA43" s="110">
        <v>1959</v>
      </c>
      <c r="AB43" s="110"/>
      <c r="AC43" s="110"/>
      <c r="AD43" s="110"/>
      <c r="AI43" s="110"/>
      <c r="AJ43" s="110"/>
      <c r="AL43" s="110"/>
    </row>
    <row r="44" spans="1:40" x14ac:dyDescent="0.3">
      <c r="A44" s="98">
        <v>23</v>
      </c>
      <c r="C44" s="98" t="s">
        <v>236</v>
      </c>
      <c r="F44" s="183">
        <v>0</v>
      </c>
      <c r="G44" s="1"/>
      <c r="H44" s="110">
        <f>ROUND(F44*AA44/12,0)</f>
        <v>0</v>
      </c>
      <c r="I44" s="147"/>
      <c r="J44" s="228">
        <f>ROUND(AC100+(AC100*LT_COS_RATE),2)</f>
        <v>28.09</v>
      </c>
      <c r="K44" s="242"/>
      <c r="L44" s="117">
        <f>ROUND(F44*J44,0)</f>
        <v>0</v>
      </c>
      <c r="M44" s="106"/>
      <c r="N44" s="236">
        <f>ROUND((L44/L$52)*100,1)</f>
        <v>0</v>
      </c>
      <c r="O44" s="175"/>
      <c r="P44" s="117">
        <f>ROUND((P$52/H$52)*H44,0)</f>
        <v>0</v>
      </c>
      <c r="Q44" s="106"/>
      <c r="R44" s="117">
        <f>P44+L44</f>
        <v>0</v>
      </c>
      <c r="S44" s="163"/>
      <c r="Y44" s="163"/>
      <c r="AA44" s="110">
        <v>1959</v>
      </c>
      <c r="AD44" s="110"/>
      <c r="AI44" s="110"/>
      <c r="AJ44" s="110"/>
      <c r="AL44" s="110"/>
    </row>
    <row r="45" spans="1:40" ht="20.100000000000001" customHeight="1" x14ac:dyDescent="0.3">
      <c r="A45" s="98">
        <v>24</v>
      </c>
      <c r="C45" s="169" t="s">
        <v>470</v>
      </c>
      <c r="F45" s="246">
        <f>SUM(F22:F44)</f>
        <v>20531</v>
      </c>
      <c r="G45" s="1"/>
      <c r="H45" s="246">
        <f>SUM(H22:H44)</f>
        <v>1209602</v>
      </c>
      <c r="I45" s="147"/>
      <c r="J45" s="228"/>
      <c r="K45" s="242"/>
      <c r="L45" s="246">
        <f>SUM(L22:L44)</f>
        <v>288471</v>
      </c>
      <c r="M45" s="106"/>
      <c r="N45" s="193">
        <f>ROUND((L45/L$52)*100,1)</f>
        <v>98.5</v>
      </c>
      <c r="O45" s="175"/>
      <c r="P45" s="246">
        <f>SUM(P22:P44)</f>
        <v>4218</v>
      </c>
      <c r="Q45" s="106"/>
      <c r="R45" s="246">
        <f>SUM(R22:R44)</f>
        <v>292689</v>
      </c>
      <c r="S45" s="163"/>
      <c r="Y45" s="163"/>
      <c r="AD45" s="110"/>
      <c r="AI45" s="110"/>
      <c r="AJ45" s="110"/>
      <c r="AL45" s="110"/>
    </row>
    <row r="46" spans="1:40" x14ac:dyDescent="0.3">
      <c r="C46" s="169"/>
      <c r="F46" s="172"/>
      <c r="G46" s="1"/>
      <c r="H46" s="110"/>
      <c r="I46" s="147"/>
      <c r="J46" s="228"/>
      <c r="K46" s="242"/>
      <c r="L46" s="106"/>
      <c r="M46" s="106"/>
      <c r="N46" s="175"/>
      <c r="O46" s="175"/>
      <c r="P46" s="106"/>
      <c r="Q46" s="106"/>
      <c r="R46" s="106"/>
      <c r="S46" s="163"/>
      <c r="Y46" s="163"/>
      <c r="AD46" s="110"/>
      <c r="AI46" s="110"/>
      <c r="AJ46" s="110"/>
      <c r="AL46" s="110"/>
    </row>
    <row r="47" spans="1:40" x14ac:dyDescent="0.3">
      <c r="A47" s="98">
        <v>25</v>
      </c>
      <c r="C47" s="124" t="s">
        <v>465</v>
      </c>
      <c r="F47" s="172"/>
      <c r="G47" s="1"/>
      <c r="H47" s="110"/>
      <c r="I47" s="147"/>
      <c r="J47" s="228"/>
      <c r="K47" s="242"/>
      <c r="L47" s="106"/>
      <c r="M47" s="106"/>
      <c r="N47" s="175"/>
      <c r="O47" s="175"/>
      <c r="P47" s="106"/>
      <c r="Q47" s="106"/>
      <c r="R47" s="106"/>
      <c r="S47" s="163"/>
      <c r="Y47" s="163"/>
      <c r="AD47" s="110"/>
      <c r="AI47" s="110"/>
      <c r="AJ47" s="110"/>
      <c r="AL47" s="110"/>
    </row>
    <row r="48" spans="1:40" x14ac:dyDescent="0.3">
      <c r="A48" s="98">
        <v>26</v>
      </c>
      <c r="C48" s="176" t="str">
        <f>ESM_Name</f>
        <v>ENVIRONMENTAL SURCHARGE MECHANISM RIDER (ESM)</v>
      </c>
      <c r="F48" s="106"/>
      <c r="G48" s="1"/>
      <c r="H48" s="106"/>
      <c r="I48" s="106"/>
      <c r="J48" s="307">
        <f>PRO_ESM_NONRES</f>
        <v>5.3681872802409589E-3</v>
      </c>
      <c r="K48" s="242"/>
      <c r="L48" s="106">
        <f>ROUND((R45-(PRO_BASE_FUEL*H45)+R49)*J48,0)</f>
        <v>1368</v>
      </c>
      <c r="M48" s="106"/>
      <c r="N48" s="175">
        <f>ROUND((L48/L$52)*100,1)</f>
        <v>0.5</v>
      </c>
      <c r="O48" s="175"/>
      <c r="P48" s="106"/>
      <c r="Q48" s="106"/>
      <c r="R48" s="106">
        <f>P48+L48</f>
        <v>1368</v>
      </c>
      <c r="S48" s="163"/>
      <c r="Y48" s="163"/>
      <c r="AD48" s="110"/>
      <c r="AI48" s="110"/>
      <c r="AJ48" s="110"/>
      <c r="AL48" s="110"/>
    </row>
    <row r="49" spans="1:47" x14ac:dyDescent="0.3">
      <c r="A49" s="98">
        <v>29</v>
      </c>
      <c r="C49" s="176" t="str">
        <f>PSM_Name</f>
        <v>PROFIT SHARING MECHANISM (PSM)</v>
      </c>
      <c r="F49" s="106"/>
      <c r="G49" s="1"/>
      <c r="H49" s="106"/>
      <c r="I49" s="106"/>
      <c r="J49" s="218">
        <f>PRO_PSM</f>
        <v>2.4750000000000002E-3</v>
      </c>
      <c r="K49" s="242"/>
      <c r="L49" s="117">
        <f>ROUND($H$45*J49,0)</f>
        <v>2994</v>
      </c>
      <c r="M49" s="106"/>
      <c r="N49" s="156">
        <f>ROUND((L49/L$52)*100,1)</f>
        <v>1</v>
      </c>
      <c r="O49" s="175"/>
      <c r="P49" s="117"/>
      <c r="Q49" s="106"/>
      <c r="R49" s="117">
        <f>P49+L49</f>
        <v>2994</v>
      </c>
      <c r="S49" s="163"/>
      <c r="Y49" s="163"/>
      <c r="AD49" s="110"/>
      <c r="AI49" s="110"/>
      <c r="AJ49" s="110"/>
      <c r="AL49" s="110"/>
    </row>
    <row r="50" spans="1:47" ht="20.100000000000001" customHeight="1" x14ac:dyDescent="0.3">
      <c r="A50" s="98">
        <v>30</v>
      </c>
      <c r="C50" s="124" t="s">
        <v>461</v>
      </c>
      <c r="F50" s="183"/>
      <c r="G50" s="1"/>
      <c r="H50" s="243"/>
      <c r="I50" s="147"/>
      <c r="J50" s="228"/>
      <c r="K50" s="242"/>
      <c r="L50" s="117">
        <f>SUM(L48:L49)</f>
        <v>4362</v>
      </c>
      <c r="M50" s="106"/>
      <c r="N50" s="158">
        <f>ROUND((L50/L$52)*100,1)</f>
        <v>1.5</v>
      </c>
      <c r="O50" s="175"/>
      <c r="P50" s="112"/>
      <c r="Q50" s="106"/>
      <c r="R50" s="112">
        <f>SUM(R48:R49)</f>
        <v>4362</v>
      </c>
      <c r="S50" s="163"/>
      <c r="Y50" s="163"/>
      <c r="AD50" s="110"/>
      <c r="AI50" s="110"/>
      <c r="AJ50" s="110"/>
      <c r="AL50" s="110"/>
    </row>
    <row r="51" spans="1:47" x14ac:dyDescent="0.3">
      <c r="F51" s="172"/>
      <c r="G51" s="1"/>
      <c r="H51" s="110"/>
      <c r="I51" s="147"/>
      <c r="J51" s="228"/>
      <c r="K51" s="242"/>
      <c r="L51" s="106"/>
      <c r="M51" s="106"/>
      <c r="N51" s="175"/>
      <c r="O51" s="175"/>
      <c r="P51" s="106"/>
      <c r="Q51" s="106"/>
      <c r="R51" s="106"/>
      <c r="S51" s="163"/>
      <c r="Y51" s="163"/>
      <c r="AD51" s="110"/>
      <c r="AI51" s="110"/>
      <c r="AJ51" s="110"/>
      <c r="AL51" s="110"/>
    </row>
    <row r="52" spans="1:47" ht="20.100000000000001" customHeight="1" thickBot="1" x14ac:dyDescent="0.35">
      <c r="A52" s="98">
        <v>31</v>
      </c>
      <c r="C52" s="124" t="s">
        <v>471</v>
      </c>
      <c r="F52" s="120">
        <f>SUM(F22:F44)</f>
        <v>20531</v>
      </c>
      <c r="G52" s="1"/>
      <c r="H52" s="120">
        <f>SUM(H22:H44)</f>
        <v>1209602</v>
      </c>
      <c r="I52" s="106"/>
      <c r="J52" s="242"/>
      <c r="K52" s="242"/>
      <c r="L52" s="120">
        <f>L50+L45</f>
        <v>292833</v>
      </c>
      <c r="M52" s="106"/>
      <c r="N52" s="313">
        <v>100</v>
      </c>
      <c r="O52" s="138"/>
      <c r="P52" s="319">
        <f>ROUND(H52*CUR_FAC,0)</f>
        <v>4218</v>
      </c>
      <c r="Q52" s="106"/>
      <c r="R52" s="120">
        <f>R50+R45</f>
        <v>297051</v>
      </c>
    </row>
    <row r="53" spans="1:47" ht="16.2" thickTop="1" x14ac:dyDescent="0.3">
      <c r="F53" s="1"/>
      <c r="G53" s="1"/>
      <c r="H53" s="1"/>
      <c r="I53" s="1"/>
      <c r="J53" s="3"/>
      <c r="K53" s="1"/>
      <c r="L53" s="1"/>
      <c r="M53" s="1"/>
      <c r="N53" s="1"/>
      <c r="O53" s="1"/>
      <c r="P53" s="1"/>
      <c r="Q53" s="1"/>
      <c r="R53" s="1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149"/>
      <c r="AH53" s="97"/>
      <c r="AI53" s="97"/>
      <c r="AJ53" s="97"/>
      <c r="AK53" s="149"/>
      <c r="AL53" s="97"/>
      <c r="AM53" s="97"/>
      <c r="AN53" s="97"/>
      <c r="AO53" s="97"/>
      <c r="AP53" s="97"/>
      <c r="AQ53" s="149"/>
    </row>
    <row r="54" spans="1:47" x14ac:dyDescent="0.3">
      <c r="C54" s="178" t="s">
        <v>76</v>
      </c>
      <c r="F54" s="172"/>
      <c r="H54" s="172"/>
      <c r="I54" s="172"/>
      <c r="J54" s="228"/>
      <c r="K54" s="181"/>
      <c r="L54" s="110"/>
      <c r="M54" s="110"/>
      <c r="N54" s="141"/>
      <c r="O54" s="141"/>
      <c r="P54" s="110"/>
      <c r="Q54" s="110"/>
      <c r="R54" s="110"/>
      <c r="AS54" s="110"/>
      <c r="AT54" s="110"/>
      <c r="AU54" s="141"/>
    </row>
    <row r="55" spans="1:47" x14ac:dyDescent="0.3">
      <c r="C55" s="178" t="str">
        <f>"(2) REFLECTS FUEL COMPONENT OF "&amp;TEXT(PRO_FAC,"$0.000000;($0.000000)")&amp;" PER KWH."</f>
        <v>(2) REFLECTS FUEL COMPONENT OF $0.003487 PER KWH.</v>
      </c>
      <c r="F55" s="172"/>
      <c r="H55" s="172"/>
      <c r="I55" s="172"/>
      <c r="J55" s="228"/>
      <c r="K55" s="181"/>
      <c r="L55" s="110"/>
      <c r="M55" s="110"/>
      <c r="N55" s="141"/>
      <c r="O55" s="141"/>
      <c r="P55" s="110"/>
      <c r="Q55" s="110"/>
      <c r="R55" s="110"/>
      <c r="AS55" s="110"/>
      <c r="AT55" s="110"/>
      <c r="AU55" s="141"/>
    </row>
    <row r="56" spans="1:47" x14ac:dyDescent="0.3">
      <c r="C56" s="178" t="str">
        <f>"(3) REFLECTS FUEL COST RECOVERY INCLUDED IN BASE RATES OF "&amp;TEXT(PRO_BASE_FUEL,"$0.000000;($0.000000)")&amp;"  PER KWH."</f>
        <v>(3) REFLECTS FUEL COST RECOVERY INCLUDED IN BASE RATES OF $0.033780  PER KWH.</v>
      </c>
      <c r="F56" s="172"/>
      <c r="H56" s="172"/>
      <c r="I56" s="172"/>
      <c r="J56" s="228"/>
      <c r="K56" s="181"/>
      <c r="L56" s="110"/>
      <c r="M56" s="110"/>
      <c r="N56" s="141"/>
      <c r="O56" s="141"/>
      <c r="P56" s="110"/>
      <c r="Q56" s="110"/>
      <c r="R56" s="110"/>
      <c r="V56" s="99"/>
      <c r="Y56" s="110"/>
      <c r="AC56" s="209"/>
      <c r="AD56" s="209"/>
      <c r="AE56" s="110"/>
      <c r="AF56" s="110"/>
      <c r="AO56" s="110"/>
      <c r="AP56" s="110"/>
      <c r="AS56" s="110"/>
      <c r="AT56" s="110"/>
      <c r="AU56" s="141"/>
    </row>
    <row r="57" spans="1:47" x14ac:dyDescent="0.3">
      <c r="J57" s="163"/>
      <c r="L57" s="99"/>
      <c r="M57" s="99"/>
      <c r="T57" s="97" t="str">
        <f>NAME</f>
        <v>DUKE ENERGY KENTUCKY, INC.</v>
      </c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149"/>
      <c r="AH57" s="97"/>
      <c r="AI57" s="97"/>
      <c r="AJ57" s="97"/>
      <c r="AK57" s="149"/>
      <c r="AL57" s="97"/>
      <c r="AM57" s="97"/>
      <c r="AN57" s="97"/>
      <c r="AO57" s="97"/>
      <c r="AP57" s="97"/>
      <c r="AQ57" s="149"/>
      <c r="AR57" s="172"/>
    </row>
    <row r="58" spans="1:47" x14ac:dyDescent="0.3">
      <c r="F58" s="110"/>
      <c r="H58" s="110"/>
      <c r="I58" s="110"/>
      <c r="J58" s="163"/>
      <c r="K58" s="163"/>
      <c r="L58" s="192"/>
      <c r="M58" s="312"/>
      <c r="N58" s="207"/>
      <c r="O58" s="207"/>
      <c r="P58" s="110"/>
      <c r="Q58" s="110"/>
      <c r="R58" s="110"/>
      <c r="T58" s="97" t="str">
        <f>CASE_NO</f>
        <v>CASE NO.   2024-00354</v>
      </c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149"/>
      <c r="AH58" s="97"/>
      <c r="AI58" s="97"/>
      <c r="AJ58" s="97"/>
      <c r="AK58" s="149"/>
      <c r="AL58" s="97"/>
      <c r="AM58" s="97"/>
      <c r="AN58" s="97"/>
      <c r="AO58" s="97"/>
      <c r="AP58" s="97"/>
      <c r="AQ58" s="149"/>
      <c r="AR58" s="172"/>
    </row>
    <row r="59" spans="1:47" x14ac:dyDescent="0.3"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92"/>
      <c r="T59" s="97" t="str">
        <f>TITLE</f>
        <v>ANNUALIZED BASE YEAR REVENUES AT PROPOSED VS. MOST CURRENT RATES</v>
      </c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149"/>
      <c r="AH59" s="97"/>
      <c r="AI59" s="97"/>
      <c r="AJ59" s="97"/>
      <c r="AK59" s="149"/>
      <c r="AL59" s="97"/>
      <c r="AM59" s="97"/>
      <c r="AN59" s="97"/>
      <c r="AO59" s="97"/>
      <c r="AP59" s="97"/>
      <c r="AQ59" s="149"/>
      <c r="AR59" s="172"/>
    </row>
    <row r="60" spans="1:47" x14ac:dyDescent="0.3"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T60" s="97" t="str">
        <f>DATE</f>
        <v>FOR THE TWELVE MONTHS ENDED February 28, 2025</v>
      </c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149"/>
      <c r="AH60" s="97"/>
      <c r="AI60" s="97"/>
      <c r="AJ60" s="97"/>
      <c r="AK60" s="149"/>
      <c r="AL60" s="97"/>
      <c r="AM60" s="97"/>
      <c r="AN60" s="97"/>
      <c r="AO60" s="97"/>
      <c r="AP60" s="97"/>
      <c r="AQ60" s="149"/>
      <c r="AR60" s="110"/>
    </row>
    <row r="61" spans="1:47" x14ac:dyDescent="0.3">
      <c r="A61" s="99"/>
      <c r="J61" s="163"/>
      <c r="R61" s="99"/>
      <c r="T61" s="97" t="str">
        <f>SERVICE</f>
        <v>(ELECTRIC SERVICE)</v>
      </c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149"/>
      <c r="AH61" s="97"/>
      <c r="AI61" s="97"/>
      <c r="AJ61" s="97"/>
      <c r="AK61" s="149"/>
      <c r="AL61" s="97"/>
      <c r="AM61" s="97"/>
      <c r="AN61" s="97"/>
      <c r="AO61" s="97"/>
      <c r="AP61" s="97"/>
      <c r="AQ61" s="149"/>
      <c r="AR61" s="110"/>
    </row>
    <row r="62" spans="1:47" x14ac:dyDescent="0.3">
      <c r="A62" s="101"/>
      <c r="B62" s="101"/>
      <c r="C62" s="101"/>
      <c r="D62" s="101"/>
      <c r="E62" s="101"/>
      <c r="F62" s="101"/>
      <c r="G62" s="101"/>
      <c r="H62" s="101"/>
      <c r="I62" s="101"/>
      <c r="J62" s="212"/>
      <c r="K62" s="101"/>
      <c r="L62" s="101"/>
      <c r="M62" s="101"/>
      <c r="N62" s="101"/>
      <c r="O62" s="101"/>
      <c r="P62" s="101"/>
      <c r="Q62" s="101"/>
      <c r="R62" s="101"/>
      <c r="T62" s="98" t="str">
        <f>DATA_PERIOD</f>
        <v>DATA: __X__ BASE PERIOD   ____FORECASTED PERIOD</v>
      </c>
      <c r="AO62" s="99" t="s">
        <v>157</v>
      </c>
      <c r="AP62" s="99"/>
    </row>
    <row r="63" spans="1:47" x14ac:dyDescent="0.3">
      <c r="J63" s="163"/>
      <c r="L63" s="102"/>
      <c r="M63" s="102"/>
      <c r="N63" s="102"/>
      <c r="O63" s="102"/>
      <c r="R63" s="102"/>
      <c r="T63" s="98" t="str">
        <f>TYPE</f>
        <v>TYPE OF FILING: _X_ ORIGINAL   ___UPDATED  ___ REVISED</v>
      </c>
      <c r="AO63" s="116" t="str">
        <f>"PAGE 19 OF "&amp;TEXT(Page_Num_2.2,"00")</f>
        <v>PAGE 19 OF 24</v>
      </c>
      <c r="AP63" s="99"/>
    </row>
    <row r="64" spans="1:47" x14ac:dyDescent="0.3">
      <c r="C64" s="102"/>
      <c r="D64" s="102"/>
      <c r="E64" s="102"/>
      <c r="F64" s="102"/>
      <c r="H64" s="102"/>
      <c r="I64" s="102"/>
      <c r="J64" s="213"/>
      <c r="K64" s="102"/>
      <c r="L64" s="102"/>
      <c r="M64" s="102"/>
      <c r="N64" s="102"/>
      <c r="O64" s="102"/>
      <c r="P64" s="102"/>
      <c r="Q64" s="102"/>
      <c r="R64" s="102"/>
      <c r="T64" s="99" t="s">
        <v>170</v>
      </c>
      <c r="AO64" s="99" t="s">
        <v>3</v>
      </c>
      <c r="AP64" s="99"/>
    </row>
    <row r="65" spans="1:49" x14ac:dyDescent="0.3">
      <c r="A65" s="101"/>
      <c r="B65" s="101"/>
      <c r="C65" s="101"/>
      <c r="D65" s="101"/>
      <c r="E65" s="101"/>
      <c r="F65" s="101"/>
      <c r="G65" s="101"/>
      <c r="H65" s="101"/>
      <c r="I65" s="101"/>
      <c r="J65" s="212"/>
      <c r="K65" s="101"/>
      <c r="L65" s="101"/>
      <c r="M65" s="101"/>
      <c r="N65" s="101"/>
      <c r="O65" s="101"/>
      <c r="P65" s="101"/>
      <c r="Q65" s="101"/>
      <c r="R65" s="101"/>
      <c r="T65" s="134" t="str">
        <f>TIME</f>
        <v>6 Months Actual and 6 Months Projected with Riders</v>
      </c>
      <c r="AF65" s="99"/>
      <c r="AO65" s="110" t="str">
        <f>WIT</f>
        <v>B. L. Sailers</v>
      </c>
    </row>
    <row r="66" spans="1:49" x14ac:dyDescent="0.3">
      <c r="H66" s="102"/>
      <c r="I66" s="102"/>
      <c r="J66" s="213"/>
      <c r="K66" s="102"/>
      <c r="L66" s="102"/>
      <c r="M66" s="102"/>
      <c r="N66" s="102"/>
      <c r="O66" s="102"/>
      <c r="P66" s="102"/>
      <c r="Q66" s="102"/>
      <c r="R66" s="102"/>
      <c r="T66" s="97" t="s">
        <v>130</v>
      </c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149"/>
      <c r="AH66" s="97"/>
      <c r="AI66" s="97"/>
      <c r="AJ66" s="97"/>
      <c r="AK66" s="149"/>
      <c r="AL66" s="97"/>
      <c r="AM66" s="97"/>
      <c r="AN66" s="97"/>
      <c r="AO66" s="97"/>
      <c r="AP66" s="97"/>
      <c r="AQ66" s="149"/>
    </row>
    <row r="67" spans="1:49" x14ac:dyDescent="0.3">
      <c r="C67" s="99"/>
      <c r="D67" s="99"/>
      <c r="E67" s="99"/>
      <c r="J67" s="163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0"/>
      <c r="AF67" s="100"/>
      <c r="AG67" s="150"/>
      <c r="AH67" s="100"/>
      <c r="AI67" s="100"/>
      <c r="AJ67" s="100"/>
      <c r="AK67" s="150"/>
      <c r="AL67" s="100"/>
      <c r="AM67" s="100"/>
      <c r="AN67" s="101"/>
      <c r="AO67" s="101"/>
      <c r="AP67" s="101"/>
      <c r="AQ67" s="191"/>
    </row>
    <row r="68" spans="1:49" ht="18" customHeight="1" x14ac:dyDescent="0.3">
      <c r="C68" s="99"/>
      <c r="J68" s="163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02" t="s">
        <v>8</v>
      </c>
      <c r="AF68" s="102"/>
      <c r="AG68" s="151" t="s">
        <v>7</v>
      </c>
      <c r="AH68" s="102"/>
      <c r="AI68" s="102" t="s">
        <v>9</v>
      </c>
      <c r="AJ68" s="102"/>
      <c r="AK68" s="151" t="s">
        <v>10</v>
      </c>
      <c r="AL68" s="102"/>
      <c r="AN68" s="174"/>
      <c r="AO68" s="254" t="s">
        <v>8</v>
      </c>
      <c r="AP68" s="254"/>
      <c r="AQ68" s="255" t="s">
        <v>11</v>
      </c>
    </row>
    <row r="69" spans="1:49" x14ac:dyDescent="0.3">
      <c r="J69" s="163"/>
      <c r="AC69" s="102" t="s">
        <v>14</v>
      </c>
      <c r="AD69" s="102"/>
      <c r="AE69" s="102" t="s">
        <v>12</v>
      </c>
      <c r="AF69" s="102"/>
      <c r="AG69" s="151" t="s">
        <v>13</v>
      </c>
      <c r="AH69" s="102"/>
      <c r="AI69" s="102" t="s">
        <v>15</v>
      </c>
      <c r="AJ69" s="102"/>
      <c r="AK69" s="151" t="s">
        <v>16</v>
      </c>
      <c r="AL69" s="102"/>
      <c r="AO69" s="102" t="s">
        <v>11</v>
      </c>
      <c r="AP69" s="102"/>
      <c r="AQ69" s="151" t="s">
        <v>9</v>
      </c>
    </row>
    <row r="70" spans="1:49" x14ac:dyDescent="0.3">
      <c r="C70" s="99"/>
      <c r="F70" s="172"/>
      <c r="H70" s="172"/>
      <c r="I70" s="172"/>
      <c r="J70" s="228"/>
      <c r="K70" s="181"/>
      <c r="L70" s="110"/>
      <c r="M70" s="110"/>
      <c r="N70" s="141"/>
      <c r="O70" s="141"/>
      <c r="R70" s="110"/>
      <c r="T70" s="102" t="s">
        <v>17</v>
      </c>
      <c r="V70" s="102" t="s">
        <v>18</v>
      </c>
      <c r="W70" s="102" t="s">
        <v>19</v>
      </c>
      <c r="X70" s="102"/>
      <c r="Y70" s="102" t="s">
        <v>20</v>
      </c>
      <c r="AC70" s="102" t="s">
        <v>8</v>
      </c>
      <c r="AD70" s="102"/>
      <c r="AE70" s="102" t="s">
        <v>593</v>
      </c>
      <c r="AF70" s="102"/>
      <c r="AG70" s="151" t="s">
        <v>593</v>
      </c>
      <c r="AH70" s="102"/>
      <c r="AI70" s="103" t="s">
        <v>708</v>
      </c>
      <c r="AJ70" s="102"/>
      <c r="AK70" s="152" t="s">
        <v>708</v>
      </c>
      <c r="AL70" s="102"/>
      <c r="AM70" s="102" t="s">
        <v>593</v>
      </c>
      <c r="AN70" s="102"/>
      <c r="AO70" s="102" t="s">
        <v>9</v>
      </c>
      <c r="AP70" s="102"/>
      <c r="AQ70" s="151" t="s">
        <v>21</v>
      </c>
      <c r="AU70" s="102"/>
    </row>
    <row r="71" spans="1:49" x14ac:dyDescent="0.3">
      <c r="C71" s="99"/>
      <c r="F71" s="172"/>
      <c r="H71" s="172"/>
      <c r="I71" s="172"/>
      <c r="J71" s="228"/>
      <c r="K71" s="181"/>
      <c r="L71" s="110"/>
      <c r="M71" s="110"/>
      <c r="N71" s="141"/>
      <c r="O71" s="141"/>
      <c r="R71" s="110"/>
      <c r="T71" s="102" t="s">
        <v>22</v>
      </c>
      <c r="V71" s="102" t="s">
        <v>23</v>
      </c>
      <c r="W71" s="102" t="s">
        <v>24</v>
      </c>
      <c r="X71" s="102"/>
      <c r="Y71" s="102" t="s">
        <v>25</v>
      </c>
      <c r="AA71" s="102" t="s">
        <v>26</v>
      </c>
      <c r="AB71" s="102"/>
      <c r="AC71" s="103" t="s">
        <v>324</v>
      </c>
      <c r="AD71" s="102"/>
      <c r="AE71" s="102" t="s">
        <v>9</v>
      </c>
      <c r="AF71" s="102"/>
      <c r="AG71" s="151" t="s">
        <v>9</v>
      </c>
      <c r="AH71" s="102"/>
      <c r="AI71" s="131" t="s">
        <v>29</v>
      </c>
      <c r="AJ71" s="131"/>
      <c r="AK71" s="165" t="s">
        <v>30</v>
      </c>
      <c r="AL71" s="102"/>
      <c r="AM71" s="102" t="s">
        <v>323</v>
      </c>
      <c r="AN71" s="102"/>
      <c r="AO71" s="131" t="s">
        <v>31</v>
      </c>
      <c r="AP71" s="131"/>
      <c r="AQ71" s="165" t="s">
        <v>32</v>
      </c>
      <c r="AU71" s="102"/>
      <c r="AW71" s="98" t="s">
        <v>299</v>
      </c>
    </row>
    <row r="72" spans="1:49" x14ac:dyDescent="0.3">
      <c r="C72" s="99"/>
      <c r="F72" s="172"/>
      <c r="H72" s="172"/>
      <c r="I72" s="172"/>
      <c r="J72" s="228"/>
      <c r="K72" s="181"/>
      <c r="L72" s="110"/>
      <c r="M72" s="110"/>
      <c r="N72" s="141"/>
      <c r="O72" s="141"/>
      <c r="R72" s="110"/>
      <c r="V72" s="131" t="s">
        <v>33</v>
      </c>
      <c r="W72" s="131" t="s">
        <v>34</v>
      </c>
      <c r="X72" s="131"/>
      <c r="Y72" s="131" t="s">
        <v>35</v>
      </c>
      <c r="Z72" s="134"/>
      <c r="AA72" s="131" t="s">
        <v>36</v>
      </c>
      <c r="AB72" s="131"/>
      <c r="AC72" s="131" t="s">
        <v>42</v>
      </c>
      <c r="AD72" s="131"/>
      <c r="AE72" s="131" t="s">
        <v>43</v>
      </c>
      <c r="AF72" s="131"/>
      <c r="AG72" s="165" t="s">
        <v>44</v>
      </c>
      <c r="AH72" s="131"/>
      <c r="AI72" s="131" t="s">
        <v>45</v>
      </c>
      <c r="AJ72" s="131"/>
      <c r="AK72" s="165" t="s">
        <v>46</v>
      </c>
      <c r="AL72" s="131"/>
      <c r="AM72" s="131" t="s">
        <v>40</v>
      </c>
      <c r="AN72" s="131"/>
      <c r="AO72" s="131" t="s">
        <v>47</v>
      </c>
      <c r="AP72" s="131"/>
      <c r="AQ72" s="165" t="s">
        <v>48</v>
      </c>
      <c r="AU72" s="102"/>
    </row>
    <row r="73" spans="1:49" ht="17.100000000000001" customHeight="1" x14ac:dyDescent="0.3">
      <c r="F73" s="192"/>
      <c r="H73" s="110"/>
      <c r="I73" s="110"/>
      <c r="J73" s="228"/>
      <c r="K73" s="217"/>
      <c r="L73" s="192"/>
      <c r="M73" s="192"/>
      <c r="N73" s="192"/>
      <c r="O73" s="192"/>
      <c r="P73" s="192"/>
      <c r="Q73" s="192"/>
      <c r="R73" s="192"/>
      <c r="T73" s="174"/>
      <c r="U73" s="174"/>
      <c r="V73" s="174"/>
      <c r="W73" s="174"/>
      <c r="X73" s="174"/>
      <c r="Y73" s="174"/>
      <c r="Z73" s="174"/>
      <c r="AA73" s="258" t="s">
        <v>49</v>
      </c>
      <c r="AB73" s="258"/>
      <c r="AC73" s="257" t="s">
        <v>69</v>
      </c>
      <c r="AD73" s="258"/>
      <c r="AE73" s="258" t="s">
        <v>50</v>
      </c>
      <c r="AF73" s="258"/>
      <c r="AG73" s="259" t="s">
        <v>51</v>
      </c>
      <c r="AH73" s="258"/>
      <c r="AI73" s="258" t="s">
        <v>50</v>
      </c>
      <c r="AJ73" s="258"/>
      <c r="AK73" s="259" t="s">
        <v>51</v>
      </c>
      <c r="AL73" s="258"/>
      <c r="AM73" s="258" t="s">
        <v>50</v>
      </c>
      <c r="AN73" s="258"/>
      <c r="AO73" s="258" t="s">
        <v>50</v>
      </c>
      <c r="AP73" s="258"/>
      <c r="AQ73" s="259" t="s">
        <v>51</v>
      </c>
    </row>
    <row r="74" spans="1:49" x14ac:dyDescent="0.3">
      <c r="C74" s="99"/>
      <c r="F74" s="110"/>
      <c r="H74" s="110"/>
      <c r="I74" s="110"/>
      <c r="J74" s="228"/>
      <c r="K74" s="217"/>
      <c r="L74" s="110"/>
      <c r="M74" s="110"/>
      <c r="N74" s="141"/>
      <c r="O74" s="141"/>
      <c r="P74" s="110"/>
      <c r="Q74" s="110"/>
      <c r="R74" s="110"/>
      <c r="T74" s="98">
        <v>1</v>
      </c>
      <c r="V74" s="124" t="s">
        <v>70</v>
      </c>
      <c r="W74" s="124" t="s">
        <v>71</v>
      </c>
      <c r="X74" s="99"/>
      <c r="Y74" s="1"/>
      <c r="Z74" s="1"/>
      <c r="AA74" s="1"/>
      <c r="AB74" s="1"/>
      <c r="AC74" s="1"/>
      <c r="AD74" s="1"/>
      <c r="AE74" s="1"/>
      <c r="AF74" s="1"/>
      <c r="AG74" s="154"/>
      <c r="AH74" s="1"/>
      <c r="AI74" s="1"/>
      <c r="AJ74" s="1"/>
      <c r="AK74" s="154"/>
      <c r="AL74" s="1"/>
      <c r="AM74" s="1"/>
      <c r="AN74" s="1"/>
      <c r="AO74" s="1"/>
      <c r="AP74" s="1"/>
      <c r="AQ74" s="154"/>
    </row>
    <row r="75" spans="1:49" x14ac:dyDescent="0.3">
      <c r="C75" s="99"/>
      <c r="F75" s="172"/>
      <c r="H75" s="172"/>
      <c r="I75" s="172"/>
      <c r="J75" s="228"/>
      <c r="K75" s="227"/>
      <c r="L75" s="110"/>
      <c r="M75" s="110"/>
      <c r="N75" s="141"/>
      <c r="O75" s="141"/>
      <c r="P75" s="110"/>
      <c r="Q75" s="110"/>
      <c r="R75" s="110"/>
      <c r="S75" s="110"/>
      <c r="T75" s="98">
        <v>2</v>
      </c>
      <c r="V75" s="134"/>
      <c r="W75" s="124" t="s">
        <v>72</v>
      </c>
      <c r="X75" s="99"/>
      <c r="Y75" s="1"/>
      <c r="Z75" s="1"/>
      <c r="AA75" s="1"/>
      <c r="AB75" s="1"/>
      <c r="AC75" s="1"/>
      <c r="AD75" s="1"/>
      <c r="AE75" s="1"/>
      <c r="AF75" s="1"/>
      <c r="AG75" s="154"/>
      <c r="AH75" s="1"/>
      <c r="AI75" s="1"/>
      <c r="AJ75" s="1"/>
      <c r="AK75" s="154"/>
      <c r="AL75" s="1"/>
      <c r="AM75" s="1"/>
      <c r="AN75" s="1"/>
      <c r="AO75" s="1"/>
      <c r="AP75" s="1"/>
      <c r="AQ75" s="154"/>
    </row>
    <row r="76" spans="1:49" x14ac:dyDescent="0.3">
      <c r="C76" s="99"/>
      <c r="F76" s="172"/>
      <c r="H76" s="172"/>
      <c r="I76" s="172"/>
      <c r="J76" s="228"/>
      <c r="K76" s="181"/>
      <c r="L76" s="110"/>
      <c r="M76" s="110"/>
      <c r="N76" s="141"/>
      <c r="O76" s="141"/>
      <c r="P76" s="110"/>
      <c r="Q76" s="110"/>
      <c r="R76" s="110"/>
      <c r="V76" s="134"/>
      <c r="W76" s="134"/>
      <c r="Y76" s="1"/>
      <c r="Z76" s="1"/>
      <c r="AA76" s="1"/>
      <c r="AB76" s="1"/>
      <c r="AC76" s="3"/>
      <c r="AD76" s="1"/>
      <c r="AE76" s="1"/>
      <c r="AF76" s="1"/>
      <c r="AG76" s="154"/>
      <c r="AH76" s="1"/>
      <c r="AI76" s="1"/>
      <c r="AJ76" s="1"/>
      <c r="AK76" s="154"/>
      <c r="AL76" s="1"/>
      <c r="AM76" s="1"/>
      <c r="AN76" s="1"/>
      <c r="AO76" s="1"/>
      <c r="AP76" s="1"/>
      <c r="AQ76" s="154"/>
    </row>
    <row r="77" spans="1:49" x14ac:dyDescent="0.3">
      <c r="C77" s="99"/>
      <c r="F77" s="172"/>
      <c r="H77" s="172"/>
      <c r="I77" s="172"/>
      <c r="J77" s="228"/>
      <c r="K77" s="181"/>
      <c r="L77" s="110"/>
      <c r="M77" s="110"/>
      <c r="N77" s="141"/>
      <c r="O77" s="141"/>
      <c r="P77" s="110"/>
      <c r="Q77" s="110"/>
      <c r="R77" s="110"/>
      <c r="T77" s="98">
        <v>3</v>
      </c>
      <c r="V77" s="169" t="s">
        <v>229</v>
      </c>
      <c r="W77" s="134"/>
      <c r="Y77" s="147"/>
      <c r="Z77" s="106"/>
      <c r="AA77" s="147"/>
      <c r="AB77" s="147"/>
      <c r="AC77" s="242"/>
      <c r="AD77" s="242"/>
      <c r="AE77" s="106"/>
      <c r="AF77" s="106"/>
      <c r="AG77" s="154"/>
      <c r="AH77" s="175"/>
      <c r="AI77" s="106"/>
      <c r="AJ77" s="106"/>
      <c r="AK77" s="154"/>
      <c r="AL77" s="138"/>
      <c r="AM77" s="106"/>
      <c r="AN77" s="106"/>
      <c r="AO77" s="106"/>
      <c r="AP77" s="106"/>
      <c r="AQ77" s="154"/>
    </row>
    <row r="78" spans="1:49" x14ac:dyDescent="0.3">
      <c r="C78" s="99"/>
      <c r="F78" s="172"/>
      <c r="H78" s="172"/>
      <c r="I78" s="172"/>
      <c r="J78" s="228"/>
      <c r="K78" s="181"/>
      <c r="L78" s="110"/>
      <c r="M78" s="110"/>
      <c r="N78" s="141"/>
      <c r="O78" s="141"/>
      <c r="P78" s="110"/>
      <c r="Q78" s="110"/>
      <c r="R78" s="110"/>
      <c r="T78" s="98">
        <v>4</v>
      </c>
      <c r="V78" s="99" t="s">
        <v>230</v>
      </c>
      <c r="Y78" s="147">
        <f>F22</f>
        <v>5338</v>
      </c>
      <c r="Z78" s="106"/>
      <c r="AA78" s="147">
        <f>H22</f>
        <v>379443</v>
      </c>
      <c r="AB78" s="147"/>
      <c r="AC78" s="228">
        <v>11.78</v>
      </c>
      <c r="AD78" s="242"/>
      <c r="AE78" s="106">
        <f>ROUND(Y78*AC78,0)</f>
        <v>62882</v>
      </c>
      <c r="AF78" s="106"/>
      <c r="AG78" s="154">
        <f>ROUND((AE78/AE$108)*100,1)</f>
        <v>24.5</v>
      </c>
      <c r="AH78" s="175"/>
      <c r="AI78" s="106">
        <f>L22-AE78</f>
        <v>8967</v>
      </c>
      <c r="AJ78" s="106"/>
      <c r="AK78" s="154">
        <f>IF(AE78=0,"0.0 ",ROUND((AI78/AE78)*100,1))</f>
        <v>14.3</v>
      </c>
      <c r="AL78" s="138"/>
      <c r="AM78" s="106">
        <f>ROUND((AM$108/AA$108)*AA78,0)</f>
        <v>1323</v>
      </c>
      <c r="AN78" s="106"/>
      <c r="AO78" s="106">
        <f>AM78+AE78</f>
        <v>64205</v>
      </c>
      <c r="AP78" s="106"/>
      <c r="AQ78" s="154">
        <f>IF(AO78=0,"0.0 ",ROUND((AI78/AO78)*100,1))</f>
        <v>14</v>
      </c>
      <c r="AU78" s="163"/>
      <c r="AW78" s="110">
        <f>853</f>
        <v>853</v>
      </c>
    </row>
    <row r="79" spans="1:49" x14ac:dyDescent="0.3">
      <c r="C79" s="99"/>
      <c r="F79" s="172"/>
      <c r="H79" s="172"/>
      <c r="I79" s="172"/>
      <c r="J79" s="228"/>
      <c r="K79" s="181"/>
      <c r="L79" s="110"/>
      <c r="M79" s="110"/>
      <c r="N79" s="141"/>
      <c r="O79" s="141"/>
      <c r="P79" s="110"/>
      <c r="Q79" s="110"/>
      <c r="R79" s="110"/>
      <c r="T79" s="98">
        <v>5</v>
      </c>
      <c r="V79" s="99" t="s">
        <v>231</v>
      </c>
      <c r="Y79" s="147">
        <f>F23</f>
        <v>2105</v>
      </c>
      <c r="Z79" s="106"/>
      <c r="AA79" s="147">
        <f>H23</f>
        <v>153314</v>
      </c>
      <c r="AB79" s="147"/>
      <c r="AC79" s="228">
        <v>11.83</v>
      </c>
      <c r="AD79" s="242"/>
      <c r="AE79" s="106">
        <f>ROUND(Y79*AC79,0)</f>
        <v>24902</v>
      </c>
      <c r="AF79" s="106"/>
      <c r="AG79" s="154">
        <f>ROUND((AE79/AE$108)*100,1)</f>
        <v>9.6999999999999993</v>
      </c>
      <c r="AH79" s="175"/>
      <c r="AI79" s="106">
        <f>L23-AE79</f>
        <v>3558</v>
      </c>
      <c r="AJ79" s="106"/>
      <c r="AK79" s="159">
        <f>IF(AE79=0,"0.0 ",ROUND((AI79/AE79)*100,1))</f>
        <v>14.3</v>
      </c>
      <c r="AL79" s="138"/>
      <c r="AM79" s="106">
        <f>ROUND((AM$108/AA$108)*AA79,0)</f>
        <v>535</v>
      </c>
      <c r="AN79" s="106"/>
      <c r="AO79" s="106">
        <f>AM79+AE79</f>
        <v>25437</v>
      </c>
      <c r="AP79" s="106"/>
      <c r="AQ79" s="159">
        <f>IF(AO79=0,"0.0 ",ROUND((AI79/AO79)*100,1))</f>
        <v>14</v>
      </c>
      <c r="AU79" s="163"/>
      <c r="AW79" s="110">
        <v>874</v>
      </c>
    </row>
    <row r="80" spans="1:49" x14ac:dyDescent="0.3">
      <c r="C80" s="99"/>
      <c r="F80" s="172"/>
      <c r="H80" s="172"/>
      <c r="I80" s="172"/>
      <c r="J80" s="228"/>
      <c r="K80" s="181"/>
      <c r="L80" s="110"/>
      <c r="M80" s="110"/>
      <c r="N80" s="141"/>
      <c r="O80" s="141"/>
      <c r="P80" s="110"/>
      <c r="Q80" s="110"/>
      <c r="R80" s="110"/>
      <c r="T80" s="98">
        <v>6</v>
      </c>
      <c r="V80" s="99" t="s">
        <v>232</v>
      </c>
      <c r="Y80" s="147">
        <f>F24</f>
        <v>432</v>
      </c>
      <c r="Z80" s="1"/>
      <c r="AA80" s="147">
        <f>H24</f>
        <v>31464</v>
      </c>
      <c r="AB80" s="1"/>
      <c r="AC80" s="228">
        <v>11.83</v>
      </c>
      <c r="AD80" s="1"/>
      <c r="AE80" s="106">
        <f>ROUND(Y80*AC80,0)</f>
        <v>5111</v>
      </c>
      <c r="AF80" s="1"/>
      <c r="AG80" s="154">
        <f>ROUND((AE80/AE$108)*100,1)</f>
        <v>2</v>
      </c>
      <c r="AH80" s="1"/>
      <c r="AI80" s="106">
        <f>L24-AE80</f>
        <v>730</v>
      </c>
      <c r="AJ80" s="1"/>
      <c r="AK80" s="159">
        <f>IF(AE80=0,"0.0 ",ROUND((AI80/AE80)*100,1))</f>
        <v>14.3</v>
      </c>
      <c r="AL80" s="1"/>
      <c r="AM80" s="106">
        <f>ROUND((AM$108/AA$108)*AA80,0)</f>
        <v>110</v>
      </c>
      <c r="AN80" s="1"/>
      <c r="AO80" s="106">
        <f>AM80+AE80</f>
        <v>5221</v>
      </c>
      <c r="AP80" s="1"/>
      <c r="AQ80" s="159">
        <f>IF(AO80=0,"0.0 ",ROUND((AI80/AO80)*100,1))</f>
        <v>14</v>
      </c>
      <c r="AU80" s="163"/>
      <c r="AW80" s="110">
        <v>874</v>
      </c>
    </row>
    <row r="81" spans="3:49" x14ac:dyDescent="0.3">
      <c r="C81" s="99"/>
      <c r="F81" s="172"/>
      <c r="H81" s="172"/>
      <c r="I81" s="172"/>
      <c r="J81" s="228"/>
      <c r="K81" s="181"/>
      <c r="L81" s="110"/>
      <c r="M81" s="110"/>
      <c r="N81" s="141"/>
      <c r="O81" s="141"/>
      <c r="P81" s="110"/>
      <c r="Q81" s="110"/>
      <c r="R81" s="110"/>
      <c r="T81" s="98">
        <v>7</v>
      </c>
      <c r="V81" s="99" t="s">
        <v>233</v>
      </c>
      <c r="Y81" s="147">
        <f>F25</f>
        <v>120</v>
      </c>
      <c r="Z81" s="1"/>
      <c r="AA81" s="147">
        <f>H25</f>
        <v>8740</v>
      </c>
      <c r="AB81" s="1"/>
      <c r="AC81" s="228">
        <v>11.83</v>
      </c>
      <c r="AD81" s="1"/>
      <c r="AE81" s="106">
        <f>ROUND(Y81*AC81,0)</f>
        <v>1420</v>
      </c>
      <c r="AF81" s="1"/>
      <c r="AG81" s="154">
        <f>ROUND((AE81/AE$108)*100,1)</f>
        <v>0.6</v>
      </c>
      <c r="AH81" s="1"/>
      <c r="AI81" s="106">
        <f>L25-AE81</f>
        <v>202</v>
      </c>
      <c r="AJ81" s="1"/>
      <c r="AK81" s="159">
        <f>IF(AE81=0,"0.0 ",ROUND((AI81/AE81)*100,1))</f>
        <v>14.2</v>
      </c>
      <c r="AL81" s="1"/>
      <c r="AM81" s="106">
        <f>ROUND((AM$108/AA$108)*AA81,0)</f>
        <v>30</v>
      </c>
      <c r="AN81" s="1"/>
      <c r="AO81" s="106">
        <f>AM81+AE81</f>
        <v>1450</v>
      </c>
      <c r="AP81" s="1"/>
      <c r="AQ81" s="159">
        <f>IF(AO81=0,"0.0 ",ROUND((AI81/AO81)*100,1))</f>
        <v>13.9</v>
      </c>
      <c r="AU81" s="163"/>
      <c r="AW81" s="110">
        <v>874</v>
      </c>
    </row>
    <row r="82" spans="3:49" x14ac:dyDescent="0.3">
      <c r="C82" s="99"/>
      <c r="F82" s="172"/>
      <c r="H82" s="172"/>
      <c r="I82" s="172"/>
      <c r="J82" s="228"/>
      <c r="K82" s="181"/>
      <c r="L82" s="110"/>
      <c r="M82" s="110"/>
      <c r="N82" s="141"/>
      <c r="O82" s="141"/>
      <c r="P82" s="110"/>
      <c r="Q82" s="110"/>
      <c r="R82" s="110"/>
      <c r="Y82" s="1"/>
      <c r="Z82" s="1"/>
      <c r="AA82" s="1"/>
      <c r="AB82" s="1"/>
      <c r="AD82" s="1"/>
      <c r="AE82" s="1"/>
      <c r="AF82" s="1"/>
      <c r="AG82" s="154"/>
      <c r="AH82" s="1"/>
      <c r="AI82" s="1"/>
      <c r="AJ82" s="1"/>
      <c r="AK82" s="154"/>
      <c r="AL82" s="1"/>
      <c r="AM82" s="1"/>
      <c r="AN82" s="1"/>
      <c r="AO82" s="1"/>
      <c r="AP82" s="1"/>
      <c r="AQ82" s="154"/>
    </row>
    <row r="83" spans="3:49" x14ac:dyDescent="0.3">
      <c r="F83" s="110"/>
      <c r="H83" s="110"/>
      <c r="I83" s="110"/>
      <c r="J83" s="228"/>
      <c r="K83" s="217"/>
      <c r="L83" s="192"/>
      <c r="M83" s="192"/>
      <c r="N83" s="192"/>
      <c r="O83" s="192"/>
      <c r="P83" s="192"/>
      <c r="Q83" s="192"/>
      <c r="R83" s="192"/>
      <c r="T83" s="98">
        <v>8</v>
      </c>
      <c r="V83" s="124" t="s">
        <v>404</v>
      </c>
      <c r="Y83" s="106"/>
      <c r="Z83" s="1"/>
      <c r="AA83" s="106"/>
      <c r="AB83" s="106"/>
      <c r="AC83" s="228"/>
      <c r="AD83" s="242"/>
      <c r="AE83" s="106"/>
      <c r="AF83" s="106"/>
      <c r="AG83" s="154"/>
      <c r="AH83" s="175"/>
      <c r="AI83" s="106"/>
      <c r="AJ83" s="106"/>
      <c r="AK83" s="159"/>
      <c r="AL83" s="138"/>
      <c r="AM83" s="106"/>
      <c r="AN83" s="106"/>
      <c r="AO83" s="106"/>
      <c r="AP83" s="106"/>
      <c r="AQ83" s="159"/>
      <c r="AW83" s="110"/>
    </row>
    <row r="84" spans="3:49" x14ac:dyDescent="0.3">
      <c r="F84" s="110"/>
      <c r="H84" s="110"/>
      <c r="I84" s="110"/>
      <c r="J84" s="228"/>
      <c r="K84" s="217"/>
      <c r="L84" s="192"/>
      <c r="M84" s="192"/>
      <c r="N84" s="192"/>
      <c r="O84" s="192"/>
      <c r="P84" s="192"/>
      <c r="Q84" s="192"/>
      <c r="R84" s="192"/>
      <c r="T84" s="98">
        <v>9</v>
      </c>
      <c r="V84" s="99" t="s">
        <v>281</v>
      </c>
      <c r="Y84" s="147">
        <f>F28</f>
        <v>2320</v>
      </c>
      <c r="Z84" s="1"/>
      <c r="AA84" s="147">
        <f>H28</f>
        <v>164913</v>
      </c>
      <c r="AB84" s="106"/>
      <c r="AC84" s="228">
        <v>11.78</v>
      </c>
      <c r="AD84" s="242"/>
      <c r="AE84" s="106">
        <f>ROUND(Y84*AC84,0)</f>
        <v>27330</v>
      </c>
      <c r="AF84" s="106"/>
      <c r="AG84" s="154">
        <f>ROUND((AE84/AE$108)*100,1)</f>
        <v>10.6</v>
      </c>
      <c r="AH84" s="175"/>
      <c r="AI84" s="106">
        <f>L28-AE84</f>
        <v>3897</v>
      </c>
      <c r="AJ84" s="106"/>
      <c r="AK84" s="159">
        <f>IF(AE84=0,"0.0 ",ROUND((AI84/AE84)*100,1))</f>
        <v>14.3</v>
      </c>
      <c r="AL84" s="138"/>
      <c r="AM84" s="106">
        <f>ROUND((AM$108/AA$108)*AA84,0)</f>
        <v>575</v>
      </c>
      <c r="AN84" s="106"/>
      <c r="AO84" s="106">
        <f>AM84+AE84</f>
        <v>27905</v>
      </c>
      <c r="AP84" s="106"/>
      <c r="AQ84" s="159">
        <f>IF(AO84=0,"0.0 ",ROUND((AI84/AO84)*100,1))</f>
        <v>14</v>
      </c>
      <c r="AU84" s="163"/>
      <c r="AW84" s="110">
        <v>853</v>
      </c>
    </row>
    <row r="85" spans="3:49" x14ac:dyDescent="0.3">
      <c r="F85" s="110"/>
      <c r="H85" s="110"/>
      <c r="I85" s="110"/>
      <c r="J85" s="228"/>
      <c r="K85" s="217"/>
      <c r="L85" s="192"/>
      <c r="M85" s="192"/>
      <c r="N85" s="192"/>
      <c r="O85" s="192"/>
      <c r="P85" s="192"/>
      <c r="Q85" s="192"/>
      <c r="R85" s="192"/>
      <c r="T85" s="98">
        <v>10</v>
      </c>
      <c r="V85" s="99" t="s">
        <v>405</v>
      </c>
      <c r="Y85" s="147">
        <f>F29</f>
        <v>0</v>
      </c>
      <c r="Z85" s="1"/>
      <c r="AA85" s="147">
        <f>H29</f>
        <v>0</v>
      </c>
      <c r="AB85" s="106"/>
      <c r="AC85" s="228">
        <v>11.83</v>
      </c>
      <c r="AD85" s="242"/>
      <c r="AE85" s="106">
        <f>ROUND(Y85*AC85,0)</f>
        <v>0</v>
      </c>
      <c r="AF85" s="106"/>
      <c r="AG85" s="154">
        <f>ROUND((AE85/AE$108)*100,1)</f>
        <v>0</v>
      </c>
      <c r="AH85" s="175"/>
      <c r="AI85" s="106">
        <f>L29-AE85</f>
        <v>0</v>
      </c>
      <c r="AJ85" s="106"/>
      <c r="AK85" s="159" t="str">
        <f>IF(AE85=0,"0.0 ",ROUND((AI85/AE85)*100,1))</f>
        <v xml:space="preserve">0.0 </v>
      </c>
      <c r="AL85" s="138"/>
      <c r="AM85" s="106">
        <f>ROUND((AM$108/AA$108)*AA85,0)</f>
        <v>0</v>
      </c>
      <c r="AN85" s="106"/>
      <c r="AO85" s="106">
        <f>AM85+AE85</f>
        <v>0</v>
      </c>
      <c r="AP85" s="106"/>
      <c r="AQ85" s="159" t="str">
        <f>IF(AO85=0,"0.0 ",ROUND((AI85/AO85)*100,1))</f>
        <v xml:space="preserve">0.0 </v>
      </c>
      <c r="AU85" s="163"/>
      <c r="AW85" s="110">
        <v>874</v>
      </c>
    </row>
    <row r="86" spans="3:49" x14ac:dyDescent="0.3">
      <c r="F86" s="110"/>
      <c r="H86" s="110"/>
      <c r="I86" s="110"/>
      <c r="J86" s="228"/>
      <c r="K86" s="217"/>
      <c r="L86" s="192"/>
      <c r="M86" s="192"/>
      <c r="N86" s="192"/>
      <c r="O86" s="192"/>
      <c r="P86" s="192"/>
      <c r="Q86" s="192"/>
      <c r="R86" s="192"/>
      <c r="T86" s="98">
        <v>11</v>
      </c>
      <c r="V86" s="99" t="s">
        <v>406</v>
      </c>
      <c r="Y86" s="147">
        <f>F30</f>
        <v>362</v>
      </c>
      <c r="Z86" s="1"/>
      <c r="AA86" s="147">
        <f>H30</f>
        <v>26366</v>
      </c>
      <c r="AB86" s="106"/>
      <c r="AC86" s="228">
        <v>11.83</v>
      </c>
      <c r="AD86" s="242"/>
      <c r="AE86" s="106">
        <f>ROUND(Y86*AC86,0)</f>
        <v>4282</v>
      </c>
      <c r="AF86" s="106"/>
      <c r="AG86" s="154">
        <f>ROUND((AE86/AE$108)*100,1)</f>
        <v>1.7</v>
      </c>
      <c r="AH86" s="175"/>
      <c r="AI86" s="106">
        <f>L30-AE86</f>
        <v>612</v>
      </c>
      <c r="AJ86" s="106"/>
      <c r="AK86" s="159">
        <f>IF(AE86=0,"0.0 ",ROUND((AI86/AE86)*100,1))</f>
        <v>14.3</v>
      </c>
      <c r="AL86" s="138"/>
      <c r="AM86" s="106">
        <f>ROUND((AM$108/AA$108)*AA86,0)</f>
        <v>92</v>
      </c>
      <c r="AN86" s="106"/>
      <c r="AO86" s="106">
        <f>AM86+AE86</f>
        <v>4374</v>
      </c>
      <c r="AP86" s="106"/>
      <c r="AQ86" s="159">
        <f>IF(AO86=0,"0.0 ",ROUND((AI86/AO86)*100,1))</f>
        <v>14</v>
      </c>
      <c r="AU86" s="163"/>
      <c r="AW86" s="110">
        <v>874</v>
      </c>
    </row>
    <row r="87" spans="3:49" x14ac:dyDescent="0.3">
      <c r="C87" s="99"/>
      <c r="F87" s="172"/>
      <c r="H87" s="172"/>
      <c r="I87" s="172"/>
      <c r="J87" s="228"/>
      <c r="K87" s="181"/>
      <c r="L87" s="110"/>
      <c r="M87" s="110"/>
      <c r="N87" s="141"/>
      <c r="O87" s="141"/>
      <c r="P87" s="110"/>
      <c r="Q87" s="110"/>
      <c r="R87" s="110"/>
      <c r="Y87" s="1"/>
      <c r="Z87" s="1"/>
      <c r="AA87" s="1"/>
      <c r="AB87" s="1"/>
      <c r="AD87" s="1"/>
      <c r="AE87" s="1"/>
      <c r="AF87" s="1"/>
      <c r="AG87" s="154"/>
      <c r="AH87" s="1"/>
      <c r="AI87" s="1"/>
      <c r="AJ87" s="1"/>
      <c r="AK87" s="154"/>
      <c r="AL87" s="1"/>
      <c r="AM87" s="1"/>
      <c r="AN87" s="1"/>
      <c r="AO87" s="1"/>
      <c r="AP87" s="1"/>
      <c r="AQ87" s="154"/>
    </row>
    <row r="88" spans="3:49" x14ac:dyDescent="0.3">
      <c r="C88" s="99"/>
      <c r="F88" s="172"/>
      <c r="H88" s="172"/>
      <c r="I88" s="172"/>
      <c r="J88" s="228"/>
      <c r="K88" s="181"/>
      <c r="L88" s="110"/>
      <c r="M88" s="110"/>
      <c r="N88" s="141"/>
      <c r="O88" s="141"/>
      <c r="P88" s="110"/>
      <c r="Q88" s="110"/>
      <c r="R88" s="110"/>
      <c r="T88" s="98">
        <v>12</v>
      </c>
      <c r="V88" s="169" t="s">
        <v>234</v>
      </c>
      <c r="Y88" s="1"/>
      <c r="Z88" s="1"/>
      <c r="AA88" s="1"/>
      <c r="AB88" s="1"/>
      <c r="AC88" s="163"/>
      <c r="AD88" s="1"/>
      <c r="AE88" s="1"/>
      <c r="AF88" s="1"/>
      <c r="AG88" s="154"/>
      <c r="AH88" s="1"/>
      <c r="AI88" s="1"/>
      <c r="AJ88" s="1"/>
      <c r="AK88" s="154"/>
      <c r="AL88" s="1"/>
      <c r="AM88" s="1"/>
      <c r="AN88" s="1"/>
      <c r="AO88" s="1"/>
      <c r="AP88" s="1"/>
      <c r="AQ88" s="154"/>
    </row>
    <row r="89" spans="3:49" x14ac:dyDescent="0.3">
      <c r="C89" s="99"/>
      <c r="F89" s="172"/>
      <c r="H89" s="172"/>
      <c r="I89" s="172"/>
      <c r="J89" s="228"/>
      <c r="K89" s="181"/>
      <c r="L89" s="110"/>
      <c r="M89" s="110"/>
      <c r="N89" s="141"/>
      <c r="O89" s="141"/>
      <c r="P89" s="110"/>
      <c r="Q89" s="110"/>
      <c r="R89" s="110"/>
      <c r="T89" s="98">
        <v>13</v>
      </c>
      <c r="V89" s="99" t="s">
        <v>230</v>
      </c>
      <c r="Y89" s="147">
        <f t="shared" ref="Y89:Y95" si="6">F33</f>
        <v>3035</v>
      </c>
      <c r="Z89" s="1"/>
      <c r="AA89" s="147">
        <f t="shared" ref="AA89:AA95" si="7">H33</f>
        <v>123170</v>
      </c>
      <c r="AB89" s="1"/>
      <c r="AC89" s="228">
        <v>12.41</v>
      </c>
      <c r="AD89" s="1"/>
      <c r="AE89" s="106">
        <f t="shared" ref="AE89:AE95" si="8">ROUND(Y89*AC89,0)</f>
        <v>37664</v>
      </c>
      <c r="AF89" s="1"/>
      <c r="AG89" s="154">
        <f t="shared" ref="AG89:AG95" si="9">ROUND((AE89/AE$108)*100,1)</f>
        <v>14.7</v>
      </c>
      <c r="AH89" s="1"/>
      <c r="AI89" s="106">
        <f t="shared" ref="AI89:AI95" si="10">L33-AE89</f>
        <v>5372</v>
      </c>
      <c r="AJ89" s="1"/>
      <c r="AK89" s="159">
        <f t="shared" ref="AK89:AK95" si="11">IF(AE89=0,"0.0 ",ROUND((AI89/AE89)*100,1))</f>
        <v>14.3</v>
      </c>
      <c r="AL89" s="1"/>
      <c r="AM89" s="106">
        <f t="shared" ref="AM89:AM95" si="12">ROUND((AM$108/AA$108)*AA89,0)</f>
        <v>430</v>
      </c>
      <c r="AN89" s="1"/>
      <c r="AO89" s="106">
        <f t="shared" ref="AO89:AO95" si="13">AM89+AE89</f>
        <v>38094</v>
      </c>
      <c r="AP89" s="1"/>
      <c r="AQ89" s="159">
        <f t="shared" ref="AQ89:AQ95" si="14">IF(AO89=0,"0.0 ",ROUND((AI89/AO89)*100,1))</f>
        <v>14.1</v>
      </c>
      <c r="AU89" s="163"/>
      <c r="AW89" s="172">
        <v>487</v>
      </c>
    </row>
    <row r="90" spans="3:49" x14ac:dyDescent="0.3">
      <c r="C90" s="99"/>
      <c r="F90" s="172"/>
      <c r="H90" s="172"/>
      <c r="I90" s="172"/>
      <c r="J90" s="228"/>
      <c r="K90" s="181"/>
      <c r="L90" s="110"/>
      <c r="M90" s="110"/>
      <c r="N90" s="141"/>
      <c r="O90" s="141"/>
      <c r="P90" s="110"/>
      <c r="Q90" s="110"/>
      <c r="R90" s="110"/>
      <c r="T90" s="98">
        <v>15</v>
      </c>
      <c r="V90" s="99" t="s">
        <v>231</v>
      </c>
      <c r="Y90" s="147">
        <f t="shared" si="6"/>
        <v>2290</v>
      </c>
      <c r="Z90" s="1"/>
      <c r="AA90" s="147">
        <f t="shared" si="7"/>
        <v>101523</v>
      </c>
      <c r="AB90" s="1"/>
      <c r="AC90" s="228">
        <v>12.63</v>
      </c>
      <c r="AD90" s="1"/>
      <c r="AE90" s="106">
        <f t="shared" si="8"/>
        <v>28923</v>
      </c>
      <c r="AF90" s="1"/>
      <c r="AG90" s="154">
        <f t="shared" si="9"/>
        <v>11.3</v>
      </c>
      <c r="AH90" s="1"/>
      <c r="AI90" s="106">
        <f t="shared" si="10"/>
        <v>4122</v>
      </c>
      <c r="AJ90" s="1"/>
      <c r="AK90" s="159">
        <f t="shared" si="11"/>
        <v>14.3</v>
      </c>
      <c r="AL90" s="1"/>
      <c r="AM90" s="106">
        <f t="shared" si="12"/>
        <v>354</v>
      </c>
      <c r="AN90" s="1"/>
      <c r="AO90" s="106">
        <f t="shared" si="13"/>
        <v>29277</v>
      </c>
      <c r="AP90" s="1"/>
      <c r="AQ90" s="159">
        <f t="shared" si="14"/>
        <v>14.1</v>
      </c>
      <c r="AU90" s="163"/>
      <c r="AW90" s="110">
        <v>532</v>
      </c>
    </row>
    <row r="91" spans="3:49" x14ac:dyDescent="0.3">
      <c r="C91" s="99"/>
      <c r="F91" s="172"/>
      <c r="H91" s="172"/>
      <c r="I91" s="172"/>
      <c r="J91" s="228"/>
      <c r="K91" s="181"/>
      <c r="L91" s="110"/>
      <c r="M91" s="110"/>
      <c r="N91" s="141"/>
      <c r="O91" s="141"/>
      <c r="P91" s="110"/>
      <c r="Q91" s="110"/>
      <c r="R91" s="110"/>
      <c r="T91" s="98">
        <v>16</v>
      </c>
      <c r="V91" s="116" t="s">
        <v>235</v>
      </c>
      <c r="Y91" s="147">
        <f t="shared" si="6"/>
        <v>696</v>
      </c>
      <c r="Z91" s="1"/>
      <c r="AA91" s="147">
        <f t="shared" si="7"/>
        <v>28246</v>
      </c>
      <c r="AB91" s="1"/>
      <c r="AC91" s="228">
        <v>12.41</v>
      </c>
      <c r="AD91" s="1"/>
      <c r="AE91" s="106">
        <f t="shared" si="8"/>
        <v>8637</v>
      </c>
      <c r="AF91" s="1"/>
      <c r="AG91" s="154">
        <f t="shared" si="9"/>
        <v>3.4</v>
      </c>
      <c r="AH91" s="1"/>
      <c r="AI91" s="106">
        <f t="shared" si="10"/>
        <v>1232</v>
      </c>
      <c r="AJ91" s="1"/>
      <c r="AK91" s="159">
        <f t="shared" si="11"/>
        <v>14.3</v>
      </c>
      <c r="AL91" s="1"/>
      <c r="AM91" s="106">
        <f t="shared" si="12"/>
        <v>98</v>
      </c>
      <c r="AN91" s="1"/>
      <c r="AO91" s="106">
        <f t="shared" si="13"/>
        <v>8735</v>
      </c>
      <c r="AP91" s="1"/>
      <c r="AQ91" s="159">
        <f t="shared" si="14"/>
        <v>14.1</v>
      </c>
      <c r="AU91" s="163"/>
      <c r="AW91" s="110">
        <v>487</v>
      </c>
    </row>
    <row r="92" spans="3:49" x14ac:dyDescent="0.3">
      <c r="C92" s="99"/>
      <c r="F92" s="110"/>
      <c r="H92" s="110"/>
      <c r="I92" s="110"/>
      <c r="J92" s="228"/>
      <c r="K92" s="217"/>
      <c r="L92" s="110"/>
      <c r="M92" s="110"/>
      <c r="N92" s="141"/>
      <c r="O92" s="141"/>
      <c r="P92" s="110"/>
      <c r="Q92" s="110"/>
      <c r="R92" s="110"/>
      <c r="T92" s="98">
        <v>17</v>
      </c>
      <c r="V92" s="99" t="s">
        <v>232</v>
      </c>
      <c r="Y92" s="147">
        <f t="shared" si="6"/>
        <v>952</v>
      </c>
      <c r="Z92" s="1"/>
      <c r="AA92" s="147">
        <f t="shared" si="7"/>
        <v>42205</v>
      </c>
      <c r="AB92" s="147"/>
      <c r="AC92" s="228">
        <v>12.62</v>
      </c>
      <c r="AD92" s="242"/>
      <c r="AE92" s="106">
        <f t="shared" si="8"/>
        <v>12014</v>
      </c>
      <c r="AF92" s="106"/>
      <c r="AG92" s="154">
        <f t="shared" si="9"/>
        <v>4.7</v>
      </c>
      <c r="AH92" s="175"/>
      <c r="AI92" s="106">
        <f t="shared" si="10"/>
        <v>1714</v>
      </c>
      <c r="AJ92" s="106"/>
      <c r="AK92" s="159">
        <f t="shared" si="11"/>
        <v>14.3</v>
      </c>
      <c r="AL92" s="138"/>
      <c r="AM92" s="106">
        <f t="shared" si="12"/>
        <v>147</v>
      </c>
      <c r="AN92" s="106"/>
      <c r="AO92" s="106">
        <f t="shared" si="13"/>
        <v>12161</v>
      </c>
      <c r="AP92" s="106"/>
      <c r="AQ92" s="159">
        <f t="shared" si="14"/>
        <v>14.1</v>
      </c>
      <c r="AU92" s="163"/>
      <c r="AW92" s="110">
        <v>532</v>
      </c>
    </row>
    <row r="93" spans="3:49" x14ac:dyDescent="0.3">
      <c r="C93" s="99"/>
      <c r="F93" s="110"/>
      <c r="H93" s="110"/>
      <c r="I93" s="110"/>
      <c r="J93" s="228"/>
      <c r="K93" s="217"/>
      <c r="L93" s="110"/>
      <c r="M93" s="110"/>
      <c r="N93" s="110"/>
      <c r="O93" s="110"/>
      <c r="P93" s="110"/>
      <c r="Q93" s="110"/>
      <c r="R93" s="110"/>
      <c r="T93" s="98">
        <v>19</v>
      </c>
      <c r="V93" s="99" t="s">
        <v>233</v>
      </c>
      <c r="Y93" s="147">
        <f t="shared" si="6"/>
        <v>2293</v>
      </c>
      <c r="Z93" s="1"/>
      <c r="AA93" s="147">
        <f t="shared" si="7"/>
        <v>101656</v>
      </c>
      <c r="AB93" s="147"/>
      <c r="AC93" s="228">
        <v>12.62</v>
      </c>
      <c r="AD93" s="171"/>
      <c r="AE93" s="106">
        <f t="shared" si="8"/>
        <v>28938</v>
      </c>
      <c r="AF93" s="106"/>
      <c r="AG93" s="154">
        <f t="shared" si="9"/>
        <v>11.3</v>
      </c>
      <c r="AH93" s="175"/>
      <c r="AI93" s="106">
        <f t="shared" si="10"/>
        <v>4127</v>
      </c>
      <c r="AJ93" s="106"/>
      <c r="AK93" s="159">
        <f t="shared" si="11"/>
        <v>14.3</v>
      </c>
      <c r="AL93" s="138"/>
      <c r="AM93" s="106">
        <f t="shared" si="12"/>
        <v>354</v>
      </c>
      <c r="AN93" s="106"/>
      <c r="AO93" s="106">
        <f t="shared" si="13"/>
        <v>29292</v>
      </c>
      <c r="AP93" s="106"/>
      <c r="AQ93" s="159">
        <f t="shared" si="14"/>
        <v>14.1</v>
      </c>
      <c r="AU93" s="163"/>
      <c r="AW93" s="110">
        <v>532</v>
      </c>
    </row>
    <row r="94" spans="3:49" x14ac:dyDescent="0.3">
      <c r="C94" s="99"/>
      <c r="F94" s="172"/>
      <c r="H94" s="172"/>
      <c r="I94" s="172"/>
      <c r="J94" s="228"/>
      <c r="K94" s="181"/>
      <c r="L94" s="110"/>
      <c r="M94" s="110"/>
      <c r="N94" s="141"/>
      <c r="O94" s="141"/>
      <c r="P94" s="110"/>
      <c r="Q94" s="110"/>
      <c r="R94" s="110"/>
      <c r="T94" s="98">
        <v>14</v>
      </c>
      <c r="V94" s="99" t="s">
        <v>281</v>
      </c>
      <c r="Y94" s="147">
        <f t="shared" si="6"/>
        <v>0</v>
      </c>
      <c r="Z94" s="1"/>
      <c r="AA94" s="147">
        <f t="shared" si="7"/>
        <v>0</v>
      </c>
      <c r="AB94" s="1"/>
      <c r="AC94" s="228">
        <v>12.41</v>
      </c>
      <c r="AD94" s="1"/>
      <c r="AE94" s="106">
        <f t="shared" si="8"/>
        <v>0</v>
      </c>
      <c r="AF94" s="1"/>
      <c r="AG94" s="154">
        <f t="shared" si="9"/>
        <v>0</v>
      </c>
      <c r="AH94" s="1"/>
      <c r="AI94" s="106">
        <f t="shared" si="10"/>
        <v>0</v>
      </c>
      <c r="AJ94" s="1"/>
      <c r="AK94" s="159" t="str">
        <f t="shared" si="11"/>
        <v xml:space="preserve">0.0 </v>
      </c>
      <c r="AL94" s="1"/>
      <c r="AM94" s="106">
        <f t="shared" si="12"/>
        <v>0</v>
      </c>
      <c r="AN94" s="1"/>
      <c r="AO94" s="106">
        <f t="shared" si="13"/>
        <v>0</v>
      </c>
      <c r="AP94" s="1"/>
      <c r="AQ94" s="159" t="str">
        <f t="shared" si="14"/>
        <v xml:space="preserve">0.0 </v>
      </c>
      <c r="AU94" s="163"/>
      <c r="AW94" s="172">
        <v>487</v>
      </c>
    </row>
    <row r="95" spans="3:49" x14ac:dyDescent="0.3">
      <c r="C95" s="99"/>
      <c r="F95" s="110"/>
      <c r="H95" s="110"/>
      <c r="I95" s="110"/>
      <c r="J95" s="228"/>
      <c r="K95" s="217"/>
      <c r="L95" s="110"/>
      <c r="M95" s="110"/>
      <c r="N95" s="141"/>
      <c r="O95" s="141"/>
      <c r="P95" s="110"/>
      <c r="Q95" s="110"/>
      <c r="R95" s="110"/>
      <c r="T95" s="98">
        <v>18</v>
      </c>
      <c r="V95" s="99" t="s">
        <v>268</v>
      </c>
      <c r="Y95" s="147">
        <f t="shared" si="6"/>
        <v>84</v>
      </c>
      <c r="Z95" s="1"/>
      <c r="AA95" s="147">
        <f t="shared" si="7"/>
        <v>3724</v>
      </c>
      <c r="AB95" s="147"/>
      <c r="AC95" s="228">
        <v>12.62</v>
      </c>
      <c r="AD95" s="242"/>
      <c r="AE95" s="106">
        <f t="shared" si="8"/>
        <v>1060</v>
      </c>
      <c r="AF95" s="106"/>
      <c r="AG95" s="154">
        <f t="shared" si="9"/>
        <v>0.4</v>
      </c>
      <c r="AH95" s="175"/>
      <c r="AI95" s="106">
        <f t="shared" si="10"/>
        <v>151</v>
      </c>
      <c r="AJ95" s="106"/>
      <c r="AK95" s="159">
        <f t="shared" si="11"/>
        <v>14.2</v>
      </c>
      <c r="AL95" s="138"/>
      <c r="AM95" s="106">
        <f t="shared" si="12"/>
        <v>13</v>
      </c>
      <c r="AN95" s="106"/>
      <c r="AO95" s="106">
        <f t="shared" si="13"/>
        <v>1073</v>
      </c>
      <c r="AP95" s="106"/>
      <c r="AQ95" s="159">
        <f t="shared" si="14"/>
        <v>14.1</v>
      </c>
      <c r="AU95" s="163"/>
      <c r="AW95" s="110">
        <v>532</v>
      </c>
    </row>
    <row r="96" spans="3:49" x14ac:dyDescent="0.3">
      <c r="C96" s="99"/>
      <c r="F96" s="110"/>
      <c r="H96" s="110"/>
      <c r="I96" s="110"/>
      <c r="J96" s="228"/>
      <c r="K96" s="217"/>
      <c r="L96" s="110"/>
      <c r="M96" s="110"/>
      <c r="N96" s="110"/>
      <c r="O96" s="110"/>
      <c r="P96" s="110"/>
      <c r="Q96" s="110"/>
      <c r="R96" s="110"/>
      <c r="V96" s="99"/>
      <c r="Y96" s="147"/>
      <c r="Z96" s="106"/>
      <c r="AA96" s="147"/>
      <c r="AB96" s="147"/>
      <c r="AC96" s="228"/>
      <c r="AD96" s="171"/>
      <c r="AE96" s="106"/>
      <c r="AF96" s="106"/>
      <c r="AG96" s="154"/>
      <c r="AH96" s="175"/>
      <c r="AI96" s="106"/>
      <c r="AJ96" s="106"/>
      <c r="AK96" s="154"/>
      <c r="AL96" s="138"/>
      <c r="AM96" s="106"/>
      <c r="AN96" s="106"/>
      <c r="AO96" s="106"/>
      <c r="AP96" s="106"/>
      <c r="AQ96" s="154"/>
      <c r="AW96" s="110"/>
    </row>
    <row r="97" spans="3:49" x14ac:dyDescent="0.3">
      <c r="C97" s="99"/>
      <c r="F97" s="110"/>
      <c r="H97" s="110"/>
      <c r="I97" s="110"/>
      <c r="J97" s="228"/>
      <c r="K97" s="217"/>
      <c r="L97" s="110"/>
      <c r="M97" s="110"/>
      <c r="N97" s="110"/>
      <c r="O97" s="110"/>
      <c r="P97" s="110"/>
      <c r="Q97" s="110"/>
      <c r="R97" s="110"/>
      <c r="T97" s="98">
        <v>20</v>
      </c>
      <c r="V97" s="124" t="s">
        <v>202</v>
      </c>
      <c r="Y97" s="147"/>
      <c r="Z97" s="106"/>
      <c r="AA97" s="147"/>
      <c r="AB97" s="147"/>
      <c r="AC97" s="228"/>
      <c r="AD97" s="171"/>
      <c r="AE97" s="106"/>
      <c r="AF97" s="106"/>
      <c r="AG97" s="154"/>
      <c r="AH97" s="175"/>
      <c r="AI97" s="106"/>
      <c r="AJ97" s="106"/>
      <c r="AK97" s="154"/>
      <c r="AL97" s="138"/>
      <c r="AM97" s="106"/>
      <c r="AN97" s="106"/>
      <c r="AO97" s="106"/>
      <c r="AP97" s="106"/>
      <c r="AQ97" s="154"/>
      <c r="AW97" s="110"/>
    </row>
    <row r="98" spans="3:49" x14ac:dyDescent="0.3">
      <c r="C98" s="99"/>
      <c r="F98" s="110"/>
      <c r="H98" s="172"/>
      <c r="I98" s="172"/>
      <c r="J98" s="228"/>
      <c r="K98" s="228"/>
      <c r="L98" s="110"/>
      <c r="M98" s="110"/>
      <c r="N98" s="141"/>
      <c r="O98" s="141"/>
      <c r="P98" s="110"/>
      <c r="Q98" s="110"/>
      <c r="R98" s="110"/>
      <c r="T98" s="98">
        <v>21</v>
      </c>
      <c r="V98" s="116" t="s">
        <v>238</v>
      </c>
      <c r="Y98" s="147">
        <f>F42</f>
        <v>480</v>
      </c>
      <c r="Z98" s="106"/>
      <c r="AA98" s="147">
        <f>H42</f>
        <v>40920</v>
      </c>
      <c r="AB98" s="147"/>
      <c r="AC98" s="228">
        <v>18.14</v>
      </c>
      <c r="AD98" s="242"/>
      <c r="AE98" s="106">
        <f>ROUND(Y98*AC98,0)</f>
        <v>8707</v>
      </c>
      <c r="AF98" s="106"/>
      <c r="AG98" s="154">
        <f>ROUND((AE98/AE$108)*100,1)</f>
        <v>3.4</v>
      </c>
      <c r="AH98" s="175"/>
      <c r="AI98" s="106">
        <f>L42-AE98</f>
        <v>1243</v>
      </c>
      <c r="AJ98" s="106"/>
      <c r="AK98" s="159">
        <f>IF(AE98=0,"0.0 ",ROUND((AI98/AE98)*100,1))</f>
        <v>14.3</v>
      </c>
      <c r="AL98" s="138"/>
      <c r="AM98" s="106">
        <f>ROUND((AM$108/AA$108)*AA98,0)</f>
        <v>143</v>
      </c>
      <c r="AN98" s="106"/>
      <c r="AO98" s="106">
        <f>AM98+AE98</f>
        <v>8850</v>
      </c>
      <c r="AP98" s="106"/>
      <c r="AQ98" s="159">
        <f>IF(AO98=0,"0.0 ",ROUND((AI98/AO98)*100,1))</f>
        <v>14</v>
      </c>
      <c r="AU98" s="163"/>
      <c r="AW98" s="110">
        <v>1023</v>
      </c>
    </row>
    <row r="99" spans="3:49" x14ac:dyDescent="0.3">
      <c r="F99" s="110"/>
      <c r="H99" s="110"/>
      <c r="I99" s="110"/>
      <c r="J99" s="228"/>
      <c r="K99" s="217"/>
      <c r="L99" s="192"/>
      <c r="M99" s="192"/>
      <c r="N99" s="192"/>
      <c r="O99" s="192"/>
      <c r="P99" s="192"/>
      <c r="Q99" s="192"/>
      <c r="R99" s="192"/>
      <c r="T99" s="98">
        <v>22</v>
      </c>
      <c r="V99" s="116" t="s">
        <v>237</v>
      </c>
      <c r="Y99" s="147">
        <f>F43</f>
        <v>24</v>
      </c>
      <c r="Z99" s="106"/>
      <c r="AA99" s="147">
        <f>H43</f>
        <v>3918</v>
      </c>
      <c r="AB99" s="147"/>
      <c r="AC99" s="228">
        <v>24.58</v>
      </c>
      <c r="AD99" s="242"/>
      <c r="AE99" s="106">
        <f>ROUND(Y99*AC99,0)</f>
        <v>590</v>
      </c>
      <c r="AF99" s="106"/>
      <c r="AG99" s="154">
        <f>ROUND((AE99/AE$108)*100,1)</f>
        <v>0.2</v>
      </c>
      <c r="AH99" s="175"/>
      <c r="AI99" s="106">
        <f>L43-AE99</f>
        <v>84</v>
      </c>
      <c r="AJ99" s="106"/>
      <c r="AK99" s="159">
        <f>IF(AE99=0,"0.0 ",ROUND((AI99/AE99)*100,1))</f>
        <v>14.2</v>
      </c>
      <c r="AL99" s="138"/>
      <c r="AM99" s="106">
        <f>ROUND((AM$108/AA$108)*AA99,0)</f>
        <v>14</v>
      </c>
      <c r="AN99" s="106"/>
      <c r="AO99" s="106">
        <f>AM99+AE99</f>
        <v>604</v>
      </c>
      <c r="AP99" s="106"/>
      <c r="AQ99" s="159">
        <f>IF(AO99=0,"0.0 ",ROUND((AI99/AO99)*100,1))</f>
        <v>13.9</v>
      </c>
      <c r="AU99" s="163"/>
      <c r="AW99" s="110">
        <v>1959</v>
      </c>
    </row>
    <row r="100" spans="3:49" x14ac:dyDescent="0.3">
      <c r="F100" s="110"/>
      <c r="H100" s="110"/>
      <c r="I100" s="110"/>
      <c r="J100" s="228"/>
      <c r="K100" s="217"/>
      <c r="L100" s="192"/>
      <c r="M100" s="192"/>
      <c r="N100" s="192"/>
      <c r="O100" s="192"/>
      <c r="P100" s="192"/>
      <c r="Q100" s="192"/>
      <c r="R100" s="192"/>
      <c r="T100" s="98">
        <v>23</v>
      </c>
      <c r="V100" s="98" t="s">
        <v>236</v>
      </c>
      <c r="Y100" s="177">
        <f>F44</f>
        <v>0</v>
      </c>
      <c r="Z100" s="106"/>
      <c r="AA100" s="177">
        <f>H44</f>
        <v>0</v>
      </c>
      <c r="AB100" s="147"/>
      <c r="AC100" s="228">
        <v>24.58</v>
      </c>
      <c r="AD100" s="242"/>
      <c r="AE100" s="117">
        <f>ROUND(Y100*AC100,0)</f>
        <v>0</v>
      </c>
      <c r="AF100" s="106"/>
      <c r="AG100" s="156">
        <f>ROUND((AE100/AE$108)*100,1)</f>
        <v>0</v>
      </c>
      <c r="AH100" s="175"/>
      <c r="AI100" s="117">
        <f>L44-AE100</f>
        <v>0</v>
      </c>
      <c r="AJ100" s="106"/>
      <c r="AK100" s="200" t="str">
        <f>IF(AE100=0,"0.0 ",ROUND((AI100/AE100)*100,1))</f>
        <v xml:space="preserve">0.0 </v>
      </c>
      <c r="AL100" s="138"/>
      <c r="AM100" s="117">
        <f>ROUND((AM$108/AA$108)*AA100,0)</f>
        <v>0</v>
      </c>
      <c r="AN100" s="106"/>
      <c r="AO100" s="117">
        <f>AM100+AE100</f>
        <v>0</v>
      </c>
      <c r="AP100" s="106"/>
      <c r="AQ100" s="200" t="str">
        <f>IF(AO100=0,"0.0 ",ROUND((AI100/AO100)*100,1))</f>
        <v xml:space="preserve">0.0 </v>
      </c>
      <c r="AU100" s="163"/>
      <c r="AW100" s="110">
        <v>1959</v>
      </c>
    </row>
    <row r="101" spans="3:49" ht="20.100000000000001" customHeight="1" x14ac:dyDescent="0.3">
      <c r="F101" s="110"/>
      <c r="H101" s="110"/>
      <c r="I101" s="110"/>
      <c r="J101" s="228"/>
      <c r="K101" s="217"/>
      <c r="L101" s="192"/>
      <c r="M101" s="192"/>
      <c r="N101" s="192"/>
      <c r="O101" s="192"/>
      <c r="P101" s="192"/>
      <c r="Q101" s="192"/>
      <c r="R101" s="192"/>
      <c r="T101" s="98">
        <v>24</v>
      </c>
      <c r="V101" s="169" t="s">
        <v>470</v>
      </c>
      <c r="Y101" s="246">
        <f>SUM(Y78:Y100)</f>
        <v>20531</v>
      </c>
      <c r="Z101" s="106"/>
      <c r="AA101" s="246">
        <f>SUM(AA78:AA100)</f>
        <v>1209602</v>
      </c>
      <c r="AB101" s="147"/>
      <c r="AC101" s="228"/>
      <c r="AD101" s="242"/>
      <c r="AE101" s="246">
        <f>SUM(AE78:AE100)</f>
        <v>252460</v>
      </c>
      <c r="AF101" s="106"/>
      <c r="AG101" s="158">
        <f>ROUND((AE101/AE$108)*100,1)</f>
        <v>98.3</v>
      </c>
      <c r="AH101" s="175"/>
      <c r="AI101" s="246">
        <f>SUM(AI78:AI100)</f>
        <v>36011</v>
      </c>
      <c r="AJ101" s="106"/>
      <c r="AK101" s="201">
        <f>IF(AE101=0,"0.0 ",ROUND((AI101/AE101)*100,1))</f>
        <v>14.3</v>
      </c>
      <c r="AL101" s="138"/>
      <c r="AM101" s="246">
        <f>SUM(AM78:AM100)</f>
        <v>4218</v>
      </c>
      <c r="AN101" s="106"/>
      <c r="AO101" s="246">
        <f>SUM(AO78:AO100)</f>
        <v>256678</v>
      </c>
      <c r="AP101" s="106"/>
      <c r="AQ101" s="200">
        <f>IF(AO101=0,"0.0 ",ROUND((AI101/AO101)*100,1))</f>
        <v>14</v>
      </c>
      <c r="AU101" s="163"/>
      <c r="AW101" s="110"/>
    </row>
    <row r="102" spans="3:49" x14ac:dyDescent="0.3">
      <c r="F102" s="110"/>
      <c r="H102" s="110"/>
      <c r="I102" s="110"/>
      <c r="J102" s="228"/>
      <c r="K102" s="217"/>
      <c r="L102" s="192"/>
      <c r="M102" s="192"/>
      <c r="N102" s="192"/>
      <c r="O102" s="192"/>
      <c r="P102" s="192"/>
      <c r="Q102" s="192"/>
      <c r="R102" s="192"/>
      <c r="V102" s="169"/>
      <c r="Y102" s="147"/>
      <c r="Z102" s="106"/>
      <c r="AA102" s="147"/>
      <c r="AB102" s="147"/>
      <c r="AC102" s="228"/>
      <c r="AD102" s="242"/>
      <c r="AE102" s="106"/>
      <c r="AF102" s="106"/>
      <c r="AG102" s="154"/>
      <c r="AH102" s="175"/>
      <c r="AI102" s="106"/>
      <c r="AJ102" s="106"/>
      <c r="AK102" s="159"/>
      <c r="AL102" s="138"/>
      <c r="AM102" s="106"/>
      <c r="AN102" s="106"/>
      <c r="AO102" s="106"/>
      <c r="AP102" s="106"/>
      <c r="AQ102" s="159"/>
      <c r="AU102" s="163"/>
      <c r="AW102" s="110"/>
    </row>
    <row r="103" spans="3:49" x14ac:dyDescent="0.3">
      <c r="F103" s="110"/>
      <c r="H103" s="110"/>
      <c r="I103" s="110"/>
      <c r="J103" s="228"/>
      <c r="K103" s="217"/>
      <c r="L103" s="192"/>
      <c r="M103" s="192"/>
      <c r="N103" s="192"/>
      <c r="O103" s="192"/>
      <c r="P103" s="192"/>
      <c r="Q103" s="192"/>
      <c r="R103" s="192"/>
      <c r="T103" s="98">
        <f>A47</f>
        <v>25</v>
      </c>
      <c r="V103" s="124" t="s">
        <v>465</v>
      </c>
      <c r="Y103" s="147"/>
      <c r="Z103" s="106"/>
      <c r="AA103" s="147"/>
      <c r="AB103" s="147"/>
      <c r="AC103" s="228"/>
      <c r="AD103" s="242"/>
      <c r="AE103" s="106"/>
      <c r="AF103" s="106"/>
      <c r="AG103" s="154"/>
      <c r="AH103" s="175"/>
      <c r="AI103" s="106"/>
      <c r="AJ103" s="106"/>
      <c r="AK103" s="159"/>
      <c r="AL103" s="138"/>
      <c r="AM103" s="106"/>
      <c r="AN103" s="106"/>
      <c r="AO103" s="106"/>
      <c r="AP103" s="106"/>
      <c r="AQ103" s="159"/>
      <c r="AU103" s="163"/>
      <c r="AW103" s="110"/>
    </row>
    <row r="104" spans="3:49" x14ac:dyDescent="0.3">
      <c r="F104" s="110"/>
      <c r="H104" s="110"/>
      <c r="I104" s="110"/>
      <c r="J104" s="228"/>
      <c r="K104" s="217"/>
      <c r="L104" s="192"/>
      <c r="M104" s="192"/>
      <c r="N104" s="192"/>
      <c r="O104" s="192"/>
      <c r="P104" s="192"/>
      <c r="Q104" s="192"/>
      <c r="R104" s="192"/>
      <c r="T104" s="98">
        <f>A48</f>
        <v>26</v>
      </c>
      <c r="V104" s="176" t="str">
        <f>C48</f>
        <v>ENVIRONMENTAL SURCHARGE MECHANISM RIDER (ESM)</v>
      </c>
      <c r="Y104" s="147"/>
      <c r="Z104" s="106"/>
      <c r="AA104" s="147"/>
      <c r="AB104" s="147"/>
      <c r="AC104" s="304">
        <f>CUR_ESM_NonRes</f>
        <v>6.3863133253205971E-3</v>
      </c>
      <c r="AD104" s="242"/>
      <c r="AE104" s="106">
        <f>ROUND((AO101-(CUR_BASE_FUEL*AA101)+AO105)*AC104,0)</f>
        <v>1397</v>
      </c>
      <c r="AF104" s="106"/>
      <c r="AG104" s="154">
        <f>ROUND((AE104/AE$108)*100,1)</f>
        <v>0.5</v>
      </c>
      <c r="AH104" s="175"/>
      <c r="AI104" s="106">
        <f>L48-AE104</f>
        <v>-29</v>
      </c>
      <c r="AJ104" s="106"/>
      <c r="AK104" s="159">
        <f>IF(AE104=0,"0.0 ",ROUND((AI104/AE104)*100,1))</f>
        <v>-2.1</v>
      </c>
      <c r="AL104" s="138"/>
      <c r="AM104" s="106"/>
      <c r="AN104" s="106"/>
      <c r="AO104" s="106">
        <f>AM104+AE104</f>
        <v>1397</v>
      </c>
      <c r="AP104" s="106"/>
      <c r="AQ104" s="159">
        <f>IF(AO104=0,"0.0 ",ROUND((AI104/AO104)*100,1))</f>
        <v>-2.1</v>
      </c>
      <c r="AU104" s="163"/>
      <c r="AW104" s="110"/>
    </row>
    <row r="105" spans="3:49" x14ac:dyDescent="0.3">
      <c r="F105" s="110"/>
      <c r="H105" s="110"/>
      <c r="I105" s="110"/>
      <c r="J105" s="228"/>
      <c r="K105" s="217"/>
      <c r="L105" s="192"/>
      <c r="M105" s="192"/>
      <c r="N105" s="192"/>
      <c r="O105" s="192"/>
      <c r="P105" s="192"/>
      <c r="Q105" s="192"/>
      <c r="R105" s="192"/>
      <c r="T105" s="98">
        <f>A49</f>
        <v>29</v>
      </c>
      <c r="V105" s="176" t="str">
        <f>C49</f>
        <v>PROFIT SHARING MECHANISM (PSM)</v>
      </c>
      <c r="Y105" s="147"/>
      <c r="Z105" s="106"/>
      <c r="AA105" s="147"/>
      <c r="AB105" s="147"/>
      <c r="AC105" s="184">
        <f>RS_PSM</f>
        <v>2.4750000000000002E-3</v>
      </c>
      <c r="AD105" s="242"/>
      <c r="AE105" s="106">
        <f>ROUND($AA$101*AC105,0)</f>
        <v>2994</v>
      </c>
      <c r="AF105" s="106"/>
      <c r="AG105" s="156">
        <f>ROUND((AE105/AE$108)*100,1)</f>
        <v>1.2</v>
      </c>
      <c r="AH105" s="175"/>
      <c r="AI105" s="117">
        <f>L49-AE105</f>
        <v>0</v>
      </c>
      <c r="AJ105" s="106"/>
      <c r="AK105" s="200">
        <f>IF(AE105=0,"0.0 ",ROUND((AI105/AE105)*100,1))</f>
        <v>0</v>
      </c>
      <c r="AL105" s="138"/>
      <c r="AM105" s="117"/>
      <c r="AN105" s="106"/>
      <c r="AO105" s="117">
        <f>AM105+AE105</f>
        <v>2994</v>
      </c>
      <c r="AP105" s="106"/>
      <c r="AQ105" s="200">
        <f>IF(AO105=0,"0.0 ",ROUND((AI105/AO105)*100,1))</f>
        <v>0</v>
      </c>
      <c r="AU105" s="163"/>
      <c r="AW105" s="110"/>
    </row>
    <row r="106" spans="3:49" x14ac:dyDescent="0.3">
      <c r="F106" s="110"/>
      <c r="H106" s="110"/>
      <c r="I106" s="110"/>
      <c r="J106" s="228"/>
      <c r="K106" s="217"/>
      <c r="L106" s="192"/>
      <c r="M106" s="192"/>
      <c r="N106" s="192"/>
      <c r="O106" s="192"/>
      <c r="P106" s="192"/>
      <c r="Q106" s="192"/>
      <c r="R106" s="192"/>
      <c r="T106" s="98">
        <f>A50</f>
        <v>30</v>
      </c>
      <c r="V106" s="124" t="s">
        <v>461</v>
      </c>
      <c r="Y106" s="177"/>
      <c r="Z106" s="106"/>
      <c r="AA106" s="177"/>
      <c r="AB106" s="147"/>
      <c r="AC106" s="228"/>
      <c r="AD106" s="242"/>
      <c r="AE106" s="112">
        <f>SUM(AE104:AE105)</f>
        <v>4391</v>
      </c>
      <c r="AF106" s="106"/>
      <c r="AG106" s="158">
        <f>ROUND((AE106/AE$108)*100,1)</f>
        <v>1.7</v>
      </c>
      <c r="AH106" s="175"/>
      <c r="AI106" s="112">
        <f>SUM(AI104:AI105)</f>
        <v>-29</v>
      </c>
      <c r="AJ106" s="106"/>
      <c r="AK106" s="200">
        <f>IF(AE106=0,"0.0 ",ROUND((AI106/AE106)*100,1))</f>
        <v>-0.7</v>
      </c>
      <c r="AL106" s="138"/>
      <c r="AM106" s="112"/>
      <c r="AN106" s="106"/>
      <c r="AO106" s="112">
        <f>SUM(AO104:AO105)</f>
        <v>4391</v>
      </c>
      <c r="AP106" s="106"/>
      <c r="AQ106" s="200">
        <f>IF(AO106=0,"0.0 ",ROUND((AI106/AO106)*100,1))</f>
        <v>-0.7</v>
      </c>
      <c r="AU106" s="163"/>
      <c r="AW106" s="110"/>
    </row>
    <row r="107" spans="3:49" x14ac:dyDescent="0.3">
      <c r="F107" s="110"/>
      <c r="H107" s="110"/>
      <c r="I107" s="110"/>
      <c r="J107" s="228"/>
      <c r="K107" s="217"/>
      <c r="L107" s="192"/>
      <c r="M107" s="192"/>
      <c r="N107" s="192"/>
      <c r="O107" s="192"/>
      <c r="P107" s="192"/>
      <c r="Q107" s="192"/>
      <c r="R107" s="192"/>
      <c r="Y107" s="147"/>
      <c r="Z107" s="106"/>
      <c r="AA107" s="147"/>
      <c r="AB107" s="147"/>
      <c r="AC107" s="228"/>
      <c r="AD107" s="242"/>
      <c r="AE107" s="106"/>
      <c r="AF107" s="106"/>
      <c r="AG107" s="154"/>
      <c r="AH107" s="175"/>
      <c r="AI107" s="106"/>
      <c r="AJ107" s="106"/>
      <c r="AK107" s="159"/>
      <c r="AL107" s="138"/>
      <c r="AM107" s="106"/>
      <c r="AN107" s="106"/>
      <c r="AO107" s="106"/>
      <c r="AP107" s="106"/>
      <c r="AQ107" s="159"/>
      <c r="AU107" s="163"/>
      <c r="AW107" s="110"/>
    </row>
    <row r="108" spans="3:49" ht="20.100000000000001" customHeight="1" thickBot="1" x14ac:dyDescent="0.35">
      <c r="J108" s="163"/>
      <c r="T108" s="98">
        <f>A52</f>
        <v>31</v>
      </c>
      <c r="V108" s="124" t="s">
        <v>471</v>
      </c>
      <c r="Y108" s="120">
        <f>Y101</f>
        <v>20531</v>
      </c>
      <c r="Z108" s="106"/>
      <c r="AA108" s="120">
        <f>AA101</f>
        <v>1209602</v>
      </c>
      <c r="AB108" s="106"/>
      <c r="AC108" s="242"/>
      <c r="AD108" s="242"/>
      <c r="AE108" s="120">
        <f>AE106+AE101</f>
        <v>256851</v>
      </c>
      <c r="AF108" s="106"/>
      <c r="AG108" s="162">
        <v>100</v>
      </c>
      <c r="AH108" s="138"/>
      <c r="AI108" s="120">
        <f>AI106+AI101</f>
        <v>35982</v>
      </c>
      <c r="AJ108" s="106"/>
      <c r="AK108" s="162">
        <f>ROUND((AI108/AE108)*100,1)</f>
        <v>14</v>
      </c>
      <c r="AL108" s="138"/>
      <c r="AM108" s="319">
        <f>ROUND(AA108*CUR_FAC,0)</f>
        <v>4218</v>
      </c>
      <c r="AN108" s="106"/>
      <c r="AO108" s="120">
        <f>AO106+AO101</f>
        <v>261069</v>
      </c>
      <c r="AP108" s="106"/>
      <c r="AQ108" s="162">
        <f>ROUND((AI108/AO108)*100,1)</f>
        <v>13.8</v>
      </c>
    </row>
    <row r="109" spans="3:49" ht="16.2" thickTop="1" x14ac:dyDescent="0.3">
      <c r="F109" s="110"/>
      <c r="H109" s="110"/>
      <c r="I109" s="110"/>
      <c r="J109" s="228"/>
      <c r="K109" s="217"/>
      <c r="L109" s="192"/>
      <c r="M109" s="192"/>
      <c r="N109" s="192"/>
      <c r="O109" s="192"/>
      <c r="P109" s="192"/>
      <c r="Q109" s="192"/>
      <c r="R109" s="192"/>
      <c r="AC109" s="163"/>
    </row>
    <row r="110" spans="3:49" x14ac:dyDescent="0.3">
      <c r="C110" s="99"/>
      <c r="F110" s="110"/>
      <c r="H110" s="110"/>
      <c r="I110" s="110"/>
      <c r="J110" s="163"/>
      <c r="K110" s="198"/>
      <c r="L110" s="110"/>
      <c r="M110" s="110"/>
      <c r="N110" s="141"/>
      <c r="O110" s="141"/>
      <c r="P110" s="110"/>
      <c r="Q110" s="110"/>
      <c r="R110" s="110"/>
      <c r="V110" s="178" t="s">
        <v>76</v>
      </c>
      <c r="AC110" s="163"/>
    </row>
    <row r="111" spans="3:49" x14ac:dyDescent="0.3">
      <c r="C111" s="99"/>
      <c r="F111" s="110"/>
      <c r="H111" s="110"/>
      <c r="I111" s="110"/>
      <c r="J111" s="163"/>
      <c r="K111" s="198"/>
      <c r="L111" s="110"/>
      <c r="M111" s="110"/>
      <c r="N111" s="141"/>
      <c r="O111" s="141"/>
      <c r="P111" s="110"/>
      <c r="Q111" s="110"/>
      <c r="R111" s="110"/>
      <c r="V111" s="178" t="str">
        <f>"(2) REFLECTS FUEL COMPONENT OF "&amp;TEXT(CUR_FAC,"$0.000000;($0.000000)")&amp;" PER KWH."</f>
        <v>(2) REFLECTS FUEL COMPONENT OF $0.003487 PER KWH.</v>
      </c>
      <c r="AC111" s="163"/>
    </row>
    <row r="112" spans="3:49" x14ac:dyDescent="0.3">
      <c r="F112" s="110"/>
      <c r="H112" s="110"/>
      <c r="I112" s="110"/>
      <c r="J112" s="228"/>
      <c r="K112" s="217"/>
      <c r="L112" s="192"/>
      <c r="M112" s="192"/>
      <c r="N112" s="192"/>
      <c r="O112" s="192"/>
      <c r="P112" s="192"/>
      <c r="Q112" s="192"/>
      <c r="R112" s="192"/>
      <c r="V112" s="178" t="str">
        <f>"(3) REFLECTS FUEL COST RECOVERY INCLUDED IN BASE RATES OF "&amp;TEXT(CUR_BASE_FUEL,"$0.000000;($0.000000)")&amp;"  PER KWH."</f>
        <v>(3) REFLECTS FUEL COST RECOVERY INCLUDED IN BASE RATES OF $0.033780  PER KWH.</v>
      </c>
      <c r="AC112" s="163"/>
    </row>
    <row r="113" spans="1:40" x14ac:dyDescent="0.3">
      <c r="C113" s="99"/>
      <c r="F113" s="110"/>
      <c r="H113" s="110"/>
      <c r="I113" s="110"/>
      <c r="J113" s="163"/>
      <c r="K113" s="198"/>
      <c r="L113" s="110"/>
      <c r="M113" s="110"/>
      <c r="N113" s="141"/>
      <c r="O113" s="141"/>
      <c r="P113" s="110"/>
      <c r="Q113" s="110"/>
      <c r="R113" s="110"/>
      <c r="T113" s="99"/>
      <c r="AC113" s="163"/>
    </row>
    <row r="114" spans="1:40" x14ac:dyDescent="0.3">
      <c r="C114" s="99"/>
      <c r="F114" s="172"/>
      <c r="H114" s="172"/>
      <c r="I114" s="172"/>
      <c r="J114" s="228"/>
      <c r="K114" s="222"/>
      <c r="L114" s="110"/>
      <c r="M114" s="110"/>
      <c r="N114" s="141"/>
      <c r="O114" s="141"/>
      <c r="P114" s="110"/>
      <c r="Q114" s="110"/>
      <c r="R114" s="110"/>
      <c r="V114" s="110"/>
      <c r="Y114" s="192"/>
      <c r="Z114" s="217"/>
      <c r="AA114" s="192"/>
      <c r="AB114" s="192"/>
      <c r="AC114" s="232"/>
      <c r="AD114" s="192"/>
      <c r="AE114" s="192"/>
      <c r="AF114" s="192"/>
      <c r="AI114" s="192"/>
      <c r="AJ114" s="192"/>
      <c r="AK114" s="194"/>
      <c r="AL114" s="192"/>
      <c r="AM114" s="141"/>
      <c r="AN114" s="141"/>
    </row>
    <row r="115" spans="1:40" x14ac:dyDescent="0.3">
      <c r="F115" s="192"/>
      <c r="H115" s="192"/>
      <c r="I115" s="192"/>
      <c r="J115" s="228"/>
      <c r="K115" s="217"/>
      <c r="L115" s="192"/>
      <c r="M115" s="192"/>
      <c r="N115" s="192"/>
      <c r="O115" s="192"/>
      <c r="P115" s="192"/>
      <c r="Q115" s="192"/>
      <c r="R115" s="192"/>
      <c r="T115" s="99"/>
      <c r="V115" s="110"/>
      <c r="Y115" s="110"/>
      <c r="Z115" s="217"/>
      <c r="AA115" s="110"/>
      <c r="AB115" s="110"/>
      <c r="AC115" s="163"/>
      <c r="AD115" s="110"/>
      <c r="AE115" s="110"/>
      <c r="AF115" s="110"/>
      <c r="AH115" s="207"/>
      <c r="AI115" s="110"/>
      <c r="AJ115" s="110"/>
      <c r="AL115" s="110"/>
      <c r="AM115" s="141"/>
      <c r="AN115" s="141"/>
    </row>
    <row r="116" spans="1:40" x14ac:dyDescent="0.3">
      <c r="C116" s="99"/>
      <c r="F116" s="110"/>
      <c r="H116" s="110"/>
      <c r="I116" s="110"/>
      <c r="J116" s="228"/>
      <c r="K116" s="217"/>
      <c r="L116" s="110"/>
      <c r="M116" s="110"/>
      <c r="N116" s="141"/>
      <c r="O116" s="141"/>
      <c r="P116" s="110"/>
      <c r="Q116" s="110"/>
      <c r="R116" s="110"/>
      <c r="S116" s="110"/>
      <c r="T116" s="99"/>
      <c r="V116" s="110"/>
      <c r="Y116" s="110"/>
      <c r="Z116" s="228"/>
      <c r="AA116" s="110"/>
      <c r="AB116" s="110"/>
      <c r="AC116" s="163"/>
      <c r="AD116" s="141"/>
      <c r="AE116" s="110"/>
      <c r="AF116" s="110"/>
      <c r="AH116" s="207"/>
      <c r="AI116" s="110"/>
      <c r="AJ116" s="110"/>
      <c r="AL116" s="110"/>
      <c r="AM116" s="141"/>
      <c r="AN116" s="141"/>
    </row>
    <row r="117" spans="1:40" x14ac:dyDescent="0.3">
      <c r="F117" s="192"/>
      <c r="H117" s="192"/>
      <c r="I117" s="192"/>
      <c r="J117" s="228"/>
      <c r="K117" s="217"/>
      <c r="L117" s="192"/>
      <c r="M117" s="192"/>
      <c r="N117" s="192"/>
      <c r="O117" s="192"/>
      <c r="P117" s="192"/>
      <c r="Q117" s="192"/>
      <c r="R117" s="192"/>
      <c r="S117" s="110"/>
      <c r="T117" s="99"/>
      <c r="Y117" s="110"/>
      <c r="Z117" s="228"/>
      <c r="AA117" s="110"/>
      <c r="AB117" s="110"/>
      <c r="AC117" s="163"/>
      <c r="AD117" s="141"/>
      <c r="AE117" s="110"/>
      <c r="AF117" s="110"/>
      <c r="AH117" s="207"/>
      <c r="AI117" s="110"/>
      <c r="AJ117" s="110"/>
      <c r="AL117" s="110"/>
      <c r="AM117" s="141"/>
      <c r="AN117" s="141"/>
    </row>
    <row r="118" spans="1:40" x14ac:dyDescent="0.3">
      <c r="C118" s="99"/>
      <c r="J118" s="163"/>
      <c r="V118" s="110"/>
      <c r="Y118" s="110"/>
      <c r="Z118" s="217"/>
      <c r="AA118" s="192"/>
      <c r="AB118" s="192"/>
      <c r="AC118" s="232"/>
      <c r="AD118" s="192"/>
      <c r="AE118" s="192"/>
      <c r="AF118" s="192"/>
      <c r="AI118" s="192"/>
      <c r="AJ118" s="192"/>
      <c r="AK118" s="194"/>
      <c r="AL118" s="192"/>
      <c r="AM118" s="141"/>
      <c r="AN118" s="141"/>
    </row>
    <row r="119" spans="1:40" x14ac:dyDescent="0.3">
      <c r="C119" s="99"/>
      <c r="F119" s="110"/>
      <c r="H119" s="110"/>
      <c r="I119" s="110"/>
      <c r="J119" s="163"/>
      <c r="L119" s="110"/>
      <c r="M119" s="110"/>
      <c r="N119" s="141"/>
      <c r="O119" s="141"/>
      <c r="P119" s="172"/>
      <c r="Q119" s="172"/>
      <c r="R119" s="110"/>
      <c r="T119" s="99"/>
      <c r="V119" s="110"/>
      <c r="Y119" s="110"/>
      <c r="Z119" s="198"/>
      <c r="AA119" s="110"/>
      <c r="AB119" s="110"/>
      <c r="AC119" s="163"/>
      <c r="AD119" s="141"/>
      <c r="AE119" s="110"/>
      <c r="AF119" s="110"/>
      <c r="AH119" s="207"/>
      <c r="AI119" s="110"/>
      <c r="AJ119" s="110"/>
      <c r="AL119" s="110"/>
      <c r="AM119" s="141"/>
      <c r="AN119" s="141"/>
    </row>
    <row r="120" spans="1:40" x14ac:dyDescent="0.3">
      <c r="F120" s="192"/>
      <c r="H120" s="192"/>
      <c r="I120" s="192"/>
      <c r="J120" s="228"/>
      <c r="K120" s="217"/>
      <c r="L120" s="192"/>
      <c r="M120" s="192"/>
      <c r="N120" s="192"/>
      <c r="O120" s="192"/>
      <c r="P120" s="192"/>
      <c r="Q120" s="192"/>
      <c r="R120" s="192"/>
      <c r="V120" s="110"/>
      <c r="Y120" s="110"/>
      <c r="Z120" s="217"/>
      <c r="AA120" s="192"/>
      <c r="AB120" s="192"/>
      <c r="AC120" s="232"/>
      <c r="AD120" s="192"/>
      <c r="AE120" s="192"/>
      <c r="AF120" s="192"/>
      <c r="AI120" s="192"/>
      <c r="AJ120" s="192"/>
      <c r="AK120" s="194"/>
      <c r="AL120" s="192"/>
      <c r="AM120" s="141"/>
      <c r="AN120" s="141"/>
    </row>
    <row r="121" spans="1:40" x14ac:dyDescent="0.3">
      <c r="J121" s="163"/>
      <c r="T121" s="99"/>
      <c r="V121" s="110"/>
      <c r="Y121" s="110"/>
      <c r="Z121" s="198"/>
      <c r="AA121" s="110"/>
      <c r="AB121" s="110"/>
      <c r="AC121" s="163"/>
      <c r="AD121" s="141"/>
      <c r="AE121" s="110"/>
      <c r="AF121" s="110"/>
      <c r="AH121" s="207"/>
      <c r="AI121" s="110"/>
      <c r="AJ121" s="110"/>
      <c r="AL121" s="110"/>
      <c r="AM121" s="141"/>
      <c r="AN121" s="141"/>
    </row>
    <row r="122" spans="1:40" x14ac:dyDescent="0.3">
      <c r="C122" s="99"/>
      <c r="J122" s="163"/>
      <c r="L122" s="110"/>
      <c r="M122" s="110"/>
      <c r="N122" s="110"/>
      <c r="O122" s="110"/>
      <c r="P122" s="110"/>
      <c r="Q122" s="110"/>
      <c r="R122" s="110"/>
      <c r="S122" s="110"/>
      <c r="T122" s="99"/>
      <c r="V122" s="172"/>
      <c r="Y122" s="110"/>
      <c r="Z122" s="222"/>
      <c r="AA122" s="110"/>
      <c r="AB122" s="110"/>
      <c r="AC122" s="163"/>
      <c r="AD122" s="141"/>
      <c r="AE122" s="110"/>
      <c r="AF122" s="110"/>
      <c r="AH122" s="207"/>
      <c r="AI122" s="110"/>
      <c r="AJ122" s="110"/>
      <c r="AL122" s="110"/>
      <c r="AM122" s="141"/>
      <c r="AN122" s="141"/>
    </row>
    <row r="123" spans="1:40" x14ac:dyDescent="0.3">
      <c r="A123" s="99"/>
      <c r="J123" s="163"/>
      <c r="V123" s="192"/>
      <c r="Y123" s="192"/>
      <c r="Z123" s="217"/>
      <c r="AA123" s="192"/>
      <c r="AB123" s="192"/>
      <c r="AC123" s="232"/>
      <c r="AD123" s="192"/>
      <c r="AE123" s="192"/>
      <c r="AF123" s="192"/>
      <c r="AI123" s="192"/>
      <c r="AJ123" s="192"/>
      <c r="AK123" s="194"/>
      <c r="AL123" s="192"/>
      <c r="AM123" s="141"/>
      <c r="AN123" s="141"/>
    </row>
    <row r="124" spans="1:40" x14ac:dyDescent="0.3">
      <c r="J124" s="163"/>
      <c r="T124" s="99"/>
      <c r="V124" s="110"/>
      <c r="Y124" s="110"/>
      <c r="Z124" s="217"/>
      <c r="AA124" s="110"/>
      <c r="AB124" s="110"/>
      <c r="AC124" s="163"/>
      <c r="AD124" s="141"/>
      <c r="AE124" s="110"/>
      <c r="AF124" s="110"/>
      <c r="AH124" s="141"/>
      <c r="AI124" s="110"/>
      <c r="AJ124" s="110"/>
      <c r="AL124" s="110"/>
      <c r="AM124" s="141"/>
      <c r="AN124" s="141"/>
    </row>
    <row r="125" spans="1:40" x14ac:dyDescent="0.3">
      <c r="H125" s="99"/>
      <c r="I125" s="99"/>
      <c r="J125" s="163"/>
      <c r="V125" s="192"/>
      <c r="Y125" s="192"/>
      <c r="Z125" s="217"/>
      <c r="AA125" s="192"/>
      <c r="AB125" s="192"/>
      <c r="AC125" s="232"/>
      <c r="AD125" s="192"/>
      <c r="AE125" s="192"/>
      <c r="AF125" s="192"/>
      <c r="AI125" s="192"/>
      <c r="AJ125" s="192"/>
      <c r="AK125" s="194"/>
      <c r="AL125" s="192"/>
      <c r="AM125" s="141"/>
      <c r="AN125" s="141"/>
    </row>
    <row r="126" spans="1:40" x14ac:dyDescent="0.3">
      <c r="J126" s="163"/>
      <c r="T126" s="99"/>
      <c r="AC126" s="163"/>
    </row>
    <row r="127" spans="1:40" x14ac:dyDescent="0.3">
      <c r="J127" s="163"/>
      <c r="L127" s="99"/>
      <c r="M127" s="99"/>
      <c r="AA127" s="99"/>
      <c r="AB127" s="99"/>
      <c r="AC127" s="163"/>
    </row>
    <row r="128" spans="1:40" x14ac:dyDescent="0.3">
      <c r="J128" s="163"/>
      <c r="R128" s="99"/>
      <c r="AC128" s="163"/>
      <c r="AK128" s="190"/>
      <c r="AL128" s="99"/>
    </row>
    <row r="129" spans="1:40" x14ac:dyDescent="0.3">
      <c r="J129" s="163"/>
      <c r="R129" s="99"/>
      <c r="AC129" s="163"/>
      <c r="AK129" s="190"/>
      <c r="AL129" s="99"/>
    </row>
    <row r="130" spans="1:40" x14ac:dyDescent="0.3">
      <c r="A130" s="99"/>
      <c r="J130" s="163"/>
      <c r="R130" s="99"/>
      <c r="AC130" s="163"/>
      <c r="AK130" s="190"/>
      <c r="AL130" s="99"/>
    </row>
    <row r="131" spans="1:40" x14ac:dyDescent="0.3">
      <c r="J131" s="163"/>
      <c r="L131" s="99"/>
      <c r="M131" s="99"/>
      <c r="AA131" s="99"/>
      <c r="AB131" s="99"/>
      <c r="AC131" s="163"/>
    </row>
    <row r="132" spans="1:40" x14ac:dyDescent="0.3">
      <c r="A132" s="101"/>
      <c r="B132" s="101"/>
      <c r="C132" s="101"/>
      <c r="D132" s="101"/>
      <c r="E132" s="101"/>
      <c r="F132" s="101"/>
      <c r="G132" s="101"/>
      <c r="H132" s="101"/>
      <c r="I132" s="101"/>
      <c r="J132" s="212"/>
      <c r="K132" s="101"/>
      <c r="L132" s="101"/>
      <c r="M132" s="101"/>
      <c r="N132" s="101"/>
      <c r="O132" s="101"/>
      <c r="P132" s="101"/>
      <c r="Q132" s="101"/>
      <c r="R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91"/>
      <c r="AH132" s="101"/>
      <c r="AI132" s="101"/>
      <c r="AJ132" s="101"/>
      <c r="AK132" s="191"/>
      <c r="AL132" s="101"/>
      <c r="AM132" s="101"/>
      <c r="AN132" s="101"/>
    </row>
    <row r="133" spans="1:40" x14ac:dyDescent="0.3">
      <c r="J133" s="163"/>
      <c r="L133" s="102"/>
      <c r="M133" s="102"/>
      <c r="N133" s="102"/>
      <c r="O133" s="102"/>
      <c r="R133" s="102"/>
      <c r="AA133" s="102"/>
      <c r="AB133" s="102"/>
      <c r="AC133" s="102"/>
      <c r="AD133" s="102"/>
      <c r="AE133" s="102"/>
      <c r="AF133" s="102"/>
      <c r="AG133" s="151"/>
      <c r="AH133" s="102"/>
      <c r="AK133" s="151"/>
      <c r="AL133" s="102"/>
      <c r="AM133" s="102"/>
      <c r="AN133" s="102"/>
    </row>
    <row r="134" spans="1:40" x14ac:dyDescent="0.3">
      <c r="J134" s="163"/>
      <c r="L134" s="102"/>
      <c r="M134" s="102"/>
      <c r="N134" s="102"/>
      <c r="O134" s="102"/>
      <c r="R134" s="102"/>
      <c r="Z134" s="102"/>
      <c r="AA134" s="102"/>
      <c r="AB134" s="102"/>
      <c r="AC134" s="102"/>
      <c r="AD134" s="102"/>
      <c r="AE134" s="102"/>
      <c r="AF134" s="102"/>
      <c r="AG134" s="151"/>
      <c r="AH134" s="102"/>
      <c r="AK134" s="151"/>
      <c r="AL134" s="102"/>
      <c r="AM134" s="102"/>
      <c r="AN134" s="102"/>
    </row>
    <row r="135" spans="1:40" x14ac:dyDescent="0.3">
      <c r="A135" s="102"/>
      <c r="C135" s="102"/>
      <c r="D135" s="102"/>
      <c r="E135" s="102"/>
      <c r="F135" s="102"/>
      <c r="J135" s="213"/>
      <c r="K135" s="102"/>
      <c r="L135" s="102"/>
      <c r="M135" s="102"/>
      <c r="N135" s="102"/>
      <c r="O135" s="102"/>
      <c r="P135" s="102"/>
      <c r="Q135" s="102"/>
      <c r="R135" s="102"/>
      <c r="T135" s="102"/>
      <c r="U135" s="102"/>
      <c r="V135" s="102"/>
      <c r="Z135" s="102"/>
      <c r="AA135" s="102"/>
      <c r="AB135" s="102"/>
      <c r="AC135" s="102"/>
      <c r="AD135" s="102"/>
      <c r="AE135" s="102"/>
      <c r="AF135" s="102"/>
      <c r="AG135" s="151"/>
      <c r="AH135" s="102"/>
      <c r="AI135" s="102"/>
      <c r="AJ135" s="102"/>
      <c r="AK135" s="151"/>
      <c r="AL135" s="102"/>
      <c r="AM135" s="102"/>
      <c r="AN135" s="102"/>
    </row>
    <row r="136" spans="1:40" x14ac:dyDescent="0.3">
      <c r="A136" s="102"/>
      <c r="C136" s="102"/>
      <c r="D136" s="102"/>
      <c r="E136" s="102"/>
      <c r="F136" s="102"/>
      <c r="H136" s="102"/>
      <c r="I136" s="102"/>
      <c r="J136" s="213"/>
      <c r="K136" s="102"/>
      <c r="L136" s="102"/>
      <c r="M136" s="102"/>
      <c r="N136" s="102"/>
      <c r="O136" s="102"/>
      <c r="P136" s="102"/>
      <c r="Q136" s="102"/>
      <c r="R136" s="102"/>
      <c r="T136" s="102"/>
      <c r="U136" s="102"/>
      <c r="V136" s="102"/>
      <c r="Y136" s="102"/>
      <c r="Z136" s="102"/>
      <c r="AA136" s="102"/>
      <c r="AB136" s="102"/>
      <c r="AC136" s="102"/>
      <c r="AD136" s="102"/>
      <c r="AE136" s="102"/>
      <c r="AF136" s="102"/>
      <c r="AG136" s="151"/>
      <c r="AH136" s="102"/>
      <c r="AI136" s="102"/>
      <c r="AJ136" s="102"/>
      <c r="AK136" s="151"/>
      <c r="AL136" s="102"/>
      <c r="AM136" s="102"/>
      <c r="AN136" s="102"/>
    </row>
    <row r="137" spans="1:40" x14ac:dyDescent="0.3">
      <c r="C137" s="102"/>
      <c r="D137" s="102"/>
      <c r="E137" s="102"/>
      <c r="F137" s="102"/>
      <c r="H137" s="102"/>
      <c r="I137" s="102"/>
      <c r="J137" s="213"/>
      <c r="K137" s="102"/>
      <c r="L137" s="102"/>
      <c r="M137" s="102"/>
      <c r="N137" s="102"/>
      <c r="O137" s="102"/>
      <c r="P137" s="102"/>
      <c r="Q137" s="102"/>
      <c r="R137" s="102"/>
      <c r="T137" s="102"/>
      <c r="U137" s="102"/>
      <c r="V137" s="102"/>
      <c r="Y137" s="102"/>
      <c r="Z137" s="102"/>
      <c r="AA137" s="102"/>
      <c r="AB137" s="102"/>
      <c r="AC137" s="102"/>
      <c r="AD137" s="102"/>
      <c r="AE137" s="102"/>
      <c r="AF137" s="102"/>
      <c r="AG137" s="151"/>
      <c r="AH137" s="102"/>
      <c r="AI137" s="102"/>
      <c r="AJ137" s="102"/>
      <c r="AK137" s="151"/>
      <c r="AL137" s="102"/>
      <c r="AM137" s="102"/>
      <c r="AN137" s="102"/>
    </row>
    <row r="138" spans="1:40" x14ac:dyDescent="0.3">
      <c r="A138" s="101"/>
      <c r="B138" s="101"/>
      <c r="C138" s="101"/>
      <c r="D138" s="101"/>
      <c r="E138" s="101"/>
      <c r="F138" s="101"/>
      <c r="G138" s="101"/>
      <c r="H138" s="101"/>
      <c r="I138" s="101"/>
      <c r="J138" s="212"/>
      <c r="K138" s="101"/>
      <c r="L138" s="101"/>
      <c r="M138" s="101"/>
      <c r="N138" s="101"/>
      <c r="O138" s="101"/>
      <c r="P138" s="101"/>
      <c r="Q138" s="101"/>
      <c r="R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91"/>
      <c r="AH138" s="101"/>
      <c r="AI138" s="101"/>
      <c r="AJ138" s="101"/>
      <c r="AK138" s="191"/>
      <c r="AL138" s="101"/>
      <c r="AM138" s="101"/>
      <c r="AN138" s="101"/>
    </row>
    <row r="139" spans="1:40" x14ac:dyDescent="0.3">
      <c r="H139" s="102"/>
      <c r="I139" s="102"/>
      <c r="J139" s="213"/>
      <c r="K139" s="102"/>
      <c r="L139" s="102"/>
      <c r="M139" s="102"/>
      <c r="N139" s="102"/>
      <c r="O139" s="102"/>
      <c r="P139" s="102"/>
      <c r="Q139" s="102"/>
      <c r="R139" s="102"/>
      <c r="Y139" s="102"/>
      <c r="Z139" s="102"/>
      <c r="AA139" s="102"/>
      <c r="AB139" s="102"/>
      <c r="AC139" s="102"/>
      <c r="AD139" s="102"/>
      <c r="AE139" s="102"/>
      <c r="AF139" s="102"/>
      <c r="AG139" s="151"/>
      <c r="AH139" s="102"/>
      <c r="AI139" s="102"/>
      <c r="AJ139" s="102"/>
      <c r="AK139" s="151"/>
      <c r="AL139" s="102"/>
      <c r="AM139" s="102"/>
      <c r="AN139" s="102"/>
    </row>
    <row r="140" spans="1:40" x14ac:dyDescent="0.3">
      <c r="C140" s="99"/>
      <c r="D140" s="99"/>
      <c r="E140" s="99"/>
      <c r="J140" s="163"/>
      <c r="T140" s="99"/>
      <c r="U140" s="99"/>
    </row>
    <row r="141" spans="1:40" x14ac:dyDescent="0.3">
      <c r="D141" s="99"/>
      <c r="E141" s="99"/>
      <c r="J141" s="163"/>
      <c r="U141" s="99"/>
    </row>
    <row r="142" spans="1:40" x14ac:dyDescent="0.3">
      <c r="J142" s="163"/>
    </row>
    <row r="143" spans="1:40" x14ac:dyDescent="0.3">
      <c r="C143" s="99"/>
      <c r="F143" s="172"/>
      <c r="H143" s="172"/>
      <c r="I143" s="172"/>
      <c r="J143" s="228"/>
      <c r="K143" s="181"/>
      <c r="L143" s="110"/>
      <c r="M143" s="110"/>
      <c r="N143" s="141"/>
      <c r="O143" s="141"/>
      <c r="R143" s="110"/>
      <c r="T143" s="99"/>
      <c r="V143" s="110"/>
      <c r="Y143" s="172"/>
      <c r="Z143" s="181"/>
      <c r="AA143" s="110"/>
      <c r="AB143" s="110"/>
      <c r="AC143" s="141"/>
      <c r="AD143" s="141"/>
      <c r="AE143" s="110"/>
      <c r="AF143" s="110"/>
      <c r="AG143" s="224"/>
      <c r="AH143" s="225"/>
      <c r="AL143" s="110"/>
      <c r="AM143" s="226"/>
      <c r="AN143" s="226"/>
    </row>
    <row r="144" spans="1:40" x14ac:dyDescent="0.3">
      <c r="C144" s="99"/>
      <c r="F144" s="172"/>
      <c r="H144" s="172"/>
      <c r="I144" s="172"/>
      <c r="J144" s="228"/>
      <c r="K144" s="181"/>
      <c r="L144" s="110"/>
      <c r="M144" s="110"/>
      <c r="N144" s="141"/>
      <c r="O144" s="141"/>
      <c r="R144" s="110"/>
      <c r="T144" s="99"/>
      <c r="V144" s="110"/>
      <c r="Y144" s="172"/>
      <c r="Z144" s="181"/>
      <c r="AA144" s="110"/>
      <c r="AB144" s="110"/>
      <c r="AC144" s="141"/>
      <c r="AD144" s="141"/>
      <c r="AE144" s="110"/>
      <c r="AF144" s="110"/>
      <c r="AH144" s="207"/>
      <c r="AL144" s="110"/>
      <c r="AM144" s="141"/>
      <c r="AN144" s="141"/>
    </row>
    <row r="145" spans="3:40" x14ac:dyDescent="0.3">
      <c r="F145" s="192"/>
      <c r="H145" s="110"/>
      <c r="I145" s="110"/>
      <c r="J145" s="228"/>
      <c r="K145" s="217"/>
      <c r="L145" s="192"/>
      <c r="M145" s="192"/>
      <c r="N145" s="192"/>
      <c r="O145" s="192"/>
      <c r="P145" s="192"/>
      <c r="Q145" s="192"/>
      <c r="R145" s="192"/>
      <c r="V145" s="192"/>
      <c r="Y145" s="110"/>
      <c r="Z145" s="217"/>
      <c r="AA145" s="192"/>
      <c r="AB145" s="192"/>
      <c r="AC145" s="192"/>
      <c r="AD145" s="192"/>
      <c r="AE145" s="192"/>
      <c r="AF145" s="192"/>
      <c r="AI145" s="192"/>
      <c r="AJ145" s="192"/>
      <c r="AK145" s="194"/>
      <c r="AL145" s="192"/>
      <c r="AM145" s="141"/>
      <c r="AN145" s="141"/>
    </row>
    <row r="146" spans="3:40" x14ac:dyDescent="0.3">
      <c r="C146" s="99"/>
      <c r="F146" s="110"/>
      <c r="H146" s="110"/>
      <c r="I146" s="110"/>
      <c r="J146" s="228"/>
      <c r="K146" s="217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19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3:40" x14ac:dyDescent="0.3">
      <c r="F147" s="192"/>
      <c r="H147" s="110"/>
      <c r="I147" s="110"/>
      <c r="J147" s="228"/>
      <c r="K147" s="217"/>
      <c r="L147" s="192"/>
      <c r="M147" s="192"/>
      <c r="N147" s="192"/>
      <c r="O147" s="192"/>
      <c r="P147" s="192"/>
      <c r="Q147" s="192"/>
      <c r="R147" s="192"/>
      <c r="V147" s="192"/>
      <c r="Y147" s="110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41"/>
      <c r="AN147" s="141"/>
    </row>
    <row r="148" spans="3:40" x14ac:dyDescent="0.3">
      <c r="F148" s="110"/>
      <c r="H148" s="110"/>
      <c r="I148" s="110"/>
      <c r="J148" s="228"/>
      <c r="K148" s="217"/>
      <c r="L148" s="110"/>
      <c r="M148" s="110"/>
      <c r="N148" s="141"/>
      <c r="O148" s="141"/>
      <c r="P148" s="110"/>
      <c r="Q148" s="110"/>
      <c r="R148" s="110"/>
      <c r="V148" s="110"/>
      <c r="Y148" s="110"/>
      <c r="Z148" s="198"/>
      <c r="AA148" s="110"/>
      <c r="AB148" s="110"/>
      <c r="AC148" s="141"/>
      <c r="AD148" s="141"/>
      <c r="AE148" s="110"/>
      <c r="AF148" s="110"/>
      <c r="AH148" s="207"/>
      <c r="AI148" s="110"/>
      <c r="AJ148" s="110"/>
      <c r="AL148" s="110"/>
      <c r="AM148" s="141"/>
      <c r="AN148" s="141"/>
    </row>
    <row r="149" spans="3:40" x14ac:dyDescent="0.3">
      <c r="C149" s="99"/>
      <c r="F149" s="172"/>
      <c r="H149" s="172"/>
      <c r="I149" s="172"/>
      <c r="J149" s="228"/>
      <c r="K149" s="181"/>
      <c r="L149" s="110"/>
      <c r="M149" s="110"/>
      <c r="N149" s="141"/>
      <c r="O149" s="141"/>
      <c r="P149" s="110"/>
      <c r="Q149" s="110"/>
      <c r="R149" s="110"/>
      <c r="T149" s="99"/>
      <c r="V149" s="172"/>
      <c r="Y149" s="110"/>
      <c r="Z149" s="181"/>
      <c r="AA149" s="110"/>
      <c r="AB149" s="110"/>
      <c r="AC149" s="141"/>
      <c r="AD149" s="141"/>
      <c r="AE149" s="110"/>
      <c r="AF149" s="110"/>
      <c r="AG149" s="224"/>
      <c r="AH149" s="225"/>
      <c r="AI149" s="110"/>
      <c r="AJ149" s="110"/>
      <c r="AL149" s="110"/>
      <c r="AM149" s="226"/>
      <c r="AN149" s="226"/>
    </row>
    <row r="150" spans="3:40" x14ac:dyDescent="0.3">
      <c r="C150" s="99"/>
      <c r="F150" s="172"/>
      <c r="H150" s="172"/>
      <c r="I150" s="172"/>
      <c r="J150" s="228"/>
      <c r="K150" s="181"/>
      <c r="L150" s="110"/>
      <c r="M150" s="110"/>
      <c r="N150" s="141"/>
      <c r="O150" s="141"/>
      <c r="P150" s="110"/>
      <c r="Q150" s="110"/>
      <c r="R150" s="110"/>
      <c r="T150" s="99"/>
      <c r="V150" s="172"/>
      <c r="Y150" s="110"/>
      <c r="Z150" s="181"/>
      <c r="AA150" s="110"/>
      <c r="AB150" s="110"/>
      <c r="AC150" s="141"/>
      <c r="AD150" s="141"/>
      <c r="AE150" s="110"/>
      <c r="AF150" s="110"/>
      <c r="AH150" s="207"/>
      <c r="AI150" s="110"/>
      <c r="AJ150" s="110"/>
      <c r="AL150" s="110"/>
      <c r="AM150" s="141"/>
      <c r="AN150" s="141"/>
    </row>
    <row r="151" spans="3:40" x14ac:dyDescent="0.3">
      <c r="F151" s="110"/>
      <c r="H151" s="192"/>
      <c r="I151" s="192"/>
      <c r="J151" s="228"/>
      <c r="K151" s="217"/>
      <c r="L151" s="192"/>
      <c r="M151" s="192"/>
      <c r="N151" s="192"/>
      <c r="O151" s="192"/>
      <c r="P151" s="192"/>
      <c r="Q151" s="192"/>
      <c r="R151" s="192"/>
      <c r="V151" s="110"/>
      <c r="Y151" s="192"/>
      <c r="Z151" s="217"/>
      <c r="AA151" s="192"/>
      <c r="AB151" s="192"/>
      <c r="AC151" s="192"/>
      <c r="AD151" s="192"/>
      <c r="AE151" s="192"/>
      <c r="AF151" s="192"/>
      <c r="AI151" s="192"/>
      <c r="AJ151" s="192"/>
      <c r="AK151" s="194"/>
      <c r="AL151" s="192"/>
      <c r="AM151" s="141"/>
      <c r="AN151" s="141"/>
    </row>
    <row r="152" spans="3:40" x14ac:dyDescent="0.3">
      <c r="C152" s="99"/>
      <c r="F152" s="110"/>
      <c r="H152" s="110"/>
      <c r="I152" s="110"/>
      <c r="J152" s="228"/>
      <c r="K152" s="217"/>
      <c r="L152" s="110"/>
      <c r="M152" s="110"/>
      <c r="N152" s="141"/>
      <c r="O152" s="141"/>
      <c r="P152" s="110"/>
      <c r="Q152" s="110"/>
      <c r="R152" s="110"/>
      <c r="T152" s="99"/>
      <c r="V152" s="110"/>
      <c r="Y152" s="110"/>
      <c r="Z152" s="217"/>
      <c r="AA152" s="110"/>
      <c r="AB152" s="110"/>
      <c r="AC152" s="141"/>
      <c r="AD152" s="141"/>
      <c r="AE152" s="110"/>
      <c r="AF152" s="110"/>
      <c r="AH152" s="207"/>
      <c r="AI152" s="110"/>
      <c r="AJ152" s="110"/>
      <c r="AL152" s="110"/>
      <c r="AM152" s="141"/>
      <c r="AN152" s="141"/>
    </row>
    <row r="153" spans="3:40" x14ac:dyDescent="0.3">
      <c r="F153" s="110"/>
      <c r="H153" s="192"/>
      <c r="I153" s="192"/>
      <c r="J153" s="228"/>
      <c r="K153" s="217"/>
      <c r="L153" s="192"/>
      <c r="M153" s="192"/>
      <c r="N153" s="192"/>
      <c r="O153" s="192"/>
      <c r="P153" s="192"/>
      <c r="Q153" s="192"/>
      <c r="R153" s="192"/>
      <c r="V153" s="110"/>
      <c r="Y153" s="192"/>
      <c r="Z153" s="217"/>
      <c r="AA153" s="192"/>
      <c r="AB153" s="192"/>
      <c r="AC153" s="192"/>
      <c r="AD153" s="192"/>
      <c r="AE153" s="192"/>
      <c r="AF153" s="192"/>
      <c r="AI153" s="192"/>
      <c r="AJ153" s="192"/>
      <c r="AK153" s="194"/>
      <c r="AL153" s="192"/>
      <c r="AM153" s="141"/>
      <c r="AN153" s="141"/>
    </row>
    <row r="154" spans="3:40" x14ac:dyDescent="0.3">
      <c r="F154" s="110"/>
      <c r="H154" s="110"/>
      <c r="I154" s="110"/>
      <c r="J154" s="228"/>
      <c r="K154" s="217"/>
      <c r="L154" s="110"/>
      <c r="M154" s="110"/>
      <c r="N154" s="110"/>
      <c r="O154" s="110"/>
      <c r="P154" s="110"/>
      <c r="Q154" s="110"/>
      <c r="R154" s="110"/>
      <c r="V154" s="110"/>
      <c r="Y154" s="110"/>
      <c r="Z154" s="217"/>
      <c r="AA154" s="110"/>
      <c r="AB154" s="110"/>
      <c r="AC154" s="110"/>
      <c r="AD154" s="110"/>
      <c r="AE154" s="110"/>
      <c r="AF154" s="110"/>
      <c r="AH154" s="207"/>
      <c r="AI154" s="110"/>
      <c r="AJ154" s="110"/>
      <c r="AL154" s="110"/>
      <c r="AM154" s="141"/>
      <c r="AN154" s="141"/>
    </row>
    <row r="155" spans="3:40" x14ac:dyDescent="0.3">
      <c r="C155" s="99"/>
      <c r="F155" s="172"/>
      <c r="H155" s="172"/>
      <c r="I155" s="172"/>
      <c r="J155" s="228"/>
      <c r="K155" s="222"/>
      <c r="L155" s="110"/>
      <c r="M155" s="110"/>
      <c r="N155" s="141"/>
      <c r="O155" s="141"/>
      <c r="P155" s="172"/>
      <c r="Q155" s="172"/>
      <c r="R155" s="110"/>
      <c r="T155" s="99"/>
      <c r="V155" s="172"/>
      <c r="Y155" s="172"/>
      <c r="Z155" s="227"/>
      <c r="AA155" s="110"/>
      <c r="AB155" s="110"/>
      <c r="AC155" s="141"/>
      <c r="AD155" s="141"/>
      <c r="AE155" s="110"/>
      <c r="AF155" s="110"/>
      <c r="AH155" s="207"/>
      <c r="AI155" s="172"/>
      <c r="AJ155" s="172"/>
      <c r="AL155" s="110"/>
      <c r="AM155" s="141"/>
      <c r="AN155" s="141"/>
    </row>
    <row r="156" spans="3:40" x14ac:dyDescent="0.3">
      <c r="C156" s="99"/>
      <c r="F156" s="172"/>
      <c r="H156" s="172"/>
      <c r="I156" s="172"/>
      <c r="J156" s="228"/>
      <c r="K156" s="222"/>
      <c r="L156" s="110"/>
      <c r="M156" s="110"/>
      <c r="N156" s="141"/>
      <c r="O156" s="141"/>
      <c r="P156" s="172"/>
      <c r="Q156" s="172"/>
      <c r="R156" s="110"/>
      <c r="T156" s="99"/>
      <c r="V156" s="172"/>
      <c r="Y156" s="110"/>
      <c r="Z156" s="216"/>
      <c r="AA156" s="110"/>
      <c r="AB156" s="110"/>
      <c r="AC156" s="141"/>
      <c r="AD156" s="141"/>
      <c r="AE156" s="110"/>
      <c r="AF156" s="110"/>
      <c r="AH156" s="207"/>
      <c r="AI156" s="172"/>
      <c r="AJ156" s="172"/>
      <c r="AL156" s="110"/>
      <c r="AM156" s="141"/>
      <c r="AN156" s="141"/>
    </row>
    <row r="157" spans="3:40" x14ac:dyDescent="0.3">
      <c r="C157" s="99"/>
      <c r="F157" s="172"/>
      <c r="H157" s="172"/>
      <c r="I157" s="172"/>
      <c r="J157" s="228"/>
      <c r="K157" s="222"/>
      <c r="L157" s="110"/>
      <c r="M157" s="110"/>
      <c r="N157" s="141"/>
      <c r="O157" s="141"/>
      <c r="P157" s="172"/>
      <c r="Q157" s="172"/>
      <c r="R157" s="110"/>
      <c r="T157" s="99"/>
      <c r="V157" s="172"/>
      <c r="Y157" s="110"/>
      <c r="Z157" s="216"/>
      <c r="AA157" s="110"/>
      <c r="AB157" s="110"/>
      <c r="AC157" s="141"/>
      <c r="AD157" s="141"/>
      <c r="AE157" s="110"/>
      <c r="AF157" s="110"/>
      <c r="AH157" s="207"/>
      <c r="AI157" s="172"/>
      <c r="AJ157" s="172"/>
      <c r="AL157" s="110"/>
      <c r="AM157" s="141"/>
      <c r="AN157" s="141"/>
    </row>
    <row r="158" spans="3:40" x14ac:dyDescent="0.3">
      <c r="F158" s="192"/>
      <c r="H158" s="192"/>
      <c r="I158" s="192"/>
      <c r="J158" s="228"/>
      <c r="K158" s="217"/>
      <c r="L158" s="192"/>
      <c r="M158" s="192"/>
      <c r="N158" s="192"/>
      <c r="O158" s="192"/>
      <c r="P158" s="192"/>
      <c r="Q158" s="192"/>
      <c r="R158" s="192"/>
      <c r="V158" s="192"/>
      <c r="Y158" s="192"/>
      <c r="Z158" s="217"/>
      <c r="AA158" s="192"/>
      <c r="AB158" s="192"/>
      <c r="AC158" s="192"/>
      <c r="AD158" s="192"/>
      <c r="AE158" s="192"/>
      <c r="AF158" s="192"/>
      <c r="AI158" s="192"/>
      <c r="AJ158" s="192"/>
      <c r="AK158" s="194"/>
      <c r="AL158" s="192"/>
      <c r="AM158" s="141"/>
      <c r="AN158" s="141"/>
    </row>
    <row r="159" spans="3:40" x14ac:dyDescent="0.3">
      <c r="C159" s="99"/>
      <c r="F159" s="110"/>
      <c r="H159" s="110"/>
      <c r="I159" s="110"/>
      <c r="J159" s="163"/>
      <c r="K159" s="198"/>
      <c r="L159" s="110"/>
      <c r="M159" s="110"/>
      <c r="N159" s="141"/>
      <c r="O159" s="141"/>
      <c r="P159" s="110"/>
      <c r="Q159" s="110"/>
      <c r="R159" s="110"/>
      <c r="T159" s="99"/>
      <c r="V159" s="110"/>
      <c r="Y159" s="110"/>
      <c r="Z159" s="198"/>
      <c r="AA159" s="110"/>
      <c r="AB159" s="110"/>
      <c r="AC159" s="141"/>
      <c r="AD159" s="141"/>
      <c r="AE159" s="110"/>
      <c r="AF159" s="110"/>
      <c r="AH159" s="207"/>
      <c r="AI159" s="110"/>
      <c r="AJ159" s="110"/>
      <c r="AL159" s="110"/>
      <c r="AM159" s="141"/>
      <c r="AN159" s="141"/>
    </row>
    <row r="160" spans="3:40" x14ac:dyDescent="0.3">
      <c r="F160" s="192"/>
      <c r="H160" s="192"/>
      <c r="I160" s="192"/>
      <c r="J160" s="228"/>
      <c r="K160" s="217"/>
      <c r="L160" s="192"/>
      <c r="M160" s="192"/>
      <c r="N160" s="192"/>
      <c r="O160" s="192"/>
      <c r="P160" s="192"/>
      <c r="Q160" s="192"/>
      <c r="R160" s="192"/>
      <c r="V160" s="192"/>
      <c r="Y160" s="192"/>
      <c r="Z160" s="217"/>
      <c r="AA160" s="192"/>
      <c r="AB160" s="192"/>
      <c r="AC160" s="192"/>
      <c r="AD160" s="192"/>
      <c r="AE160" s="192"/>
      <c r="AF160" s="192"/>
      <c r="AI160" s="192"/>
      <c r="AJ160" s="192"/>
      <c r="AK160" s="194"/>
      <c r="AL160" s="192"/>
      <c r="AM160" s="141"/>
      <c r="AN160" s="141"/>
    </row>
    <row r="161" spans="1:40" x14ac:dyDescent="0.3">
      <c r="C161" s="99"/>
      <c r="F161" s="110"/>
      <c r="H161" s="110"/>
      <c r="I161" s="110"/>
      <c r="J161" s="163"/>
      <c r="K161" s="198"/>
      <c r="L161" s="110"/>
      <c r="M161" s="110"/>
      <c r="N161" s="141"/>
      <c r="O161" s="141"/>
      <c r="P161" s="110"/>
      <c r="Q161" s="110"/>
      <c r="R161" s="110"/>
      <c r="T161" s="99"/>
      <c r="V161" s="110"/>
      <c r="Y161" s="110"/>
      <c r="Z161" s="198"/>
      <c r="AA161" s="110"/>
      <c r="AB161" s="110"/>
      <c r="AC161" s="141"/>
      <c r="AD161" s="141"/>
      <c r="AE161" s="110"/>
      <c r="AF161" s="110"/>
      <c r="AH161" s="207"/>
      <c r="AI161" s="110"/>
      <c r="AJ161" s="110"/>
      <c r="AL161" s="110"/>
      <c r="AM161" s="141"/>
      <c r="AN161" s="141"/>
    </row>
    <row r="162" spans="1:40" x14ac:dyDescent="0.3">
      <c r="C162" s="99"/>
      <c r="F162" s="110"/>
      <c r="H162" s="110"/>
      <c r="I162" s="110"/>
      <c r="J162" s="163"/>
      <c r="K162" s="198"/>
      <c r="L162" s="110"/>
      <c r="M162" s="110"/>
      <c r="N162" s="141"/>
      <c r="O162" s="141"/>
      <c r="P162" s="110"/>
      <c r="Q162" s="110"/>
      <c r="R162" s="110"/>
      <c r="T162" s="99"/>
      <c r="V162" s="110"/>
      <c r="Y162" s="110"/>
      <c r="Z162" s="198"/>
      <c r="AA162" s="110"/>
      <c r="AB162" s="110"/>
      <c r="AC162" s="141"/>
      <c r="AD162" s="141"/>
      <c r="AE162" s="110"/>
      <c r="AF162" s="110"/>
      <c r="AH162" s="207"/>
      <c r="AI162" s="110"/>
      <c r="AJ162" s="110"/>
      <c r="AL162" s="110"/>
      <c r="AM162" s="141"/>
      <c r="AN162" s="141"/>
    </row>
    <row r="163" spans="1:40" x14ac:dyDescent="0.3">
      <c r="F163" s="192"/>
      <c r="H163" s="192"/>
      <c r="I163" s="192"/>
      <c r="J163" s="228"/>
      <c r="K163" s="217"/>
      <c r="L163" s="192"/>
      <c r="M163" s="192"/>
      <c r="N163" s="192"/>
      <c r="O163" s="192"/>
      <c r="P163" s="192"/>
      <c r="Q163" s="192"/>
      <c r="R163" s="192"/>
      <c r="V163" s="192"/>
      <c r="Y163" s="192"/>
      <c r="Z163" s="217"/>
      <c r="AA163" s="192"/>
      <c r="AB163" s="192"/>
      <c r="AC163" s="192"/>
      <c r="AD163" s="192"/>
      <c r="AE163" s="192"/>
      <c r="AF163" s="192"/>
      <c r="AI163" s="192"/>
      <c r="AJ163" s="192"/>
      <c r="AK163" s="194"/>
      <c r="AL163" s="192"/>
      <c r="AM163" s="110"/>
      <c r="AN163" s="110"/>
    </row>
    <row r="164" spans="1:40" x14ac:dyDescent="0.3">
      <c r="F164" s="110"/>
      <c r="H164" s="110"/>
      <c r="I164" s="110"/>
      <c r="J164" s="163"/>
      <c r="K164" s="198"/>
      <c r="L164" s="110"/>
      <c r="M164" s="110"/>
      <c r="N164" s="110"/>
      <c r="O164" s="110"/>
      <c r="P164" s="110"/>
      <c r="Q164" s="110"/>
      <c r="R164" s="110"/>
      <c r="V164" s="110"/>
      <c r="Y164" s="110"/>
      <c r="Z164" s="198"/>
      <c r="AA164" s="110"/>
      <c r="AB164" s="110"/>
      <c r="AC164" s="110"/>
      <c r="AD164" s="110"/>
    </row>
    <row r="165" spans="1:40" x14ac:dyDescent="0.3">
      <c r="C165" s="99"/>
      <c r="F165" s="110"/>
      <c r="H165" s="110"/>
      <c r="I165" s="110"/>
      <c r="J165" s="163"/>
      <c r="K165" s="198"/>
      <c r="L165" s="110"/>
      <c r="M165" s="110"/>
      <c r="N165" s="110"/>
      <c r="O165" s="110"/>
      <c r="P165" s="110"/>
      <c r="Q165" s="110"/>
      <c r="R165" s="110"/>
      <c r="T165" s="99"/>
      <c r="V165" s="110"/>
      <c r="Y165" s="110"/>
      <c r="Z165" s="198"/>
      <c r="AA165" s="110"/>
      <c r="AB165" s="110"/>
      <c r="AC165" s="110"/>
      <c r="AD165" s="110"/>
    </row>
    <row r="166" spans="1:40" x14ac:dyDescent="0.3">
      <c r="A166" s="99"/>
      <c r="J166" s="163"/>
    </row>
    <row r="167" spans="1:40" x14ac:dyDescent="0.3">
      <c r="J167" s="163"/>
    </row>
    <row r="168" spans="1:40" x14ac:dyDescent="0.3">
      <c r="H168" s="99"/>
      <c r="I168" s="99"/>
      <c r="J168" s="163"/>
      <c r="Y168" s="99"/>
    </row>
    <row r="169" spans="1:40" x14ac:dyDescent="0.3">
      <c r="J169" s="163"/>
    </row>
    <row r="170" spans="1:40" x14ac:dyDescent="0.3">
      <c r="J170" s="163"/>
      <c r="L170" s="99"/>
      <c r="M170" s="99"/>
      <c r="AA170" s="99"/>
      <c r="AB170" s="99"/>
    </row>
    <row r="171" spans="1:40" x14ac:dyDescent="0.3">
      <c r="J171" s="163"/>
      <c r="R171" s="99"/>
      <c r="AK171" s="190"/>
      <c r="AL171" s="99"/>
    </row>
    <row r="172" spans="1:40" x14ac:dyDescent="0.3">
      <c r="J172" s="163"/>
      <c r="R172" s="99"/>
      <c r="AK172" s="190"/>
      <c r="AL172" s="99"/>
    </row>
    <row r="173" spans="1:40" x14ac:dyDescent="0.3">
      <c r="A173" s="99"/>
      <c r="J173" s="163"/>
      <c r="R173" s="99"/>
      <c r="AK173" s="190"/>
      <c r="AL173" s="99"/>
    </row>
    <row r="174" spans="1:40" x14ac:dyDescent="0.3">
      <c r="J174" s="163"/>
      <c r="L174" s="99"/>
      <c r="M174" s="99"/>
      <c r="AA174" s="99"/>
      <c r="AB174" s="99"/>
    </row>
    <row r="175" spans="1:40" x14ac:dyDescent="0.3">
      <c r="A175" s="101"/>
      <c r="B175" s="101"/>
      <c r="C175" s="101"/>
      <c r="D175" s="101"/>
      <c r="E175" s="101"/>
      <c r="F175" s="101"/>
      <c r="G175" s="101"/>
      <c r="H175" s="101"/>
      <c r="I175" s="101"/>
      <c r="J175" s="212"/>
      <c r="K175" s="101"/>
      <c r="L175" s="101"/>
      <c r="M175" s="101"/>
      <c r="N175" s="101"/>
      <c r="O175" s="101"/>
      <c r="P175" s="101"/>
      <c r="Q175" s="101"/>
      <c r="R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91"/>
      <c r="AH175" s="101"/>
      <c r="AI175" s="101"/>
      <c r="AJ175" s="101"/>
      <c r="AK175" s="191"/>
      <c r="AL175" s="101"/>
      <c r="AM175" s="101"/>
      <c r="AN175" s="101"/>
    </row>
    <row r="176" spans="1:40" x14ac:dyDescent="0.3">
      <c r="J176" s="163"/>
      <c r="L176" s="102"/>
      <c r="M176" s="102"/>
      <c r="N176" s="102"/>
      <c r="O176" s="102"/>
      <c r="R176" s="102"/>
      <c r="AA176" s="102"/>
      <c r="AB176" s="102"/>
      <c r="AC176" s="102"/>
      <c r="AD176" s="102"/>
      <c r="AE176" s="102"/>
      <c r="AF176" s="102"/>
      <c r="AG176" s="151"/>
      <c r="AH176" s="102"/>
      <c r="AK176" s="151"/>
      <c r="AL176" s="102"/>
      <c r="AM176" s="102"/>
      <c r="AN176" s="102"/>
    </row>
    <row r="177" spans="1:40" x14ac:dyDescent="0.3">
      <c r="J177" s="163"/>
      <c r="L177" s="102"/>
      <c r="M177" s="102"/>
      <c r="N177" s="102"/>
      <c r="O177" s="102"/>
      <c r="R177" s="102"/>
      <c r="Z177" s="102"/>
      <c r="AA177" s="102"/>
      <c r="AB177" s="102"/>
      <c r="AC177" s="102"/>
      <c r="AD177" s="102"/>
      <c r="AE177" s="102"/>
      <c r="AF177" s="102"/>
      <c r="AG177" s="151"/>
      <c r="AH177" s="102"/>
      <c r="AK177" s="151"/>
      <c r="AL177" s="102"/>
      <c r="AM177" s="102"/>
      <c r="AN177" s="102"/>
    </row>
    <row r="178" spans="1:40" x14ac:dyDescent="0.3">
      <c r="A178" s="102"/>
      <c r="C178" s="102"/>
      <c r="D178" s="102"/>
      <c r="E178" s="102"/>
      <c r="F178" s="102"/>
      <c r="J178" s="213"/>
      <c r="K178" s="102"/>
      <c r="L178" s="102"/>
      <c r="M178" s="102"/>
      <c r="N178" s="102"/>
      <c r="O178" s="102"/>
      <c r="P178" s="102"/>
      <c r="Q178" s="102"/>
      <c r="R178" s="102"/>
      <c r="T178" s="102"/>
      <c r="U178" s="102"/>
      <c r="V178" s="102"/>
      <c r="Z178" s="102"/>
      <c r="AA178" s="102"/>
      <c r="AB178" s="102"/>
      <c r="AC178" s="102"/>
      <c r="AD178" s="102"/>
      <c r="AE178" s="102"/>
      <c r="AF178" s="102"/>
      <c r="AG178" s="151"/>
      <c r="AH178" s="102"/>
      <c r="AI178" s="102"/>
      <c r="AJ178" s="102"/>
      <c r="AK178" s="151"/>
      <c r="AL178" s="102"/>
      <c r="AM178" s="102"/>
      <c r="AN178" s="102"/>
    </row>
    <row r="179" spans="1:40" x14ac:dyDescent="0.3">
      <c r="A179" s="102"/>
      <c r="C179" s="102"/>
      <c r="D179" s="102"/>
      <c r="E179" s="102"/>
      <c r="F179" s="102"/>
      <c r="H179" s="102"/>
      <c r="I179" s="102"/>
      <c r="J179" s="213"/>
      <c r="K179" s="102"/>
      <c r="L179" s="102"/>
      <c r="M179" s="102"/>
      <c r="N179" s="102"/>
      <c r="O179" s="102"/>
      <c r="P179" s="102"/>
      <c r="Q179" s="102"/>
      <c r="R179" s="102"/>
      <c r="T179" s="102"/>
      <c r="U179" s="102"/>
      <c r="V179" s="102"/>
      <c r="Y179" s="102"/>
      <c r="Z179" s="102"/>
      <c r="AA179" s="102"/>
      <c r="AB179" s="102"/>
      <c r="AC179" s="102"/>
      <c r="AD179" s="102"/>
      <c r="AE179" s="102"/>
      <c r="AF179" s="102"/>
      <c r="AG179" s="151"/>
      <c r="AH179" s="102"/>
      <c r="AI179" s="102"/>
      <c r="AJ179" s="102"/>
      <c r="AK179" s="151"/>
      <c r="AL179" s="102"/>
      <c r="AM179" s="102"/>
      <c r="AN179" s="102"/>
    </row>
    <row r="180" spans="1:40" x14ac:dyDescent="0.3">
      <c r="C180" s="102"/>
      <c r="D180" s="102"/>
      <c r="E180" s="102"/>
      <c r="F180" s="102"/>
      <c r="H180" s="102"/>
      <c r="I180" s="102"/>
      <c r="J180" s="213"/>
      <c r="K180" s="102"/>
      <c r="L180" s="102"/>
      <c r="M180" s="102"/>
      <c r="N180" s="102"/>
      <c r="O180" s="102"/>
      <c r="P180" s="102"/>
      <c r="Q180" s="102"/>
      <c r="R180" s="102"/>
      <c r="T180" s="102"/>
      <c r="U180" s="102"/>
      <c r="V180" s="102"/>
      <c r="Y180" s="102"/>
      <c r="Z180" s="102"/>
      <c r="AA180" s="102"/>
      <c r="AB180" s="102"/>
      <c r="AC180" s="102"/>
      <c r="AD180" s="102"/>
      <c r="AE180" s="102"/>
      <c r="AF180" s="102"/>
      <c r="AG180" s="151"/>
      <c r="AH180" s="102"/>
      <c r="AI180" s="102"/>
      <c r="AJ180" s="102"/>
      <c r="AK180" s="151"/>
      <c r="AL180" s="102"/>
      <c r="AM180" s="102"/>
      <c r="AN180" s="102"/>
    </row>
    <row r="181" spans="1:40" x14ac:dyDescent="0.3">
      <c r="A181" s="101"/>
      <c r="B181" s="101"/>
      <c r="C181" s="101"/>
      <c r="D181" s="101"/>
      <c r="E181" s="101"/>
      <c r="F181" s="101"/>
      <c r="G181" s="101"/>
      <c r="H181" s="101"/>
      <c r="I181" s="101"/>
      <c r="J181" s="212"/>
      <c r="K181" s="101"/>
      <c r="L181" s="101"/>
      <c r="M181" s="101"/>
      <c r="N181" s="101"/>
      <c r="O181" s="101"/>
      <c r="P181" s="101"/>
      <c r="Q181" s="101"/>
      <c r="R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91"/>
      <c r="AH181" s="101"/>
      <c r="AI181" s="101"/>
      <c r="AJ181" s="101"/>
      <c r="AK181" s="191"/>
      <c r="AL181" s="101"/>
      <c r="AM181" s="101"/>
      <c r="AN181" s="101"/>
    </row>
    <row r="182" spans="1:40" x14ac:dyDescent="0.3">
      <c r="H182" s="102"/>
      <c r="I182" s="102"/>
      <c r="J182" s="213"/>
      <c r="K182" s="102"/>
      <c r="L182" s="102"/>
      <c r="M182" s="102"/>
      <c r="N182" s="102"/>
      <c r="O182" s="102"/>
      <c r="P182" s="102"/>
      <c r="Q182" s="102"/>
      <c r="R182" s="102"/>
      <c r="Y182" s="102"/>
      <c r="Z182" s="102"/>
      <c r="AA182" s="102"/>
      <c r="AB182" s="102"/>
      <c r="AC182" s="102"/>
      <c r="AD182" s="102"/>
      <c r="AE182" s="102"/>
      <c r="AF182" s="102"/>
      <c r="AG182" s="151"/>
      <c r="AH182" s="102"/>
      <c r="AI182" s="102"/>
      <c r="AJ182" s="102"/>
      <c r="AK182" s="151"/>
      <c r="AL182" s="102"/>
      <c r="AM182" s="102"/>
      <c r="AN182" s="102"/>
    </row>
    <row r="183" spans="1:40" x14ac:dyDescent="0.3">
      <c r="C183" s="99"/>
      <c r="D183" s="99"/>
      <c r="E183" s="99"/>
      <c r="J183" s="163"/>
      <c r="T183" s="99"/>
      <c r="U183" s="99"/>
    </row>
    <row r="184" spans="1:40" x14ac:dyDescent="0.3">
      <c r="J184" s="163"/>
    </row>
    <row r="185" spans="1:40" x14ac:dyDescent="0.3">
      <c r="C185" s="99"/>
      <c r="F185" s="172"/>
      <c r="H185" s="220"/>
      <c r="I185" s="220"/>
      <c r="J185" s="228"/>
      <c r="K185" s="181"/>
      <c r="L185" s="110"/>
      <c r="M185" s="110"/>
      <c r="R185" s="110"/>
      <c r="T185" s="99"/>
      <c r="V185" s="110"/>
      <c r="Z185" s="181"/>
      <c r="AA185" s="110"/>
      <c r="AB185" s="110"/>
      <c r="AE185" s="110"/>
      <c r="AF185" s="110"/>
      <c r="AG185" s="224"/>
      <c r="AH185" s="225"/>
      <c r="AI185" s="110"/>
      <c r="AJ185" s="110"/>
      <c r="AL185" s="110"/>
      <c r="AM185" s="226"/>
      <c r="AN185" s="226"/>
    </row>
    <row r="186" spans="1:40" x14ac:dyDescent="0.3">
      <c r="F186" s="172"/>
      <c r="H186" s="220"/>
      <c r="I186" s="220"/>
      <c r="J186" s="228"/>
      <c r="K186" s="220"/>
      <c r="R186" s="110"/>
      <c r="V186" s="110"/>
      <c r="Z186" s="220"/>
    </row>
    <row r="187" spans="1:40" x14ac:dyDescent="0.3">
      <c r="C187" s="99"/>
      <c r="F187" s="172"/>
      <c r="H187" s="172"/>
      <c r="I187" s="172"/>
      <c r="J187" s="228"/>
      <c r="K187" s="222"/>
      <c r="L187" s="110"/>
      <c r="M187" s="110"/>
      <c r="N187" s="141"/>
      <c r="O187" s="141"/>
      <c r="P187" s="172"/>
      <c r="Q187" s="172"/>
      <c r="R187" s="110"/>
      <c r="T187" s="99"/>
      <c r="V187" s="110"/>
      <c r="Y187" s="110"/>
      <c r="Z187" s="216"/>
      <c r="AA187" s="110"/>
      <c r="AB187" s="110"/>
      <c r="AC187" s="141"/>
      <c r="AD187" s="141"/>
      <c r="AE187" s="110"/>
      <c r="AF187" s="110"/>
      <c r="AH187" s="207"/>
      <c r="AI187" s="172"/>
      <c r="AJ187" s="172"/>
      <c r="AL187" s="110"/>
      <c r="AM187" s="141"/>
      <c r="AN187" s="141"/>
    </row>
    <row r="188" spans="1:40" x14ac:dyDescent="0.3">
      <c r="F188" s="192"/>
      <c r="H188" s="192"/>
      <c r="I188" s="192"/>
      <c r="J188" s="228"/>
      <c r="K188" s="217"/>
      <c r="L188" s="192"/>
      <c r="M188" s="192"/>
      <c r="N188" s="192"/>
      <c r="O188" s="192"/>
      <c r="P188" s="192"/>
      <c r="Q188" s="192"/>
      <c r="R188" s="192"/>
      <c r="V188" s="192"/>
      <c r="Y188" s="192"/>
      <c r="Z188" s="217"/>
      <c r="AA188" s="192"/>
      <c r="AB188" s="192"/>
      <c r="AC188" s="192"/>
      <c r="AD188" s="192"/>
      <c r="AE188" s="192"/>
      <c r="AF188" s="192"/>
      <c r="AI188" s="192"/>
      <c r="AJ188" s="192"/>
      <c r="AK188" s="194"/>
      <c r="AL188" s="192"/>
    </row>
    <row r="189" spans="1:40" x14ac:dyDescent="0.3">
      <c r="D189" s="99"/>
      <c r="E189" s="99"/>
      <c r="F189" s="110"/>
      <c r="H189" s="110"/>
      <c r="I189" s="110"/>
      <c r="J189" s="163"/>
      <c r="K189" s="198"/>
      <c r="L189" s="110"/>
      <c r="M189" s="110"/>
      <c r="N189" s="141"/>
      <c r="O189" s="141"/>
      <c r="P189" s="110"/>
      <c r="Q189" s="110"/>
      <c r="R189" s="110"/>
      <c r="U189" s="99"/>
      <c r="V189" s="110"/>
      <c r="Y189" s="110"/>
      <c r="Z189" s="198"/>
      <c r="AA189" s="110"/>
      <c r="AB189" s="110"/>
      <c r="AC189" s="141"/>
      <c r="AD189" s="141"/>
      <c r="AE189" s="110"/>
      <c r="AF189" s="110"/>
      <c r="AH189" s="207"/>
      <c r="AI189" s="110"/>
      <c r="AJ189" s="110"/>
      <c r="AL189" s="110"/>
      <c r="AM189" s="141"/>
      <c r="AN189" s="141"/>
    </row>
    <row r="190" spans="1:40" x14ac:dyDescent="0.3">
      <c r="F190" s="192"/>
      <c r="H190" s="192"/>
      <c r="I190" s="192"/>
      <c r="J190" s="228"/>
      <c r="K190" s="217"/>
      <c r="L190" s="192"/>
      <c r="M190" s="192"/>
      <c r="N190" s="192"/>
      <c r="O190" s="192"/>
      <c r="P190" s="192"/>
      <c r="Q190" s="192"/>
      <c r="R190" s="192"/>
      <c r="V190" s="192"/>
      <c r="Y190" s="192"/>
      <c r="Z190" s="217"/>
      <c r="AA190" s="192"/>
      <c r="AB190" s="192"/>
      <c r="AC190" s="192"/>
      <c r="AD190" s="192"/>
      <c r="AE190" s="192"/>
      <c r="AF190" s="192"/>
      <c r="AI190" s="192"/>
      <c r="AJ190" s="192"/>
      <c r="AK190" s="194"/>
      <c r="AL190" s="192"/>
    </row>
    <row r="191" spans="1:40" x14ac:dyDescent="0.3">
      <c r="J191" s="163"/>
      <c r="R191" s="110"/>
    </row>
    <row r="192" spans="1:40" x14ac:dyDescent="0.3">
      <c r="J192" s="163"/>
      <c r="R192" s="110"/>
    </row>
    <row r="193" spans="1:40" x14ac:dyDescent="0.3">
      <c r="J193" s="163"/>
      <c r="R193" s="110"/>
    </row>
    <row r="194" spans="1:40" x14ac:dyDescent="0.3">
      <c r="C194" s="99"/>
      <c r="D194" s="99"/>
      <c r="E194" s="99"/>
      <c r="H194" s="110"/>
      <c r="I194" s="110"/>
      <c r="J194" s="163"/>
      <c r="K194" s="198"/>
      <c r="L194" s="110"/>
      <c r="M194" s="110"/>
      <c r="N194" s="141"/>
      <c r="O194" s="141"/>
      <c r="P194" s="110"/>
      <c r="Q194" s="110"/>
      <c r="R194" s="110"/>
      <c r="T194" s="99"/>
      <c r="U194" s="99"/>
      <c r="Y194" s="110"/>
      <c r="Z194" s="198"/>
      <c r="AA194" s="110"/>
      <c r="AB194" s="110"/>
      <c r="AC194" s="141"/>
      <c r="AD194" s="141"/>
    </row>
    <row r="195" spans="1:40" x14ac:dyDescent="0.3">
      <c r="H195" s="110"/>
      <c r="I195" s="110"/>
      <c r="J195" s="163"/>
      <c r="K195" s="198"/>
      <c r="L195" s="110"/>
      <c r="M195" s="110"/>
      <c r="N195" s="141"/>
      <c r="O195" s="141"/>
      <c r="P195" s="110"/>
      <c r="Q195" s="110"/>
      <c r="R195" s="110"/>
      <c r="Y195" s="110"/>
      <c r="Z195" s="198"/>
      <c r="AA195" s="110"/>
      <c r="AB195" s="110"/>
      <c r="AC195" s="141"/>
      <c r="AD195" s="141"/>
    </row>
    <row r="196" spans="1:40" x14ac:dyDescent="0.3">
      <c r="C196" s="99"/>
      <c r="F196" s="172"/>
      <c r="H196" s="172"/>
      <c r="I196" s="172"/>
      <c r="J196" s="213"/>
      <c r="K196" s="208"/>
      <c r="L196" s="172"/>
      <c r="M196" s="172"/>
      <c r="N196" s="141"/>
      <c r="O196" s="141"/>
      <c r="P196" s="110"/>
      <c r="Q196" s="110"/>
      <c r="R196" s="110"/>
      <c r="T196" s="99"/>
      <c r="V196" s="110"/>
      <c r="Y196" s="110"/>
      <c r="Z196" s="208"/>
      <c r="AA196" s="110"/>
      <c r="AB196" s="110"/>
      <c r="AC196" s="141"/>
      <c r="AD196" s="141"/>
      <c r="AE196" s="110"/>
      <c r="AF196" s="110"/>
      <c r="AH196" s="207"/>
      <c r="AI196" s="110"/>
      <c r="AJ196" s="110"/>
      <c r="AL196" s="110"/>
      <c r="AM196" s="141"/>
      <c r="AN196" s="141"/>
    </row>
    <row r="197" spans="1:40" x14ac:dyDescent="0.3">
      <c r="F197" s="172"/>
      <c r="H197" s="220"/>
      <c r="I197" s="220"/>
      <c r="J197" s="228"/>
      <c r="K197" s="220"/>
      <c r="R197" s="110"/>
      <c r="V197" s="110"/>
      <c r="Z197" s="220"/>
    </row>
    <row r="198" spans="1:40" x14ac:dyDescent="0.3">
      <c r="C198" s="99"/>
      <c r="F198" s="172"/>
      <c r="H198" s="172"/>
      <c r="I198" s="172"/>
      <c r="J198" s="228"/>
      <c r="K198" s="181"/>
      <c r="L198" s="110"/>
      <c r="M198" s="110"/>
      <c r="N198" s="141"/>
      <c r="O198" s="141"/>
      <c r="P198" s="110"/>
      <c r="Q198" s="110"/>
      <c r="R198" s="110"/>
      <c r="T198" s="99"/>
      <c r="V198" s="110"/>
      <c r="Y198" s="110"/>
      <c r="Z198" s="181"/>
      <c r="AA198" s="110"/>
      <c r="AB198" s="110"/>
      <c r="AC198" s="141"/>
      <c r="AD198" s="141"/>
      <c r="AE198" s="110"/>
      <c r="AF198" s="110"/>
      <c r="AH198" s="207"/>
      <c r="AI198" s="110"/>
      <c r="AJ198" s="110"/>
      <c r="AL198" s="110"/>
      <c r="AM198" s="141"/>
      <c r="AN198" s="141"/>
    </row>
    <row r="199" spans="1:40" x14ac:dyDescent="0.3">
      <c r="F199" s="172"/>
      <c r="H199" s="220"/>
      <c r="I199" s="220"/>
      <c r="J199" s="228"/>
      <c r="K199" s="220"/>
      <c r="R199" s="110"/>
      <c r="V199" s="110"/>
      <c r="Z199" s="220"/>
    </row>
    <row r="200" spans="1:40" x14ac:dyDescent="0.3">
      <c r="C200" s="99"/>
      <c r="F200" s="172"/>
      <c r="H200" s="172"/>
      <c r="I200" s="172"/>
      <c r="J200" s="228"/>
      <c r="K200" s="222"/>
      <c r="L200" s="110"/>
      <c r="M200" s="110"/>
      <c r="N200" s="141"/>
      <c r="O200" s="141"/>
      <c r="P200" s="110"/>
      <c r="Q200" s="110"/>
      <c r="R200" s="110"/>
      <c r="T200" s="99"/>
      <c r="V200" s="110"/>
      <c r="Y200" s="110"/>
      <c r="Z200" s="216"/>
      <c r="AA200" s="110"/>
      <c r="AB200" s="110"/>
      <c r="AC200" s="141"/>
      <c r="AD200" s="141"/>
      <c r="AE200" s="110"/>
      <c r="AF200" s="110"/>
      <c r="AH200" s="207"/>
      <c r="AI200" s="110"/>
      <c r="AJ200" s="110"/>
      <c r="AL200" s="110"/>
      <c r="AM200" s="141"/>
      <c r="AN200" s="141"/>
    </row>
    <row r="201" spans="1:40" x14ac:dyDescent="0.3">
      <c r="F201" s="192"/>
      <c r="H201" s="192"/>
      <c r="I201" s="192"/>
      <c r="J201" s="228"/>
      <c r="K201" s="217"/>
      <c r="L201" s="192"/>
      <c r="M201" s="192"/>
      <c r="N201" s="192"/>
      <c r="O201" s="192"/>
      <c r="P201" s="192"/>
      <c r="Q201" s="192"/>
      <c r="R201" s="192"/>
      <c r="S201" s="110"/>
      <c r="V201" s="192"/>
      <c r="Y201" s="192"/>
      <c r="Z201" s="217"/>
      <c r="AA201" s="192"/>
      <c r="AB201" s="192"/>
      <c r="AC201" s="192"/>
      <c r="AD201" s="192"/>
      <c r="AE201" s="192"/>
      <c r="AF201" s="192"/>
      <c r="AI201" s="192"/>
      <c r="AJ201" s="192"/>
      <c r="AK201" s="194"/>
      <c r="AL201" s="192"/>
    </row>
    <row r="202" spans="1:40" x14ac:dyDescent="0.3">
      <c r="D202" s="99"/>
      <c r="E202" s="99"/>
      <c r="F202" s="110"/>
      <c r="H202" s="110"/>
      <c r="I202" s="110"/>
      <c r="J202" s="163"/>
      <c r="K202" s="198"/>
      <c r="L202" s="110"/>
      <c r="M202" s="110"/>
      <c r="N202" s="141"/>
      <c r="O202" s="141"/>
      <c r="P202" s="172"/>
      <c r="Q202" s="172"/>
      <c r="R202" s="110"/>
      <c r="S202" s="110"/>
      <c r="U202" s="99"/>
      <c r="V202" s="110"/>
      <c r="Y202" s="110"/>
      <c r="Z202" s="198"/>
      <c r="AA202" s="110"/>
      <c r="AB202" s="110"/>
      <c r="AC202" s="141"/>
      <c r="AD202" s="141"/>
      <c r="AE202" s="110"/>
      <c r="AF202" s="110"/>
      <c r="AH202" s="207"/>
      <c r="AI202" s="172"/>
      <c r="AJ202" s="172"/>
      <c r="AL202" s="110"/>
      <c r="AM202" s="141"/>
      <c r="AN202" s="141"/>
    </row>
    <row r="203" spans="1:40" x14ac:dyDescent="0.3">
      <c r="F203" s="192"/>
      <c r="H203" s="192"/>
      <c r="I203" s="192"/>
      <c r="J203" s="228"/>
      <c r="K203" s="217"/>
      <c r="L203" s="192"/>
      <c r="M203" s="192"/>
      <c r="N203" s="192"/>
      <c r="O203" s="192"/>
      <c r="P203" s="192"/>
      <c r="Q203" s="192"/>
      <c r="R203" s="192"/>
      <c r="S203" s="110"/>
      <c r="V203" s="192"/>
      <c r="Y203" s="192"/>
      <c r="Z203" s="217"/>
      <c r="AA203" s="192"/>
      <c r="AB203" s="192"/>
      <c r="AC203" s="192"/>
      <c r="AD203" s="192"/>
      <c r="AE203" s="192"/>
      <c r="AF203" s="192"/>
      <c r="AI203" s="192"/>
      <c r="AJ203" s="192"/>
      <c r="AK203" s="194"/>
      <c r="AL203" s="192"/>
    </row>
    <row r="204" spans="1:40" x14ac:dyDescent="0.3">
      <c r="J204" s="163"/>
      <c r="R204" s="110"/>
    </row>
    <row r="205" spans="1:40" x14ac:dyDescent="0.3">
      <c r="F205" s="110"/>
      <c r="H205" s="110"/>
      <c r="I205" s="110"/>
      <c r="J205" s="163"/>
      <c r="K205" s="198"/>
      <c r="L205" s="110"/>
      <c r="M205" s="110"/>
      <c r="N205" s="110"/>
      <c r="O205" s="110"/>
      <c r="P205" s="110"/>
      <c r="Q205" s="110"/>
      <c r="R205" s="110"/>
      <c r="V205" s="110"/>
      <c r="Y205" s="110"/>
      <c r="Z205" s="198"/>
      <c r="AA205" s="110"/>
      <c r="AB205" s="110"/>
      <c r="AC205" s="110"/>
      <c r="AD205" s="110"/>
    </row>
    <row r="206" spans="1:40" x14ac:dyDescent="0.3">
      <c r="C206" s="99"/>
      <c r="F206" s="110"/>
      <c r="H206" s="110"/>
      <c r="I206" s="110"/>
      <c r="J206" s="163"/>
      <c r="K206" s="198"/>
      <c r="L206" s="110"/>
      <c r="M206" s="110"/>
      <c r="N206" s="110"/>
      <c r="O206" s="110"/>
      <c r="P206" s="110"/>
      <c r="Q206" s="110"/>
      <c r="R206" s="110"/>
      <c r="T206" s="99"/>
      <c r="V206" s="110"/>
      <c r="Y206" s="110"/>
      <c r="Z206" s="198"/>
      <c r="AA206" s="110"/>
      <c r="AB206" s="110"/>
      <c r="AC206" s="110"/>
      <c r="AD206" s="110"/>
    </row>
    <row r="207" spans="1:40" x14ac:dyDescent="0.3">
      <c r="C207" s="99"/>
      <c r="J207" s="163"/>
      <c r="T207" s="99"/>
    </row>
    <row r="208" spans="1:40" x14ac:dyDescent="0.3">
      <c r="A208" s="99"/>
      <c r="J208" s="163"/>
    </row>
    <row r="209" spans="1:40" x14ac:dyDescent="0.3">
      <c r="J209" s="163"/>
    </row>
    <row r="210" spans="1:40" x14ac:dyDescent="0.3">
      <c r="J210" s="163"/>
    </row>
    <row r="211" spans="1:40" x14ac:dyDescent="0.3">
      <c r="H211" s="99"/>
      <c r="I211" s="99"/>
      <c r="J211" s="163"/>
      <c r="Y211" s="99"/>
    </row>
    <row r="212" spans="1:40" x14ac:dyDescent="0.3">
      <c r="J212" s="163"/>
    </row>
    <row r="213" spans="1:40" x14ac:dyDescent="0.3">
      <c r="J213" s="163"/>
      <c r="L213" s="99"/>
      <c r="M213" s="99"/>
      <c r="AA213" s="99"/>
      <c r="AB213" s="99"/>
    </row>
    <row r="214" spans="1:40" x14ac:dyDescent="0.3">
      <c r="J214" s="163"/>
      <c r="R214" s="99"/>
      <c r="AK214" s="190"/>
      <c r="AL214" s="99"/>
    </row>
    <row r="215" spans="1:40" x14ac:dyDescent="0.3">
      <c r="J215" s="163"/>
      <c r="R215" s="99"/>
      <c r="AK215" s="190"/>
      <c r="AL215" s="99"/>
    </row>
    <row r="216" spans="1:40" x14ac:dyDescent="0.3">
      <c r="A216" s="99"/>
      <c r="J216" s="163"/>
      <c r="R216" s="99"/>
      <c r="AK216" s="190"/>
      <c r="AL216" s="99"/>
    </row>
    <row r="217" spans="1:40" x14ac:dyDescent="0.3">
      <c r="J217" s="163"/>
      <c r="L217" s="99"/>
      <c r="M217" s="99"/>
      <c r="AA217" s="99"/>
      <c r="AB217" s="99"/>
    </row>
    <row r="218" spans="1:40" x14ac:dyDescent="0.3">
      <c r="A218" s="101"/>
      <c r="B218" s="101"/>
      <c r="C218" s="101"/>
      <c r="D218" s="101"/>
      <c r="E218" s="101"/>
      <c r="F218" s="101"/>
      <c r="G218" s="101"/>
      <c r="H218" s="101"/>
      <c r="I218" s="101"/>
      <c r="J218" s="212"/>
      <c r="K218" s="101"/>
      <c r="L218" s="101"/>
      <c r="M218" s="101"/>
      <c r="N218" s="101"/>
      <c r="O218" s="101"/>
      <c r="P218" s="101"/>
      <c r="Q218" s="101"/>
      <c r="R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91"/>
      <c r="AH218" s="101"/>
      <c r="AI218" s="101"/>
      <c r="AJ218" s="101"/>
      <c r="AK218" s="191"/>
      <c r="AL218" s="101"/>
      <c r="AM218" s="101"/>
      <c r="AN218" s="101"/>
    </row>
    <row r="219" spans="1:40" x14ac:dyDescent="0.3">
      <c r="J219" s="163"/>
      <c r="L219" s="102"/>
      <c r="M219" s="102"/>
      <c r="N219" s="102"/>
      <c r="O219" s="102"/>
      <c r="R219" s="102"/>
      <c r="AA219" s="102"/>
      <c r="AB219" s="102"/>
      <c r="AC219" s="102"/>
      <c r="AD219" s="102"/>
      <c r="AE219" s="102"/>
      <c r="AF219" s="102"/>
      <c r="AG219" s="151"/>
      <c r="AH219" s="102"/>
      <c r="AK219" s="151"/>
      <c r="AL219" s="102"/>
      <c r="AM219" s="102"/>
      <c r="AN219" s="102"/>
    </row>
    <row r="220" spans="1:40" x14ac:dyDescent="0.3">
      <c r="J220" s="163"/>
      <c r="L220" s="102"/>
      <c r="M220" s="102"/>
      <c r="N220" s="102"/>
      <c r="O220" s="102"/>
      <c r="R220" s="102"/>
      <c r="Z220" s="102"/>
      <c r="AA220" s="102"/>
      <c r="AB220" s="102"/>
      <c r="AC220" s="102"/>
      <c r="AD220" s="102"/>
      <c r="AE220" s="102"/>
      <c r="AF220" s="102"/>
      <c r="AG220" s="151"/>
      <c r="AH220" s="102"/>
      <c r="AK220" s="151"/>
      <c r="AL220" s="102"/>
      <c r="AM220" s="102"/>
      <c r="AN220" s="102"/>
    </row>
    <row r="221" spans="1:40" x14ac:dyDescent="0.3">
      <c r="A221" s="102"/>
      <c r="C221" s="102"/>
      <c r="D221" s="102"/>
      <c r="E221" s="102"/>
      <c r="F221" s="102"/>
      <c r="J221" s="213"/>
      <c r="K221" s="102"/>
      <c r="L221" s="102"/>
      <c r="M221" s="102"/>
      <c r="N221" s="102"/>
      <c r="O221" s="102"/>
      <c r="P221" s="102"/>
      <c r="Q221" s="102"/>
      <c r="R221" s="102"/>
      <c r="T221" s="102"/>
      <c r="U221" s="102"/>
      <c r="V221" s="102"/>
      <c r="Z221" s="102"/>
      <c r="AA221" s="102"/>
      <c r="AB221" s="102"/>
      <c r="AC221" s="102"/>
      <c r="AD221" s="102"/>
      <c r="AE221" s="102"/>
      <c r="AF221" s="102"/>
      <c r="AG221" s="151"/>
      <c r="AH221" s="102"/>
      <c r="AI221" s="102"/>
      <c r="AJ221" s="102"/>
      <c r="AK221" s="151"/>
      <c r="AL221" s="102"/>
      <c r="AM221" s="102"/>
      <c r="AN221" s="102"/>
    </row>
    <row r="222" spans="1:40" x14ac:dyDescent="0.3">
      <c r="A222" s="102"/>
      <c r="C222" s="102"/>
      <c r="D222" s="102"/>
      <c r="E222" s="102"/>
      <c r="F222" s="102"/>
      <c r="H222" s="102"/>
      <c r="I222" s="102"/>
      <c r="J222" s="213"/>
      <c r="K222" s="102"/>
      <c r="L222" s="102"/>
      <c r="M222" s="102"/>
      <c r="N222" s="102"/>
      <c r="O222" s="102"/>
      <c r="P222" s="102"/>
      <c r="Q222" s="102"/>
      <c r="R222" s="102"/>
      <c r="T222" s="102"/>
      <c r="U222" s="102"/>
      <c r="V222" s="102"/>
      <c r="Y222" s="102"/>
      <c r="Z222" s="102"/>
      <c r="AA222" s="102"/>
      <c r="AB222" s="102"/>
      <c r="AC222" s="102"/>
      <c r="AD222" s="102"/>
      <c r="AE222" s="102"/>
      <c r="AF222" s="102"/>
      <c r="AG222" s="151"/>
      <c r="AH222" s="102"/>
      <c r="AI222" s="102"/>
      <c r="AJ222" s="102"/>
      <c r="AK222" s="151"/>
      <c r="AL222" s="102"/>
      <c r="AM222" s="102"/>
      <c r="AN222" s="102"/>
    </row>
    <row r="223" spans="1:40" x14ac:dyDescent="0.3">
      <c r="C223" s="102"/>
      <c r="D223" s="102"/>
      <c r="E223" s="102"/>
      <c r="F223" s="102"/>
      <c r="H223" s="102"/>
      <c r="I223" s="102"/>
      <c r="J223" s="213"/>
      <c r="K223" s="102"/>
      <c r="L223" s="102"/>
      <c r="M223" s="102"/>
      <c r="N223" s="102"/>
      <c r="O223" s="102"/>
      <c r="P223" s="102"/>
      <c r="Q223" s="102"/>
      <c r="R223" s="102"/>
      <c r="T223" s="102"/>
      <c r="U223" s="102"/>
      <c r="V223" s="102"/>
      <c r="Y223" s="102"/>
      <c r="Z223" s="102"/>
      <c r="AA223" s="102"/>
      <c r="AB223" s="102"/>
      <c r="AC223" s="102"/>
      <c r="AD223" s="102"/>
      <c r="AE223" s="102"/>
      <c r="AF223" s="102"/>
      <c r="AG223" s="151"/>
      <c r="AH223" s="102"/>
      <c r="AI223" s="102"/>
      <c r="AJ223" s="102"/>
      <c r="AK223" s="151"/>
      <c r="AL223" s="102"/>
      <c r="AM223" s="102"/>
      <c r="AN223" s="102"/>
    </row>
    <row r="224" spans="1:40" x14ac:dyDescent="0.3">
      <c r="A224" s="101"/>
      <c r="B224" s="101"/>
      <c r="C224" s="101"/>
      <c r="D224" s="101"/>
      <c r="E224" s="101"/>
      <c r="F224" s="101"/>
      <c r="G224" s="101"/>
      <c r="H224" s="101"/>
      <c r="I224" s="101"/>
      <c r="J224" s="212"/>
      <c r="K224" s="101"/>
      <c r="L224" s="101"/>
      <c r="M224" s="101"/>
      <c r="N224" s="101"/>
      <c r="O224" s="101"/>
      <c r="P224" s="101"/>
      <c r="Q224" s="101"/>
      <c r="R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91"/>
      <c r="AH224" s="101"/>
      <c r="AI224" s="101"/>
      <c r="AJ224" s="101"/>
      <c r="AK224" s="191"/>
      <c r="AL224" s="101"/>
      <c r="AM224" s="101"/>
      <c r="AN224" s="101"/>
    </row>
    <row r="225" spans="3:40" x14ac:dyDescent="0.3">
      <c r="H225" s="102"/>
      <c r="I225" s="102"/>
      <c r="J225" s="213"/>
      <c r="K225" s="102"/>
      <c r="L225" s="102"/>
      <c r="M225" s="102"/>
      <c r="N225" s="102"/>
      <c r="O225" s="102"/>
      <c r="P225" s="102"/>
      <c r="Q225" s="102"/>
      <c r="R225" s="102"/>
      <c r="Y225" s="102"/>
      <c r="Z225" s="102"/>
      <c r="AA225" s="102"/>
      <c r="AB225" s="102"/>
      <c r="AC225" s="102"/>
      <c r="AD225" s="102"/>
      <c r="AE225" s="102"/>
      <c r="AF225" s="102"/>
      <c r="AG225" s="151"/>
      <c r="AH225" s="102"/>
      <c r="AI225" s="102"/>
      <c r="AJ225" s="102"/>
      <c r="AK225" s="151"/>
      <c r="AL225" s="102"/>
      <c r="AM225" s="102"/>
      <c r="AN225" s="102"/>
    </row>
    <row r="226" spans="3:40" x14ac:dyDescent="0.3">
      <c r="C226" s="99"/>
      <c r="D226" s="99"/>
      <c r="E226" s="99"/>
      <c r="J226" s="163"/>
      <c r="T226" s="99"/>
      <c r="U226" s="99"/>
    </row>
    <row r="227" spans="3:40" x14ac:dyDescent="0.3">
      <c r="D227" s="99"/>
      <c r="E227" s="99"/>
      <c r="J227" s="163"/>
      <c r="U227" s="99"/>
    </row>
    <row r="228" spans="3:40" x14ac:dyDescent="0.3">
      <c r="J228" s="163"/>
    </row>
    <row r="229" spans="3:40" x14ac:dyDescent="0.3">
      <c r="C229" s="99"/>
      <c r="F229" s="110"/>
      <c r="J229" s="163"/>
      <c r="K229" s="209"/>
      <c r="L229" s="110"/>
      <c r="M229" s="110"/>
      <c r="R229" s="110"/>
      <c r="T229" s="99"/>
      <c r="V229" s="110"/>
      <c r="Z229" s="209"/>
      <c r="AA229" s="110"/>
      <c r="AB229" s="110"/>
      <c r="AL229" s="110"/>
    </row>
    <row r="230" spans="3:40" x14ac:dyDescent="0.3">
      <c r="F230" s="110"/>
      <c r="J230" s="163"/>
      <c r="R230" s="110"/>
      <c r="V230" s="110"/>
      <c r="AL230" s="110"/>
    </row>
    <row r="231" spans="3:40" x14ac:dyDescent="0.3">
      <c r="C231" s="99"/>
      <c r="F231" s="172"/>
      <c r="H231" s="172"/>
      <c r="I231" s="172"/>
      <c r="J231" s="228"/>
      <c r="K231" s="181"/>
      <c r="L231" s="110"/>
      <c r="M231" s="110"/>
      <c r="N231" s="141"/>
      <c r="O231" s="141"/>
      <c r="P231" s="110"/>
      <c r="Q231" s="110"/>
      <c r="R231" s="110"/>
      <c r="T231" s="99"/>
      <c r="V231" s="110"/>
      <c r="Y231" s="110"/>
      <c r="Z231" s="181"/>
      <c r="AA231" s="110"/>
      <c r="AB231" s="110"/>
      <c r="AC231" s="141"/>
      <c r="AD231" s="141"/>
      <c r="AE231" s="110"/>
      <c r="AF231" s="110"/>
      <c r="AH231" s="207"/>
      <c r="AI231" s="110"/>
      <c r="AJ231" s="110"/>
      <c r="AL231" s="110"/>
      <c r="AM231" s="141"/>
      <c r="AN231" s="141"/>
    </row>
    <row r="232" spans="3:40" x14ac:dyDescent="0.3">
      <c r="C232" s="99"/>
      <c r="F232" s="172"/>
      <c r="H232" s="220"/>
      <c r="I232" s="220"/>
      <c r="J232" s="228"/>
      <c r="K232" s="181"/>
      <c r="L232" s="110"/>
      <c r="M232" s="110"/>
      <c r="N232" s="141"/>
      <c r="O232" s="141"/>
      <c r="P232" s="110"/>
      <c r="Q232" s="110"/>
      <c r="R232" s="110"/>
      <c r="T232" s="99"/>
      <c r="V232" s="110"/>
      <c r="Y232" s="110"/>
      <c r="Z232" s="181"/>
      <c r="AA232" s="110"/>
      <c r="AB232" s="110"/>
      <c r="AC232" s="141"/>
      <c r="AD232" s="141"/>
      <c r="AE232" s="110"/>
      <c r="AF232" s="110"/>
      <c r="AH232" s="207"/>
      <c r="AI232" s="110"/>
      <c r="AJ232" s="110"/>
      <c r="AL232" s="110"/>
      <c r="AM232" s="141"/>
      <c r="AN232" s="141"/>
    </row>
    <row r="233" spans="3:40" x14ac:dyDescent="0.3">
      <c r="F233" s="192"/>
      <c r="H233" s="110"/>
      <c r="I233" s="110"/>
      <c r="J233" s="228"/>
      <c r="K233" s="217"/>
      <c r="L233" s="192"/>
      <c r="M233" s="192"/>
      <c r="N233" s="192"/>
      <c r="O233" s="192"/>
      <c r="P233" s="192"/>
      <c r="Q233" s="192"/>
      <c r="R233" s="192"/>
      <c r="V233" s="192"/>
      <c r="Y233" s="110"/>
      <c r="Z233" s="217"/>
      <c r="AA233" s="192"/>
      <c r="AB233" s="192"/>
      <c r="AC233" s="192"/>
      <c r="AD233" s="192"/>
      <c r="AE233" s="192"/>
      <c r="AF233" s="192"/>
      <c r="AI233" s="192"/>
      <c r="AJ233" s="192"/>
      <c r="AK233" s="194"/>
      <c r="AL233" s="192"/>
    </row>
    <row r="234" spans="3:40" x14ac:dyDescent="0.3">
      <c r="C234" s="99"/>
      <c r="F234" s="110"/>
      <c r="H234" s="110"/>
      <c r="I234" s="110"/>
      <c r="J234" s="163"/>
      <c r="K234" s="198"/>
      <c r="L234" s="110"/>
      <c r="M234" s="110"/>
      <c r="N234" s="141"/>
      <c r="O234" s="141"/>
      <c r="P234" s="110"/>
      <c r="Q234" s="110"/>
      <c r="R234" s="110"/>
      <c r="T234" s="99"/>
      <c r="V234" s="110"/>
      <c r="Y234" s="110"/>
      <c r="Z234" s="198"/>
      <c r="AA234" s="110"/>
      <c r="AB234" s="110"/>
      <c r="AC234" s="141"/>
      <c r="AD234" s="141"/>
      <c r="AE234" s="110"/>
      <c r="AF234" s="110"/>
      <c r="AH234" s="207"/>
      <c r="AI234" s="110"/>
      <c r="AJ234" s="110"/>
      <c r="AL234" s="110"/>
      <c r="AM234" s="141"/>
      <c r="AN234" s="141"/>
    </row>
    <row r="235" spans="3:40" x14ac:dyDescent="0.3">
      <c r="F235" s="192"/>
      <c r="H235" s="110"/>
      <c r="I235" s="110"/>
      <c r="J235" s="228"/>
      <c r="K235" s="217"/>
      <c r="L235" s="192"/>
      <c r="M235" s="192"/>
      <c r="N235" s="192"/>
      <c r="O235" s="192"/>
      <c r="P235" s="192"/>
      <c r="Q235" s="192"/>
      <c r="R235" s="192"/>
      <c r="V235" s="192"/>
      <c r="Y235" s="110"/>
      <c r="Z235" s="217"/>
      <c r="AA235" s="192"/>
      <c r="AB235" s="192"/>
      <c r="AC235" s="192"/>
      <c r="AD235" s="192"/>
      <c r="AE235" s="192"/>
      <c r="AF235" s="192"/>
      <c r="AI235" s="192"/>
      <c r="AJ235" s="192"/>
      <c r="AK235" s="194"/>
      <c r="AL235" s="192"/>
    </row>
    <row r="236" spans="3:40" x14ac:dyDescent="0.3">
      <c r="F236" s="110"/>
      <c r="J236" s="163"/>
      <c r="R236" s="110"/>
      <c r="V236" s="110"/>
      <c r="AL236" s="110"/>
    </row>
    <row r="237" spans="3:40" x14ac:dyDescent="0.3">
      <c r="C237" s="99"/>
      <c r="F237" s="110"/>
      <c r="J237" s="163"/>
      <c r="R237" s="110"/>
      <c r="T237" s="99"/>
      <c r="V237" s="110"/>
      <c r="AL237" s="110"/>
    </row>
    <row r="238" spans="3:40" x14ac:dyDescent="0.3">
      <c r="F238" s="110"/>
      <c r="J238" s="163"/>
      <c r="R238" s="110"/>
      <c r="V238" s="110"/>
      <c r="AL238" s="110"/>
    </row>
    <row r="239" spans="3:40" x14ac:dyDescent="0.3">
      <c r="C239" s="99"/>
      <c r="F239" s="110"/>
      <c r="H239" s="172"/>
      <c r="I239" s="172"/>
      <c r="J239" s="228"/>
      <c r="K239" s="222"/>
      <c r="L239" s="110"/>
      <c r="M239" s="110"/>
      <c r="N239" s="141"/>
      <c r="O239" s="141"/>
      <c r="P239" s="172"/>
      <c r="Q239" s="172"/>
      <c r="R239" s="110"/>
      <c r="T239" s="99"/>
      <c r="V239" s="110"/>
      <c r="Y239" s="110"/>
      <c r="Z239" s="216"/>
      <c r="AA239" s="110"/>
      <c r="AB239" s="110"/>
      <c r="AC239" s="141"/>
      <c r="AD239" s="141"/>
      <c r="AE239" s="110"/>
      <c r="AF239" s="110"/>
      <c r="AH239" s="207"/>
      <c r="AI239" s="172"/>
      <c r="AJ239" s="172"/>
      <c r="AL239" s="110"/>
      <c r="AM239" s="141"/>
      <c r="AN239" s="141"/>
    </row>
    <row r="240" spans="3:40" x14ac:dyDescent="0.3">
      <c r="H240" s="192"/>
      <c r="I240" s="192"/>
      <c r="J240" s="228"/>
      <c r="K240" s="217"/>
      <c r="L240" s="192"/>
      <c r="M240" s="192"/>
      <c r="N240" s="192"/>
      <c r="O240" s="192"/>
      <c r="P240" s="192"/>
      <c r="Q240" s="192"/>
      <c r="R240" s="192"/>
      <c r="V240" s="192"/>
      <c r="Y240" s="192"/>
      <c r="Z240" s="217"/>
      <c r="AA240" s="192"/>
      <c r="AB240" s="192"/>
      <c r="AC240" s="192"/>
      <c r="AD240" s="192"/>
      <c r="AE240" s="192"/>
      <c r="AF240" s="192"/>
      <c r="AI240" s="192"/>
      <c r="AJ240" s="192"/>
      <c r="AK240" s="194"/>
      <c r="AL240" s="192"/>
    </row>
    <row r="241" spans="1:40" x14ac:dyDescent="0.3">
      <c r="F241" s="192"/>
      <c r="J241" s="163"/>
    </row>
    <row r="242" spans="1:40" x14ac:dyDescent="0.3">
      <c r="C242" s="99"/>
      <c r="F242" s="110"/>
      <c r="H242" s="110"/>
      <c r="I242" s="110"/>
      <c r="J242" s="163"/>
      <c r="K242" s="209"/>
      <c r="L242" s="110"/>
      <c r="M242" s="110"/>
      <c r="N242" s="141"/>
      <c r="O242" s="141"/>
      <c r="P242" s="110"/>
      <c r="Q242" s="110"/>
      <c r="R242" s="110"/>
      <c r="T242" s="99"/>
      <c r="V242" s="110"/>
      <c r="Y242" s="110"/>
      <c r="Z242" s="209"/>
      <c r="AA242" s="110"/>
      <c r="AB242" s="110"/>
      <c r="AC242" s="141"/>
      <c r="AD242" s="141"/>
      <c r="AE242" s="110"/>
      <c r="AF242" s="110"/>
      <c r="AH242" s="207"/>
      <c r="AI242" s="110"/>
      <c r="AJ242" s="110"/>
      <c r="AL242" s="110"/>
      <c r="AM242" s="141"/>
      <c r="AN242" s="141"/>
    </row>
    <row r="243" spans="1:40" x14ac:dyDescent="0.3">
      <c r="F243" s="192"/>
      <c r="H243" s="192"/>
      <c r="I243" s="192"/>
      <c r="J243" s="228"/>
      <c r="K243" s="217"/>
      <c r="L243" s="192"/>
      <c r="M243" s="192"/>
      <c r="N243" s="192"/>
      <c r="O243" s="192"/>
      <c r="P243" s="192"/>
      <c r="Q243" s="192"/>
      <c r="R243" s="192"/>
      <c r="V243" s="192"/>
      <c r="Y243" s="192"/>
      <c r="Z243" s="217"/>
      <c r="AA243" s="192"/>
      <c r="AB243" s="192"/>
      <c r="AC243" s="192"/>
      <c r="AD243" s="192"/>
      <c r="AE243" s="192"/>
      <c r="AF243" s="192"/>
      <c r="AI243" s="192"/>
      <c r="AJ243" s="192"/>
      <c r="AK243" s="194"/>
      <c r="AL243" s="192"/>
    </row>
    <row r="244" spans="1:40" x14ac:dyDescent="0.3">
      <c r="J244" s="163"/>
      <c r="R244" s="110"/>
      <c r="AH244" s="110"/>
    </row>
    <row r="245" spans="1:40" x14ac:dyDescent="0.3">
      <c r="F245" s="110"/>
      <c r="H245" s="110"/>
      <c r="I245" s="110"/>
      <c r="J245" s="163"/>
      <c r="K245" s="198"/>
      <c r="L245" s="110"/>
      <c r="M245" s="110"/>
      <c r="N245" s="110"/>
      <c r="O245" s="110"/>
      <c r="P245" s="110"/>
      <c r="Q245" s="110"/>
      <c r="R245" s="110"/>
      <c r="V245" s="110"/>
      <c r="Y245" s="110"/>
      <c r="Z245" s="198"/>
      <c r="AA245" s="110"/>
      <c r="AB245" s="110"/>
      <c r="AC245" s="110"/>
      <c r="AD245" s="110"/>
      <c r="AE245" s="110"/>
      <c r="AF245" s="110"/>
      <c r="AH245" s="110"/>
    </row>
    <row r="246" spans="1:40" x14ac:dyDescent="0.3">
      <c r="C246" s="99"/>
      <c r="F246" s="110"/>
      <c r="H246" s="110"/>
      <c r="I246" s="110"/>
      <c r="J246" s="163"/>
      <c r="K246" s="198"/>
      <c r="L246" s="110"/>
      <c r="M246" s="110"/>
      <c r="N246" s="110"/>
      <c r="O246" s="110"/>
      <c r="P246" s="110"/>
      <c r="Q246" s="110"/>
      <c r="R246" s="110"/>
      <c r="T246" s="99"/>
      <c r="V246" s="110"/>
      <c r="Y246" s="110"/>
      <c r="Z246" s="198"/>
      <c r="AA246" s="110"/>
      <c r="AB246" s="110"/>
      <c r="AC246" s="110"/>
      <c r="AD246" s="110"/>
      <c r="AE246" s="110"/>
      <c r="AF246" s="110"/>
      <c r="AH246" s="110"/>
    </row>
    <row r="247" spans="1:40" x14ac:dyDescent="0.3">
      <c r="A247" s="99"/>
      <c r="J247" s="163"/>
    </row>
    <row r="248" spans="1:40" x14ac:dyDescent="0.3">
      <c r="J248" s="163"/>
    </row>
    <row r="249" spans="1:40" x14ac:dyDescent="0.3">
      <c r="J249" s="163"/>
    </row>
    <row r="250" spans="1:40" x14ac:dyDescent="0.3">
      <c r="H250" s="99"/>
      <c r="I250" s="99"/>
      <c r="J250" s="163"/>
      <c r="Y250" s="99"/>
    </row>
    <row r="251" spans="1:40" x14ac:dyDescent="0.3">
      <c r="J251" s="163"/>
    </row>
    <row r="252" spans="1:40" x14ac:dyDescent="0.3">
      <c r="J252" s="163"/>
      <c r="L252" s="99"/>
      <c r="M252" s="99"/>
      <c r="AA252" s="99"/>
      <c r="AB252" s="99"/>
    </row>
    <row r="253" spans="1:40" x14ac:dyDescent="0.3">
      <c r="J253" s="163"/>
      <c r="R253" s="99"/>
      <c r="AK253" s="190"/>
      <c r="AL253" s="99"/>
    </row>
    <row r="254" spans="1:40" x14ac:dyDescent="0.3">
      <c r="J254" s="163"/>
      <c r="R254" s="99"/>
      <c r="AK254" s="190"/>
      <c r="AL254" s="99"/>
    </row>
    <row r="255" spans="1:40" x14ac:dyDescent="0.3">
      <c r="A255" s="99"/>
      <c r="J255" s="163"/>
      <c r="R255" s="99"/>
      <c r="AK255" s="190"/>
      <c r="AL255" s="99"/>
    </row>
    <row r="256" spans="1:40" x14ac:dyDescent="0.3">
      <c r="J256" s="163"/>
      <c r="L256" s="99"/>
      <c r="M256" s="99"/>
      <c r="AA256" s="99"/>
      <c r="AB256" s="99"/>
    </row>
    <row r="257" spans="1:40" x14ac:dyDescent="0.3">
      <c r="A257" s="101"/>
      <c r="B257" s="101"/>
      <c r="C257" s="101"/>
      <c r="D257" s="101"/>
      <c r="E257" s="101"/>
      <c r="F257" s="101"/>
      <c r="G257" s="101"/>
      <c r="H257" s="101"/>
      <c r="I257" s="101"/>
      <c r="J257" s="212"/>
      <c r="K257" s="101"/>
      <c r="L257" s="101"/>
      <c r="M257" s="101"/>
      <c r="N257" s="101"/>
      <c r="O257" s="101"/>
      <c r="P257" s="101"/>
      <c r="Q257" s="101"/>
      <c r="R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91"/>
      <c r="AH257" s="101"/>
      <c r="AI257" s="101"/>
      <c r="AJ257" s="101"/>
      <c r="AK257" s="191"/>
      <c r="AL257" s="101"/>
      <c r="AM257" s="101"/>
      <c r="AN257" s="101"/>
    </row>
    <row r="258" spans="1:40" x14ac:dyDescent="0.3">
      <c r="J258" s="163"/>
      <c r="L258" s="102"/>
      <c r="M258" s="102"/>
      <c r="N258" s="102"/>
      <c r="O258" s="102"/>
      <c r="R258" s="102"/>
      <c r="AA258" s="102"/>
      <c r="AB258" s="102"/>
      <c r="AC258" s="102"/>
      <c r="AD258" s="102"/>
      <c r="AE258" s="102"/>
      <c r="AF258" s="102"/>
      <c r="AG258" s="151"/>
      <c r="AH258" s="102"/>
      <c r="AK258" s="151"/>
      <c r="AL258" s="102"/>
      <c r="AM258" s="102"/>
      <c r="AN258" s="102"/>
    </row>
    <row r="259" spans="1:40" x14ac:dyDescent="0.3">
      <c r="J259" s="163"/>
      <c r="L259" s="102"/>
      <c r="M259" s="102"/>
      <c r="N259" s="102"/>
      <c r="O259" s="102"/>
      <c r="R259" s="102"/>
      <c r="Z259" s="102"/>
      <c r="AA259" s="102"/>
      <c r="AB259" s="102"/>
      <c r="AC259" s="102"/>
      <c r="AD259" s="102"/>
      <c r="AE259" s="102"/>
      <c r="AF259" s="102"/>
      <c r="AG259" s="151"/>
      <c r="AH259" s="102"/>
      <c r="AK259" s="151"/>
      <c r="AL259" s="102"/>
      <c r="AM259" s="102"/>
      <c r="AN259" s="102"/>
    </row>
    <row r="260" spans="1:40" x14ac:dyDescent="0.3">
      <c r="A260" s="102"/>
      <c r="C260" s="102"/>
      <c r="D260" s="102"/>
      <c r="E260" s="102"/>
      <c r="F260" s="102"/>
      <c r="J260" s="213"/>
      <c r="K260" s="102"/>
      <c r="L260" s="102"/>
      <c r="M260" s="102"/>
      <c r="N260" s="102"/>
      <c r="O260" s="102"/>
      <c r="P260" s="102"/>
      <c r="Q260" s="102"/>
      <c r="R260" s="102"/>
      <c r="T260" s="102"/>
      <c r="U260" s="102"/>
      <c r="V260" s="102"/>
      <c r="Z260" s="102"/>
      <c r="AA260" s="102"/>
      <c r="AB260" s="102"/>
      <c r="AC260" s="102"/>
      <c r="AD260" s="102"/>
      <c r="AE260" s="102"/>
      <c r="AF260" s="102"/>
      <c r="AG260" s="151"/>
      <c r="AH260" s="102"/>
      <c r="AI260" s="102"/>
      <c r="AJ260" s="102"/>
      <c r="AK260" s="151"/>
      <c r="AL260" s="102"/>
      <c r="AM260" s="102"/>
      <c r="AN260" s="102"/>
    </row>
    <row r="261" spans="1:40" x14ac:dyDescent="0.3">
      <c r="A261" s="102"/>
      <c r="C261" s="102"/>
      <c r="D261" s="102"/>
      <c r="E261" s="102"/>
      <c r="F261" s="102"/>
      <c r="H261" s="102"/>
      <c r="I261" s="102"/>
      <c r="J261" s="213"/>
      <c r="K261" s="102"/>
      <c r="L261" s="102"/>
      <c r="M261" s="102"/>
      <c r="N261" s="102"/>
      <c r="O261" s="102"/>
      <c r="P261" s="102"/>
      <c r="Q261" s="102"/>
      <c r="R261" s="102"/>
      <c r="T261" s="102"/>
      <c r="U261" s="102"/>
      <c r="V261" s="102"/>
      <c r="Y261" s="102"/>
      <c r="Z261" s="102"/>
      <c r="AA261" s="102"/>
      <c r="AB261" s="102"/>
      <c r="AC261" s="102"/>
      <c r="AD261" s="102"/>
      <c r="AE261" s="102"/>
      <c r="AF261" s="102"/>
      <c r="AG261" s="151"/>
      <c r="AH261" s="102"/>
      <c r="AI261" s="102"/>
      <c r="AJ261" s="102"/>
      <c r="AK261" s="151"/>
      <c r="AL261" s="102"/>
      <c r="AM261" s="102"/>
      <c r="AN261" s="102"/>
    </row>
    <row r="262" spans="1:40" x14ac:dyDescent="0.3">
      <c r="C262" s="102"/>
      <c r="D262" s="102"/>
      <c r="E262" s="102"/>
      <c r="F262" s="102"/>
      <c r="H262" s="102"/>
      <c r="I262" s="102"/>
      <c r="J262" s="213"/>
      <c r="K262" s="102"/>
      <c r="L262" s="102"/>
      <c r="M262" s="102"/>
      <c r="N262" s="102"/>
      <c r="O262" s="102"/>
      <c r="P262" s="102"/>
      <c r="Q262" s="102"/>
      <c r="R262" s="102"/>
      <c r="T262" s="102"/>
      <c r="U262" s="102"/>
      <c r="V262" s="102"/>
      <c r="Y262" s="102"/>
      <c r="Z262" s="102"/>
      <c r="AA262" s="102"/>
      <c r="AB262" s="102"/>
      <c r="AC262" s="102"/>
      <c r="AD262" s="102"/>
      <c r="AE262" s="102"/>
      <c r="AF262" s="102"/>
      <c r="AG262" s="151"/>
      <c r="AH262" s="102"/>
      <c r="AI262" s="102"/>
      <c r="AJ262" s="102"/>
      <c r="AK262" s="151"/>
      <c r="AL262" s="102"/>
      <c r="AM262" s="102"/>
      <c r="AN262" s="102"/>
    </row>
    <row r="263" spans="1:40" x14ac:dyDescent="0.3">
      <c r="A263" s="101"/>
      <c r="B263" s="101"/>
      <c r="C263" s="101"/>
      <c r="D263" s="101"/>
      <c r="E263" s="101"/>
      <c r="F263" s="101"/>
      <c r="G263" s="101"/>
      <c r="H263" s="101"/>
      <c r="I263" s="101"/>
      <c r="J263" s="212"/>
      <c r="K263" s="101"/>
      <c r="L263" s="101"/>
      <c r="M263" s="101"/>
      <c r="N263" s="101"/>
      <c r="O263" s="101"/>
      <c r="P263" s="101"/>
      <c r="Q263" s="101"/>
      <c r="R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91"/>
      <c r="AH263" s="101"/>
      <c r="AI263" s="101"/>
      <c r="AJ263" s="101"/>
      <c r="AK263" s="191"/>
      <c r="AL263" s="101"/>
      <c r="AM263" s="101"/>
      <c r="AN263" s="101"/>
    </row>
    <row r="264" spans="1:40" x14ac:dyDescent="0.3">
      <c r="H264" s="102"/>
      <c r="I264" s="102"/>
      <c r="J264" s="213"/>
      <c r="K264" s="102"/>
      <c r="L264" s="102"/>
      <c r="M264" s="102"/>
      <c r="N264" s="102"/>
      <c r="O264" s="102"/>
      <c r="P264" s="102"/>
      <c r="Q264" s="102"/>
      <c r="R264" s="102"/>
      <c r="Y264" s="102"/>
      <c r="Z264" s="102"/>
      <c r="AA264" s="102"/>
      <c r="AB264" s="102"/>
      <c r="AC264" s="102"/>
      <c r="AD264" s="102"/>
      <c r="AE264" s="102"/>
      <c r="AF264" s="102"/>
      <c r="AG264" s="151"/>
      <c r="AH264" s="102"/>
      <c r="AI264" s="102"/>
      <c r="AJ264" s="102"/>
      <c r="AK264" s="151"/>
      <c r="AL264" s="102"/>
      <c r="AM264" s="102"/>
      <c r="AN264" s="102"/>
    </row>
    <row r="265" spans="1:40" x14ac:dyDescent="0.3">
      <c r="C265" s="99"/>
      <c r="D265" s="99"/>
      <c r="E265" s="99"/>
      <c r="J265" s="163"/>
      <c r="T265" s="99"/>
      <c r="U265" s="99"/>
    </row>
    <row r="266" spans="1:40" x14ac:dyDescent="0.3">
      <c r="C266" s="99"/>
      <c r="J266" s="163"/>
      <c r="T266" s="99"/>
    </row>
    <row r="267" spans="1:40" x14ac:dyDescent="0.3">
      <c r="J267" s="163"/>
    </row>
    <row r="268" spans="1:40" x14ac:dyDescent="0.3">
      <c r="C268" s="99"/>
      <c r="F268" s="172"/>
      <c r="H268" s="172"/>
      <c r="I268" s="172"/>
      <c r="J268" s="228"/>
      <c r="K268" s="181"/>
      <c r="L268" s="110"/>
      <c r="M268" s="110"/>
      <c r="N268" s="141"/>
      <c r="O268" s="141"/>
      <c r="R268" s="110"/>
      <c r="T268" s="99"/>
      <c r="V268" s="110"/>
      <c r="Y268" s="172"/>
      <c r="Z268" s="181"/>
      <c r="AA268" s="110"/>
      <c r="AB268" s="110"/>
      <c r="AC268" s="141"/>
      <c r="AD268" s="141"/>
      <c r="AE268" s="110"/>
      <c r="AF268" s="110"/>
      <c r="AH268" s="207"/>
      <c r="AL268" s="110"/>
      <c r="AM268" s="141"/>
      <c r="AN268" s="141"/>
    </row>
    <row r="269" spans="1:40" x14ac:dyDescent="0.3">
      <c r="F269" s="192"/>
      <c r="H269" s="110"/>
      <c r="I269" s="110"/>
      <c r="J269" s="228"/>
      <c r="K269" s="217"/>
      <c r="L269" s="192"/>
      <c r="M269" s="192"/>
      <c r="N269" s="192"/>
      <c r="O269" s="192"/>
      <c r="P269" s="192"/>
      <c r="Q269" s="192"/>
      <c r="R269" s="192"/>
      <c r="V269" s="192"/>
      <c r="Y269" s="110"/>
      <c r="Z269" s="217"/>
      <c r="AA269" s="192"/>
      <c r="AB269" s="192"/>
      <c r="AC269" s="192"/>
      <c r="AD269" s="192"/>
      <c r="AE269" s="192"/>
      <c r="AF269" s="192"/>
      <c r="AI269" s="192"/>
      <c r="AJ269" s="192"/>
      <c r="AK269" s="194"/>
      <c r="AL269" s="192"/>
      <c r="AM269" s="141"/>
      <c r="AN269" s="141"/>
    </row>
    <row r="270" spans="1:40" x14ac:dyDescent="0.3">
      <c r="C270" s="99"/>
      <c r="F270" s="172"/>
      <c r="H270" s="172"/>
      <c r="I270" s="172"/>
      <c r="J270" s="228"/>
      <c r="K270" s="227"/>
      <c r="L270" s="110"/>
      <c r="M270" s="110"/>
      <c r="N270" s="141"/>
      <c r="O270" s="141"/>
      <c r="P270" s="110"/>
      <c r="Q270" s="110"/>
      <c r="R270" s="110"/>
      <c r="S270" s="110"/>
      <c r="T270" s="99"/>
      <c r="V270" s="172"/>
      <c r="Y270" s="172"/>
      <c r="Z270" s="227"/>
      <c r="AA270" s="110"/>
      <c r="AB270" s="110"/>
      <c r="AC270" s="141"/>
      <c r="AD270" s="141"/>
      <c r="AE270" s="110"/>
      <c r="AF270" s="110"/>
      <c r="AH270" s="141"/>
      <c r="AI270" s="110"/>
      <c r="AJ270" s="110"/>
      <c r="AL270" s="110"/>
      <c r="AM270" s="141"/>
      <c r="AN270" s="141"/>
    </row>
    <row r="271" spans="1:40" x14ac:dyDescent="0.3">
      <c r="C271" s="99"/>
      <c r="F271" s="172"/>
      <c r="H271" s="172"/>
      <c r="I271" s="172"/>
      <c r="J271" s="228"/>
      <c r="K271" s="181"/>
      <c r="L271" s="110"/>
      <c r="M271" s="110"/>
      <c r="N271" s="141"/>
      <c r="O271" s="141"/>
      <c r="P271" s="110"/>
      <c r="Q271" s="110"/>
      <c r="R271" s="110"/>
      <c r="T271" s="99"/>
      <c r="V271" s="172"/>
      <c r="Y271" s="110"/>
      <c r="Z271" s="181"/>
      <c r="AA271" s="110"/>
      <c r="AB271" s="110"/>
      <c r="AC271" s="141"/>
      <c r="AD271" s="141"/>
      <c r="AE271" s="110"/>
      <c r="AF271" s="110"/>
      <c r="AH271" s="207"/>
      <c r="AI271" s="110"/>
      <c r="AJ271" s="110"/>
      <c r="AL271" s="110"/>
      <c r="AM271" s="141"/>
      <c r="AN271" s="141"/>
    </row>
    <row r="272" spans="1:40" x14ac:dyDescent="0.3">
      <c r="C272" s="99"/>
      <c r="F272" s="172"/>
      <c r="H272" s="172"/>
      <c r="I272" s="172"/>
      <c r="J272" s="228"/>
      <c r="K272" s="181"/>
      <c r="L272" s="110"/>
      <c r="M272" s="110"/>
      <c r="N272" s="141"/>
      <c r="O272" s="141"/>
      <c r="P272" s="110"/>
      <c r="Q272" s="110"/>
      <c r="R272" s="110"/>
      <c r="T272" s="99"/>
      <c r="V272" s="172"/>
      <c r="Y272" s="110"/>
      <c r="Z272" s="181"/>
      <c r="AA272" s="110"/>
      <c r="AB272" s="110"/>
      <c r="AC272" s="141"/>
      <c r="AD272" s="141"/>
      <c r="AE272" s="110"/>
      <c r="AF272" s="110"/>
      <c r="AH272" s="207"/>
      <c r="AI272" s="110"/>
      <c r="AJ272" s="110"/>
      <c r="AL272" s="110"/>
      <c r="AM272" s="141"/>
      <c r="AN272" s="141"/>
    </row>
    <row r="273" spans="3:40" x14ac:dyDescent="0.3">
      <c r="F273" s="192"/>
      <c r="H273" s="192"/>
      <c r="I273" s="192"/>
      <c r="J273" s="228"/>
      <c r="K273" s="217"/>
      <c r="L273" s="192"/>
      <c r="M273" s="192"/>
      <c r="N273" s="192"/>
      <c r="O273" s="192"/>
      <c r="P273" s="192"/>
      <c r="Q273" s="192"/>
      <c r="R273" s="192"/>
      <c r="V273" s="192"/>
      <c r="Y273" s="192"/>
      <c r="Z273" s="217"/>
      <c r="AA273" s="192"/>
      <c r="AB273" s="192"/>
      <c r="AC273" s="192"/>
      <c r="AD273" s="192"/>
      <c r="AE273" s="192"/>
      <c r="AF273" s="192"/>
      <c r="AI273" s="192"/>
      <c r="AJ273" s="192"/>
      <c r="AK273" s="194"/>
      <c r="AL273" s="192"/>
      <c r="AM273" s="141"/>
      <c r="AN273" s="141"/>
    </row>
    <row r="274" spans="3:40" x14ac:dyDescent="0.3">
      <c r="C274" s="99"/>
      <c r="F274" s="110"/>
      <c r="H274" s="110"/>
      <c r="I274" s="110"/>
      <c r="J274" s="163"/>
      <c r="K274" s="198"/>
      <c r="L274" s="110"/>
      <c r="M274" s="110"/>
      <c r="N274" s="141"/>
      <c r="O274" s="141"/>
      <c r="P274" s="110"/>
      <c r="Q274" s="110"/>
      <c r="R274" s="110"/>
      <c r="T274" s="99"/>
      <c r="V274" s="110"/>
      <c r="Y274" s="110"/>
      <c r="Z274" s="198"/>
      <c r="AA274" s="110"/>
      <c r="AB274" s="110"/>
      <c r="AC274" s="141"/>
      <c r="AD274" s="141"/>
      <c r="AE274" s="110"/>
      <c r="AF274" s="110"/>
      <c r="AH274" s="207"/>
      <c r="AI274" s="110"/>
      <c r="AJ274" s="110"/>
      <c r="AL274" s="110"/>
      <c r="AM274" s="141"/>
      <c r="AN274" s="141"/>
    </row>
    <row r="275" spans="3:40" x14ac:dyDescent="0.3">
      <c r="F275" s="192"/>
      <c r="H275" s="192"/>
      <c r="I275" s="192"/>
      <c r="J275" s="228"/>
      <c r="K275" s="217"/>
      <c r="L275" s="192"/>
      <c r="M275" s="192"/>
      <c r="N275" s="192"/>
      <c r="O275" s="192"/>
      <c r="P275" s="192"/>
      <c r="Q275" s="192"/>
      <c r="R275" s="192"/>
      <c r="V275" s="192"/>
      <c r="Y275" s="192"/>
      <c r="Z275" s="217"/>
      <c r="AA275" s="192"/>
      <c r="AB275" s="192"/>
      <c r="AC275" s="192"/>
      <c r="AD275" s="192"/>
      <c r="AE275" s="192"/>
      <c r="AF275" s="192"/>
      <c r="AI275" s="192"/>
      <c r="AJ275" s="192"/>
      <c r="AK275" s="194"/>
      <c r="AL275" s="192"/>
      <c r="AM275" s="141"/>
      <c r="AN275" s="141"/>
    </row>
    <row r="276" spans="3:40" x14ac:dyDescent="0.3">
      <c r="C276" s="99"/>
      <c r="F276" s="110"/>
      <c r="H276" s="110"/>
      <c r="I276" s="110"/>
      <c r="J276" s="163"/>
      <c r="K276" s="198"/>
      <c r="L276" s="110"/>
      <c r="M276" s="110"/>
      <c r="N276" s="141"/>
      <c r="O276" s="141"/>
      <c r="P276" s="110"/>
      <c r="Q276" s="110"/>
      <c r="R276" s="110"/>
      <c r="T276" s="99"/>
      <c r="V276" s="110"/>
      <c r="Y276" s="110"/>
      <c r="Z276" s="198"/>
      <c r="AA276" s="110"/>
      <c r="AB276" s="110"/>
      <c r="AC276" s="141"/>
      <c r="AD276" s="141"/>
      <c r="AE276" s="110"/>
      <c r="AF276" s="110"/>
      <c r="AH276" s="207"/>
      <c r="AI276" s="110"/>
      <c r="AJ276" s="110"/>
      <c r="AL276" s="110"/>
      <c r="AM276" s="141"/>
      <c r="AN276" s="141"/>
    </row>
    <row r="277" spans="3:40" x14ac:dyDescent="0.3">
      <c r="C277" s="99"/>
      <c r="F277" s="110"/>
      <c r="H277" s="172"/>
      <c r="I277" s="172"/>
      <c r="J277" s="228"/>
      <c r="K277" s="222"/>
      <c r="L277" s="110"/>
      <c r="M277" s="110"/>
      <c r="N277" s="141"/>
      <c r="O277" s="141"/>
      <c r="P277" s="110"/>
      <c r="Q277" s="110"/>
      <c r="R277" s="110"/>
      <c r="T277" s="99"/>
      <c r="V277" s="110"/>
      <c r="Y277" s="110"/>
      <c r="Z277" s="216"/>
      <c r="AA277" s="110"/>
      <c r="AB277" s="110"/>
      <c r="AC277" s="141"/>
      <c r="AD277" s="141"/>
      <c r="AE277" s="110"/>
      <c r="AF277" s="110"/>
      <c r="AH277" s="207"/>
      <c r="AI277" s="110"/>
      <c r="AJ277" s="110"/>
      <c r="AL277" s="110"/>
      <c r="AM277" s="141"/>
      <c r="AN277" s="141"/>
    </row>
    <row r="278" spans="3:40" x14ac:dyDescent="0.3">
      <c r="H278" s="192"/>
      <c r="I278" s="192"/>
      <c r="J278" s="228"/>
      <c r="K278" s="217"/>
      <c r="L278" s="192"/>
      <c r="M278" s="192"/>
      <c r="N278" s="192"/>
      <c r="O278" s="192"/>
      <c r="P278" s="192"/>
      <c r="Q278" s="192"/>
      <c r="R278" s="192"/>
      <c r="V278" s="192"/>
      <c r="Y278" s="192"/>
      <c r="Z278" s="217"/>
      <c r="AA278" s="192"/>
      <c r="AB278" s="192"/>
      <c r="AC278" s="192"/>
      <c r="AD278" s="192"/>
      <c r="AE278" s="192"/>
      <c r="AF278" s="192"/>
      <c r="AI278" s="192"/>
      <c r="AJ278" s="192"/>
      <c r="AK278" s="194"/>
      <c r="AL278" s="192"/>
      <c r="AM278" s="141"/>
      <c r="AN278" s="141"/>
    </row>
    <row r="279" spans="3:40" x14ac:dyDescent="0.3">
      <c r="F279" s="192"/>
      <c r="J279" s="163"/>
    </row>
    <row r="280" spans="3:40" x14ac:dyDescent="0.3">
      <c r="C280" s="99"/>
      <c r="F280" s="110"/>
      <c r="H280" s="110"/>
      <c r="I280" s="110"/>
      <c r="J280" s="228"/>
      <c r="K280" s="217"/>
      <c r="L280" s="110"/>
      <c r="M280" s="110"/>
      <c r="N280" s="141"/>
      <c r="O280" s="141"/>
      <c r="P280" s="110"/>
      <c r="Q280" s="110"/>
      <c r="R280" s="110"/>
      <c r="S280" s="110"/>
      <c r="T280" s="99"/>
      <c r="V280" s="110"/>
      <c r="Y280" s="110"/>
      <c r="Z280" s="217"/>
      <c r="AA280" s="110"/>
      <c r="AB280" s="110"/>
      <c r="AC280" s="141"/>
      <c r="AD280" s="141"/>
      <c r="AE280" s="110"/>
      <c r="AF280" s="110"/>
      <c r="AH280" s="141"/>
      <c r="AI280" s="110"/>
      <c r="AJ280" s="110"/>
      <c r="AL280" s="110"/>
      <c r="AM280" s="141"/>
      <c r="AN280" s="141"/>
    </row>
    <row r="281" spans="3:40" x14ac:dyDescent="0.3">
      <c r="F281" s="192"/>
      <c r="H281" s="192"/>
      <c r="I281" s="192"/>
      <c r="J281" s="228"/>
      <c r="K281" s="217"/>
      <c r="L281" s="192"/>
      <c r="M281" s="192"/>
      <c r="N281" s="192"/>
      <c r="O281" s="192"/>
      <c r="P281" s="192"/>
      <c r="Q281" s="192"/>
      <c r="R281" s="192"/>
      <c r="S281" s="110"/>
      <c r="V281" s="192"/>
      <c r="Y281" s="192"/>
      <c r="Z281" s="217"/>
      <c r="AA281" s="192"/>
      <c r="AB281" s="192"/>
      <c r="AC281" s="192"/>
      <c r="AD281" s="192"/>
      <c r="AE281" s="192"/>
      <c r="AF281" s="192"/>
      <c r="AI281" s="192"/>
      <c r="AJ281" s="192"/>
      <c r="AK281" s="194"/>
      <c r="AL281" s="192"/>
      <c r="AM281" s="141"/>
      <c r="AN281" s="141"/>
    </row>
    <row r="282" spans="3:40" x14ac:dyDescent="0.3">
      <c r="C282" s="99"/>
      <c r="H282" s="172"/>
      <c r="I282" s="172"/>
      <c r="J282" s="228"/>
      <c r="K282" s="217"/>
      <c r="L282" s="110"/>
      <c r="M282" s="110"/>
      <c r="N282" s="141"/>
      <c r="O282" s="141"/>
      <c r="P282" s="110"/>
      <c r="Q282" s="110"/>
      <c r="R282" s="110"/>
      <c r="S282" s="110"/>
      <c r="T282" s="99"/>
      <c r="V282" s="172"/>
      <c r="Y282" s="172"/>
      <c r="Z282" s="217"/>
      <c r="AA282" s="110"/>
      <c r="AB282" s="110"/>
      <c r="AC282" s="141"/>
      <c r="AD282" s="141"/>
      <c r="AE282" s="110"/>
      <c r="AF282" s="110"/>
      <c r="AI282" s="110"/>
      <c r="AJ282" s="110"/>
      <c r="AL282" s="110"/>
      <c r="AM282" s="141"/>
      <c r="AN282" s="141"/>
    </row>
    <row r="283" spans="3:40" x14ac:dyDescent="0.3">
      <c r="F283" s="172"/>
      <c r="J283" s="163"/>
    </row>
    <row r="284" spans="3:40" x14ac:dyDescent="0.3">
      <c r="C284" s="99"/>
      <c r="F284" s="172"/>
      <c r="H284" s="172"/>
      <c r="I284" s="172"/>
      <c r="J284" s="228"/>
      <c r="K284" s="181"/>
      <c r="L284" s="110"/>
      <c r="M284" s="110"/>
      <c r="N284" s="141"/>
      <c r="O284" s="141"/>
      <c r="R284" s="110"/>
      <c r="T284" s="99"/>
      <c r="V284" s="110"/>
      <c r="Y284" s="172"/>
      <c r="Z284" s="181"/>
      <c r="AA284" s="110"/>
      <c r="AB284" s="110"/>
      <c r="AC284" s="141"/>
      <c r="AD284" s="141"/>
      <c r="AE284" s="110"/>
      <c r="AF284" s="110"/>
      <c r="AH284" s="207"/>
      <c r="AL284" s="110"/>
      <c r="AM284" s="141"/>
      <c r="AN284" s="141"/>
    </row>
    <row r="285" spans="3:40" x14ac:dyDescent="0.3">
      <c r="F285" s="192"/>
      <c r="H285" s="110"/>
      <c r="I285" s="110"/>
      <c r="J285" s="228"/>
      <c r="K285" s="217"/>
      <c r="L285" s="192"/>
      <c r="M285" s="192"/>
      <c r="N285" s="192"/>
      <c r="O285" s="192"/>
      <c r="P285" s="192"/>
      <c r="Q285" s="192"/>
      <c r="R285" s="192"/>
      <c r="V285" s="192"/>
      <c r="Y285" s="110"/>
      <c r="Z285" s="217"/>
      <c r="AA285" s="192"/>
      <c r="AB285" s="192"/>
      <c r="AC285" s="192"/>
      <c r="AD285" s="192"/>
      <c r="AE285" s="192"/>
      <c r="AF285" s="192"/>
      <c r="AI285" s="192"/>
      <c r="AJ285" s="192"/>
      <c r="AK285" s="194"/>
      <c r="AL285" s="192"/>
      <c r="AM285" s="141"/>
      <c r="AN285" s="141"/>
    </row>
    <row r="286" spans="3:40" x14ac:dyDescent="0.3">
      <c r="C286" s="99"/>
      <c r="F286" s="172"/>
      <c r="H286" s="172"/>
      <c r="I286" s="172"/>
      <c r="J286" s="228"/>
      <c r="K286" s="227"/>
      <c r="L286" s="110"/>
      <c r="M286" s="110"/>
      <c r="N286" s="141"/>
      <c r="O286" s="141"/>
      <c r="P286" s="110"/>
      <c r="Q286" s="110"/>
      <c r="R286" s="110"/>
      <c r="S286" s="110"/>
      <c r="T286" s="99"/>
      <c r="V286" s="172"/>
      <c r="Y286" s="172"/>
      <c r="Z286" s="227"/>
      <c r="AA286" s="110"/>
      <c r="AB286" s="110"/>
      <c r="AC286" s="141"/>
      <c r="AD286" s="141"/>
      <c r="AE286" s="110"/>
      <c r="AF286" s="110"/>
      <c r="AH286" s="141"/>
      <c r="AI286" s="110"/>
      <c r="AJ286" s="110"/>
      <c r="AL286" s="110"/>
      <c r="AM286" s="141"/>
      <c r="AN286" s="141"/>
    </row>
    <row r="287" spans="3:40" x14ac:dyDescent="0.3">
      <c r="C287" s="99"/>
      <c r="F287" s="172"/>
      <c r="H287" s="172"/>
      <c r="I287" s="172"/>
      <c r="J287" s="228"/>
      <c r="K287" s="181"/>
      <c r="L287" s="110"/>
      <c r="M287" s="110"/>
      <c r="N287" s="141"/>
      <c r="O287" s="141"/>
      <c r="P287" s="110"/>
      <c r="Q287" s="110"/>
      <c r="R287" s="110"/>
      <c r="T287" s="99"/>
      <c r="V287" s="172"/>
      <c r="Y287" s="110"/>
      <c r="Z287" s="181"/>
      <c r="AA287" s="110"/>
      <c r="AB287" s="110"/>
      <c r="AC287" s="141"/>
      <c r="AD287" s="141"/>
      <c r="AE287" s="110"/>
      <c r="AF287" s="110"/>
      <c r="AH287" s="207"/>
      <c r="AI287" s="110"/>
      <c r="AJ287" s="110"/>
      <c r="AL287" s="110"/>
      <c r="AM287" s="141"/>
      <c r="AN287" s="141"/>
    </row>
    <row r="288" spans="3:40" x14ac:dyDescent="0.3">
      <c r="C288" s="99"/>
      <c r="F288" s="172"/>
      <c r="H288" s="172"/>
      <c r="I288" s="172"/>
      <c r="J288" s="228"/>
      <c r="K288" s="181"/>
      <c r="L288" s="110"/>
      <c r="M288" s="110"/>
      <c r="N288" s="141"/>
      <c r="O288" s="141"/>
      <c r="P288" s="110"/>
      <c r="Q288" s="110"/>
      <c r="R288" s="110"/>
      <c r="T288" s="99"/>
      <c r="V288" s="172"/>
      <c r="Y288" s="110"/>
      <c r="Z288" s="181"/>
      <c r="AA288" s="110"/>
      <c r="AB288" s="110"/>
      <c r="AC288" s="141"/>
      <c r="AD288" s="141"/>
      <c r="AE288" s="110"/>
      <c r="AF288" s="110"/>
      <c r="AH288" s="207"/>
      <c r="AI288" s="110"/>
      <c r="AJ288" s="110"/>
      <c r="AL288" s="110"/>
      <c r="AM288" s="141"/>
      <c r="AN288" s="141"/>
    </row>
    <row r="289" spans="1:40" x14ac:dyDescent="0.3">
      <c r="F289" s="192"/>
      <c r="H289" s="192"/>
      <c r="I289" s="192"/>
      <c r="J289" s="228"/>
      <c r="K289" s="217"/>
      <c r="L289" s="192"/>
      <c r="M289" s="192"/>
      <c r="N289" s="192"/>
      <c r="O289" s="192"/>
      <c r="P289" s="192"/>
      <c r="Q289" s="192"/>
      <c r="R289" s="192"/>
      <c r="V289" s="192"/>
      <c r="Y289" s="192"/>
      <c r="Z289" s="217"/>
      <c r="AA289" s="192"/>
      <c r="AB289" s="192"/>
      <c r="AC289" s="192"/>
      <c r="AD289" s="192"/>
      <c r="AE289" s="192"/>
      <c r="AF289" s="192"/>
      <c r="AI289" s="192"/>
      <c r="AJ289" s="192"/>
      <c r="AK289" s="194"/>
      <c r="AL289" s="192"/>
      <c r="AM289" s="141"/>
      <c r="AN289" s="141"/>
    </row>
    <row r="290" spans="1:40" x14ac:dyDescent="0.3">
      <c r="C290" s="99"/>
      <c r="F290" s="110"/>
      <c r="H290" s="110"/>
      <c r="I290" s="110"/>
      <c r="J290" s="163"/>
      <c r="K290" s="198"/>
      <c r="L290" s="110"/>
      <c r="M290" s="110"/>
      <c r="N290" s="141"/>
      <c r="O290" s="141"/>
      <c r="P290" s="110"/>
      <c r="Q290" s="110"/>
      <c r="R290" s="110"/>
      <c r="T290" s="99"/>
      <c r="V290" s="110"/>
      <c r="Y290" s="110"/>
      <c r="Z290" s="198"/>
      <c r="AA290" s="110"/>
      <c r="AB290" s="110"/>
      <c r="AC290" s="141"/>
      <c r="AD290" s="141"/>
      <c r="AE290" s="110"/>
      <c r="AF290" s="110"/>
      <c r="AH290" s="207"/>
      <c r="AI290" s="110"/>
      <c r="AJ290" s="110"/>
      <c r="AL290" s="110"/>
      <c r="AM290" s="141"/>
      <c r="AN290" s="141"/>
    </row>
    <row r="291" spans="1:40" x14ac:dyDescent="0.3">
      <c r="F291" s="192"/>
      <c r="H291" s="192"/>
      <c r="I291" s="192"/>
      <c r="J291" s="228"/>
      <c r="K291" s="217"/>
      <c r="L291" s="192"/>
      <c r="M291" s="192"/>
      <c r="N291" s="192"/>
      <c r="O291" s="192"/>
      <c r="P291" s="192"/>
      <c r="Q291" s="192"/>
      <c r="R291" s="192"/>
      <c r="V291" s="192"/>
      <c r="Y291" s="192"/>
      <c r="Z291" s="217"/>
      <c r="AA291" s="192"/>
      <c r="AB291" s="192"/>
      <c r="AC291" s="192"/>
      <c r="AD291" s="192"/>
      <c r="AE291" s="192"/>
      <c r="AF291" s="192"/>
      <c r="AI291" s="192"/>
      <c r="AJ291" s="192"/>
      <c r="AK291" s="194"/>
      <c r="AL291" s="192"/>
      <c r="AM291" s="141"/>
      <c r="AN291" s="141"/>
    </row>
    <row r="292" spans="1:40" x14ac:dyDescent="0.3">
      <c r="C292" s="99"/>
      <c r="F292" s="110"/>
      <c r="H292" s="110"/>
      <c r="I292" s="110"/>
      <c r="J292" s="163"/>
      <c r="K292" s="198"/>
      <c r="L292" s="110"/>
      <c r="M292" s="110"/>
      <c r="N292" s="141"/>
      <c r="O292" s="141"/>
      <c r="P292" s="110"/>
      <c r="Q292" s="110"/>
      <c r="R292" s="110"/>
      <c r="T292" s="99"/>
      <c r="V292" s="110"/>
      <c r="Y292" s="110"/>
      <c r="Z292" s="198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1:40" x14ac:dyDescent="0.3">
      <c r="C293" s="99"/>
      <c r="F293" s="110"/>
      <c r="H293" s="172"/>
      <c r="I293" s="172"/>
      <c r="J293" s="228"/>
      <c r="K293" s="222"/>
      <c r="L293" s="110"/>
      <c r="M293" s="110"/>
      <c r="N293" s="141"/>
      <c r="O293" s="141"/>
      <c r="P293" s="110"/>
      <c r="Q293" s="110"/>
      <c r="R293" s="110"/>
      <c r="T293" s="99"/>
      <c r="V293" s="110"/>
      <c r="Y293" s="110"/>
      <c r="Z293" s="216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1:40" x14ac:dyDescent="0.3">
      <c r="H294" s="192"/>
      <c r="I294" s="192"/>
      <c r="J294" s="228"/>
      <c r="K294" s="217"/>
      <c r="L294" s="192"/>
      <c r="M294" s="192"/>
      <c r="N294" s="192"/>
      <c r="O294" s="192"/>
      <c r="P294" s="192"/>
      <c r="Q294" s="192"/>
      <c r="R294" s="192"/>
      <c r="V294" s="192"/>
      <c r="Y294" s="192"/>
      <c r="Z294" s="217"/>
      <c r="AA294" s="192"/>
      <c r="AB294" s="192"/>
      <c r="AC294" s="192"/>
      <c r="AD294" s="192"/>
      <c r="AE294" s="192"/>
      <c r="AF294" s="192"/>
      <c r="AI294" s="192"/>
      <c r="AJ294" s="192"/>
      <c r="AK294" s="194"/>
      <c r="AL294" s="192"/>
      <c r="AM294" s="141"/>
      <c r="AN294" s="141"/>
    </row>
    <row r="295" spans="1:40" x14ac:dyDescent="0.3">
      <c r="F295" s="192"/>
      <c r="J295" s="163"/>
    </row>
    <row r="296" spans="1:40" x14ac:dyDescent="0.3">
      <c r="C296" s="99"/>
      <c r="F296" s="110"/>
      <c r="H296" s="110"/>
      <c r="I296" s="110"/>
      <c r="J296" s="228"/>
      <c r="K296" s="217"/>
      <c r="L296" s="110"/>
      <c r="M296" s="110"/>
      <c r="N296" s="141"/>
      <c r="O296" s="141"/>
      <c r="P296" s="110"/>
      <c r="Q296" s="110"/>
      <c r="R296" s="110"/>
      <c r="S296" s="110"/>
      <c r="T296" s="99"/>
      <c r="V296" s="110"/>
      <c r="Y296" s="110"/>
      <c r="Z296" s="217"/>
      <c r="AA296" s="110"/>
      <c r="AB296" s="110"/>
      <c r="AC296" s="141"/>
      <c r="AD296" s="141"/>
      <c r="AE296" s="110"/>
      <c r="AF296" s="110"/>
      <c r="AH296" s="141"/>
      <c r="AI296" s="110"/>
      <c r="AJ296" s="110"/>
      <c r="AL296" s="110"/>
      <c r="AM296" s="141"/>
      <c r="AN296" s="141"/>
    </row>
    <row r="297" spans="1:40" x14ac:dyDescent="0.3">
      <c r="F297" s="192"/>
      <c r="H297" s="192"/>
      <c r="I297" s="192"/>
      <c r="J297" s="228"/>
      <c r="K297" s="217"/>
      <c r="L297" s="192"/>
      <c r="M297" s="192"/>
      <c r="N297" s="192"/>
      <c r="O297" s="192"/>
      <c r="P297" s="192"/>
      <c r="Q297" s="192"/>
      <c r="R297" s="192"/>
      <c r="S297" s="110"/>
      <c r="V297" s="192"/>
      <c r="Y297" s="192"/>
      <c r="Z297" s="217"/>
      <c r="AA297" s="192"/>
      <c r="AB297" s="192"/>
      <c r="AC297" s="192"/>
      <c r="AD297" s="192"/>
      <c r="AE297" s="192"/>
      <c r="AF297" s="192"/>
      <c r="AI297" s="192"/>
      <c r="AJ297" s="192"/>
      <c r="AK297" s="194"/>
      <c r="AL297" s="192"/>
      <c r="AM297" s="141"/>
      <c r="AN297" s="141"/>
    </row>
    <row r="298" spans="1:40" x14ac:dyDescent="0.3">
      <c r="C298" s="99"/>
      <c r="J298" s="163"/>
      <c r="T298" s="99"/>
    </row>
    <row r="299" spans="1:40" x14ac:dyDescent="0.3">
      <c r="C299" s="99"/>
      <c r="F299" s="110"/>
      <c r="H299" s="110"/>
      <c r="I299" s="110"/>
      <c r="J299" s="163"/>
      <c r="L299" s="110"/>
      <c r="M299" s="110"/>
      <c r="N299" s="141"/>
      <c r="O299" s="141"/>
      <c r="P299" s="172"/>
      <c r="Q299" s="172"/>
      <c r="R299" s="110"/>
      <c r="T299" s="99"/>
      <c r="V299" s="110"/>
      <c r="Y299" s="110"/>
      <c r="AA299" s="110"/>
      <c r="AB299" s="110"/>
      <c r="AC299" s="141"/>
      <c r="AD299" s="141"/>
      <c r="AE299" s="110"/>
      <c r="AF299" s="110"/>
      <c r="AH299" s="141"/>
      <c r="AI299" s="172"/>
      <c r="AJ299" s="172"/>
      <c r="AL299" s="110"/>
      <c r="AM299" s="141"/>
      <c r="AN299" s="141"/>
    </row>
    <row r="300" spans="1:40" x14ac:dyDescent="0.3">
      <c r="H300" s="192"/>
      <c r="I300" s="192"/>
      <c r="J300" s="228"/>
      <c r="K300" s="217"/>
      <c r="L300" s="192"/>
      <c r="M300" s="192"/>
      <c r="N300" s="192"/>
      <c r="O300" s="192"/>
      <c r="P300" s="192"/>
      <c r="Q300" s="192"/>
      <c r="R300" s="192"/>
      <c r="V300" s="192"/>
      <c r="Y300" s="192"/>
      <c r="Z300" s="217"/>
      <c r="AA300" s="192"/>
      <c r="AB300" s="192"/>
      <c r="AC300" s="192"/>
      <c r="AD300" s="192"/>
      <c r="AE300" s="192"/>
      <c r="AF300" s="192"/>
      <c r="AI300" s="192"/>
      <c r="AJ300" s="192"/>
      <c r="AK300" s="194"/>
      <c r="AL300" s="192"/>
    </row>
    <row r="301" spans="1:40" x14ac:dyDescent="0.3">
      <c r="F301" s="192"/>
      <c r="J301" s="163"/>
    </row>
    <row r="302" spans="1:40" x14ac:dyDescent="0.3">
      <c r="C302" s="99"/>
      <c r="J302" s="163"/>
      <c r="L302" s="110"/>
      <c r="M302" s="110"/>
      <c r="N302" s="110"/>
      <c r="O302" s="110"/>
      <c r="P302" s="110"/>
      <c r="Q302" s="110"/>
      <c r="R302" s="110"/>
      <c r="S302" s="110"/>
      <c r="T302" s="99"/>
      <c r="AA302" s="110"/>
      <c r="AB302" s="110"/>
      <c r="AC302" s="110"/>
      <c r="AD302" s="110"/>
      <c r="AI302" s="110"/>
      <c r="AJ302" s="110"/>
      <c r="AL302" s="110"/>
    </row>
    <row r="303" spans="1:40" x14ac:dyDescent="0.3">
      <c r="A303" s="99"/>
      <c r="J303" s="163"/>
    </row>
    <row r="304" spans="1:40" x14ac:dyDescent="0.3">
      <c r="J304" s="163"/>
    </row>
    <row r="305" spans="1:40" x14ac:dyDescent="0.3">
      <c r="H305" s="99"/>
      <c r="I305" s="99"/>
      <c r="J305" s="163"/>
      <c r="Y305" s="99"/>
    </row>
    <row r="306" spans="1:40" x14ac:dyDescent="0.3">
      <c r="J306" s="163"/>
    </row>
    <row r="307" spans="1:40" x14ac:dyDescent="0.3">
      <c r="J307" s="163"/>
      <c r="L307" s="99"/>
      <c r="M307" s="99"/>
      <c r="AA307" s="99"/>
      <c r="AB307" s="99"/>
    </row>
    <row r="308" spans="1:40" x14ac:dyDescent="0.3">
      <c r="J308" s="163"/>
      <c r="R308" s="99"/>
      <c r="AK308" s="190"/>
      <c r="AL308" s="99"/>
    </row>
    <row r="309" spans="1:40" x14ac:dyDescent="0.3">
      <c r="J309" s="163"/>
      <c r="R309" s="99"/>
      <c r="AK309" s="190"/>
      <c r="AL309" s="99"/>
    </row>
    <row r="310" spans="1:40" x14ac:dyDescent="0.3">
      <c r="A310" s="99"/>
      <c r="J310" s="163"/>
      <c r="R310" s="99"/>
      <c r="AK310" s="190"/>
      <c r="AL310" s="99"/>
    </row>
    <row r="311" spans="1:40" x14ac:dyDescent="0.3">
      <c r="J311" s="163"/>
      <c r="L311" s="99"/>
      <c r="M311" s="99"/>
      <c r="AA311" s="99"/>
      <c r="AB311" s="99"/>
    </row>
    <row r="312" spans="1:40" x14ac:dyDescent="0.3">
      <c r="A312" s="101"/>
      <c r="B312" s="101"/>
      <c r="C312" s="101"/>
      <c r="D312" s="101"/>
      <c r="E312" s="101"/>
      <c r="F312" s="101"/>
      <c r="G312" s="101"/>
      <c r="H312" s="101"/>
      <c r="I312" s="101"/>
      <c r="J312" s="212"/>
      <c r="K312" s="101"/>
      <c r="L312" s="101"/>
      <c r="M312" s="101"/>
      <c r="N312" s="101"/>
      <c r="O312" s="101"/>
      <c r="P312" s="101"/>
      <c r="Q312" s="101"/>
      <c r="R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91"/>
      <c r="AH312" s="101"/>
      <c r="AI312" s="101"/>
      <c r="AJ312" s="101"/>
      <c r="AK312" s="191"/>
      <c r="AL312" s="101"/>
      <c r="AM312" s="101"/>
      <c r="AN312" s="101"/>
    </row>
    <row r="313" spans="1:40" x14ac:dyDescent="0.3">
      <c r="J313" s="163"/>
      <c r="L313" s="102"/>
      <c r="M313" s="102"/>
      <c r="N313" s="102"/>
      <c r="O313" s="102"/>
      <c r="R313" s="102"/>
      <c r="AA313" s="102"/>
      <c r="AB313" s="102"/>
      <c r="AC313" s="102"/>
      <c r="AD313" s="102"/>
      <c r="AE313" s="102"/>
      <c r="AF313" s="102"/>
      <c r="AG313" s="151"/>
      <c r="AH313" s="102"/>
      <c r="AK313" s="151"/>
      <c r="AL313" s="102"/>
      <c r="AM313" s="102"/>
      <c r="AN313" s="102"/>
    </row>
    <row r="314" spans="1:40" x14ac:dyDescent="0.3">
      <c r="J314" s="163"/>
      <c r="L314" s="102"/>
      <c r="M314" s="102"/>
      <c r="N314" s="102"/>
      <c r="O314" s="102"/>
      <c r="R314" s="102"/>
      <c r="Z314" s="102"/>
      <c r="AA314" s="102"/>
      <c r="AB314" s="102"/>
      <c r="AC314" s="102"/>
      <c r="AD314" s="102"/>
      <c r="AE314" s="102"/>
      <c r="AF314" s="102"/>
      <c r="AG314" s="151"/>
      <c r="AH314" s="102"/>
      <c r="AK314" s="151"/>
      <c r="AL314" s="102"/>
      <c r="AM314" s="102"/>
      <c r="AN314" s="102"/>
    </row>
    <row r="315" spans="1:40" x14ac:dyDescent="0.3">
      <c r="A315" s="102"/>
      <c r="C315" s="102"/>
      <c r="D315" s="102"/>
      <c r="E315" s="102"/>
      <c r="F315" s="102"/>
      <c r="J315" s="213"/>
      <c r="K315" s="102"/>
      <c r="L315" s="102"/>
      <c r="M315" s="102"/>
      <c r="N315" s="102"/>
      <c r="O315" s="102"/>
      <c r="P315" s="102"/>
      <c r="Q315" s="102"/>
      <c r="R315" s="102"/>
      <c r="T315" s="102"/>
      <c r="U315" s="102"/>
      <c r="V315" s="102"/>
      <c r="Z315" s="102"/>
      <c r="AA315" s="102"/>
      <c r="AB315" s="102"/>
      <c r="AC315" s="102"/>
      <c r="AD315" s="102"/>
      <c r="AE315" s="102"/>
      <c r="AF315" s="102"/>
      <c r="AG315" s="151"/>
      <c r="AH315" s="102"/>
      <c r="AI315" s="102"/>
      <c r="AJ315" s="102"/>
      <c r="AK315" s="151"/>
      <c r="AL315" s="102"/>
      <c r="AM315" s="102"/>
      <c r="AN315" s="102"/>
    </row>
    <row r="316" spans="1:40" x14ac:dyDescent="0.3">
      <c r="A316" s="102"/>
      <c r="C316" s="102"/>
      <c r="D316" s="102"/>
      <c r="E316" s="102"/>
      <c r="F316" s="102"/>
      <c r="H316" s="102"/>
      <c r="I316" s="102"/>
      <c r="J316" s="213"/>
      <c r="K316" s="102"/>
      <c r="L316" s="102"/>
      <c r="M316" s="102"/>
      <c r="N316" s="102"/>
      <c r="O316" s="102"/>
      <c r="P316" s="102"/>
      <c r="Q316" s="102"/>
      <c r="R316" s="102"/>
      <c r="T316" s="102"/>
      <c r="U316" s="102"/>
      <c r="V316" s="102"/>
      <c r="Y316" s="102"/>
      <c r="Z316" s="102"/>
      <c r="AA316" s="102"/>
      <c r="AB316" s="102"/>
      <c r="AC316" s="102"/>
      <c r="AD316" s="102"/>
      <c r="AE316" s="102"/>
      <c r="AF316" s="102"/>
      <c r="AG316" s="151"/>
      <c r="AH316" s="102"/>
      <c r="AI316" s="102"/>
      <c r="AJ316" s="102"/>
      <c r="AK316" s="151"/>
      <c r="AL316" s="102"/>
      <c r="AM316" s="102"/>
      <c r="AN316" s="102"/>
    </row>
    <row r="317" spans="1:40" x14ac:dyDescent="0.3">
      <c r="C317" s="102"/>
      <c r="D317" s="102"/>
      <c r="E317" s="102"/>
      <c r="F317" s="102"/>
      <c r="H317" s="102"/>
      <c r="I317" s="102"/>
      <c r="J317" s="213"/>
      <c r="K317" s="102"/>
      <c r="L317" s="102"/>
      <c r="M317" s="102"/>
      <c r="N317" s="102"/>
      <c r="O317" s="102"/>
      <c r="P317" s="102"/>
      <c r="Q317" s="102"/>
      <c r="R317" s="102"/>
      <c r="T317" s="102"/>
      <c r="U317" s="102"/>
      <c r="V317" s="102"/>
      <c r="Y317" s="102"/>
      <c r="Z317" s="102"/>
      <c r="AA317" s="102"/>
      <c r="AB317" s="102"/>
      <c r="AC317" s="102"/>
      <c r="AD317" s="102"/>
      <c r="AE317" s="102"/>
      <c r="AF317" s="102"/>
      <c r="AG317" s="151"/>
      <c r="AH317" s="102"/>
      <c r="AI317" s="102"/>
      <c r="AJ317" s="102"/>
      <c r="AK317" s="151"/>
      <c r="AL317" s="102"/>
      <c r="AM317" s="102"/>
      <c r="AN317" s="102"/>
    </row>
    <row r="318" spans="1:40" x14ac:dyDescent="0.3">
      <c r="A318" s="101"/>
      <c r="B318" s="101"/>
      <c r="C318" s="101"/>
      <c r="D318" s="101"/>
      <c r="E318" s="101"/>
      <c r="F318" s="101"/>
      <c r="G318" s="101"/>
      <c r="H318" s="101"/>
      <c r="I318" s="101"/>
      <c r="J318" s="212"/>
      <c r="K318" s="101"/>
      <c r="L318" s="101"/>
      <c r="M318" s="101"/>
      <c r="N318" s="101"/>
      <c r="O318" s="101"/>
      <c r="P318" s="101"/>
      <c r="Q318" s="101"/>
      <c r="R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91"/>
      <c r="AH318" s="101"/>
      <c r="AI318" s="101"/>
      <c r="AJ318" s="101"/>
      <c r="AK318" s="191"/>
      <c r="AL318" s="101"/>
      <c r="AM318" s="101"/>
      <c r="AN318" s="101"/>
    </row>
    <row r="319" spans="1:40" x14ac:dyDescent="0.3">
      <c r="H319" s="102"/>
      <c r="I319" s="102"/>
      <c r="J319" s="213"/>
      <c r="K319" s="102"/>
      <c r="L319" s="102"/>
      <c r="M319" s="102"/>
      <c r="N319" s="102"/>
      <c r="O319" s="102"/>
      <c r="P319" s="102"/>
      <c r="Q319" s="102"/>
      <c r="R319" s="102"/>
      <c r="Y319" s="102"/>
      <c r="Z319" s="102"/>
      <c r="AA319" s="102"/>
      <c r="AB319" s="102"/>
      <c r="AC319" s="102"/>
      <c r="AD319" s="102"/>
      <c r="AE319" s="102"/>
      <c r="AF319" s="102"/>
      <c r="AG319" s="151"/>
      <c r="AH319" s="102"/>
      <c r="AI319" s="102"/>
      <c r="AJ319" s="102"/>
      <c r="AK319" s="151"/>
      <c r="AL319" s="102"/>
      <c r="AM319" s="102"/>
      <c r="AN319" s="102"/>
    </row>
    <row r="320" spans="1:40" x14ac:dyDescent="0.3">
      <c r="C320" s="99"/>
      <c r="D320" s="99"/>
      <c r="E320" s="99"/>
      <c r="J320" s="163"/>
      <c r="T320" s="99"/>
      <c r="U320" s="99"/>
    </row>
    <row r="321" spans="3:40" x14ac:dyDescent="0.3">
      <c r="D321" s="99"/>
      <c r="E321" s="99"/>
      <c r="J321" s="163"/>
      <c r="U321" s="99"/>
    </row>
    <row r="322" spans="3:40" x14ac:dyDescent="0.3">
      <c r="J322" s="163"/>
    </row>
    <row r="323" spans="3:40" x14ac:dyDescent="0.3">
      <c r="C323" s="99"/>
      <c r="J323" s="163"/>
      <c r="T323" s="99"/>
    </row>
    <row r="324" spans="3:40" x14ac:dyDescent="0.3">
      <c r="C324" s="99"/>
      <c r="F324" s="172"/>
      <c r="H324" s="172"/>
      <c r="I324" s="172"/>
      <c r="J324" s="228"/>
      <c r="K324" s="228"/>
      <c r="L324" s="110"/>
      <c r="M324" s="110"/>
      <c r="N324" s="141"/>
      <c r="O324" s="141"/>
      <c r="P324" s="110"/>
      <c r="Q324" s="110"/>
      <c r="R324" s="110"/>
      <c r="T324" s="99"/>
      <c r="V324" s="172"/>
      <c r="W324" s="110"/>
      <c r="X324" s="110"/>
      <c r="Y324" s="172"/>
      <c r="Z324" s="228"/>
      <c r="AA324" s="110"/>
      <c r="AB324" s="110"/>
      <c r="AC324" s="141"/>
      <c r="AD324" s="141"/>
      <c r="AE324" s="110"/>
      <c r="AF324" s="110"/>
      <c r="AH324" s="207"/>
      <c r="AI324" s="110"/>
      <c r="AJ324" s="110"/>
      <c r="AL324" s="110"/>
      <c r="AM324" s="141"/>
      <c r="AN324" s="141"/>
    </row>
    <row r="325" spans="3:40" x14ac:dyDescent="0.3">
      <c r="C325" s="99"/>
      <c r="F325" s="110"/>
      <c r="H325" s="110"/>
      <c r="I325" s="110"/>
      <c r="J325" s="228"/>
      <c r="K325" s="217"/>
      <c r="L325" s="110"/>
      <c r="M325" s="110"/>
      <c r="N325" s="141"/>
      <c r="O325" s="141"/>
      <c r="P325" s="110"/>
      <c r="Q325" s="110"/>
      <c r="R325" s="110"/>
      <c r="T325" s="99"/>
      <c r="V325" s="172"/>
      <c r="W325" s="110"/>
      <c r="X325" s="110"/>
      <c r="Y325" s="172"/>
      <c r="Z325" s="217"/>
      <c r="AA325" s="110"/>
      <c r="AB325" s="110"/>
      <c r="AC325" s="141"/>
      <c r="AD325" s="141"/>
      <c r="AE325" s="110"/>
      <c r="AF325" s="110"/>
      <c r="AH325" s="207"/>
      <c r="AI325" s="110"/>
      <c r="AJ325" s="110"/>
      <c r="AL325" s="110"/>
      <c r="AM325" s="141"/>
      <c r="AN325" s="141"/>
    </row>
    <row r="326" spans="3:40" x14ac:dyDescent="0.3">
      <c r="C326" s="99"/>
      <c r="F326" s="172"/>
      <c r="H326" s="172"/>
      <c r="I326" s="172"/>
      <c r="J326" s="228"/>
      <c r="K326" s="228"/>
      <c r="L326" s="110"/>
      <c r="M326" s="110"/>
      <c r="N326" s="141"/>
      <c r="O326" s="141"/>
      <c r="P326" s="110"/>
      <c r="Q326" s="110"/>
      <c r="R326" s="110"/>
      <c r="T326" s="99"/>
      <c r="V326" s="172"/>
      <c r="W326" s="110"/>
      <c r="X326" s="110"/>
      <c r="Y326" s="172"/>
      <c r="Z326" s="228"/>
      <c r="AA326" s="110"/>
      <c r="AB326" s="110"/>
      <c r="AC326" s="141"/>
      <c r="AD326" s="141"/>
      <c r="AE326" s="110"/>
      <c r="AF326" s="110"/>
      <c r="AH326" s="207"/>
      <c r="AI326" s="110"/>
      <c r="AJ326" s="110"/>
      <c r="AL326" s="110"/>
      <c r="AM326" s="141"/>
      <c r="AN326" s="141"/>
    </row>
    <row r="327" spans="3:40" x14ac:dyDescent="0.3">
      <c r="C327" s="99"/>
      <c r="F327" s="172"/>
      <c r="H327" s="172"/>
      <c r="I327" s="172"/>
      <c r="J327" s="228"/>
      <c r="K327" s="228"/>
      <c r="L327" s="110"/>
      <c r="M327" s="110"/>
      <c r="N327" s="141"/>
      <c r="O327" s="141"/>
      <c r="P327" s="110"/>
      <c r="Q327" s="110"/>
      <c r="R327" s="110"/>
      <c r="T327" s="99"/>
      <c r="V327" s="172"/>
      <c r="W327" s="110"/>
      <c r="X327" s="110"/>
      <c r="Y327" s="172"/>
      <c r="Z327" s="228"/>
      <c r="AA327" s="110"/>
      <c r="AB327" s="110"/>
      <c r="AC327" s="141"/>
      <c r="AD327" s="141"/>
      <c r="AE327" s="110"/>
      <c r="AF327" s="110"/>
      <c r="AH327" s="207"/>
      <c r="AI327" s="110"/>
      <c r="AJ327" s="110"/>
      <c r="AL327" s="110"/>
      <c r="AM327" s="141"/>
      <c r="AN327" s="141"/>
    </row>
    <row r="328" spans="3:40" x14ac:dyDescent="0.3">
      <c r="C328" s="99"/>
      <c r="F328" s="172"/>
      <c r="H328" s="172"/>
      <c r="I328" s="172"/>
      <c r="J328" s="228"/>
      <c r="K328" s="228"/>
      <c r="L328" s="110"/>
      <c r="M328" s="110"/>
      <c r="N328" s="141"/>
      <c r="O328" s="141"/>
      <c r="P328" s="110"/>
      <c r="Q328" s="110"/>
      <c r="R328" s="110"/>
      <c r="T328" s="99"/>
      <c r="V328" s="172"/>
      <c r="W328" s="110"/>
      <c r="X328" s="110"/>
      <c r="Y328" s="172"/>
      <c r="Z328" s="228"/>
      <c r="AA328" s="110"/>
      <c r="AB328" s="110"/>
      <c r="AC328" s="141"/>
      <c r="AD328" s="141"/>
      <c r="AE328" s="110"/>
      <c r="AF328" s="110"/>
      <c r="AH328" s="207"/>
      <c r="AI328" s="110"/>
      <c r="AJ328" s="110"/>
      <c r="AL328" s="110"/>
      <c r="AM328" s="141"/>
      <c r="AN328" s="141"/>
    </row>
    <row r="329" spans="3:40" x14ac:dyDescent="0.3">
      <c r="C329" s="99"/>
      <c r="F329" s="110"/>
      <c r="H329" s="110"/>
      <c r="I329" s="110"/>
      <c r="J329" s="228"/>
      <c r="K329" s="228"/>
      <c r="L329" s="110"/>
      <c r="M329" s="110"/>
      <c r="N329" s="141"/>
      <c r="O329" s="141"/>
      <c r="P329" s="110"/>
      <c r="Q329" s="110"/>
      <c r="R329" s="110"/>
      <c r="T329" s="99"/>
      <c r="V329" s="172"/>
      <c r="W329" s="110"/>
      <c r="X329" s="110"/>
      <c r="Y329" s="172"/>
      <c r="Z329" s="228"/>
      <c r="AA329" s="110"/>
      <c r="AB329" s="110"/>
      <c r="AC329" s="141"/>
      <c r="AD329" s="141"/>
      <c r="AE329" s="110"/>
      <c r="AF329" s="110"/>
      <c r="AH329" s="207"/>
      <c r="AI329" s="110"/>
      <c r="AJ329" s="110"/>
      <c r="AL329" s="110"/>
      <c r="AM329" s="141"/>
      <c r="AN329" s="141"/>
    </row>
    <row r="330" spans="3:40" x14ac:dyDescent="0.3">
      <c r="C330" s="99"/>
      <c r="F330" s="110"/>
      <c r="H330" s="110"/>
      <c r="I330" s="110"/>
      <c r="J330" s="228"/>
      <c r="K330" s="228"/>
      <c r="L330" s="110"/>
      <c r="M330" s="110"/>
      <c r="N330" s="141"/>
      <c r="O330" s="141"/>
      <c r="P330" s="110"/>
      <c r="Q330" s="110"/>
      <c r="R330" s="110"/>
      <c r="T330" s="99"/>
      <c r="V330" s="172"/>
      <c r="W330" s="110"/>
      <c r="X330" s="110"/>
      <c r="Y330" s="172"/>
      <c r="Z330" s="228"/>
      <c r="AA330" s="110"/>
      <c r="AB330" s="110"/>
      <c r="AC330" s="141"/>
      <c r="AD330" s="141"/>
      <c r="AE330" s="110"/>
      <c r="AF330" s="110"/>
      <c r="AH330" s="207"/>
      <c r="AI330" s="110"/>
      <c r="AJ330" s="110"/>
      <c r="AL330" s="110"/>
      <c r="AM330" s="141"/>
      <c r="AN330" s="141"/>
    </row>
    <row r="331" spans="3:40" x14ac:dyDescent="0.3">
      <c r="F331" s="210"/>
      <c r="H331" s="230"/>
      <c r="I331" s="230"/>
      <c r="J331" s="228"/>
      <c r="K331" s="228"/>
      <c r="L331" s="210"/>
      <c r="M331" s="210"/>
      <c r="N331" s="192"/>
      <c r="O331" s="192"/>
      <c r="P331" s="210"/>
      <c r="Q331" s="210"/>
      <c r="R331" s="210"/>
      <c r="V331" s="210"/>
      <c r="W331" s="110"/>
      <c r="X331" s="110"/>
      <c r="Y331" s="210"/>
      <c r="Z331" s="228"/>
      <c r="AA331" s="210"/>
      <c r="AB331" s="210"/>
      <c r="AC331" s="211"/>
      <c r="AD331" s="211"/>
      <c r="AE331" s="210"/>
      <c r="AF331" s="210"/>
      <c r="AH331" s="207"/>
      <c r="AI331" s="210"/>
      <c r="AJ331" s="210"/>
      <c r="AK331" s="191"/>
      <c r="AL331" s="210"/>
      <c r="AM331" s="141"/>
      <c r="AN331" s="141"/>
    </row>
    <row r="332" spans="3:40" x14ac:dyDescent="0.3">
      <c r="C332" s="99"/>
      <c r="F332" s="110"/>
      <c r="H332" s="110"/>
      <c r="I332" s="110"/>
      <c r="J332" s="228"/>
      <c r="K332" s="228"/>
      <c r="L332" s="110"/>
      <c r="M332" s="110"/>
      <c r="N332" s="207"/>
      <c r="O332" s="207"/>
      <c r="P332" s="110"/>
      <c r="Q332" s="110"/>
      <c r="R332" s="110"/>
      <c r="T332" s="102"/>
      <c r="V332" s="110"/>
      <c r="W332" s="110"/>
      <c r="X332" s="110"/>
      <c r="Y332" s="110"/>
      <c r="Z332" s="228"/>
      <c r="AA332" s="110"/>
      <c r="AB332" s="110"/>
      <c r="AC332" s="207"/>
      <c r="AD332" s="207"/>
      <c r="AE332" s="110"/>
      <c r="AF332" s="110"/>
      <c r="AH332" s="207"/>
      <c r="AI332" s="110"/>
      <c r="AJ332" s="110"/>
      <c r="AL332" s="110"/>
      <c r="AM332" s="141"/>
      <c r="AN332" s="141"/>
    </row>
    <row r="333" spans="3:40" x14ac:dyDescent="0.3">
      <c r="F333" s="101"/>
      <c r="H333" s="101"/>
      <c r="I333" s="101"/>
      <c r="J333" s="163"/>
      <c r="L333" s="101"/>
      <c r="M333" s="101"/>
      <c r="N333" s="211"/>
      <c r="O333" s="211"/>
      <c r="P333" s="210"/>
      <c r="Q333" s="210"/>
      <c r="R333" s="210"/>
      <c r="V333" s="210"/>
      <c r="Y333" s="210"/>
      <c r="Z333" s="217"/>
      <c r="AA333" s="210"/>
      <c r="AB333" s="210"/>
      <c r="AC333" s="210"/>
      <c r="AD333" s="210"/>
      <c r="AE333" s="210"/>
      <c r="AF333" s="210"/>
      <c r="AI333" s="210"/>
      <c r="AJ333" s="210"/>
      <c r="AK333" s="191"/>
      <c r="AL333" s="210"/>
      <c r="AM333" s="211"/>
      <c r="AN333" s="211"/>
    </row>
    <row r="334" spans="3:40" x14ac:dyDescent="0.3">
      <c r="J334" s="163"/>
    </row>
    <row r="335" spans="3:40" x14ac:dyDescent="0.3">
      <c r="J335" s="163"/>
    </row>
    <row r="336" spans="3:40" x14ac:dyDescent="0.3">
      <c r="J336" s="163"/>
    </row>
    <row r="337" spans="1:40" x14ac:dyDescent="0.3">
      <c r="J337" s="163"/>
    </row>
    <row r="338" spans="1:40" x14ac:dyDescent="0.3">
      <c r="J338" s="163"/>
      <c r="N338" s="110"/>
      <c r="O338" s="110"/>
      <c r="P338" s="110"/>
      <c r="Q338" s="110"/>
      <c r="R338" s="110"/>
      <c r="V338" s="110"/>
      <c r="Y338" s="110"/>
      <c r="Z338" s="198"/>
      <c r="AA338" s="110"/>
      <c r="AB338" s="110"/>
      <c r="AC338" s="141"/>
      <c r="AD338" s="141"/>
      <c r="AE338" s="110"/>
      <c r="AF338" s="110"/>
      <c r="AH338" s="207"/>
      <c r="AI338" s="110"/>
      <c r="AJ338" s="110"/>
      <c r="AL338" s="110"/>
      <c r="AM338" s="141"/>
      <c r="AN338" s="141"/>
    </row>
    <row r="339" spans="1:40" x14ac:dyDescent="0.3">
      <c r="C339" s="99"/>
      <c r="D339" s="99"/>
      <c r="E339" s="99"/>
      <c r="J339" s="163"/>
      <c r="K339" s="163"/>
      <c r="T339" s="99"/>
      <c r="U339" s="99"/>
      <c r="Z339" s="163"/>
      <c r="AE339" s="110"/>
      <c r="AF339" s="110"/>
      <c r="AI339" s="110"/>
      <c r="AJ339" s="110"/>
      <c r="AL339" s="110"/>
      <c r="AM339" s="141"/>
      <c r="AN339" s="141"/>
    </row>
    <row r="340" spans="1:40" x14ac:dyDescent="0.3">
      <c r="D340" s="99"/>
      <c r="E340" s="99"/>
      <c r="F340" s="110"/>
      <c r="H340" s="110"/>
      <c r="I340" s="110"/>
      <c r="J340" s="228"/>
      <c r="K340" s="228"/>
      <c r="L340" s="110"/>
      <c r="M340" s="110"/>
      <c r="N340" s="141"/>
      <c r="O340" s="141"/>
      <c r="P340" s="110"/>
      <c r="Q340" s="110"/>
      <c r="R340" s="110"/>
      <c r="U340" s="99"/>
      <c r="V340" s="110"/>
      <c r="Y340" s="110"/>
      <c r="Z340" s="228"/>
      <c r="AA340" s="110"/>
      <c r="AB340" s="110"/>
      <c r="AC340" s="141"/>
      <c r="AD340" s="141"/>
      <c r="AE340" s="110"/>
      <c r="AF340" s="110"/>
      <c r="AH340" s="207"/>
      <c r="AI340" s="110"/>
      <c r="AJ340" s="110"/>
      <c r="AL340" s="110"/>
      <c r="AM340" s="141"/>
      <c r="AN340" s="141"/>
    </row>
    <row r="341" spans="1:40" x14ac:dyDescent="0.3">
      <c r="F341" s="110"/>
      <c r="H341" s="110"/>
      <c r="I341" s="110"/>
      <c r="J341" s="228"/>
      <c r="K341" s="217"/>
      <c r="L341" s="110"/>
      <c r="M341" s="110"/>
      <c r="N341" s="110"/>
      <c r="O341" s="110"/>
      <c r="P341" s="110"/>
      <c r="Q341" s="110"/>
      <c r="R341" s="110"/>
      <c r="V341" s="110"/>
      <c r="Y341" s="110"/>
      <c r="Z341" s="217"/>
      <c r="AA341" s="110"/>
      <c r="AB341" s="110"/>
      <c r="AC341" s="110"/>
      <c r="AD341" s="110"/>
      <c r="AE341" s="110"/>
      <c r="AF341" s="110"/>
      <c r="AH341" s="207"/>
      <c r="AI341" s="172"/>
      <c r="AJ341" s="172"/>
      <c r="AL341" s="110"/>
      <c r="AM341" s="141"/>
      <c r="AN341" s="141"/>
    </row>
    <row r="342" spans="1:40" x14ac:dyDescent="0.3">
      <c r="C342" s="99"/>
      <c r="F342" s="172"/>
      <c r="H342" s="172"/>
      <c r="I342" s="172"/>
      <c r="J342" s="228"/>
      <c r="K342" s="216"/>
      <c r="L342" s="110"/>
      <c r="M342" s="110"/>
      <c r="N342" s="141"/>
      <c r="O342" s="141"/>
      <c r="P342" s="110"/>
      <c r="Q342" s="110"/>
      <c r="R342" s="110"/>
      <c r="T342" s="99"/>
      <c r="V342" s="172"/>
      <c r="Y342" s="172"/>
      <c r="Z342" s="216"/>
      <c r="AA342" s="110"/>
      <c r="AB342" s="110"/>
      <c r="AC342" s="141"/>
      <c r="AD342" s="141"/>
      <c r="AE342" s="110"/>
      <c r="AF342" s="110"/>
      <c r="AH342" s="207"/>
      <c r="AI342" s="110"/>
      <c r="AJ342" s="110"/>
      <c r="AL342" s="110"/>
      <c r="AM342" s="141"/>
      <c r="AN342" s="141"/>
    </row>
    <row r="343" spans="1:40" x14ac:dyDescent="0.3">
      <c r="F343" s="101"/>
      <c r="H343" s="101"/>
      <c r="I343" s="101"/>
      <c r="J343" s="163"/>
      <c r="L343" s="101"/>
      <c r="M343" s="101"/>
      <c r="N343" s="101"/>
      <c r="O343" s="101"/>
      <c r="P343" s="101"/>
      <c r="Q343" s="101"/>
      <c r="R343" s="101"/>
      <c r="V343" s="101"/>
      <c r="Y343" s="101"/>
      <c r="AA343" s="101"/>
      <c r="AB343" s="101"/>
      <c r="AC343" s="101"/>
      <c r="AD343" s="101"/>
      <c r="AE343" s="101"/>
      <c r="AF343" s="101"/>
      <c r="AG343" s="191"/>
      <c r="AH343" s="101"/>
      <c r="AI343" s="101"/>
      <c r="AJ343" s="101"/>
      <c r="AK343" s="191"/>
      <c r="AL343" s="101"/>
      <c r="AM343" s="101"/>
      <c r="AN343" s="101"/>
    </row>
    <row r="344" spans="1:40" x14ac:dyDescent="0.3">
      <c r="C344" s="102"/>
      <c r="F344" s="172"/>
      <c r="H344" s="172"/>
      <c r="I344" s="172"/>
      <c r="J344" s="228"/>
      <c r="K344" s="181"/>
      <c r="L344" s="172"/>
      <c r="M344" s="172"/>
      <c r="N344" s="141"/>
      <c r="O344" s="141"/>
      <c r="P344" s="172"/>
      <c r="Q344" s="172"/>
      <c r="R344" s="172"/>
      <c r="T344" s="102"/>
      <c r="V344" s="110"/>
      <c r="Y344" s="110"/>
      <c r="Z344" s="198"/>
      <c r="AA344" s="110"/>
      <c r="AB344" s="110"/>
      <c r="AC344" s="141"/>
      <c r="AD344" s="141"/>
      <c r="AH344" s="207"/>
      <c r="AI344" s="110"/>
      <c r="AJ344" s="110"/>
      <c r="AL344" s="110"/>
      <c r="AM344" s="141"/>
      <c r="AN344" s="141"/>
    </row>
    <row r="345" spans="1:40" x14ac:dyDescent="0.3">
      <c r="F345" s="210"/>
      <c r="H345" s="210"/>
      <c r="I345" s="210"/>
      <c r="J345" s="228"/>
      <c r="K345" s="217"/>
      <c r="L345" s="210"/>
      <c r="M345" s="210"/>
      <c r="N345" s="210"/>
      <c r="O345" s="210"/>
      <c r="P345" s="210"/>
      <c r="Q345" s="210"/>
      <c r="R345" s="210"/>
      <c r="V345" s="101"/>
      <c r="Y345" s="101"/>
      <c r="AA345" s="101"/>
      <c r="AB345" s="101"/>
      <c r="AC345" s="101"/>
      <c r="AD345" s="101"/>
      <c r="AE345" s="101"/>
      <c r="AF345" s="101"/>
      <c r="AG345" s="191"/>
      <c r="AH345" s="101"/>
      <c r="AI345" s="101"/>
      <c r="AJ345" s="101"/>
      <c r="AK345" s="191"/>
      <c r="AL345" s="101"/>
      <c r="AM345" s="101"/>
      <c r="AN345" s="101"/>
    </row>
    <row r="346" spans="1:40" x14ac:dyDescent="0.3">
      <c r="F346" s="172"/>
      <c r="H346" s="172"/>
      <c r="I346" s="172"/>
      <c r="J346" s="228"/>
      <c r="K346" s="227"/>
      <c r="L346" s="110"/>
      <c r="M346" s="110"/>
      <c r="N346" s="141"/>
      <c r="O346" s="141"/>
      <c r="P346" s="110"/>
      <c r="Q346" s="110"/>
      <c r="R346" s="110"/>
    </row>
    <row r="347" spans="1:40" x14ac:dyDescent="0.3">
      <c r="A347" s="99"/>
      <c r="F347" s="172"/>
      <c r="H347" s="172"/>
      <c r="I347" s="172"/>
      <c r="J347" s="228"/>
      <c r="K347" s="181"/>
      <c r="L347" s="110"/>
      <c r="M347" s="110"/>
      <c r="N347" s="141"/>
      <c r="O347" s="141"/>
      <c r="P347" s="110"/>
      <c r="Q347" s="110"/>
      <c r="R347" s="110"/>
    </row>
    <row r="348" spans="1:40" x14ac:dyDescent="0.3">
      <c r="F348" s="172"/>
      <c r="H348" s="172"/>
      <c r="I348" s="172"/>
      <c r="J348" s="228"/>
      <c r="K348" s="181"/>
      <c r="L348" s="110"/>
      <c r="M348" s="110"/>
      <c r="N348" s="141"/>
      <c r="O348" s="141"/>
      <c r="P348" s="110"/>
      <c r="Q348" s="110"/>
      <c r="R348" s="110"/>
    </row>
    <row r="349" spans="1:40" x14ac:dyDescent="0.3">
      <c r="A349" s="99"/>
      <c r="J349" s="163"/>
    </row>
    <row r="350" spans="1:40" x14ac:dyDescent="0.3">
      <c r="J350" s="163"/>
    </row>
    <row r="351" spans="1:40" x14ac:dyDescent="0.3">
      <c r="J351" s="163"/>
    </row>
    <row r="352" spans="1:40" x14ac:dyDescent="0.3">
      <c r="H352" s="99"/>
      <c r="I352" s="99"/>
      <c r="J352" s="163"/>
      <c r="Y352" s="99"/>
    </row>
    <row r="353" spans="1:40" x14ac:dyDescent="0.3">
      <c r="J353" s="163"/>
    </row>
    <row r="354" spans="1:40" x14ac:dyDescent="0.3">
      <c r="J354" s="163"/>
      <c r="L354" s="99"/>
      <c r="M354" s="99"/>
      <c r="AA354" s="99"/>
      <c r="AB354" s="99"/>
    </row>
    <row r="355" spans="1:40" x14ac:dyDescent="0.3">
      <c r="J355" s="163"/>
      <c r="R355" s="99"/>
      <c r="AK355" s="190"/>
      <c r="AL355" s="99"/>
    </row>
    <row r="356" spans="1:40" x14ac:dyDescent="0.3">
      <c r="J356" s="163"/>
      <c r="R356" s="99"/>
      <c r="AK356" s="190"/>
      <c r="AL356" s="99"/>
    </row>
    <row r="357" spans="1:40" x14ac:dyDescent="0.3">
      <c r="A357" s="99"/>
      <c r="J357" s="163"/>
      <c r="R357" s="99"/>
      <c r="AK357" s="190"/>
      <c r="AL357" s="99"/>
    </row>
    <row r="358" spans="1:40" x14ac:dyDescent="0.3">
      <c r="J358" s="163"/>
      <c r="L358" s="99"/>
      <c r="M358" s="99"/>
      <c r="AA358" s="99"/>
      <c r="AB358" s="99"/>
    </row>
    <row r="359" spans="1:40" x14ac:dyDescent="0.3">
      <c r="A359" s="101"/>
      <c r="B359" s="101"/>
      <c r="C359" s="101"/>
      <c r="D359" s="101"/>
      <c r="E359" s="101"/>
      <c r="F359" s="101"/>
      <c r="G359" s="101"/>
      <c r="H359" s="101"/>
      <c r="I359" s="101"/>
      <c r="J359" s="212"/>
      <c r="K359" s="101"/>
      <c r="L359" s="101"/>
      <c r="M359" s="101"/>
      <c r="N359" s="101"/>
      <c r="O359" s="101"/>
      <c r="P359" s="101"/>
      <c r="Q359" s="101"/>
      <c r="R359" s="101"/>
      <c r="T359" s="101"/>
      <c r="U359" s="101"/>
      <c r="V359" s="101"/>
      <c r="W359" s="101"/>
      <c r="X359" s="101"/>
      <c r="Y359" s="101"/>
      <c r="Z359" s="101"/>
      <c r="AA359" s="101"/>
      <c r="AB359" s="101"/>
      <c r="AC359" s="101"/>
      <c r="AD359" s="101"/>
      <c r="AE359" s="101"/>
      <c r="AF359" s="101"/>
      <c r="AG359" s="191"/>
      <c r="AH359" s="101"/>
      <c r="AI359" s="101"/>
      <c r="AJ359" s="101"/>
      <c r="AK359" s="191"/>
      <c r="AL359" s="101"/>
      <c r="AM359" s="101"/>
      <c r="AN359" s="101"/>
    </row>
    <row r="360" spans="1:40" x14ac:dyDescent="0.3">
      <c r="J360" s="163"/>
      <c r="L360" s="102"/>
      <c r="M360" s="102"/>
      <c r="N360" s="102"/>
      <c r="O360" s="102"/>
      <c r="R360" s="102"/>
      <c r="AA360" s="102"/>
      <c r="AB360" s="102"/>
      <c r="AC360" s="102"/>
      <c r="AD360" s="102"/>
      <c r="AE360" s="102"/>
      <c r="AF360" s="102"/>
      <c r="AG360" s="151"/>
      <c r="AH360" s="102"/>
      <c r="AK360" s="151"/>
      <c r="AL360" s="102"/>
      <c r="AM360" s="102"/>
      <c r="AN360" s="102"/>
    </row>
    <row r="361" spans="1:40" x14ac:dyDescent="0.3">
      <c r="J361" s="163"/>
      <c r="L361" s="102"/>
      <c r="M361" s="102"/>
      <c r="N361" s="102"/>
      <c r="O361" s="102"/>
      <c r="R361" s="102"/>
      <c r="Z361" s="102"/>
      <c r="AA361" s="102"/>
      <c r="AB361" s="102"/>
      <c r="AC361" s="102"/>
      <c r="AD361" s="102"/>
      <c r="AE361" s="102"/>
      <c r="AF361" s="102"/>
      <c r="AG361" s="151"/>
      <c r="AH361" s="102"/>
      <c r="AK361" s="151"/>
      <c r="AL361" s="102"/>
      <c r="AM361" s="102"/>
      <c r="AN361" s="102"/>
    </row>
    <row r="362" spans="1:40" x14ac:dyDescent="0.3">
      <c r="A362" s="102"/>
      <c r="C362" s="102"/>
      <c r="D362" s="102"/>
      <c r="E362" s="102"/>
      <c r="F362" s="102"/>
      <c r="J362" s="213"/>
      <c r="K362" s="102"/>
      <c r="L362" s="102"/>
      <c r="M362" s="102"/>
      <c r="N362" s="102"/>
      <c r="O362" s="102"/>
      <c r="P362" s="102"/>
      <c r="Q362" s="102"/>
      <c r="R362" s="102"/>
      <c r="T362" s="102"/>
      <c r="U362" s="102"/>
      <c r="V362" s="102"/>
      <c r="Z362" s="102"/>
      <c r="AA362" s="102"/>
      <c r="AB362" s="102"/>
      <c r="AC362" s="102"/>
      <c r="AD362" s="102"/>
      <c r="AE362" s="102"/>
      <c r="AF362" s="102"/>
      <c r="AG362" s="151"/>
      <c r="AH362" s="102"/>
      <c r="AI362" s="102"/>
      <c r="AJ362" s="102"/>
      <c r="AK362" s="151"/>
      <c r="AL362" s="102"/>
      <c r="AM362" s="102"/>
      <c r="AN362" s="102"/>
    </row>
    <row r="363" spans="1:40" x14ac:dyDescent="0.3">
      <c r="A363" s="102"/>
      <c r="C363" s="102"/>
      <c r="D363" s="102"/>
      <c r="E363" s="102"/>
      <c r="F363" s="102"/>
      <c r="H363" s="102"/>
      <c r="I363" s="102"/>
      <c r="J363" s="213"/>
      <c r="K363" s="102"/>
      <c r="L363" s="102"/>
      <c r="M363" s="102"/>
      <c r="N363" s="102"/>
      <c r="O363" s="102"/>
      <c r="P363" s="102"/>
      <c r="Q363" s="102"/>
      <c r="R363" s="102"/>
      <c r="T363" s="102"/>
      <c r="U363" s="102"/>
      <c r="V363" s="102"/>
      <c r="Y363" s="102"/>
      <c r="Z363" s="102"/>
      <c r="AA363" s="102"/>
      <c r="AB363" s="102"/>
      <c r="AC363" s="102"/>
      <c r="AD363" s="102"/>
      <c r="AE363" s="102"/>
      <c r="AF363" s="102"/>
      <c r="AG363" s="151"/>
      <c r="AH363" s="102"/>
      <c r="AI363" s="102"/>
      <c r="AJ363" s="102"/>
      <c r="AK363" s="151"/>
      <c r="AL363" s="102"/>
      <c r="AM363" s="102"/>
      <c r="AN363" s="102"/>
    </row>
    <row r="364" spans="1:40" x14ac:dyDescent="0.3">
      <c r="C364" s="102"/>
      <c r="D364" s="102"/>
      <c r="E364" s="102"/>
      <c r="F364" s="102"/>
      <c r="H364" s="102"/>
      <c r="I364" s="102"/>
      <c r="J364" s="213"/>
      <c r="K364" s="102"/>
      <c r="L364" s="102"/>
      <c r="M364" s="102"/>
      <c r="N364" s="102"/>
      <c r="O364" s="102"/>
      <c r="P364" s="102"/>
      <c r="Q364" s="102"/>
      <c r="R364" s="102"/>
      <c r="T364" s="102"/>
      <c r="U364" s="102"/>
      <c r="V364" s="102"/>
      <c r="Y364" s="102"/>
      <c r="Z364" s="102"/>
      <c r="AA364" s="102"/>
      <c r="AB364" s="102"/>
      <c r="AC364" s="102"/>
      <c r="AD364" s="102"/>
      <c r="AE364" s="102"/>
      <c r="AF364" s="102"/>
      <c r="AG364" s="151"/>
      <c r="AH364" s="102"/>
      <c r="AI364" s="102"/>
      <c r="AJ364" s="102"/>
      <c r="AK364" s="151"/>
      <c r="AL364" s="102"/>
      <c r="AM364" s="102"/>
      <c r="AN364" s="102"/>
    </row>
    <row r="365" spans="1:40" x14ac:dyDescent="0.3">
      <c r="A365" s="101"/>
      <c r="B365" s="101"/>
      <c r="C365" s="101"/>
      <c r="D365" s="101"/>
      <c r="E365" s="101"/>
      <c r="F365" s="101"/>
      <c r="G365" s="101"/>
      <c r="H365" s="101"/>
      <c r="I365" s="101"/>
      <c r="J365" s="212"/>
      <c r="K365" s="101"/>
      <c r="L365" s="101"/>
      <c r="M365" s="101"/>
      <c r="N365" s="101"/>
      <c r="O365" s="101"/>
      <c r="P365" s="101"/>
      <c r="Q365" s="101"/>
      <c r="R365" s="101"/>
      <c r="T365" s="101"/>
      <c r="U365" s="101"/>
      <c r="V365" s="101"/>
      <c r="W365" s="101"/>
      <c r="X365" s="101"/>
      <c r="Y365" s="101"/>
      <c r="Z365" s="101"/>
      <c r="AA365" s="101"/>
      <c r="AB365" s="101"/>
      <c r="AC365" s="101"/>
      <c r="AD365" s="101"/>
      <c r="AE365" s="101"/>
      <c r="AF365" s="101"/>
      <c r="AG365" s="191"/>
      <c r="AH365" s="101"/>
      <c r="AI365" s="101"/>
      <c r="AJ365" s="101"/>
      <c r="AK365" s="191"/>
      <c r="AL365" s="101"/>
      <c r="AM365" s="101"/>
      <c r="AN365" s="101"/>
    </row>
    <row r="366" spans="1:40" x14ac:dyDescent="0.3">
      <c r="H366" s="102"/>
      <c r="I366" s="102"/>
      <c r="J366" s="213"/>
      <c r="K366" s="102"/>
      <c r="L366" s="102"/>
      <c r="M366" s="102"/>
      <c r="N366" s="102"/>
      <c r="O366" s="102"/>
      <c r="P366" s="102"/>
      <c r="Q366" s="102"/>
      <c r="R366" s="102"/>
      <c r="Y366" s="102"/>
      <c r="Z366" s="102"/>
      <c r="AA366" s="102"/>
      <c r="AB366" s="102"/>
      <c r="AC366" s="102"/>
      <c r="AD366" s="102"/>
      <c r="AE366" s="102"/>
      <c r="AF366" s="102"/>
      <c r="AG366" s="151"/>
      <c r="AH366" s="102"/>
      <c r="AI366" s="102"/>
      <c r="AJ366" s="102"/>
      <c r="AK366" s="151"/>
      <c r="AL366" s="102"/>
      <c r="AM366" s="102"/>
      <c r="AN366" s="102"/>
    </row>
    <row r="367" spans="1:40" x14ac:dyDescent="0.3">
      <c r="C367" s="99"/>
      <c r="D367" s="99"/>
      <c r="E367" s="99"/>
      <c r="J367" s="163"/>
      <c r="T367" s="99"/>
      <c r="U367" s="99"/>
    </row>
    <row r="368" spans="1:40" x14ac:dyDescent="0.3">
      <c r="J368" s="163"/>
    </row>
    <row r="369" spans="3:40" x14ac:dyDescent="0.3">
      <c r="C369" s="99"/>
      <c r="J369" s="163"/>
      <c r="T369" s="99"/>
    </row>
    <row r="370" spans="3:40" x14ac:dyDescent="0.3">
      <c r="C370" s="99"/>
      <c r="F370" s="172"/>
      <c r="H370" s="172"/>
      <c r="I370" s="172"/>
      <c r="J370" s="228"/>
      <c r="K370" s="217"/>
      <c r="L370" s="110"/>
      <c r="M370" s="110"/>
      <c r="N370" s="141"/>
      <c r="O370" s="141"/>
      <c r="P370" s="110"/>
      <c r="Q370" s="110"/>
      <c r="R370" s="110"/>
      <c r="T370" s="99"/>
      <c r="V370" s="172"/>
      <c r="Y370" s="172"/>
      <c r="Z370" s="217"/>
      <c r="AA370" s="110"/>
      <c r="AB370" s="110"/>
      <c r="AC370" s="141"/>
      <c r="AD370" s="141"/>
      <c r="AE370" s="110"/>
      <c r="AF370" s="110"/>
      <c r="AH370" s="207"/>
      <c r="AI370" s="110"/>
      <c r="AJ370" s="110"/>
      <c r="AL370" s="110"/>
      <c r="AM370" s="141"/>
      <c r="AN370" s="141"/>
    </row>
    <row r="371" spans="3:40" x14ac:dyDescent="0.3">
      <c r="C371" s="99"/>
      <c r="J371" s="163"/>
      <c r="T371" s="99"/>
    </row>
    <row r="372" spans="3:40" x14ac:dyDescent="0.3">
      <c r="C372" s="99"/>
      <c r="F372" s="172"/>
      <c r="H372" s="172"/>
      <c r="I372" s="172"/>
      <c r="J372" s="228"/>
      <c r="K372" s="228"/>
      <c r="L372" s="110"/>
      <c r="M372" s="110"/>
      <c r="N372" s="141"/>
      <c r="O372" s="141"/>
      <c r="P372" s="110"/>
      <c r="Q372" s="110"/>
      <c r="R372" s="110"/>
      <c r="T372" s="99"/>
      <c r="V372" s="110"/>
      <c r="Y372" s="110"/>
      <c r="Z372" s="228"/>
      <c r="AA372" s="110"/>
      <c r="AB372" s="110"/>
      <c r="AC372" s="141"/>
      <c r="AD372" s="141"/>
      <c r="AE372" s="110"/>
      <c r="AF372" s="110"/>
      <c r="AH372" s="207"/>
      <c r="AI372" s="110"/>
      <c r="AJ372" s="110"/>
      <c r="AL372" s="110"/>
      <c r="AM372" s="141"/>
      <c r="AN372" s="141"/>
    </row>
    <row r="373" spans="3:40" x14ac:dyDescent="0.3">
      <c r="C373" s="99"/>
      <c r="F373" s="172"/>
      <c r="H373" s="172"/>
      <c r="I373" s="172"/>
      <c r="J373" s="228"/>
      <c r="K373" s="228"/>
      <c r="L373" s="110"/>
      <c r="M373" s="110"/>
      <c r="N373" s="141"/>
      <c r="O373" s="141"/>
      <c r="P373" s="110"/>
      <c r="Q373" s="110"/>
      <c r="R373" s="110"/>
      <c r="T373" s="99"/>
      <c r="V373" s="110"/>
      <c r="Y373" s="110"/>
      <c r="Z373" s="228"/>
      <c r="AA373" s="110"/>
      <c r="AB373" s="110"/>
      <c r="AC373" s="141"/>
      <c r="AD373" s="141"/>
      <c r="AE373" s="110"/>
      <c r="AF373" s="110"/>
      <c r="AH373" s="207"/>
      <c r="AI373" s="110"/>
      <c r="AJ373" s="110"/>
      <c r="AL373" s="110"/>
      <c r="AM373" s="141"/>
      <c r="AN373" s="141"/>
    </row>
    <row r="374" spans="3:40" x14ac:dyDescent="0.3">
      <c r="C374" s="99"/>
      <c r="F374" s="172"/>
      <c r="H374" s="172"/>
      <c r="I374" s="172"/>
      <c r="J374" s="228"/>
      <c r="K374" s="228"/>
      <c r="L374" s="110"/>
      <c r="M374" s="110"/>
      <c r="N374" s="141"/>
      <c r="O374" s="141"/>
      <c r="P374" s="110"/>
      <c r="Q374" s="110"/>
      <c r="R374" s="110"/>
      <c r="T374" s="99"/>
      <c r="V374" s="110"/>
      <c r="Y374" s="110"/>
      <c r="Z374" s="228"/>
      <c r="AA374" s="110"/>
      <c r="AB374" s="110"/>
      <c r="AC374" s="141"/>
      <c r="AD374" s="141"/>
      <c r="AE374" s="110"/>
      <c r="AF374" s="110"/>
      <c r="AH374" s="207"/>
      <c r="AI374" s="110"/>
      <c r="AJ374" s="110"/>
      <c r="AL374" s="110"/>
      <c r="AM374" s="141"/>
      <c r="AN374" s="141"/>
    </row>
    <row r="375" spans="3:40" x14ac:dyDescent="0.3">
      <c r="C375" s="99"/>
      <c r="F375" s="172"/>
      <c r="H375" s="172"/>
      <c r="I375" s="172"/>
      <c r="J375" s="228"/>
      <c r="K375" s="228"/>
      <c r="L375" s="110"/>
      <c r="M375" s="110"/>
      <c r="N375" s="141"/>
      <c r="O375" s="141"/>
      <c r="P375" s="110"/>
      <c r="Q375" s="110"/>
      <c r="R375" s="110"/>
      <c r="T375" s="99"/>
      <c r="V375" s="110"/>
      <c r="Y375" s="110"/>
      <c r="Z375" s="228"/>
      <c r="AA375" s="110"/>
      <c r="AB375" s="110"/>
      <c r="AC375" s="141"/>
      <c r="AD375" s="141"/>
      <c r="AE375" s="110"/>
      <c r="AF375" s="110"/>
      <c r="AH375" s="207"/>
      <c r="AI375" s="110"/>
      <c r="AJ375" s="110"/>
      <c r="AL375" s="110"/>
      <c r="AM375" s="141"/>
      <c r="AN375" s="141"/>
    </row>
    <row r="376" spans="3:40" x14ac:dyDescent="0.3">
      <c r="C376" s="99"/>
      <c r="J376" s="163"/>
      <c r="K376" s="163"/>
      <c r="T376" s="99"/>
      <c r="Z376" s="163"/>
    </row>
    <row r="377" spans="3:40" x14ac:dyDescent="0.3">
      <c r="C377" s="99"/>
      <c r="F377" s="172"/>
      <c r="H377" s="172"/>
      <c r="I377" s="172"/>
      <c r="J377" s="228"/>
      <c r="K377" s="228"/>
      <c r="L377" s="110"/>
      <c r="M377" s="110"/>
      <c r="N377" s="141"/>
      <c r="O377" s="141"/>
      <c r="P377" s="110"/>
      <c r="Q377" s="110"/>
      <c r="R377" s="110"/>
      <c r="T377" s="99"/>
      <c r="V377" s="110"/>
      <c r="Y377" s="110"/>
      <c r="Z377" s="228"/>
      <c r="AA377" s="110"/>
      <c r="AB377" s="110"/>
      <c r="AC377" s="141"/>
      <c r="AD377" s="141"/>
      <c r="AE377" s="110"/>
      <c r="AF377" s="110"/>
      <c r="AH377" s="207"/>
      <c r="AI377" s="110"/>
      <c r="AJ377" s="110"/>
      <c r="AL377" s="110"/>
      <c r="AM377" s="141"/>
      <c r="AN377" s="141"/>
    </row>
    <row r="378" spans="3:40" x14ac:dyDescent="0.3">
      <c r="C378" s="99"/>
      <c r="F378" s="172"/>
      <c r="H378" s="172"/>
      <c r="I378" s="172"/>
      <c r="J378" s="228"/>
      <c r="K378" s="228"/>
      <c r="L378" s="110"/>
      <c r="M378" s="110"/>
      <c r="N378" s="141"/>
      <c r="O378" s="141"/>
      <c r="P378" s="110"/>
      <c r="Q378" s="110"/>
      <c r="R378" s="110"/>
      <c r="T378" s="99"/>
      <c r="V378" s="110"/>
      <c r="Y378" s="110"/>
      <c r="Z378" s="228"/>
      <c r="AA378" s="110"/>
      <c r="AB378" s="110"/>
      <c r="AC378" s="141"/>
      <c r="AD378" s="141"/>
      <c r="AE378" s="110"/>
      <c r="AF378" s="110"/>
      <c r="AH378" s="207"/>
      <c r="AI378" s="110"/>
      <c r="AJ378" s="110"/>
      <c r="AL378" s="110"/>
      <c r="AM378" s="141"/>
      <c r="AN378" s="141"/>
    </row>
    <row r="379" spans="3:40" x14ac:dyDescent="0.3">
      <c r="C379" s="99"/>
      <c r="F379" s="172"/>
      <c r="H379" s="172"/>
      <c r="I379" s="172"/>
      <c r="J379" s="228"/>
      <c r="K379" s="228"/>
      <c r="L379" s="110"/>
      <c r="M379" s="110"/>
      <c r="N379" s="141"/>
      <c r="O379" s="141"/>
      <c r="P379" s="110"/>
      <c r="Q379" s="110"/>
      <c r="R379" s="110"/>
      <c r="T379" s="99"/>
      <c r="V379" s="110"/>
      <c r="Y379" s="110"/>
      <c r="Z379" s="228"/>
      <c r="AA379" s="110"/>
      <c r="AB379" s="110"/>
      <c r="AC379" s="141"/>
      <c r="AD379" s="141"/>
      <c r="AE379" s="110"/>
      <c r="AF379" s="110"/>
      <c r="AH379" s="207"/>
      <c r="AI379" s="110"/>
      <c r="AJ379" s="110"/>
      <c r="AL379" s="110"/>
      <c r="AM379" s="141"/>
      <c r="AN379" s="141"/>
    </row>
    <row r="380" spans="3:40" x14ac:dyDescent="0.3">
      <c r="C380" s="99"/>
      <c r="J380" s="163"/>
      <c r="K380" s="163"/>
      <c r="T380" s="99"/>
      <c r="Z380" s="163"/>
    </row>
    <row r="381" spans="3:40" x14ac:dyDescent="0.3">
      <c r="C381" s="99"/>
      <c r="F381" s="172"/>
      <c r="H381" s="172"/>
      <c r="I381" s="172"/>
      <c r="J381" s="228"/>
      <c r="K381" s="228"/>
      <c r="L381" s="110"/>
      <c r="M381" s="110"/>
      <c r="N381" s="141"/>
      <c r="O381" s="141"/>
      <c r="P381" s="110"/>
      <c r="Q381" s="110"/>
      <c r="R381" s="110"/>
      <c r="T381" s="99"/>
      <c r="V381" s="110"/>
      <c r="Y381" s="110"/>
      <c r="Z381" s="228"/>
      <c r="AA381" s="110"/>
      <c r="AB381" s="110"/>
      <c r="AC381" s="141"/>
      <c r="AD381" s="141"/>
      <c r="AE381" s="110"/>
      <c r="AF381" s="110"/>
      <c r="AH381" s="207"/>
      <c r="AI381" s="110"/>
      <c r="AJ381" s="110"/>
      <c r="AL381" s="110"/>
      <c r="AM381" s="141"/>
      <c r="AN381" s="141"/>
    </row>
    <row r="382" spans="3:40" x14ac:dyDescent="0.3">
      <c r="C382" s="99"/>
      <c r="F382" s="172"/>
      <c r="H382" s="172"/>
      <c r="I382" s="172"/>
      <c r="J382" s="228"/>
      <c r="K382" s="228"/>
      <c r="L382" s="110"/>
      <c r="M382" s="110"/>
      <c r="N382" s="141"/>
      <c r="O382" s="141"/>
      <c r="P382" s="110"/>
      <c r="Q382" s="110"/>
      <c r="R382" s="110"/>
      <c r="T382" s="99"/>
      <c r="V382" s="110"/>
      <c r="Y382" s="110"/>
      <c r="Z382" s="228"/>
      <c r="AA382" s="110"/>
      <c r="AB382" s="110"/>
      <c r="AC382" s="141"/>
      <c r="AD382" s="141"/>
      <c r="AE382" s="110"/>
      <c r="AF382" s="110"/>
      <c r="AH382" s="207"/>
      <c r="AI382" s="110"/>
      <c r="AJ382" s="110"/>
      <c r="AL382" s="110"/>
      <c r="AM382" s="141"/>
      <c r="AN382" s="141"/>
    </row>
    <row r="383" spans="3:40" x14ac:dyDescent="0.3">
      <c r="C383" s="99"/>
      <c r="J383" s="163"/>
      <c r="K383" s="163"/>
      <c r="T383" s="99"/>
      <c r="Z383" s="163"/>
    </row>
    <row r="384" spans="3:40" x14ac:dyDescent="0.3">
      <c r="C384" s="99"/>
      <c r="F384" s="172"/>
      <c r="H384" s="172"/>
      <c r="I384" s="172"/>
      <c r="J384" s="228"/>
      <c r="K384" s="228"/>
      <c r="L384" s="110"/>
      <c r="M384" s="110"/>
      <c r="N384" s="141"/>
      <c r="O384" s="141"/>
      <c r="P384" s="110"/>
      <c r="Q384" s="110"/>
      <c r="R384" s="110"/>
      <c r="T384" s="99"/>
      <c r="V384" s="110"/>
      <c r="Y384" s="110"/>
      <c r="Z384" s="228"/>
      <c r="AA384" s="110"/>
      <c r="AB384" s="110"/>
      <c r="AC384" s="141"/>
      <c r="AD384" s="141"/>
      <c r="AE384" s="110"/>
      <c r="AF384" s="110"/>
      <c r="AH384" s="207"/>
      <c r="AI384" s="110"/>
      <c r="AJ384" s="110"/>
      <c r="AL384" s="110"/>
      <c r="AM384" s="141"/>
      <c r="AN384" s="141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10"/>
      <c r="Y385" s="110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72"/>
      <c r="H386" s="172"/>
      <c r="I386" s="172"/>
      <c r="J386" s="228"/>
      <c r="K386" s="228"/>
      <c r="L386" s="110"/>
      <c r="M386" s="110"/>
      <c r="N386" s="141"/>
      <c r="O386" s="141"/>
      <c r="P386" s="110"/>
      <c r="Q386" s="110"/>
      <c r="R386" s="110"/>
      <c r="T386" s="99"/>
      <c r="V386" s="110"/>
      <c r="Y386" s="110"/>
      <c r="Z386" s="228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F387" s="192"/>
      <c r="H387" s="192"/>
      <c r="I387" s="192"/>
      <c r="J387" s="228"/>
      <c r="K387" s="228"/>
      <c r="L387" s="192"/>
      <c r="M387" s="192"/>
      <c r="N387" s="192"/>
      <c r="O387" s="192"/>
      <c r="P387" s="192"/>
      <c r="Q387" s="192"/>
      <c r="R387" s="192"/>
      <c r="V387" s="192"/>
      <c r="Y387" s="192"/>
      <c r="Z387" s="228"/>
      <c r="AA387" s="192"/>
      <c r="AB387" s="192"/>
      <c r="AC387" s="192"/>
      <c r="AD387" s="192"/>
      <c r="AE387" s="192"/>
      <c r="AF387" s="192"/>
      <c r="AI387" s="192"/>
      <c r="AJ387" s="192"/>
      <c r="AK387" s="194"/>
      <c r="AL387" s="192"/>
    </row>
    <row r="388" spans="3:40" x14ac:dyDescent="0.3">
      <c r="C388" s="102"/>
      <c r="F388" s="110"/>
      <c r="H388" s="110"/>
      <c r="I388" s="110"/>
      <c r="J388" s="163"/>
      <c r="K388" s="163"/>
      <c r="L388" s="110"/>
      <c r="M388" s="110"/>
      <c r="N388" s="207"/>
      <c r="O388" s="207"/>
      <c r="P388" s="110"/>
      <c r="Q388" s="110"/>
      <c r="R388" s="110"/>
      <c r="T388" s="102"/>
      <c r="V388" s="110"/>
      <c r="Y388" s="110"/>
      <c r="Z388" s="163"/>
      <c r="AA388" s="110"/>
      <c r="AB388" s="110"/>
      <c r="AC388" s="110"/>
      <c r="AD388" s="110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F389" s="192"/>
      <c r="H389" s="192"/>
      <c r="I389" s="192"/>
      <c r="J389" s="228"/>
      <c r="K389" s="228"/>
      <c r="L389" s="192"/>
      <c r="M389" s="192"/>
      <c r="N389" s="192"/>
      <c r="O389" s="192"/>
      <c r="P389" s="192"/>
      <c r="Q389" s="192"/>
      <c r="R389" s="192"/>
      <c r="V389" s="192"/>
      <c r="Y389" s="192"/>
      <c r="Z389" s="228"/>
      <c r="AA389" s="192"/>
      <c r="AB389" s="192"/>
      <c r="AC389" s="192"/>
      <c r="AD389" s="192"/>
      <c r="AE389" s="192"/>
      <c r="AF389" s="192"/>
      <c r="AI389" s="192"/>
      <c r="AJ389" s="192"/>
      <c r="AK389" s="194"/>
      <c r="AL389" s="192"/>
    </row>
    <row r="390" spans="3:40" x14ac:dyDescent="0.3">
      <c r="C390" s="99"/>
      <c r="J390" s="163"/>
      <c r="K390" s="163"/>
      <c r="T390" s="99"/>
      <c r="Z390" s="163"/>
    </row>
    <row r="391" spans="3:40" x14ac:dyDescent="0.3">
      <c r="C391" s="99"/>
      <c r="J391" s="163"/>
      <c r="K391" s="163"/>
      <c r="T391" s="99"/>
      <c r="Z391" s="163"/>
    </row>
    <row r="392" spans="3:40" x14ac:dyDescent="0.3">
      <c r="C392" s="99"/>
      <c r="F392" s="172"/>
      <c r="H392" s="172"/>
      <c r="I392" s="172"/>
      <c r="J392" s="228"/>
      <c r="K392" s="228"/>
      <c r="L392" s="110"/>
      <c r="M392" s="110"/>
      <c r="N392" s="141"/>
      <c r="O392" s="141"/>
      <c r="P392" s="110"/>
      <c r="Q392" s="110"/>
      <c r="R392" s="110"/>
      <c r="T392" s="99"/>
      <c r="V392" s="110"/>
      <c r="Y392" s="110"/>
      <c r="Z392" s="228"/>
      <c r="AA392" s="110"/>
      <c r="AB392" s="110"/>
      <c r="AC392" s="141"/>
      <c r="AD392" s="141"/>
      <c r="AE392" s="110"/>
      <c r="AF392" s="110"/>
      <c r="AH392" s="207"/>
      <c r="AI392" s="110"/>
      <c r="AJ392" s="110"/>
      <c r="AL392" s="110"/>
      <c r="AM392" s="141"/>
      <c r="AN392" s="141"/>
    </row>
    <row r="393" spans="3:40" x14ac:dyDescent="0.3">
      <c r="C393" s="99"/>
      <c r="F393" s="172"/>
      <c r="H393" s="172"/>
      <c r="I393" s="172"/>
      <c r="J393" s="228"/>
      <c r="K393" s="228"/>
      <c r="L393" s="110"/>
      <c r="M393" s="110"/>
      <c r="N393" s="141"/>
      <c r="O393" s="141"/>
      <c r="P393" s="110"/>
      <c r="Q393" s="110"/>
      <c r="R393" s="110"/>
      <c r="T393" s="99"/>
      <c r="V393" s="110"/>
      <c r="Y393" s="110"/>
      <c r="Z393" s="228"/>
      <c r="AA393" s="110"/>
      <c r="AB393" s="110"/>
      <c r="AC393" s="141"/>
      <c r="AD393" s="141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C394" s="99"/>
      <c r="F394" s="172"/>
      <c r="H394" s="172"/>
      <c r="I394" s="172"/>
      <c r="J394" s="228"/>
      <c r="K394" s="228"/>
      <c r="L394" s="110"/>
      <c r="M394" s="110"/>
      <c r="N394" s="141"/>
      <c r="O394" s="141"/>
      <c r="P394" s="110"/>
      <c r="Q394" s="110"/>
      <c r="R394" s="110"/>
      <c r="T394" s="99"/>
      <c r="V394" s="110"/>
      <c r="Y394" s="110"/>
      <c r="Z394" s="228"/>
      <c r="AA394" s="110"/>
      <c r="AB394" s="110"/>
      <c r="AC394" s="141"/>
      <c r="AD394" s="141"/>
      <c r="AE394" s="110"/>
      <c r="AF394" s="110"/>
      <c r="AH394" s="207"/>
      <c r="AI394" s="110"/>
      <c r="AJ394" s="110"/>
      <c r="AL394" s="110"/>
      <c r="AM394" s="141"/>
      <c r="AN394" s="141"/>
    </row>
    <row r="395" spans="3:40" x14ac:dyDescent="0.3">
      <c r="C395" s="99"/>
      <c r="F395" s="172"/>
      <c r="H395" s="172"/>
      <c r="I395" s="172"/>
      <c r="J395" s="228"/>
      <c r="K395" s="228"/>
      <c r="L395" s="110"/>
      <c r="M395" s="110"/>
      <c r="N395" s="141"/>
      <c r="O395" s="141"/>
      <c r="P395" s="110"/>
      <c r="Q395" s="110"/>
      <c r="R395" s="110"/>
      <c r="T395" s="99"/>
      <c r="V395" s="110"/>
      <c r="Y395" s="110"/>
      <c r="Z395" s="228"/>
      <c r="AA395" s="110"/>
      <c r="AB395" s="110"/>
      <c r="AC395" s="141"/>
      <c r="AD395" s="141"/>
      <c r="AE395" s="110"/>
      <c r="AF395" s="110"/>
      <c r="AH395" s="207"/>
      <c r="AI395" s="110"/>
      <c r="AJ395" s="110"/>
      <c r="AL395" s="110"/>
      <c r="AM395" s="141"/>
      <c r="AN395" s="141"/>
    </row>
    <row r="396" spans="3:40" x14ac:dyDescent="0.3">
      <c r="C396" s="99"/>
      <c r="F396" s="172"/>
      <c r="H396" s="172"/>
      <c r="I396" s="172"/>
      <c r="J396" s="228"/>
      <c r="K396" s="228"/>
      <c r="L396" s="110"/>
      <c r="M396" s="110"/>
      <c r="N396" s="141"/>
      <c r="O396" s="141"/>
      <c r="P396" s="110"/>
      <c r="Q396" s="110"/>
      <c r="R396" s="110"/>
      <c r="T396" s="99"/>
      <c r="V396" s="110"/>
      <c r="Y396" s="110"/>
      <c r="Z396" s="228"/>
      <c r="AA396" s="110"/>
      <c r="AB396" s="110"/>
      <c r="AC396" s="141"/>
      <c r="AD396" s="141"/>
      <c r="AE396" s="110"/>
      <c r="AF396" s="110"/>
      <c r="AH396" s="207"/>
      <c r="AI396" s="110"/>
      <c r="AJ396" s="110"/>
      <c r="AL396" s="110"/>
      <c r="AM396" s="141"/>
      <c r="AN396" s="141"/>
    </row>
    <row r="397" spans="3:40" x14ac:dyDescent="0.3">
      <c r="C397" s="99"/>
      <c r="F397" s="172"/>
      <c r="H397" s="172"/>
      <c r="I397" s="172"/>
      <c r="J397" s="228"/>
      <c r="K397" s="228"/>
      <c r="L397" s="110"/>
      <c r="M397" s="110"/>
      <c r="N397" s="141"/>
      <c r="O397" s="141"/>
      <c r="P397" s="110"/>
      <c r="Q397" s="110"/>
      <c r="R397" s="110"/>
      <c r="T397" s="99"/>
      <c r="V397" s="110"/>
      <c r="Y397" s="110"/>
      <c r="Z397" s="228"/>
      <c r="AA397" s="110"/>
      <c r="AB397" s="110"/>
      <c r="AC397" s="141"/>
      <c r="AD397" s="141"/>
      <c r="AE397" s="110"/>
      <c r="AF397" s="110"/>
      <c r="AH397" s="207"/>
      <c r="AI397" s="110"/>
      <c r="AJ397" s="110"/>
      <c r="AL397" s="110"/>
      <c r="AM397" s="141"/>
      <c r="AN397" s="141"/>
    </row>
    <row r="398" spans="3:40" x14ac:dyDescent="0.3">
      <c r="C398" s="99"/>
      <c r="F398" s="172"/>
      <c r="H398" s="172"/>
      <c r="I398" s="172"/>
      <c r="J398" s="228"/>
      <c r="K398" s="228"/>
      <c r="L398" s="110"/>
      <c r="M398" s="110"/>
      <c r="N398" s="141"/>
      <c r="O398" s="141"/>
      <c r="P398" s="110"/>
      <c r="Q398" s="110"/>
      <c r="R398" s="110"/>
      <c r="T398" s="99"/>
      <c r="V398" s="110"/>
      <c r="Y398" s="110"/>
      <c r="Z398" s="228"/>
      <c r="AA398" s="110"/>
      <c r="AB398" s="110"/>
      <c r="AC398" s="141"/>
      <c r="AD398" s="141"/>
      <c r="AE398" s="110"/>
      <c r="AF398" s="110"/>
      <c r="AH398" s="207"/>
      <c r="AI398" s="110"/>
      <c r="AJ398" s="110"/>
      <c r="AL398" s="110"/>
      <c r="AM398" s="141"/>
      <c r="AN398" s="141"/>
    </row>
    <row r="399" spans="3:40" x14ac:dyDescent="0.3">
      <c r="C399" s="99"/>
      <c r="J399" s="163"/>
      <c r="K399" s="163"/>
      <c r="T399" s="99"/>
      <c r="Z399" s="163"/>
    </row>
    <row r="400" spans="3:40" x14ac:dyDescent="0.3">
      <c r="C400" s="99"/>
      <c r="F400" s="172"/>
      <c r="H400" s="172"/>
      <c r="I400" s="172"/>
      <c r="J400" s="228"/>
      <c r="K400" s="228"/>
      <c r="L400" s="110"/>
      <c r="M400" s="110"/>
      <c r="N400" s="141"/>
      <c r="O400" s="141"/>
      <c r="P400" s="110"/>
      <c r="Q400" s="110"/>
      <c r="R400" s="110"/>
      <c r="T400" s="99"/>
      <c r="V400" s="110"/>
      <c r="Y400" s="110"/>
      <c r="Z400" s="228"/>
      <c r="AA400" s="110"/>
      <c r="AB400" s="110"/>
      <c r="AC400" s="141"/>
      <c r="AD400" s="141"/>
      <c r="AE400" s="110"/>
      <c r="AF400" s="110"/>
      <c r="AH400" s="207"/>
      <c r="AI400" s="110"/>
      <c r="AJ400" s="110"/>
      <c r="AL400" s="110"/>
      <c r="AM400" s="141"/>
      <c r="AN400" s="141"/>
    </row>
    <row r="401" spans="3:40" x14ac:dyDescent="0.3">
      <c r="C401" s="99"/>
      <c r="F401" s="172"/>
      <c r="H401" s="172"/>
      <c r="I401" s="172"/>
      <c r="J401" s="228"/>
      <c r="K401" s="228"/>
      <c r="L401" s="110"/>
      <c r="M401" s="110"/>
      <c r="N401" s="141"/>
      <c r="O401" s="141"/>
      <c r="P401" s="110"/>
      <c r="Q401" s="110"/>
      <c r="R401" s="110"/>
      <c r="T401" s="99"/>
      <c r="V401" s="110"/>
      <c r="Y401" s="110"/>
      <c r="Z401" s="228"/>
      <c r="AA401" s="110"/>
      <c r="AB401" s="110"/>
      <c r="AC401" s="141"/>
      <c r="AD401" s="141"/>
      <c r="AE401" s="110"/>
      <c r="AF401" s="110"/>
      <c r="AH401" s="207"/>
      <c r="AI401" s="110"/>
      <c r="AJ401" s="110"/>
      <c r="AL401" s="110"/>
      <c r="AM401" s="141"/>
      <c r="AN401" s="141"/>
    </row>
    <row r="402" spans="3:40" x14ac:dyDescent="0.3">
      <c r="C402" s="99"/>
      <c r="F402" s="172"/>
      <c r="H402" s="172"/>
      <c r="I402" s="172"/>
      <c r="J402" s="228"/>
      <c r="K402" s="228"/>
      <c r="L402" s="110"/>
      <c r="M402" s="110"/>
      <c r="N402" s="141"/>
      <c r="O402" s="141"/>
      <c r="P402" s="110"/>
      <c r="Q402" s="110"/>
      <c r="R402" s="110"/>
      <c r="T402" s="99"/>
      <c r="V402" s="110"/>
      <c r="Y402" s="110"/>
      <c r="Z402" s="228"/>
      <c r="AA402" s="110"/>
      <c r="AB402" s="110"/>
      <c r="AC402" s="141"/>
      <c r="AD402" s="141"/>
      <c r="AE402" s="110"/>
      <c r="AF402" s="110"/>
      <c r="AH402" s="207"/>
      <c r="AI402" s="110"/>
      <c r="AJ402" s="110"/>
      <c r="AL402" s="110"/>
      <c r="AM402" s="141"/>
      <c r="AN402" s="141"/>
    </row>
    <row r="403" spans="3:40" x14ac:dyDescent="0.3">
      <c r="C403" s="99"/>
      <c r="F403" s="172"/>
      <c r="H403" s="172"/>
      <c r="I403" s="172"/>
      <c r="J403" s="228"/>
      <c r="K403" s="228"/>
      <c r="L403" s="110"/>
      <c r="M403" s="110"/>
      <c r="N403" s="141"/>
      <c r="O403" s="141"/>
      <c r="P403" s="110"/>
      <c r="Q403" s="110"/>
      <c r="R403" s="110"/>
      <c r="T403" s="99"/>
      <c r="V403" s="110"/>
      <c r="Y403" s="110"/>
      <c r="Z403" s="228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3:40" x14ac:dyDescent="0.3">
      <c r="C404" s="99"/>
      <c r="J404" s="163"/>
      <c r="K404" s="163"/>
      <c r="T404" s="99"/>
      <c r="Z404" s="163"/>
    </row>
    <row r="405" spans="3:40" x14ac:dyDescent="0.3">
      <c r="C405" s="99"/>
      <c r="F405" s="172"/>
      <c r="H405" s="172"/>
      <c r="I405" s="172"/>
      <c r="J405" s="228"/>
      <c r="K405" s="228"/>
      <c r="L405" s="110"/>
      <c r="M405" s="110"/>
      <c r="N405" s="141"/>
      <c r="O405" s="141"/>
      <c r="P405" s="110"/>
      <c r="Q405" s="110"/>
      <c r="R405" s="110"/>
      <c r="T405" s="99"/>
      <c r="V405" s="110"/>
      <c r="Y405" s="110"/>
      <c r="Z405" s="228"/>
      <c r="AA405" s="110"/>
      <c r="AB405" s="110"/>
      <c r="AC405" s="141"/>
      <c r="AD405" s="141"/>
      <c r="AE405" s="110"/>
      <c r="AF405" s="110"/>
      <c r="AH405" s="207"/>
      <c r="AI405" s="110"/>
      <c r="AJ405" s="110"/>
      <c r="AL405" s="110"/>
      <c r="AM405" s="141"/>
      <c r="AN405" s="141"/>
    </row>
    <row r="406" spans="3:40" x14ac:dyDescent="0.3">
      <c r="C406" s="99"/>
      <c r="F406" s="172"/>
      <c r="H406" s="172"/>
      <c r="I406" s="172"/>
      <c r="J406" s="228"/>
      <c r="K406" s="228"/>
      <c r="L406" s="110"/>
      <c r="M406" s="110"/>
      <c r="N406" s="141"/>
      <c r="O406" s="141"/>
      <c r="P406" s="110"/>
      <c r="Q406" s="110"/>
      <c r="R406" s="110"/>
      <c r="T406" s="99"/>
      <c r="V406" s="110"/>
      <c r="Y406" s="110"/>
      <c r="Z406" s="228"/>
      <c r="AA406" s="110"/>
      <c r="AB406" s="110"/>
      <c r="AC406" s="141"/>
      <c r="AD406" s="141"/>
      <c r="AE406" s="110"/>
      <c r="AF406" s="110"/>
      <c r="AH406" s="207"/>
      <c r="AI406" s="110"/>
      <c r="AJ406" s="110"/>
      <c r="AL406" s="110"/>
      <c r="AM406" s="141"/>
      <c r="AN406" s="141"/>
    </row>
    <row r="407" spans="3:40" x14ac:dyDescent="0.3">
      <c r="C407" s="99"/>
      <c r="F407" s="172"/>
      <c r="H407" s="172"/>
      <c r="I407" s="172"/>
      <c r="J407" s="228"/>
      <c r="K407" s="228"/>
      <c r="L407" s="110"/>
      <c r="M407" s="110"/>
      <c r="N407" s="141"/>
      <c r="O407" s="141"/>
      <c r="P407" s="110"/>
      <c r="Q407" s="110"/>
      <c r="R407" s="110"/>
      <c r="T407" s="99"/>
      <c r="V407" s="110"/>
      <c r="Y407" s="110"/>
      <c r="Z407" s="228"/>
      <c r="AA407" s="110"/>
      <c r="AB407" s="110"/>
      <c r="AC407" s="141"/>
      <c r="AD407" s="141"/>
      <c r="AE407" s="110"/>
      <c r="AF407" s="110"/>
      <c r="AH407" s="207"/>
      <c r="AI407" s="110"/>
      <c r="AJ407" s="110"/>
      <c r="AL407" s="110"/>
      <c r="AM407" s="141"/>
      <c r="AN407" s="141"/>
    </row>
    <row r="408" spans="3:40" x14ac:dyDescent="0.3">
      <c r="C408" s="99"/>
      <c r="F408" s="172"/>
      <c r="H408" s="172"/>
      <c r="I408" s="172"/>
      <c r="J408" s="228"/>
      <c r="K408" s="228"/>
      <c r="L408" s="110"/>
      <c r="M408" s="110"/>
      <c r="N408" s="141"/>
      <c r="O408" s="141"/>
      <c r="P408" s="110"/>
      <c r="Q408" s="110"/>
      <c r="R408" s="110"/>
      <c r="T408" s="99"/>
      <c r="V408" s="110"/>
      <c r="Y408" s="110"/>
      <c r="Z408" s="228"/>
      <c r="AA408" s="110"/>
      <c r="AB408" s="110"/>
      <c r="AC408" s="141"/>
      <c r="AD408" s="141"/>
      <c r="AE408" s="110"/>
      <c r="AF408" s="110"/>
      <c r="AH408" s="207"/>
      <c r="AI408" s="110"/>
      <c r="AJ408" s="110"/>
      <c r="AL408" s="110"/>
      <c r="AM408" s="141"/>
      <c r="AN408" s="141"/>
    </row>
    <row r="409" spans="3:40" x14ac:dyDescent="0.3">
      <c r="C409" s="99"/>
      <c r="F409" s="172"/>
      <c r="H409" s="172"/>
      <c r="I409" s="172"/>
      <c r="J409" s="228"/>
      <c r="K409" s="228"/>
      <c r="L409" s="110"/>
      <c r="M409" s="110"/>
      <c r="N409" s="141"/>
      <c r="O409" s="141"/>
      <c r="P409" s="110"/>
      <c r="Q409" s="110"/>
      <c r="R409" s="110"/>
      <c r="T409" s="99"/>
      <c r="V409" s="110"/>
      <c r="Y409" s="110"/>
      <c r="Z409" s="228"/>
      <c r="AA409" s="110"/>
      <c r="AB409" s="110"/>
      <c r="AC409" s="141"/>
      <c r="AD409" s="141"/>
      <c r="AE409" s="110"/>
      <c r="AF409" s="110"/>
      <c r="AH409" s="207"/>
      <c r="AI409" s="110"/>
      <c r="AJ409" s="110"/>
      <c r="AL409" s="110"/>
      <c r="AM409" s="141"/>
      <c r="AN409" s="141"/>
    </row>
    <row r="410" spans="3:40" x14ac:dyDescent="0.3">
      <c r="F410" s="192"/>
      <c r="H410" s="192"/>
      <c r="I410" s="192"/>
      <c r="J410" s="228"/>
      <c r="K410" s="217"/>
      <c r="L410" s="192"/>
      <c r="M410" s="192"/>
      <c r="N410" s="192"/>
      <c r="O410" s="192"/>
      <c r="P410" s="192"/>
      <c r="Q410" s="192"/>
      <c r="R410" s="192"/>
      <c r="V410" s="192"/>
      <c r="Y410" s="192"/>
      <c r="Z410" s="228"/>
      <c r="AA410" s="192"/>
      <c r="AB410" s="192"/>
      <c r="AC410" s="192"/>
      <c r="AD410" s="192"/>
      <c r="AE410" s="192"/>
      <c r="AF410" s="192"/>
      <c r="AI410" s="192"/>
      <c r="AJ410" s="192"/>
      <c r="AK410" s="194"/>
      <c r="AL410" s="192"/>
    </row>
    <row r="411" spans="3:40" x14ac:dyDescent="0.3">
      <c r="C411" s="99"/>
      <c r="F411" s="110"/>
      <c r="H411" s="110"/>
      <c r="I411" s="110"/>
      <c r="J411" s="163"/>
      <c r="L411" s="110"/>
      <c r="M411" s="110"/>
      <c r="N411" s="207"/>
      <c r="O411" s="207"/>
      <c r="P411" s="110"/>
      <c r="Q411" s="110"/>
      <c r="R411" s="110"/>
      <c r="T411" s="99"/>
      <c r="V411" s="110"/>
      <c r="Y411" s="110"/>
      <c r="AA411" s="110"/>
      <c r="AB411" s="110"/>
      <c r="AC411" s="141"/>
      <c r="AD411" s="141"/>
      <c r="AE411" s="110"/>
      <c r="AF411" s="110"/>
      <c r="AH411" s="207"/>
      <c r="AI411" s="110"/>
      <c r="AJ411" s="110"/>
      <c r="AL411" s="110"/>
      <c r="AM411" s="141"/>
      <c r="AN411" s="141"/>
    </row>
    <row r="412" spans="3:40" x14ac:dyDescent="0.3">
      <c r="F412" s="192"/>
      <c r="H412" s="192"/>
      <c r="I412" s="192"/>
      <c r="J412" s="228"/>
      <c r="K412" s="217"/>
      <c r="L412" s="192"/>
      <c r="M412" s="192"/>
      <c r="N412" s="192"/>
      <c r="O412" s="192"/>
      <c r="P412" s="192"/>
      <c r="Q412" s="192"/>
      <c r="R412" s="192"/>
      <c r="V412" s="192"/>
      <c r="Y412" s="192"/>
      <c r="Z412" s="217"/>
      <c r="AA412" s="192"/>
      <c r="AB412" s="192"/>
      <c r="AC412" s="192"/>
      <c r="AD412" s="192"/>
      <c r="AE412" s="192"/>
      <c r="AF412" s="192"/>
      <c r="AI412" s="192"/>
      <c r="AJ412" s="192"/>
      <c r="AK412" s="194"/>
      <c r="AL412" s="192"/>
    </row>
    <row r="413" spans="3:40" x14ac:dyDescent="0.3">
      <c r="C413" s="99"/>
      <c r="J413" s="163"/>
      <c r="T413" s="99"/>
    </row>
    <row r="414" spans="3:40" x14ac:dyDescent="0.3">
      <c r="C414" s="99"/>
      <c r="F414" s="172"/>
      <c r="H414" s="172"/>
      <c r="I414" s="172"/>
      <c r="J414" s="228"/>
      <c r="K414" s="181"/>
      <c r="L414" s="110"/>
      <c r="M414" s="110"/>
      <c r="N414" s="141"/>
      <c r="O414" s="141"/>
      <c r="P414" s="110"/>
      <c r="Q414" s="110"/>
      <c r="R414" s="110"/>
      <c r="T414" s="99"/>
      <c r="V414" s="110"/>
      <c r="Y414" s="110"/>
      <c r="Z414" s="181"/>
      <c r="AA414" s="110"/>
      <c r="AB414" s="110"/>
      <c r="AC414" s="141"/>
      <c r="AD414" s="141"/>
      <c r="AE414" s="110"/>
      <c r="AF414" s="110"/>
      <c r="AH414" s="207"/>
      <c r="AI414" s="110"/>
      <c r="AJ414" s="110"/>
      <c r="AL414" s="110"/>
      <c r="AM414" s="141"/>
      <c r="AN414" s="141"/>
    </row>
    <row r="415" spans="3:40" x14ac:dyDescent="0.3">
      <c r="C415" s="99"/>
      <c r="F415" s="172"/>
      <c r="H415" s="172"/>
      <c r="I415" s="172"/>
      <c r="J415" s="228"/>
      <c r="K415" s="181"/>
      <c r="L415" s="110"/>
      <c r="M415" s="110"/>
      <c r="N415" s="141"/>
      <c r="O415" s="141"/>
      <c r="P415" s="110"/>
      <c r="Q415" s="110"/>
      <c r="R415" s="110"/>
      <c r="T415" s="99"/>
      <c r="V415" s="110"/>
      <c r="Y415" s="110"/>
      <c r="Z415" s="181"/>
      <c r="AA415" s="110"/>
      <c r="AB415" s="110"/>
      <c r="AC415" s="141"/>
      <c r="AD415" s="141"/>
      <c r="AE415" s="110"/>
      <c r="AF415" s="110"/>
      <c r="AH415" s="207"/>
      <c r="AI415" s="110"/>
      <c r="AJ415" s="110"/>
      <c r="AL415" s="110"/>
      <c r="AM415" s="141"/>
      <c r="AN415" s="141"/>
    </row>
    <row r="416" spans="3:40" x14ac:dyDescent="0.3">
      <c r="F416" s="192"/>
      <c r="H416" s="110"/>
      <c r="I416" s="110"/>
      <c r="J416" s="228"/>
      <c r="K416" s="217"/>
      <c r="L416" s="192"/>
      <c r="M416" s="192"/>
      <c r="N416" s="192"/>
      <c r="O416" s="192"/>
      <c r="P416" s="192"/>
      <c r="Q416" s="192"/>
      <c r="R416" s="192"/>
      <c r="V416" s="192"/>
      <c r="Y416" s="110"/>
      <c r="Z416" s="217"/>
      <c r="AA416" s="192"/>
      <c r="AB416" s="192"/>
      <c r="AC416" s="192"/>
      <c r="AD416" s="192"/>
      <c r="AE416" s="192"/>
      <c r="AF416" s="192"/>
      <c r="AI416" s="192"/>
      <c r="AJ416" s="192"/>
      <c r="AK416" s="194"/>
      <c r="AL416" s="192"/>
    </row>
    <row r="417" spans="1:40" x14ac:dyDescent="0.3">
      <c r="F417" s="110"/>
      <c r="H417" s="110"/>
      <c r="I417" s="110"/>
      <c r="J417" s="228"/>
      <c r="K417" s="217"/>
      <c r="L417" s="110"/>
      <c r="M417" s="110"/>
      <c r="N417" s="110"/>
      <c r="O417" s="110"/>
      <c r="P417" s="110"/>
      <c r="Q417" s="110"/>
      <c r="R417" s="110"/>
      <c r="V417" s="110"/>
      <c r="Y417" s="110"/>
      <c r="Z417" s="217"/>
      <c r="AA417" s="110"/>
      <c r="AB417" s="110"/>
      <c r="AC417" s="110"/>
      <c r="AD417" s="110"/>
      <c r="AE417" s="110"/>
      <c r="AF417" s="110"/>
      <c r="AI417" s="110"/>
      <c r="AJ417" s="110"/>
      <c r="AL417" s="110"/>
    </row>
    <row r="418" spans="1:40" x14ac:dyDescent="0.3">
      <c r="C418" s="99"/>
      <c r="F418" s="110"/>
      <c r="H418" s="110"/>
      <c r="I418" s="110"/>
      <c r="J418" s="163"/>
      <c r="L418" s="110"/>
      <c r="M418" s="110"/>
      <c r="N418" s="141"/>
      <c r="O418" s="141"/>
      <c r="P418" s="110"/>
      <c r="Q418" s="110"/>
      <c r="R418" s="110"/>
      <c r="T418" s="99"/>
      <c r="V418" s="110"/>
      <c r="Y418" s="110"/>
      <c r="AA418" s="110"/>
      <c r="AB418" s="110"/>
      <c r="AC418" s="141"/>
      <c r="AD418" s="141"/>
      <c r="AE418" s="110"/>
      <c r="AF418" s="110"/>
      <c r="AH418" s="207"/>
      <c r="AI418" s="172"/>
      <c r="AJ418" s="172"/>
      <c r="AL418" s="110"/>
      <c r="AM418" s="141"/>
      <c r="AN418" s="141"/>
    </row>
    <row r="419" spans="1:40" x14ac:dyDescent="0.3">
      <c r="H419" s="192"/>
      <c r="I419" s="192"/>
      <c r="J419" s="228"/>
      <c r="K419" s="217"/>
      <c r="L419" s="192"/>
      <c r="M419" s="192"/>
      <c r="N419" s="192"/>
      <c r="O419" s="192"/>
      <c r="P419" s="192"/>
      <c r="Q419" s="192"/>
      <c r="R419" s="192"/>
      <c r="V419" s="192"/>
      <c r="Y419" s="192"/>
      <c r="Z419" s="217"/>
      <c r="AA419" s="192"/>
      <c r="AB419" s="192"/>
      <c r="AC419" s="192"/>
      <c r="AD419" s="192"/>
      <c r="AE419" s="192"/>
      <c r="AF419" s="192"/>
      <c r="AI419" s="192"/>
      <c r="AJ419" s="192"/>
      <c r="AK419" s="194"/>
      <c r="AL419" s="192"/>
    </row>
    <row r="420" spans="1:40" x14ac:dyDescent="0.3">
      <c r="F420" s="192"/>
      <c r="J420" s="163"/>
    </row>
    <row r="421" spans="1:40" x14ac:dyDescent="0.3">
      <c r="A421" s="99"/>
      <c r="J421" s="163"/>
      <c r="T421" s="99"/>
    </row>
    <row r="422" spans="1:40" x14ac:dyDescent="0.3">
      <c r="A422" s="99"/>
      <c r="J422" s="163"/>
      <c r="T422" s="99"/>
    </row>
    <row r="423" spans="1:40" x14ac:dyDescent="0.3">
      <c r="A423" s="99"/>
      <c r="J423" s="163"/>
      <c r="T423" s="99"/>
    </row>
    <row r="424" spans="1:40" x14ac:dyDescent="0.3">
      <c r="A424" s="99"/>
      <c r="J424" s="163"/>
      <c r="T424" s="99"/>
    </row>
    <row r="425" spans="1:40" x14ac:dyDescent="0.3">
      <c r="A425" s="99"/>
      <c r="J425" s="163"/>
      <c r="T425" s="99"/>
    </row>
    <row r="426" spans="1:40" x14ac:dyDescent="0.3">
      <c r="A426" s="99"/>
      <c r="J426" s="163"/>
      <c r="T426" s="99"/>
    </row>
    <row r="427" spans="1:40" x14ac:dyDescent="0.3">
      <c r="A427" s="99"/>
      <c r="J427" s="163"/>
      <c r="T427" s="99"/>
    </row>
    <row r="428" spans="1:40" x14ac:dyDescent="0.3">
      <c r="A428" s="99"/>
      <c r="J428" s="163"/>
      <c r="T428" s="99"/>
    </row>
    <row r="429" spans="1:40" x14ac:dyDescent="0.3">
      <c r="A429" s="99"/>
      <c r="J429" s="163"/>
      <c r="T429" s="99"/>
    </row>
    <row r="430" spans="1:40" x14ac:dyDescent="0.3">
      <c r="J430" s="163"/>
    </row>
    <row r="431" spans="1:40" x14ac:dyDescent="0.3">
      <c r="A431" s="99"/>
      <c r="J431" s="163"/>
    </row>
    <row r="432" spans="1:40" x14ac:dyDescent="0.3">
      <c r="J432" s="163"/>
    </row>
    <row r="433" spans="1:40" x14ac:dyDescent="0.3">
      <c r="H433" s="99"/>
      <c r="I433" s="99"/>
      <c r="J433" s="163"/>
      <c r="Y433" s="99"/>
    </row>
    <row r="434" spans="1:40" x14ac:dyDescent="0.3">
      <c r="J434" s="163"/>
    </row>
    <row r="435" spans="1:40" x14ac:dyDescent="0.3">
      <c r="J435" s="163"/>
      <c r="L435" s="99"/>
      <c r="M435" s="99"/>
      <c r="AA435" s="99"/>
      <c r="AB435" s="99"/>
    </row>
    <row r="436" spans="1:40" x14ac:dyDescent="0.3">
      <c r="J436" s="163"/>
      <c r="R436" s="99"/>
      <c r="AK436" s="190"/>
      <c r="AL436" s="99"/>
    </row>
    <row r="437" spans="1:40" x14ac:dyDescent="0.3">
      <c r="J437" s="163"/>
      <c r="R437" s="99"/>
      <c r="AK437" s="190"/>
      <c r="AL437" s="99"/>
    </row>
    <row r="438" spans="1:40" x14ac:dyDescent="0.3">
      <c r="A438" s="99"/>
      <c r="J438" s="163"/>
      <c r="R438" s="99"/>
      <c r="AK438" s="190"/>
      <c r="AL438" s="99"/>
    </row>
    <row r="439" spans="1:40" x14ac:dyDescent="0.3">
      <c r="J439" s="163"/>
      <c r="L439" s="99"/>
      <c r="M439" s="99"/>
      <c r="AA439" s="99"/>
      <c r="AB439" s="99"/>
    </row>
    <row r="440" spans="1:40" x14ac:dyDescent="0.3">
      <c r="A440" s="101"/>
      <c r="B440" s="101"/>
      <c r="C440" s="101"/>
      <c r="D440" s="101"/>
      <c r="E440" s="101"/>
      <c r="F440" s="101"/>
      <c r="G440" s="101"/>
      <c r="H440" s="101"/>
      <c r="I440" s="101"/>
      <c r="J440" s="212"/>
      <c r="K440" s="101"/>
      <c r="L440" s="101"/>
      <c r="M440" s="101"/>
      <c r="N440" s="101"/>
      <c r="O440" s="101"/>
      <c r="P440" s="101"/>
      <c r="Q440" s="101"/>
      <c r="R440" s="101"/>
      <c r="T440" s="101"/>
      <c r="U440" s="101"/>
      <c r="V440" s="101"/>
      <c r="W440" s="101"/>
      <c r="X440" s="101"/>
      <c r="Y440" s="101"/>
      <c r="Z440" s="101"/>
      <c r="AA440" s="101"/>
      <c r="AB440" s="101"/>
      <c r="AC440" s="101"/>
      <c r="AD440" s="101"/>
      <c r="AE440" s="101"/>
      <c r="AF440" s="101"/>
      <c r="AG440" s="191"/>
      <c r="AH440" s="101"/>
      <c r="AI440" s="101"/>
      <c r="AJ440" s="101"/>
      <c r="AK440" s="191"/>
      <c r="AL440" s="101"/>
      <c r="AM440" s="101"/>
      <c r="AN440" s="101"/>
    </row>
    <row r="441" spans="1:40" x14ac:dyDescent="0.3">
      <c r="J441" s="163"/>
      <c r="L441" s="102"/>
      <c r="M441" s="102"/>
      <c r="N441" s="102"/>
      <c r="O441" s="102"/>
      <c r="R441" s="102"/>
      <c r="AA441" s="102"/>
      <c r="AB441" s="102"/>
      <c r="AC441" s="102"/>
      <c r="AD441" s="102"/>
      <c r="AE441" s="102"/>
      <c r="AF441" s="102"/>
      <c r="AG441" s="151"/>
      <c r="AH441" s="102"/>
      <c r="AK441" s="151"/>
      <c r="AL441" s="102"/>
      <c r="AM441" s="102"/>
      <c r="AN441" s="102"/>
    </row>
    <row r="442" spans="1:40" x14ac:dyDescent="0.3">
      <c r="J442" s="163"/>
      <c r="L442" s="102"/>
      <c r="M442" s="102"/>
      <c r="N442" s="102"/>
      <c r="O442" s="102"/>
      <c r="R442" s="102"/>
      <c r="Z442" s="102"/>
      <c r="AA442" s="102"/>
      <c r="AB442" s="102"/>
      <c r="AC442" s="102"/>
      <c r="AD442" s="102"/>
      <c r="AE442" s="102"/>
      <c r="AF442" s="102"/>
      <c r="AG442" s="151"/>
      <c r="AH442" s="102"/>
      <c r="AK442" s="151"/>
      <c r="AL442" s="102"/>
      <c r="AM442" s="102"/>
      <c r="AN442" s="102"/>
    </row>
    <row r="443" spans="1:40" x14ac:dyDescent="0.3">
      <c r="A443" s="102"/>
      <c r="C443" s="102"/>
      <c r="D443" s="102"/>
      <c r="E443" s="102"/>
      <c r="F443" s="102"/>
      <c r="J443" s="213"/>
      <c r="K443" s="102"/>
      <c r="L443" s="102"/>
      <c r="M443" s="102"/>
      <c r="N443" s="102"/>
      <c r="O443" s="102"/>
      <c r="P443" s="102"/>
      <c r="Q443" s="102"/>
      <c r="R443" s="102"/>
      <c r="T443" s="102"/>
      <c r="U443" s="102"/>
      <c r="V443" s="102"/>
      <c r="Z443" s="102"/>
      <c r="AA443" s="102"/>
      <c r="AB443" s="102"/>
      <c r="AC443" s="102"/>
      <c r="AD443" s="102"/>
      <c r="AE443" s="102"/>
      <c r="AF443" s="102"/>
      <c r="AG443" s="151"/>
      <c r="AH443" s="102"/>
      <c r="AI443" s="102"/>
      <c r="AJ443" s="102"/>
      <c r="AK443" s="151"/>
      <c r="AL443" s="102"/>
      <c r="AM443" s="102"/>
      <c r="AN443" s="102"/>
    </row>
    <row r="444" spans="1:40" x14ac:dyDescent="0.3">
      <c r="A444" s="102"/>
      <c r="C444" s="102"/>
      <c r="D444" s="102"/>
      <c r="E444" s="102"/>
      <c r="F444" s="102"/>
      <c r="H444" s="102"/>
      <c r="I444" s="102"/>
      <c r="J444" s="213"/>
      <c r="K444" s="102"/>
      <c r="L444" s="102"/>
      <c r="M444" s="102"/>
      <c r="N444" s="102"/>
      <c r="O444" s="102"/>
      <c r="P444" s="102"/>
      <c r="Q444" s="102"/>
      <c r="R444" s="102"/>
      <c r="T444" s="102"/>
      <c r="U444" s="102"/>
      <c r="V444" s="102"/>
      <c r="Y444" s="102"/>
      <c r="Z444" s="102"/>
      <c r="AA444" s="102"/>
      <c r="AB444" s="102"/>
      <c r="AC444" s="102"/>
      <c r="AD444" s="102"/>
      <c r="AE444" s="102"/>
      <c r="AF444" s="102"/>
      <c r="AG444" s="151"/>
      <c r="AH444" s="102"/>
      <c r="AI444" s="102"/>
      <c r="AJ444" s="102"/>
      <c r="AK444" s="151"/>
      <c r="AL444" s="102"/>
      <c r="AM444" s="102"/>
      <c r="AN444" s="102"/>
    </row>
    <row r="445" spans="1:40" x14ac:dyDescent="0.3">
      <c r="C445" s="102"/>
      <c r="D445" s="102"/>
      <c r="E445" s="102"/>
      <c r="F445" s="102"/>
      <c r="H445" s="102"/>
      <c r="I445" s="102"/>
      <c r="J445" s="213"/>
      <c r="K445" s="102"/>
      <c r="L445" s="102"/>
      <c r="M445" s="102"/>
      <c r="N445" s="102"/>
      <c r="O445" s="102"/>
      <c r="P445" s="102"/>
      <c r="Q445" s="102"/>
      <c r="R445" s="102"/>
      <c r="T445" s="102"/>
      <c r="U445" s="102"/>
      <c r="V445" s="102"/>
      <c r="Y445" s="102"/>
      <c r="Z445" s="102"/>
      <c r="AA445" s="102"/>
      <c r="AB445" s="102"/>
      <c r="AC445" s="102"/>
      <c r="AD445" s="102"/>
      <c r="AE445" s="102"/>
      <c r="AF445" s="102"/>
      <c r="AG445" s="151"/>
      <c r="AH445" s="102"/>
      <c r="AI445" s="102"/>
      <c r="AJ445" s="102"/>
      <c r="AK445" s="151"/>
      <c r="AL445" s="102"/>
      <c r="AM445" s="102"/>
      <c r="AN445" s="102"/>
    </row>
    <row r="446" spans="1:40" x14ac:dyDescent="0.3">
      <c r="A446" s="101"/>
      <c r="B446" s="101"/>
      <c r="C446" s="101"/>
      <c r="D446" s="101"/>
      <c r="E446" s="101"/>
      <c r="F446" s="101"/>
      <c r="G446" s="101"/>
      <c r="H446" s="101"/>
      <c r="I446" s="101"/>
      <c r="J446" s="212"/>
      <c r="K446" s="101"/>
      <c r="L446" s="101"/>
      <c r="M446" s="101"/>
      <c r="N446" s="101"/>
      <c r="O446" s="101"/>
      <c r="P446" s="101"/>
      <c r="Q446" s="101"/>
      <c r="R446" s="101"/>
      <c r="T446" s="101"/>
      <c r="U446" s="101"/>
      <c r="V446" s="101"/>
      <c r="W446" s="101"/>
      <c r="X446" s="101"/>
      <c r="Y446" s="101"/>
      <c r="Z446" s="101"/>
      <c r="AA446" s="101"/>
      <c r="AB446" s="101"/>
      <c r="AC446" s="101"/>
      <c r="AD446" s="101"/>
      <c r="AE446" s="101"/>
      <c r="AF446" s="101"/>
      <c r="AG446" s="191"/>
      <c r="AH446" s="101"/>
      <c r="AI446" s="101"/>
      <c r="AJ446" s="101"/>
      <c r="AK446" s="191"/>
      <c r="AL446" s="101"/>
      <c r="AM446" s="101"/>
      <c r="AN446" s="101"/>
    </row>
    <row r="447" spans="1:40" x14ac:dyDescent="0.3">
      <c r="H447" s="102"/>
      <c r="I447" s="102"/>
      <c r="J447" s="213"/>
      <c r="K447" s="102"/>
      <c r="L447" s="102"/>
      <c r="M447" s="102"/>
      <c r="N447" s="102"/>
      <c r="O447" s="102"/>
      <c r="P447" s="102"/>
      <c r="Q447" s="102"/>
      <c r="R447" s="102"/>
      <c r="Y447" s="102"/>
      <c r="Z447" s="102"/>
      <c r="AA447" s="102"/>
      <c r="AB447" s="102"/>
      <c r="AC447" s="102"/>
      <c r="AD447" s="102"/>
      <c r="AE447" s="102"/>
      <c r="AF447" s="102"/>
      <c r="AG447" s="151"/>
      <c r="AH447" s="102"/>
      <c r="AI447" s="102"/>
      <c r="AJ447" s="102"/>
      <c r="AK447" s="151"/>
      <c r="AL447" s="102"/>
      <c r="AM447" s="102"/>
      <c r="AN447" s="102"/>
    </row>
    <row r="448" spans="1:40" x14ac:dyDescent="0.3">
      <c r="C448" s="99"/>
      <c r="D448" s="99"/>
      <c r="E448" s="99"/>
      <c r="J448" s="163"/>
      <c r="T448" s="99"/>
      <c r="U448" s="99"/>
    </row>
    <row r="449" spans="3:40" x14ac:dyDescent="0.3">
      <c r="D449" s="99"/>
      <c r="E449" s="99"/>
      <c r="J449" s="163"/>
      <c r="U449" s="99"/>
    </row>
    <row r="450" spans="3:40" x14ac:dyDescent="0.3">
      <c r="J450" s="163"/>
    </row>
    <row r="451" spans="3:40" x14ac:dyDescent="0.3">
      <c r="C451" s="99"/>
      <c r="F451" s="110"/>
      <c r="J451" s="163"/>
      <c r="K451" s="209"/>
      <c r="L451" s="110"/>
      <c r="M451" s="110"/>
      <c r="R451" s="110"/>
      <c r="T451" s="99"/>
      <c r="V451" s="110"/>
      <c r="Z451" s="209"/>
      <c r="AA451" s="110"/>
      <c r="AB451" s="110"/>
      <c r="AH451" s="110"/>
      <c r="AL451" s="110"/>
    </row>
    <row r="452" spans="3:40" x14ac:dyDescent="0.3">
      <c r="C452" s="99"/>
      <c r="F452" s="110"/>
      <c r="J452" s="163"/>
      <c r="R452" s="110"/>
      <c r="T452" s="99"/>
      <c r="V452" s="110"/>
      <c r="AH452" s="110"/>
      <c r="AL452" s="110"/>
    </row>
    <row r="453" spans="3:40" x14ac:dyDescent="0.3">
      <c r="J453" s="163"/>
      <c r="AI453" s="110"/>
      <c r="AJ453" s="110"/>
      <c r="AL453" s="110"/>
      <c r="AM453" s="141"/>
      <c r="AN453" s="141"/>
    </row>
    <row r="454" spans="3:40" x14ac:dyDescent="0.3">
      <c r="C454" s="99"/>
      <c r="F454" s="172"/>
      <c r="H454" s="172"/>
      <c r="I454" s="172"/>
      <c r="J454" s="228"/>
      <c r="K454" s="227"/>
      <c r="L454" s="110"/>
      <c r="M454" s="110"/>
      <c r="N454" s="141"/>
      <c r="O454" s="141"/>
      <c r="P454" s="110"/>
      <c r="Q454" s="110"/>
      <c r="R454" s="110"/>
      <c r="T454" s="99"/>
      <c r="V454" s="110"/>
      <c r="Y454" s="110"/>
      <c r="Z454" s="227"/>
      <c r="AA454" s="110"/>
      <c r="AB454" s="110"/>
      <c r="AC454" s="141"/>
      <c r="AD454" s="141"/>
      <c r="AE454" s="110"/>
      <c r="AF454" s="110"/>
      <c r="AH454" s="207"/>
      <c r="AI454" s="110"/>
      <c r="AJ454" s="110"/>
      <c r="AL454" s="110"/>
      <c r="AM454" s="141"/>
      <c r="AN454" s="141"/>
    </row>
    <row r="455" spans="3:40" x14ac:dyDescent="0.3">
      <c r="F455" s="110"/>
      <c r="H455" s="110"/>
      <c r="I455" s="110"/>
      <c r="J455" s="163"/>
      <c r="K455" s="198"/>
      <c r="L455" s="110"/>
      <c r="M455" s="110"/>
      <c r="P455" s="110"/>
      <c r="Q455" s="110"/>
      <c r="R455" s="110"/>
      <c r="V455" s="110"/>
      <c r="Y455" s="110"/>
      <c r="Z455" s="198"/>
      <c r="AA455" s="110"/>
      <c r="AB455" s="110"/>
      <c r="AI455" s="110"/>
      <c r="AJ455" s="110"/>
      <c r="AL455" s="110"/>
      <c r="AM455" s="141"/>
      <c r="AN455" s="141"/>
    </row>
    <row r="456" spans="3:40" x14ac:dyDescent="0.3">
      <c r="F456" s="110"/>
      <c r="J456" s="163"/>
      <c r="R456" s="110"/>
      <c r="V456" s="110"/>
      <c r="AL456" s="110"/>
      <c r="AM456" s="141"/>
      <c r="AN456" s="141"/>
    </row>
    <row r="457" spans="3:40" x14ac:dyDescent="0.3">
      <c r="C457" s="99"/>
      <c r="F457" s="110"/>
      <c r="J457" s="163"/>
      <c r="K457" s="209"/>
      <c r="L457" s="110"/>
      <c r="M457" s="110"/>
      <c r="N457" s="141"/>
      <c r="O457" s="141"/>
      <c r="R457" s="110"/>
      <c r="T457" s="99"/>
      <c r="V457" s="110"/>
      <c r="Z457" s="209"/>
      <c r="AA457" s="110"/>
      <c r="AB457" s="110"/>
      <c r="AC457" s="141"/>
      <c r="AD457" s="141"/>
      <c r="AL457" s="110"/>
      <c r="AM457" s="141"/>
      <c r="AN457" s="141"/>
    </row>
    <row r="458" spans="3:40" x14ac:dyDescent="0.3">
      <c r="C458" s="99"/>
      <c r="F458" s="110"/>
      <c r="H458" s="110"/>
      <c r="I458" s="110"/>
      <c r="J458" s="163"/>
      <c r="K458" s="209"/>
      <c r="L458" s="110"/>
      <c r="M458" s="110"/>
      <c r="N458" s="141"/>
      <c r="O458" s="141"/>
      <c r="P458" s="110"/>
      <c r="Q458" s="110"/>
      <c r="R458" s="110"/>
      <c r="T458" s="99"/>
      <c r="V458" s="110"/>
      <c r="Y458" s="110"/>
      <c r="Z458" s="209"/>
      <c r="AA458" s="110"/>
      <c r="AB458" s="110"/>
      <c r="AC458" s="141"/>
      <c r="AD458" s="141"/>
      <c r="AI458" s="110"/>
      <c r="AJ458" s="110"/>
      <c r="AL458" s="110"/>
      <c r="AM458" s="141"/>
      <c r="AN458" s="141"/>
    </row>
    <row r="459" spans="3:40" x14ac:dyDescent="0.3">
      <c r="C459" s="99"/>
      <c r="J459" s="163"/>
      <c r="T459" s="99"/>
      <c r="AM459" s="141"/>
      <c r="AN459" s="141"/>
    </row>
    <row r="460" spans="3:40" x14ac:dyDescent="0.3">
      <c r="C460" s="99"/>
      <c r="J460" s="163"/>
      <c r="T460" s="99"/>
      <c r="AM460" s="141"/>
      <c r="AN460" s="141"/>
    </row>
    <row r="461" spans="3:40" x14ac:dyDescent="0.3">
      <c r="J461" s="163"/>
      <c r="AM461" s="141"/>
      <c r="AN461" s="141"/>
    </row>
    <row r="462" spans="3:40" x14ac:dyDescent="0.3">
      <c r="C462" s="99"/>
      <c r="F462" s="172"/>
      <c r="H462" s="172"/>
      <c r="I462" s="172"/>
      <c r="J462" s="228"/>
      <c r="K462" s="227"/>
      <c r="L462" s="110"/>
      <c r="M462" s="110"/>
      <c r="N462" s="141"/>
      <c r="O462" s="141"/>
      <c r="P462" s="110"/>
      <c r="Q462" s="110"/>
      <c r="R462" s="110"/>
      <c r="T462" s="99"/>
      <c r="V462" s="110"/>
      <c r="Y462" s="110"/>
      <c r="Z462" s="227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141"/>
      <c r="AN462" s="141"/>
    </row>
    <row r="463" spans="3:40" x14ac:dyDescent="0.3">
      <c r="F463" s="192"/>
      <c r="H463" s="192"/>
      <c r="I463" s="192"/>
      <c r="J463" s="228"/>
      <c r="K463" s="217"/>
      <c r="L463" s="192"/>
      <c r="M463" s="192"/>
      <c r="N463" s="192"/>
      <c r="O463" s="192"/>
      <c r="P463" s="192"/>
      <c r="Q463" s="192"/>
      <c r="R463" s="192"/>
      <c r="V463" s="192"/>
      <c r="Y463" s="192"/>
      <c r="Z463" s="217"/>
      <c r="AA463" s="192"/>
      <c r="AB463" s="192"/>
      <c r="AC463" s="192"/>
      <c r="AD463" s="192"/>
      <c r="AE463" s="192"/>
      <c r="AF463" s="192"/>
      <c r="AI463" s="192"/>
      <c r="AJ463" s="192"/>
      <c r="AK463" s="194"/>
      <c r="AL463" s="192"/>
      <c r="AM463" s="141"/>
      <c r="AN463" s="141"/>
    </row>
    <row r="464" spans="3:40" x14ac:dyDescent="0.3">
      <c r="H464" s="110"/>
      <c r="I464" s="110"/>
      <c r="J464" s="163"/>
      <c r="Y464" s="110"/>
      <c r="AM464" s="141"/>
      <c r="AN464" s="141"/>
    </row>
    <row r="465" spans="1:40" x14ac:dyDescent="0.3">
      <c r="C465" s="99"/>
      <c r="F465" s="110"/>
      <c r="H465" s="110"/>
      <c r="I465" s="110"/>
      <c r="J465" s="163"/>
      <c r="L465" s="110"/>
      <c r="M465" s="110"/>
      <c r="N465" s="141"/>
      <c r="O465" s="141"/>
      <c r="P465" s="172"/>
      <c r="Q465" s="172"/>
      <c r="R465" s="110"/>
      <c r="T465" s="99"/>
      <c r="V465" s="110"/>
      <c r="Y465" s="110"/>
      <c r="AA465" s="110"/>
      <c r="AB465" s="110"/>
      <c r="AC465" s="141"/>
      <c r="AD465" s="141"/>
      <c r="AE465" s="110"/>
      <c r="AF465" s="110"/>
      <c r="AH465" s="207"/>
      <c r="AI465" s="172"/>
      <c r="AJ465" s="172"/>
      <c r="AL465" s="110"/>
      <c r="AM465" s="141"/>
      <c r="AN465" s="141"/>
    </row>
    <row r="466" spans="1:40" x14ac:dyDescent="0.3">
      <c r="H466" s="192"/>
      <c r="I466" s="192"/>
      <c r="J466" s="228"/>
      <c r="K466" s="217"/>
      <c r="L466" s="192"/>
      <c r="M466" s="192"/>
      <c r="N466" s="192"/>
      <c r="O466" s="192"/>
      <c r="P466" s="192"/>
      <c r="Q466" s="192"/>
      <c r="R466" s="192"/>
      <c r="V466" s="192"/>
      <c r="Y466" s="192"/>
      <c r="Z466" s="217"/>
      <c r="AA466" s="192"/>
      <c r="AB466" s="192"/>
      <c r="AC466" s="192"/>
      <c r="AD466" s="192"/>
      <c r="AE466" s="192"/>
      <c r="AF466" s="192"/>
      <c r="AI466" s="192"/>
      <c r="AJ466" s="192"/>
      <c r="AK466" s="194"/>
      <c r="AL466" s="192"/>
      <c r="AM466" s="141"/>
      <c r="AN466" s="141"/>
    </row>
    <row r="467" spans="1:40" x14ac:dyDescent="0.3">
      <c r="F467" s="192"/>
      <c r="J467" s="163"/>
    </row>
    <row r="468" spans="1:40" x14ac:dyDescent="0.3">
      <c r="F468" s="110"/>
      <c r="H468" s="110"/>
      <c r="I468" s="110"/>
      <c r="J468" s="163"/>
      <c r="K468" s="198"/>
      <c r="L468" s="110"/>
      <c r="M468" s="110"/>
      <c r="N468" s="110"/>
      <c r="O468" s="110"/>
      <c r="P468" s="110"/>
      <c r="Q468" s="110"/>
      <c r="R468" s="110"/>
      <c r="V468" s="110"/>
      <c r="Y468" s="110"/>
      <c r="Z468" s="198"/>
      <c r="AA468" s="110"/>
      <c r="AB468" s="110"/>
      <c r="AC468" s="110"/>
      <c r="AD468" s="110"/>
      <c r="AE468" s="110"/>
      <c r="AF468" s="110"/>
      <c r="AH468" s="110"/>
      <c r="AI468" s="110"/>
      <c r="AJ468" s="110"/>
      <c r="AL468" s="110"/>
    </row>
    <row r="469" spans="1:40" x14ac:dyDescent="0.3">
      <c r="A469" s="99"/>
      <c r="J469" s="163"/>
    </row>
    <row r="470" spans="1:40" x14ac:dyDescent="0.3">
      <c r="J470" s="163"/>
    </row>
    <row r="471" spans="1:40" x14ac:dyDescent="0.3">
      <c r="H471" s="99"/>
      <c r="I471" s="99"/>
      <c r="J471" s="163"/>
      <c r="Y471" s="99"/>
    </row>
    <row r="472" spans="1:40" x14ac:dyDescent="0.3">
      <c r="J472" s="163"/>
    </row>
    <row r="473" spans="1:40" x14ac:dyDescent="0.3">
      <c r="J473" s="163"/>
      <c r="L473" s="99"/>
      <c r="M473" s="99"/>
      <c r="AA473" s="99"/>
      <c r="AB473" s="99"/>
    </row>
    <row r="474" spans="1:40" x14ac:dyDescent="0.3">
      <c r="J474" s="163"/>
      <c r="R474" s="99"/>
      <c r="AK474" s="190"/>
      <c r="AL474" s="99"/>
    </row>
    <row r="475" spans="1:40" x14ac:dyDescent="0.3">
      <c r="J475" s="163"/>
      <c r="R475" s="99"/>
      <c r="AK475" s="190"/>
      <c r="AL475" s="99"/>
    </row>
    <row r="476" spans="1:40" x14ac:dyDescent="0.3">
      <c r="A476" s="99"/>
      <c r="J476" s="163"/>
      <c r="R476" s="99"/>
      <c r="AK476" s="190"/>
      <c r="AL476" s="99"/>
    </row>
    <row r="477" spans="1:40" x14ac:dyDescent="0.3">
      <c r="J477" s="163"/>
      <c r="L477" s="99"/>
      <c r="M477" s="99"/>
      <c r="AA477" s="99"/>
      <c r="AB477" s="99"/>
    </row>
    <row r="478" spans="1:40" x14ac:dyDescent="0.3">
      <c r="A478" s="101"/>
      <c r="B478" s="101"/>
      <c r="C478" s="101"/>
      <c r="D478" s="101"/>
      <c r="E478" s="101"/>
      <c r="F478" s="101"/>
      <c r="G478" s="101"/>
      <c r="H478" s="101"/>
      <c r="I478" s="101"/>
      <c r="J478" s="212"/>
      <c r="K478" s="101"/>
      <c r="L478" s="101"/>
      <c r="M478" s="101"/>
      <c r="N478" s="101"/>
      <c r="O478" s="101"/>
      <c r="P478" s="101"/>
      <c r="Q478" s="101"/>
      <c r="R478" s="101"/>
      <c r="T478" s="101"/>
      <c r="U478" s="101"/>
      <c r="V478" s="101"/>
      <c r="W478" s="101"/>
      <c r="X478" s="101"/>
      <c r="Y478" s="101"/>
      <c r="Z478" s="101"/>
      <c r="AA478" s="101"/>
      <c r="AB478" s="101"/>
      <c r="AC478" s="101"/>
      <c r="AD478" s="101"/>
      <c r="AE478" s="101"/>
      <c r="AF478" s="101"/>
      <c r="AG478" s="191"/>
      <c r="AH478" s="101"/>
      <c r="AI478" s="101"/>
      <c r="AJ478" s="101"/>
      <c r="AK478" s="191"/>
      <c r="AL478" s="101"/>
      <c r="AM478" s="101"/>
      <c r="AN478" s="101"/>
    </row>
    <row r="479" spans="1:40" x14ac:dyDescent="0.3">
      <c r="J479" s="163"/>
      <c r="L479" s="102"/>
      <c r="M479" s="102"/>
      <c r="N479" s="102"/>
      <c r="O479" s="102"/>
      <c r="R479" s="102"/>
      <c r="AA479" s="102"/>
      <c r="AB479" s="102"/>
      <c r="AC479" s="102"/>
      <c r="AD479" s="102"/>
      <c r="AE479" s="102"/>
      <c r="AF479" s="102"/>
      <c r="AG479" s="151"/>
      <c r="AH479" s="102"/>
      <c r="AK479" s="151"/>
      <c r="AL479" s="102"/>
      <c r="AM479" s="102"/>
      <c r="AN479" s="102"/>
    </row>
    <row r="480" spans="1:40" x14ac:dyDescent="0.3">
      <c r="J480" s="163"/>
      <c r="L480" s="102"/>
      <c r="M480" s="102"/>
      <c r="N480" s="102"/>
      <c r="O480" s="102"/>
      <c r="R480" s="102"/>
      <c r="Z480" s="102"/>
      <c r="AA480" s="102"/>
      <c r="AB480" s="102"/>
      <c r="AC480" s="102"/>
      <c r="AD480" s="102"/>
      <c r="AE480" s="102"/>
      <c r="AF480" s="102"/>
      <c r="AG480" s="151"/>
      <c r="AH480" s="102"/>
      <c r="AK480" s="151"/>
      <c r="AL480" s="102"/>
      <c r="AM480" s="102"/>
      <c r="AN480" s="102"/>
    </row>
    <row r="481" spans="1:40" x14ac:dyDescent="0.3">
      <c r="A481" s="102"/>
      <c r="C481" s="102"/>
      <c r="D481" s="102"/>
      <c r="E481" s="102"/>
      <c r="F481" s="102"/>
      <c r="J481" s="213"/>
      <c r="K481" s="102"/>
      <c r="L481" s="102"/>
      <c r="M481" s="102"/>
      <c r="N481" s="102"/>
      <c r="O481" s="102"/>
      <c r="P481" s="102"/>
      <c r="Q481" s="102"/>
      <c r="R481" s="102"/>
      <c r="T481" s="102"/>
      <c r="U481" s="102"/>
      <c r="V481" s="102"/>
      <c r="Z481" s="102"/>
      <c r="AA481" s="102"/>
      <c r="AB481" s="102"/>
      <c r="AC481" s="102"/>
      <c r="AD481" s="102"/>
      <c r="AE481" s="102"/>
      <c r="AF481" s="102"/>
      <c r="AG481" s="151"/>
      <c r="AH481" s="102"/>
      <c r="AI481" s="102"/>
      <c r="AJ481" s="102"/>
      <c r="AK481" s="151"/>
      <c r="AL481" s="102"/>
      <c r="AM481" s="102"/>
      <c r="AN481" s="102"/>
    </row>
    <row r="482" spans="1:40" x14ac:dyDescent="0.3">
      <c r="A482" s="102"/>
      <c r="C482" s="102"/>
      <c r="D482" s="102"/>
      <c r="E482" s="102"/>
      <c r="F482" s="102"/>
      <c r="H482" s="102"/>
      <c r="I482" s="102"/>
      <c r="J482" s="213"/>
      <c r="K482" s="102"/>
      <c r="L482" s="102"/>
      <c r="M482" s="102"/>
      <c r="N482" s="102"/>
      <c r="O482" s="102"/>
      <c r="P482" s="102"/>
      <c r="Q482" s="102"/>
      <c r="R482" s="102"/>
      <c r="T482" s="102"/>
      <c r="U482" s="102"/>
      <c r="V482" s="102"/>
      <c r="Y482" s="102"/>
      <c r="Z482" s="102"/>
      <c r="AA482" s="102"/>
      <c r="AB482" s="102"/>
      <c r="AC482" s="102"/>
      <c r="AD482" s="102"/>
      <c r="AE482" s="102"/>
      <c r="AF482" s="102"/>
      <c r="AG482" s="151"/>
      <c r="AH482" s="102"/>
      <c r="AI482" s="102"/>
      <c r="AJ482" s="102"/>
      <c r="AK482" s="151"/>
      <c r="AL482" s="102"/>
      <c r="AM482" s="102"/>
      <c r="AN482" s="102"/>
    </row>
    <row r="483" spans="1:40" x14ac:dyDescent="0.3">
      <c r="C483" s="102"/>
      <c r="D483" s="102"/>
      <c r="E483" s="102"/>
      <c r="F483" s="102"/>
      <c r="H483" s="102"/>
      <c r="I483" s="102"/>
      <c r="J483" s="213"/>
      <c r="K483" s="102"/>
      <c r="L483" s="102"/>
      <c r="M483" s="102"/>
      <c r="N483" s="102"/>
      <c r="O483" s="102"/>
      <c r="P483" s="102"/>
      <c r="Q483" s="102"/>
      <c r="R483" s="102"/>
      <c r="T483" s="102"/>
      <c r="U483" s="102"/>
      <c r="V483" s="102"/>
      <c r="Y483" s="102"/>
      <c r="Z483" s="102"/>
      <c r="AA483" s="102"/>
      <c r="AB483" s="102"/>
      <c r="AC483" s="102"/>
      <c r="AD483" s="102"/>
      <c r="AE483" s="102"/>
      <c r="AF483" s="102"/>
      <c r="AG483" s="151"/>
      <c r="AH483" s="102"/>
      <c r="AI483" s="102"/>
      <c r="AJ483" s="102"/>
      <c r="AK483" s="151"/>
      <c r="AL483" s="102"/>
      <c r="AM483" s="102"/>
      <c r="AN483" s="102"/>
    </row>
    <row r="484" spans="1:40" x14ac:dyDescent="0.3">
      <c r="A484" s="101"/>
      <c r="B484" s="101"/>
      <c r="C484" s="101"/>
      <c r="D484" s="101"/>
      <c r="E484" s="101"/>
      <c r="F484" s="101"/>
      <c r="G484" s="101"/>
      <c r="H484" s="101"/>
      <c r="I484" s="101"/>
      <c r="J484" s="212"/>
      <c r="K484" s="101"/>
      <c r="L484" s="101"/>
      <c r="M484" s="101"/>
      <c r="N484" s="101"/>
      <c r="O484" s="101"/>
      <c r="P484" s="101"/>
      <c r="Q484" s="101"/>
      <c r="R484" s="101"/>
      <c r="T484" s="101"/>
      <c r="U484" s="101"/>
      <c r="V484" s="101"/>
      <c r="W484" s="101"/>
      <c r="X484" s="101"/>
      <c r="Y484" s="101"/>
      <c r="Z484" s="101"/>
      <c r="AA484" s="101"/>
      <c r="AB484" s="101"/>
      <c r="AC484" s="101"/>
      <c r="AD484" s="101"/>
      <c r="AE484" s="101"/>
      <c r="AF484" s="101"/>
      <c r="AG484" s="191"/>
      <c r="AH484" s="101"/>
      <c r="AI484" s="101"/>
      <c r="AJ484" s="101"/>
      <c r="AK484" s="191"/>
      <c r="AL484" s="101"/>
      <c r="AM484" s="101"/>
      <c r="AN484" s="101"/>
    </row>
    <row r="485" spans="1:40" x14ac:dyDescent="0.3">
      <c r="H485" s="102"/>
      <c r="I485" s="102"/>
      <c r="J485" s="213"/>
      <c r="K485" s="102"/>
      <c r="L485" s="102"/>
      <c r="M485" s="102"/>
      <c r="N485" s="102"/>
      <c r="O485" s="102"/>
      <c r="P485" s="102"/>
      <c r="Q485" s="102"/>
      <c r="R485" s="102"/>
      <c r="Y485" s="102"/>
      <c r="Z485" s="102"/>
      <c r="AA485" s="102"/>
      <c r="AB485" s="102"/>
      <c r="AC485" s="102"/>
      <c r="AD485" s="102"/>
      <c r="AE485" s="102"/>
      <c r="AF485" s="102"/>
      <c r="AG485" s="151"/>
      <c r="AH485" s="102"/>
      <c r="AI485" s="102"/>
      <c r="AJ485" s="102"/>
      <c r="AK485" s="151"/>
      <c r="AL485" s="102"/>
      <c r="AM485" s="102"/>
      <c r="AN485" s="102"/>
    </row>
    <row r="486" spans="1:40" x14ac:dyDescent="0.3">
      <c r="C486" s="99"/>
      <c r="D486" s="99"/>
      <c r="E486" s="99"/>
      <c r="J486" s="163"/>
      <c r="T486" s="99"/>
      <c r="U486" s="99"/>
      <c r="V486" s="110"/>
      <c r="W486" s="110"/>
      <c r="X486" s="110"/>
      <c r="Y486" s="110"/>
      <c r="Z486" s="227"/>
    </row>
    <row r="487" spans="1:40" x14ac:dyDescent="0.3">
      <c r="J487" s="163"/>
    </row>
    <row r="488" spans="1:40" x14ac:dyDescent="0.3">
      <c r="C488" s="99"/>
      <c r="J488" s="163"/>
      <c r="T488" s="99"/>
      <c r="V488" s="110"/>
      <c r="W488" s="110"/>
      <c r="X488" s="110"/>
      <c r="Y488" s="110"/>
      <c r="Z488" s="227"/>
    </row>
    <row r="489" spans="1:40" x14ac:dyDescent="0.3">
      <c r="C489" s="99"/>
      <c r="F489" s="172"/>
      <c r="H489" s="172"/>
      <c r="I489" s="172"/>
      <c r="J489" s="228"/>
      <c r="K489" s="228"/>
      <c r="L489" s="110"/>
      <c r="M489" s="110"/>
      <c r="N489" s="141"/>
      <c r="O489" s="141"/>
      <c r="P489" s="110"/>
      <c r="Q489" s="110"/>
      <c r="R489" s="110"/>
      <c r="T489" s="99"/>
      <c r="V489" s="110"/>
      <c r="W489" s="110"/>
      <c r="X489" s="110"/>
      <c r="Y489" s="110"/>
      <c r="Z489" s="228"/>
      <c r="AA489" s="110"/>
      <c r="AB489" s="110"/>
      <c r="AC489" s="141"/>
      <c r="AD489" s="141"/>
      <c r="AE489" s="110"/>
      <c r="AF489" s="110"/>
      <c r="AH489" s="207"/>
      <c r="AI489" s="110"/>
      <c r="AJ489" s="110"/>
      <c r="AL489" s="110"/>
      <c r="AM489" s="141"/>
      <c r="AN489" s="141"/>
    </row>
    <row r="490" spans="1:40" x14ac:dyDescent="0.3">
      <c r="C490" s="99"/>
      <c r="F490" s="172"/>
      <c r="H490" s="172"/>
      <c r="I490" s="172"/>
      <c r="J490" s="228"/>
      <c r="K490" s="228"/>
      <c r="L490" s="110"/>
      <c r="M490" s="110"/>
      <c r="N490" s="141"/>
      <c r="O490" s="141"/>
      <c r="P490" s="110"/>
      <c r="Q490" s="110"/>
      <c r="R490" s="110"/>
      <c r="T490" s="99"/>
      <c r="V490" s="110"/>
      <c r="W490" s="110"/>
      <c r="X490" s="110"/>
      <c r="Y490" s="110"/>
      <c r="Z490" s="228"/>
      <c r="AA490" s="110"/>
      <c r="AB490" s="110"/>
      <c r="AC490" s="141"/>
      <c r="AD490" s="141"/>
      <c r="AE490" s="110"/>
      <c r="AF490" s="110"/>
      <c r="AH490" s="207"/>
      <c r="AI490" s="110"/>
      <c r="AJ490" s="110"/>
      <c r="AL490" s="110"/>
      <c r="AM490" s="141"/>
      <c r="AN490" s="141"/>
    </row>
    <row r="491" spans="1:40" x14ac:dyDescent="0.3">
      <c r="C491" s="99"/>
      <c r="F491" s="172"/>
      <c r="H491" s="172"/>
      <c r="I491" s="172"/>
      <c r="J491" s="228"/>
      <c r="K491" s="228"/>
      <c r="L491" s="110"/>
      <c r="M491" s="110"/>
      <c r="N491" s="141"/>
      <c r="O491" s="141"/>
      <c r="P491" s="110"/>
      <c r="Q491" s="110"/>
      <c r="R491" s="110"/>
      <c r="T491" s="99"/>
      <c r="V491" s="110"/>
      <c r="W491" s="110"/>
      <c r="X491" s="110"/>
      <c r="Y491" s="110"/>
      <c r="Z491" s="228"/>
      <c r="AA491" s="110"/>
      <c r="AB491" s="110"/>
      <c r="AC491" s="141"/>
      <c r="AD491" s="141"/>
      <c r="AE491" s="110"/>
      <c r="AF491" s="110"/>
      <c r="AH491" s="207"/>
      <c r="AI491" s="110"/>
      <c r="AJ491" s="110"/>
      <c r="AL491" s="110"/>
      <c r="AM491" s="141"/>
      <c r="AN491" s="141"/>
    </row>
    <row r="492" spans="1:40" x14ac:dyDescent="0.3">
      <c r="C492" s="99"/>
      <c r="F492" s="172"/>
      <c r="H492" s="172"/>
      <c r="I492" s="172"/>
      <c r="J492" s="228"/>
      <c r="K492" s="228"/>
      <c r="L492" s="110"/>
      <c r="M492" s="110"/>
      <c r="N492" s="141"/>
      <c r="O492" s="141"/>
      <c r="P492" s="110"/>
      <c r="Q492" s="110"/>
      <c r="R492" s="110"/>
      <c r="T492" s="99"/>
      <c r="V492" s="110"/>
      <c r="W492" s="110"/>
      <c r="X492" s="110"/>
      <c r="Y492" s="110"/>
      <c r="Z492" s="228"/>
      <c r="AA492" s="110"/>
      <c r="AB492" s="110"/>
      <c r="AC492" s="141"/>
      <c r="AD492" s="141"/>
      <c r="AE492" s="110"/>
      <c r="AF492" s="110"/>
      <c r="AH492" s="207"/>
      <c r="AI492" s="110"/>
      <c r="AJ492" s="110"/>
      <c r="AL492" s="110"/>
      <c r="AM492" s="141"/>
      <c r="AN492" s="141"/>
    </row>
    <row r="493" spans="1:40" x14ac:dyDescent="0.3">
      <c r="J493" s="163"/>
      <c r="K493" s="163"/>
      <c r="V493" s="110"/>
      <c r="W493" s="110"/>
      <c r="X493" s="110"/>
      <c r="Y493" s="110"/>
      <c r="Z493" s="228"/>
    </row>
    <row r="494" spans="1:40" x14ac:dyDescent="0.3">
      <c r="C494" s="99"/>
      <c r="F494" s="172"/>
      <c r="H494" s="172"/>
      <c r="I494" s="172"/>
      <c r="J494" s="228"/>
      <c r="K494" s="228"/>
      <c r="L494" s="110"/>
      <c r="M494" s="110"/>
      <c r="N494" s="141"/>
      <c r="O494" s="141"/>
      <c r="P494" s="110"/>
      <c r="Q494" s="110"/>
      <c r="R494" s="110"/>
      <c r="T494" s="99"/>
      <c r="V494" s="110"/>
      <c r="W494" s="110"/>
      <c r="X494" s="110"/>
      <c r="Y494" s="110"/>
      <c r="Z494" s="228"/>
      <c r="AA494" s="110"/>
      <c r="AB494" s="110"/>
      <c r="AC494" s="141"/>
      <c r="AD494" s="141"/>
      <c r="AE494" s="110"/>
      <c r="AF494" s="110"/>
      <c r="AH494" s="207"/>
      <c r="AI494" s="110"/>
      <c r="AJ494" s="110"/>
      <c r="AL494" s="110"/>
      <c r="AM494" s="207"/>
      <c r="AN494" s="207"/>
    </row>
    <row r="495" spans="1:40" x14ac:dyDescent="0.3">
      <c r="C495" s="99"/>
      <c r="J495" s="163"/>
      <c r="K495" s="163"/>
      <c r="T495" s="99"/>
      <c r="V495" s="110"/>
      <c r="W495" s="110"/>
      <c r="X495" s="110"/>
      <c r="Y495" s="110"/>
      <c r="Z495" s="228"/>
    </row>
    <row r="496" spans="1:40" x14ac:dyDescent="0.3">
      <c r="C496" s="99"/>
      <c r="F496" s="172"/>
      <c r="H496" s="172"/>
      <c r="I496" s="172"/>
      <c r="J496" s="228"/>
      <c r="K496" s="228"/>
      <c r="L496" s="110"/>
      <c r="M496" s="110"/>
      <c r="N496" s="141"/>
      <c r="O496" s="141"/>
      <c r="P496" s="110"/>
      <c r="Q496" s="110"/>
      <c r="R496" s="110"/>
      <c r="T496" s="99"/>
      <c r="V496" s="110"/>
      <c r="W496" s="110"/>
      <c r="X496" s="110"/>
      <c r="Y496" s="110"/>
      <c r="Z496" s="228"/>
      <c r="AA496" s="110"/>
      <c r="AB496" s="110"/>
      <c r="AC496" s="141"/>
      <c r="AD496" s="141"/>
      <c r="AE496" s="110"/>
      <c r="AF496" s="110"/>
      <c r="AH496" s="207"/>
      <c r="AI496" s="110"/>
      <c r="AJ496" s="110"/>
      <c r="AL496" s="110"/>
      <c r="AM496" s="207"/>
      <c r="AN496" s="207"/>
    </row>
    <row r="497" spans="1:40" x14ac:dyDescent="0.3">
      <c r="J497" s="163"/>
      <c r="K497" s="163"/>
      <c r="Z497" s="163"/>
    </row>
    <row r="498" spans="1:40" x14ac:dyDescent="0.3">
      <c r="C498" s="99"/>
      <c r="J498" s="163"/>
      <c r="K498" s="163"/>
      <c r="T498" s="99"/>
      <c r="V498" s="110"/>
      <c r="W498" s="110"/>
      <c r="X498" s="110"/>
      <c r="Y498" s="110"/>
      <c r="Z498" s="228"/>
    </row>
    <row r="499" spans="1:40" x14ac:dyDescent="0.3">
      <c r="C499" s="99"/>
      <c r="F499" s="172"/>
      <c r="H499" s="172"/>
      <c r="I499" s="172"/>
      <c r="J499" s="228"/>
      <c r="K499" s="228"/>
      <c r="L499" s="110"/>
      <c r="M499" s="110"/>
      <c r="N499" s="141"/>
      <c r="O499" s="141"/>
      <c r="P499" s="110"/>
      <c r="Q499" s="110"/>
      <c r="R499" s="110"/>
      <c r="T499" s="99"/>
      <c r="V499" s="110"/>
      <c r="W499" s="110"/>
      <c r="X499" s="110"/>
      <c r="Y499" s="110"/>
      <c r="Z499" s="228"/>
      <c r="AA499" s="110"/>
      <c r="AB499" s="110"/>
      <c r="AC499" s="141"/>
      <c r="AD499" s="141"/>
      <c r="AE499" s="110"/>
      <c r="AF499" s="110"/>
      <c r="AH499" s="207"/>
      <c r="AI499" s="110"/>
      <c r="AJ499" s="110"/>
      <c r="AL499" s="110"/>
      <c r="AM499" s="207"/>
      <c r="AN499" s="207"/>
    </row>
    <row r="500" spans="1:40" x14ac:dyDescent="0.3">
      <c r="C500" s="99"/>
      <c r="F500" s="172"/>
      <c r="H500" s="172"/>
      <c r="I500" s="172"/>
      <c r="J500" s="228"/>
      <c r="K500" s="228"/>
      <c r="L500" s="110"/>
      <c r="M500" s="110"/>
      <c r="N500" s="141"/>
      <c r="O500" s="141"/>
      <c r="P500" s="110"/>
      <c r="Q500" s="110"/>
      <c r="R500" s="110"/>
      <c r="T500" s="99"/>
      <c r="V500" s="110"/>
      <c r="W500" s="110"/>
      <c r="X500" s="110"/>
      <c r="Y500" s="110"/>
      <c r="Z500" s="228"/>
      <c r="AA500" s="110"/>
      <c r="AB500" s="110"/>
      <c r="AC500" s="141"/>
      <c r="AD500" s="141"/>
      <c r="AE500" s="110"/>
      <c r="AF500" s="110"/>
      <c r="AH500" s="207"/>
      <c r="AI500" s="110"/>
      <c r="AJ500" s="110"/>
      <c r="AL500" s="110"/>
      <c r="AM500" s="207"/>
      <c r="AN500" s="207"/>
    </row>
    <row r="501" spans="1:40" x14ac:dyDescent="0.3">
      <c r="F501" s="192"/>
      <c r="H501" s="192"/>
      <c r="I501" s="192"/>
      <c r="J501" s="228"/>
      <c r="K501" s="228"/>
      <c r="L501" s="192"/>
      <c r="M501" s="192"/>
      <c r="N501" s="192"/>
      <c r="O501" s="192"/>
      <c r="P501" s="192"/>
      <c r="Q501" s="192"/>
      <c r="R501" s="192"/>
      <c r="V501" s="192"/>
      <c r="Y501" s="192"/>
      <c r="Z501" s="217"/>
      <c r="AA501" s="192"/>
      <c r="AB501" s="192"/>
      <c r="AC501" s="192"/>
      <c r="AD501" s="192"/>
      <c r="AE501" s="192"/>
      <c r="AF501" s="192"/>
      <c r="AI501" s="192"/>
      <c r="AJ501" s="192"/>
      <c r="AK501" s="194"/>
      <c r="AL501" s="192"/>
    </row>
    <row r="502" spans="1:40" x14ac:dyDescent="0.3">
      <c r="C502" s="99"/>
      <c r="F502" s="110"/>
      <c r="H502" s="110"/>
      <c r="I502" s="110"/>
      <c r="J502" s="163"/>
      <c r="L502" s="110"/>
      <c r="M502" s="110"/>
      <c r="N502" s="141"/>
      <c r="O502" s="141"/>
      <c r="P502" s="172"/>
      <c r="Q502" s="172"/>
      <c r="R502" s="110"/>
      <c r="T502" s="99"/>
      <c r="V502" s="110"/>
      <c r="W502" s="110"/>
      <c r="X502" s="110"/>
      <c r="Y502" s="110"/>
      <c r="Z502" s="227"/>
      <c r="AA502" s="110"/>
      <c r="AB502" s="110"/>
      <c r="AC502" s="141"/>
      <c r="AD502" s="141"/>
      <c r="AE502" s="110"/>
      <c r="AF502" s="110"/>
      <c r="AH502" s="207"/>
      <c r="AI502" s="172"/>
      <c r="AJ502" s="172"/>
      <c r="AL502" s="110"/>
      <c r="AM502" s="207"/>
      <c r="AN502" s="207"/>
    </row>
    <row r="503" spans="1:40" x14ac:dyDescent="0.3">
      <c r="H503" s="192"/>
      <c r="I503" s="192"/>
      <c r="J503" s="228"/>
      <c r="K503" s="217"/>
      <c r="L503" s="192"/>
      <c r="M503" s="192"/>
      <c r="N503" s="192"/>
      <c r="O503" s="192"/>
      <c r="P503" s="192"/>
      <c r="Q503" s="192"/>
      <c r="R503" s="192"/>
      <c r="V503" s="192"/>
      <c r="Y503" s="192"/>
      <c r="Z503" s="217"/>
      <c r="AA503" s="192"/>
      <c r="AB503" s="192"/>
      <c r="AC503" s="192"/>
      <c r="AD503" s="192"/>
      <c r="AE503" s="192"/>
      <c r="AF503" s="192"/>
      <c r="AI503" s="192"/>
      <c r="AJ503" s="192"/>
      <c r="AK503" s="194"/>
      <c r="AL503" s="192"/>
    </row>
    <row r="504" spans="1:40" x14ac:dyDescent="0.3">
      <c r="F504" s="192"/>
      <c r="J504" s="163"/>
    </row>
    <row r="505" spans="1:40" x14ac:dyDescent="0.3">
      <c r="J505" s="163"/>
    </row>
    <row r="506" spans="1:40" x14ac:dyDescent="0.3">
      <c r="A506" s="99"/>
      <c r="J506" s="163"/>
    </row>
    <row r="507" spans="1:40" x14ac:dyDescent="0.3">
      <c r="J507" s="163"/>
    </row>
    <row r="508" spans="1:40" x14ac:dyDescent="0.3">
      <c r="H508" s="99"/>
      <c r="I508" s="99"/>
      <c r="J508" s="163"/>
      <c r="Y508" s="99"/>
    </row>
    <row r="509" spans="1:40" x14ac:dyDescent="0.3">
      <c r="J509" s="163"/>
    </row>
    <row r="510" spans="1:40" x14ac:dyDescent="0.3">
      <c r="J510" s="163"/>
      <c r="L510" s="99"/>
      <c r="M510" s="99"/>
      <c r="AA510" s="99"/>
      <c r="AB510" s="99"/>
    </row>
    <row r="511" spans="1:40" x14ac:dyDescent="0.3">
      <c r="J511" s="163"/>
      <c r="R511" s="99"/>
      <c r="AK511" s="190"/>
      <c r="AL511" s="99"/>
    </row>
    <row r="512" spans="1:40" x14ac:dyDescent="0.3">
      <c r="J512" s="163"/>
      <c r="R512" s="99"/>
      <c r="AK512" s="190"/>
      <c r="AL512" s="99"/>
    </row>
    <row r="513" spans="1:40" x14ac:dyDescent="0.3">
      <c r="A513" s="99"/>
      <c r="J513" s="163"/>
      <c r="R513" s="99"/>
      <c r="AK513" s="190"/>
      <c r="AL513" s="99"/>
    </row>
    <row r="514" spans="1:40" x14ac:dyDescent="0.3">
      <c r="J514" s="163"/>
      <c r="L514" s="99"/>
      <c r="M514" s="99"/>
      <c r="AA514" s="99"/>
      <c r="AB514" s="99"/>
    </row>
    <row r="515" spans="1:40" x14ac:dyDescent="0.3">
      <c r="A515" s="101"/>
      <c r="B515" s="101"/>
      <c r="C515" s="101"/>
      <c r="D515" s="101"/>
      <c r="E515" s="101"/>
      <c r="F515" s="101"/>
      <c r="G515" s="101"/>
      <c r="H515" s="101"/>
      <c r="I515" s="101"/>
      <c r="J515" s="212"/>
      <c r="K515" s="101"/>
      <c r="L515" s="101"/>
      <c r="M515" s="101"/>
      <c r="N515" s="101"/>
      <c r="O515" s="101"/>
      <c r="P515" s="101"/>
      <c r="Q515" s="101"/>
      <c r="R515" s="101"/>
      <c r="T515" s="101"/>
      <c r="U515" s="101"/>
      <c r="V515" s="101"/>
      <c r="W515" s="101"/>
      <c r="X515" s="101"/>
      <c r="Y515" s="101"/>
      <c r="Z515" s="101"/>
      <c r="AA515" s="101"/>
      <c r="AB515" s="101"/>
      <c r="AC515" s="101"/>
      <c r="AD515" s="101"/>
      <c r="AE515" s="101"/>
      <c r="AF515" s="101"/>
      <c r="AG515" s="191"/>
      <c r="AH515" s="101"/>
      <c r="AI515" s="101"/>
      <c r="AJ515" s="101"/>
      <c r="AK515" s="191"/>
      <c r="AL515" s="101"/>
      <c r="AM515" s="101"/>
      <c r="AN515" s="101"/>
    </row>
    <row r="516" spans="1:40" x14ac:dyDescent="0.3">
      <c r="J516" s="163"/>
      <c r="L516" s="102"/>
      <c r="M516" s="102"/>
      <c r="N516" s="102"/>
      <c r="O516" s="102"/>
      <c r="R516" s="102"/>
      <c r="AA516" s="102"/>
      <c r="AB516" s="102"/>
      <c r="AC516" s="102"/>
      <c r="AD516" s="102"/>
      <c r="AE516" s="102"/>
      <c r="AF516" s="102"/>
      <c r="AG516" s="151"/>
      <c r="AH516" s="102"/>
      <c r="AK516" s="151"/>
      <c r="AL516" s="102"/>
      <c r="AM516" s="102"/>
      <c r="AN516" s="102"/>
    </row>
    <row r="517" spans="1:40" x14ac:dyDescent="0.3">
      <c r="J517" s="163"/>
      <c r="L517" s="102"/>
      <c r="M517" s="102"/>
      <c r="N517" s="102"/>
      <c r="O517" s="102"/>
      <c r="R517" s="102"/>
      <c r="Z517" s="102"/>
      <c r="AA517" s="102"/>
      <c r="AB517" s="102"/>
      <c r="AC517" s="102"/>
      <c r="AD517" s="102"/>
      <c r="AE517" s="102"/>
      <c r="AF517" s="102"/>
      <c r="AG517" s="151"/>
      <c r="AH517" s="102"/>
      <c r="AK517" s="151"/>
      <c r="AL517" s="102"/>
      <c r="AM517" s="102"/>
      <c r="AN517" s="102"/>
    </row>
    <row r="518" spans="1:40" x14ac:dyDescent="0.3">
      <c r="A518" s="102"/>
      <c r="C518" s="102"/>
      <c r="D518" s="102"/>
      <c r="E518" s="102"/>
      <c r="F518" s="102"/>
      <c r="J518" s="213"/>
      <c r="K518" s="102"/>
      <c r="L518" s="102"/>
      <c r="M518" s="102"/>
      <c r="N518" s="102"/>
      <c r="O518" s="102"/>
      <c r="P518" s="102"/>
      <c r="Q518" s="102"/>
      <c r="R518" s="102"/>
      <c r="T518" s="102"/>
      <c r="U518" s="102"/>
      <c r="V518" s="102"/>
      <c r="Z518" s="102"/>
      <c r="AA518" s="102"/>
      <c r="AB518" s="102"/>
      <c r="AC518" s="102"/>
      <c r="AD518" s="102"/>
      <c r="AE518" s="102"/>
      <c r="AF518" s="102"/>
      <c r="AG518" s="151"/>
      <c r="AH518" s="102"/>
      <c r="AI518" s="102"/>
      <c r="AJ518" s="102"/>
      <c r="AK518" s="151"/>
      <c r="AL518" s="102"/>
      <c r="AM518" s="102"/>
      <c r="AN518" s="102"/>
    </row>
    <row r="519" spans="1:40" x14ac:dyDescent="0.3">
      <c r="A519" s="102"/>
      <c r="C519" s="102"/>
      <c r="D519" s="102"/>
      <c r="E519" s="102"/>
      <c r="F519" s="102"/>
      <c r="H519" s="102"/>
      <c r="I519" s="102"/>
      <c r="J519" s="213"/>
      <c r="K519" s="102"/>
      <c r="L519" s="102"/>
      <c r="M519" s="102"/>
      <c r="N519" s="102"/>
      <c r="O519" s="102"/>
      <c r="P519" s="102"/>
      <c r="Q519" s="102"/>
      <c r="R519" s="102"/>
      <c r="T519" s="102"/>
      <c r="U519" s="102"/>
      <c r="V519" s="102"/>
      <c r="Y519" s="102"/>
      <c r="Z519" s="102"/>
      <c r="AA519" s="102"/>
      <c r="AB519" s="102"/>
      <c r="AC519" s="102"/>
      <c r="AD519" s="102"/>
      <c r="AE519" s="102"/>
      <c r="AF519" s="102"/>
      <c r="AG519" s="151"/>
      <c r="AH519" s="102"/>
      <c r="AI519" s="102"/>
      <c r="AJ519" s="102"/>
      <c r="AK519" s="151"/>
      <c r="AL519" s="102"/>
      <c r="AM519" s="102"/>
      <c r="AN519" s="102"/>
    </row>
    <row r="520" spans="1:40" x14ac:dyDescent="0.3">
      <c r="C520" s="102"/>
      <c r="D520" s="102"/>
      <c r="E520" s="102"/>
      <c r="F520" s="102"/>
      <c r="H520" s="102"/>
      <c r="I520" s="102"/>
      <c r="J520" s="213"/>
      <c r="K520" s="102"/>
      <c r="L520" s="102"/>
      <c r="M520" s="102"/>
      <c r="N520" s="102"/>
      <c r="O520" s="102"/>
      <c r="P520" s="102"/>
      <c r="Q520" s="102"/>
      <c r="R520" s="102"/>
      <c r="T520" s="102"/>
      <c r="U520" s="102"/>
      <c r="V520" s="102"/>
      <c r="Y520" s="102"/>
      <c r="Z520" s="102"/>
      <c r="AA520" s="102"/>
      <c r="AB520" s="102"/>
      <c r="AC520" s="102"/>
      <c r="AD520" s="102"/>
      <c r="AE520" s="102"/>
      <c r="AF520" s="102"/>
      <c r="AG520" s="151"/>
      <c r="AH520" s="102"/>
      <c r="AI520" s="102"/>
      <c r="AJ520" s="102"/>
      <c r="AK520" s="151"/>
      <c r="AL520" s="102"/>
      <c r="AM520" s="102"/>
      <c r="AN520" s="102"/>
    </row>
    <row r="521" spans="1:40" x14ac:dyDescent="0.3">
      <c r="A521" s="101"/>
      <c r="B521" s="101"/>
      <c r="C521" s="101"/>
      <c r="D521" s="101"/>
      <c r="E521" s="101"/>
      <c r="F521" s="101"/>
      <c r="G521" s="101"/>
      <c r="H521" s="101"/>
      <c r="I521" s="101"/>
      <c r="J521" s="212"/>
      <c r="K521" s="101"/>
      <c r="L521" s="101"/>
      <c r="M521" s="101"/>
      <c r="N521" s="101"/>
      <c r="O521" s="101"/>
      <c r="P521" s="101"/>
      <c r="Q521" s="101"/>
      <c r="R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/>
      <c r="AD521" s="101"/>
      <c r="AE521" s="101"/>
      <c r="AF521" s="101"/>
      <c r="AG521" s="191"/>
      <c r="AH521" s="101"/>
      <c r="AI521" s="101"/>
      <c r="AJ521" s="101"/>
      <c r="AK521" s="191"/>
      <c r="AL521" s="101"/>
      <c r="AM521" s="101"/>
      <c r="AN521" s="101"/>
    </row>
    <row r="522" spans="1:40" x14ac:dyDescent="0.3">
      <c r="H522" s="102"/>
      <c r="I522" s="102"/>
      <c r="J522" s="213"/>
      <c r="K522" s="102"/>
      <c r="L522" s="102"/>
      <c r="M522" s="102"/>
      <c r="N522" s="102"/>
      <c r="O522" s="102"/>
      <c r="P522" s="102"/>
      <c r="Q522" s="102"/>
      <c r="R522" s="102"/>
      <c r="Y522" s="102"/>
      <c r="Z522" s="102"/>
      <c r="AA522" s="102"/>
      <c r="AB522" s="102"/>
      <c r="AC522" s="102"/>
      <c r="AD522" s="102"/>
      <c r="AE522" s="102"/>
      <c r="AF522" s="102"/>
      <c r="AG522" s="151"/>
      <c r="AH522" s="102"/>
      <c r="AI522" s="102"/>
      <c r="AJ522" s="102"/>
      <c r="AK522" s="151"/>
      <c r="AL522" s="102"/>
      <c r="AM522" s="102"/>
      <c r="AN522" s="102"/>
    </row>
    <row r="523" spans="1:40" x14ac:dyDescent="0.3">
      <c r="C523" s="99"/>
      <c r="D523" s="99"/>
      <c r="E523" s="99"/>
      <c r="J523" s="163"/>
      <c r="T523" s="99"/>
      <c r="U523" s="99"/>
    </row>
    <row r="524" spans="1:40" x14ac:dyDescent="0.3">
      <c r="J524" s="163"/>
    </row>
    <row r="525" spans="1:40" x14ac:dyDescent="0.3">
      <c r="C525" s="99"/>
      <c r="J525" s="163"/>
      <c r="T525" s="99"/>
    </row>
    <row r="526" spans="1:40" x14ac:dyDescent="0.3">
      <c r="C526" s="99"/>
      <c r="J526" s="163"/>
      <c r="T526" s="99"/>
    </row>
    <row r="527" spans="1:40" x14ac:dyDescent="0.3">
      <c r="C527" s="99"/>
      <c r="F527" s="172"/>
      <c r="H527" s="172"/>
      <c r="I527" s="172"/>
      <c r="J527" s="228"/>
      <c r="K527" s="228"/>
      <c r="L527" s="110"/>
      <c r="M527" s="110"/>
      <c r="N527" s="141"/>
      <c r="O527" s="141"/>
      <c r="P527" s="110"/>
      <c r="Q527" s="110"/>
      <c r="R527" s="110"/>
      <c r="T527" s="99"/>
      <c r="V527" s="110"/>
      <c r="W527" s="110"/>
      <c r="X527" s="110"/>
      <c r="Y527" s="110"/>
      <c r="Z527" s="228"/>
      <c r="AA527" s="110"/>
      <c r="AB527" s="110"/>
      <c r="AC527" s="141"/>
      <c r="AD527" s="141"/>
      <c r="AE527" s="110"/>
      <c r="AF527" s="110"/>
      <c r="AH527" s="207"/>
      <c r="AI527" s="110"/>
      <c r="AJ527" s="110"/>
      <c r="AL527" s="110"/>
      <c r="AM527" s="207"/>
      <c r="AN527" s="207"/>
    </row>
    <row r="528" spans="1:40" x14ac:dyDescent="0.3">
      <c r="C528" s="99"/>
      <c r="F528" s="110"/>
      <c r="H528" s="110"/>
      <c r="I528" s="110"/>
      <c r="J528" s="163"/>
      <c r="K528" s="163"/>
      <c r="L528" s="110"/>
      <c r="M528" s="110"/>
      <c r="N528" s="141"/>
      <c r="O528" s="141"/>
      <c r="P528" s="110"/>
      <c r="Q528" s="110"/>
      <c r="R528" s="110"/>
      <c r="T528" s="99"/>
      <c r="V528" s="110"/>
      <c r="W528" s="110"/>
      <c r="X528" s="110"/>
      <c r="Y528" s="110"/>
      <c r="Z528" s="163"/>
      <c r="AA528" s="110"/>
      <c r="AB528" s="110"/>
      <c r="AC528" s="141"/>
      <c r="AD528" s="141"/>
      <c r="AE528" s="110"/>
      <c r="AF528" s="110"/>
      <c r="AH528" s="207"/>
      <c r="AI528" s="110"/>
      <c r="AJ528" s="110"/>
      <c r="AL528" s="110"/>
      <c r="AM528" s="207"/>
      <c r="AN528" s="207"/>
    </row>
    <row r="529" spans="3:40" x14ac:dyDescent="0.3">
      <c r="C529" s="99"/>
      <c r="F529" s="110"/>
      <c r="H529" s="110"/>
      <c r="I529" s="110"/>
      <c r="J529" s="163"/>
      <c r="K529" s="163"/>
      <c r="L529" s="110"/>
      <c r="M529" s="110"/>
      <c r="N529" s="141"/>
      <c r="O529" s="141"/>
      <c r="P529" s="110"/>
      <c r="Q529" s="110"/>
      <c r="R529" s="110"/>
      <c r="T529" s="99"/>
      <c r="V529" s="110"/>
      <c r="W529" s="110"/>
      <c r="X529" s="110"/>
      <c r="Y529" s="110"/>
      <c r="Z529" s="163"/>
      <c r="AA529" s="110"/>
      <c r="AB529" s="110"/>
      <c r="AC529" s="141"/>
      <c r="AD529" s="141"/>
      <c r="AE529" s="110"/>
      <c r="AF529" s="110"/>
      <c r="AH529" s="207"/>
      <c r="AI529" s="110"/>
      <c r="AJ529" s="110"/>
      <c r="AL529" s="110"/>
      <c r="AM529" s="207"/>
      <c r="AN529" s="207"/>
    </row>
    <row r="530" spans="3:40" x14ac:dyDescent="0.3">
      <c r="C530" s="99"/>
      <c r="F530" s="110"/>
      <c r="H530" s="110"/>
      <c r="I530" s="110"/>
      <c r="J530" s="163"/>
      <c r="K530" s="163"/>
      <c r="T530" s="99"/>
      <c r="V530" s="110"/>
      <c r="Z530" s="163"/>
    </row>
    <row r="531" spans="3:40" x14ac:dyDescent="0.3">
      <c r="C531" s="99"/>
      <c r="F531" s="172"/>
      <c r="H531" s="172"/>
      <c r="I531" s="172"/>
      <c r="J531" s="228"/>
      <c r="K531" s="228"/>
      <c r="L531" s="110"/>
      <c r="M531" s="110"/>
      <c r="N531" s="141"/>
      <c r="O531" s="141"/>
      <c r="P531" s="110"/>
      <c r="Q531" s="110"/>
      <c r="R531" s="110"/>
      <c r="T531" s="99"/>
      <c r="V531" s="110"/>
      <c r="W531" s="110"/>
      <c r="X531" s="110"/>
      <c r="Y531" s="110"/>
      <c r="Z531" s="228"/>
      <c r="AA531" s="110"/>
      <c r="AB531" s="110"/>
      <c r="AC531" s="141"/>
      <c r="AD531" s="141"/>
      <c r="AE531" s="110"/>
      <c r="AF531" s="110"/>
      <c r="AH531" s="207"/>
      <c r="AI531" s="110"/>
      <c r="AJ531" s="110"/>
      <c r="AL531" s="110"/>
      <c r="AM531" s="207"/>
      <c r="AN531" s="207"/>
    </row>
    <row r="532" spans="3:40" x14ac:dyDescent="0.3">
      <c r="C532" s="99"/>
      <c r="F532" s="110"/>
      <c r="H532" s="110"/>
      <c r="I532" s="110"/>
      <c r="J532" s="163"/>
      <c r="K532" s="163"/>
      <c r="T532" s="99"/>
      <c r="V532" s="110"/>
      <c r="W532" s="110"/>
      <c r="X532" s="110"/>
      <c r="Y532" s="110"/>
      <c r="Z532" s="163"/>
      <c r="AC532" s="141"/>
      <c r="AD532" s="141"/>
      <c r="AE532" s="110"/>
      <c r="AF532" s="110"/>
      <c r="AH532" s="207"/>
      <c r="AI532" s="110"/>
      <c r="AJ532" s="110"/>
      <c r="AL532" s="110"/>
      <c r="AM532" s="207"/>
      <c r="AN532" s="207"/>
    </row>
    <row r="533" spans="3:40" x14ac:dyDescent="0.3">
      <c r="C533" s="99"/>
      <c r="F533" s="172"/>
      <c r="H533" s="172"/>
      <c r="I533" s="172"/>
      <c r="J533" s="228"/>
      <c r="K533" s="228"/>
      <c r="L533" s="110"/>
      <c r="M533" s="110"/>
      <c r="N533" s="141"/>
      <c r="O533" s="141"/>
      <c r="P533" s="110"/>
      <c r="Q533" s="110"/>
      <c r="R533" s="110"/>
      <c r="T533" s="99"/>
      <c r="V533" s="110"/>
      <c r="W533" s="110"/>
      <c r="X533" s="110"/>
      <c r="Y533" s="110"/>
      <c r="Z533" s="228"/>
      <c r="AA533" s="110"/>
      <c r="AB533" s="110"/>
      <c r="AC533" s="141"/>
      <c r="AD533" s="141"/>
      <c r="AE533" s="110"/>
      <c r="AF533" s="110"/>
      <c r="AH533" s="207"/>
      <c r="AI533" s="110"/>
      <c r="AJ533" s="110"/>
      <c r="AL533" s="110"/>
      <c r="AM533" s="207"/>
      <c r="AN533" s="207"/>
    </row>
    <row r="534" spans="3:40" x14ac:dyDescent="0.3">
      <c r="C534" s="99"/>
      <c r="F534" s="110"/>
      <c r="H534" s="110"/>
      <c r="I534" s="110"/>
      <c r="J534" s="163"/>
      <c r="K534" s="163"/>
      <c r="L534" s="110"/>
      <c r="M534" s="110"/>
      <c r="N534" s="141"/>
      <c r="O534" s="141"/>
      <c r="P534" s="110"/>
      <c r="Q534" s="110"/>
      <c r="R534" s="110"/>
      <c r="T534" s="99"/>
      <c r="V534" s="110"/>
      <c r="W534" s="110"/>
      <c r="X534" s="110"/>
      <c r="Y534" s="110"/>
      <c r="Z534" s="163"/>
      <c r="AA534" s="110"/>
      <c r="AB534" s="110"/>
      <c r="AC534" s="141"/>
      <c r="AD534" s="141"/>
      <c r="AE534" s="110"/>
      <c r="AF534" s="110"/>
      <c r="AH534" s="207"/>
      <c r="AI534" s="110"/>
      <c r="AJ534" s="110"/>
      <c r="AL534" s="110"/>
      <c r="AM534" s="207"/>
      <c r="AN534" s="207"/>
    </row>
    <row r="535" spans="3:40" x14ac:dyDescent="0.3">
      <c r="F535" s="110"/>
      <c r="H535" s="110"/>
      <c r="I535" s="110"/>
      <c r="J535" s="163"/>
      <c r="K535" s="163"/>
      <c r="Z535" s="163"/>
    </row>
    <row r="536" spans="3:40" x14ac:dyDescent="0.3">
      <c r="C536" s="99"/>
      <c r="F536" s="110"/>
      <c r="H536" s="172"/>
      <c r="I536" s="172"/>
      <c r="J536" s="228"/>
      <c r="K536" s="228"/>
      <c r="L536" s="110"/>
      <c r="M536" s="110"/>
      <c r="N536" s="141"/>
      <c r="O536" s="141"/>
      <c r="P536" s="110"/>
      <c r="Q536" s="110"/>
      <c r="R536" s="110"/>
      <c r="T536" s="99"/>
      <c r="V536" s="110"/>
      <c r="W536" s="110"/>
      <c r="X536" s="110"/>
      <c r="Y536" s="110"/>
      <c r="Z536" s="228"/>
      <c r="AA536" s="110"/>
      <c r="AB536" s="110"/>
      <c r="AC536" s="141"/>
      <c r="AD536" s="141"/>
      <c r="AE536" s="110"/>
      <c r="AF536" s="110"/>
      <c r="AH536" s="207"/>
      <c r="AI536" s="110"/>
      <c r="AJ536" s="110"/>
      <c r="AL536" s="110"/>
      <c r="AM536" s="207"/>
      <c r="AN536" s="207"/>
    </row>
    <row r="537" spans="3:40" x14ac:dyDescent="0.3">
      <c r="F537" s="192"/>
      <c r="H537" s="192"/>
      <c r="I537" s="192"/>
      <c r="J537" s="228"/>
      <c r="K537" s="228"/>
      <c r="L537" s="192"/>
      <c r="M537" s="192"/>
      <c r="N537" s="192"/>
      <c r="O537" s="192"/>
      <c r="P537" s="192"/>
      <c r="Q537" s="192"/>
      <c r="R537" s="192"/>
      <c r="V537" s="192"/>
      <c r="Y537" s="192"/>
      <c r="Z537" s="228"/>
      <c r="AA537" s="192"/>
      <c r="AB537" s="192"/>
      <c r="AC537" s="192"/>
      <c r="AD537" s="192"/>
      <c r="AE537" s="192"/>
      <c r="AF537" s="192"/>
      <c r="AI537" s="192"/>
      <c r="AJ537" s="192"/>
      <c r="AK537" s="194"/>
      <c r="AL537" s="192"/>
    </row>
    <row r="538" spans="3:40" x14ac:dyDescent="0.3">
      <c r="C538" s="99"/>
      <c r="F538" s="110"/>
      <c r="H538" s="110"/>
      <c r="I538" s="110"/>
      <c r="J538" s="163"/>
      <c r="K538" s="163"/>
      <c r="L538" s="110"/>
      <c r="M538" s="110"/>
      <c r="P538" s="110"/>
      <c r="Q538" s="110"/>
      <c r="R538" s="110"/>
      <c r="T538" s="99"/>
      <c r="V538" s="110"/>
      <c r="Y538" s="110"/>
      <c r="Z538" s="163"/>
      <c r="AA538" s="110"/>
      <c r="AB538" s="110"/>
      <c r="AC538" s="207"/>
      <c r="AD538" s="207"/>
      <c r="AE538" s="110"/>
      <c r="AF538" s="110"/>
      <c r="AH538" s="207"/>
      <c r="AI538" s="110"/>
      <c r="AJ538" s="110"/>
      <c r="AL538" s="110"/>
      <c r="AM538" s="207"/>
      <c r="AN538" s="207"/>
    </row>
    <row r="539" spans="3:40" x14ac:dyDescent="0.3">
      <c r="F539" s="192"/>
      <c r="H539" s="192"/>
      <c r="I539" s="192"/>
      <c r="J539" s="228"/>
      <c r="K539" s="228"/>
      <c r="L539" s="192"/>
      <c r="M539" s="192"/>
      <c r="N539" s="192"/>
      <c r="O539" s="192"/>
      <c r="P539" s="192"/>
      <c r="Q539" s="192"/>
      <c r="R539" s="192"/>
      <c r="V539" s="192"/>
      <c r="Y539" s="192"/>
      <c r="Z539" s="228"/>
      <c r="AA539" s="192"/>
      <c r="AB539" s="192"/>
      <c r="AC539" s="192"/>
      <c r="AD539" s="192"/>
      <c r="AE539" s="192"/>
      <c r="AF539" s="192"/>
      <c r="AI539" s="192"/>
      <c r="AJ539" s="192"/>
      <c r="AK539" s="194"/>
      <c r="AL539" s="192"/>
    </row>
    <row r="540" spans="3:40" x14ac:dyDescent="0.3">
      <c r="J540" s="163"/>
      <c r="K540" s="163"/>
      <c r="Z540" s="163"/>
    </row>
    <row r="541" spans="3:40" x14ac:dyDescent="0.3">
      <c r="C541" s="99"/>
      <c r="J541" s="163"/>
      <c r="K541" s="163"/>
      <c r="T541" s="99"/>
      <c r="Z541" s="163"/>
    </row>
    <row r="542" spans="3:40" x14ac:dyDescent="0.3">
      <c r="C542" s="99"/>
      <c r="J542" s="163"/>
      <c r="K542" s="163"/>
      <c r="T542" s="99"/>
      <c r="Z542" s="163"/>
    </row>
    <row r="543" spans="3:40" x14ac:dyDescent="0.3">
      <c r="C543" s="99"/>
      <c r="F543" s="172"/>
      <c r="H543" s="172"/>
      <c r="I543" s="172"/>
      <c r="J543" s="228"/>
      <c r="K543" s="228"/>
      <c r="L543" s="110"/>
      <c r="M543" s="110"/>
      <c r="N543" s="141"/>
      <c r="O543" s="141"/>
      <c r="P543" s="110"/>
      <c r="Q543" s="110"/>
      <c r="R543" s="110"/>
      <c r="T543" s="99"/>
      <c r="V543" s="110"/>
      <c r="W543" s="110"/>
      <c r="X543" s="110"/>
      <c r="Y543" s="110"/>
      <c r="Z543" s="228"/>
      <c r="AA543" s="110"/>
      <c r="AB543" s="110"/>
      <c r="AC543" s="141"/>
      <c r="AD543" s="141"/>
      <c r="AE543" s="110"/>
      <c r="AF543" s="110"/>
      <c r="AH543" s="207"/>
      <c r="AI543" s="110"/>
      <c r="AJ543" s="110"/>
      <c r="AL543" s="110"/>
      <c r="AM543" s="207"/>
      <c r="AN543" s="207"/>
    </row>
    <row r="544" spans="3:40" x14ac:dyDescent="0.3">
      <c r="C544" s="99"/>
      <c r="J544" s="163"/>
      <c r="K544" s="163"/>
      <c r="T544" s="99"/>
      <c r="Z544" s="163"/>
    </row>
    <row r="545" spans="1:40" x14ac:dyDescent="0.3">
      <c r="C545" s="99"/>
      <c r="F545" s="172"/>
      <c r="H545" s="172"/>
      <c r="I545" s="172"/>
      <c r="J545" s="228"/>
      <c r="K545" s="228"/>
      <c r="L545" s="110"/>
      <c r="M545" s="110"/>
      <c r="N545" s="141"/>
      <c r="O545" s="141"/>
      <c r="P545" s="110"/>
      <c r="Q545" s="110"/>
      <c r="R545" s="110"/>
      <c r="T545" s="99"/>
      <c r="V545" s="110"/>
      <c r="W545" s="110"/>
      <c r="X545" s="110"/>
      <c r="Y545" s="110"/>
      <c r="Z545" s="228"/>
      <c r="AA545" s="110"/>
      <c r="AB545" s="110"/>
      <c r="AC545" s="141"/>
      <c r="AD545" s="141"/>
      <c r="AE545" s="110"/>
      <c r="AF545" s="110"/>
      <c r="AH545" s="207"/>
      <c r="AI545" s="110"/>
      <c r="AJ545" s="110"/>
      <c r="AL545" s="110"/>
      <c r="AM545" s="207"/>
      <c r="AN545" s="207"/>
    </row>
    <row r="546" spans="1:40" x14ac:dyDescent="0.3">
      <c r="F546" s="192"/>
      <c r="H546" s="192"/>
      <c r="I546" s="192"/>
      <c r="J546" s="228"/>
      <c r="K546" s="228"/>
      <c r="L546" s="192"/>
      <c r="M546" s="192"/>
      <c r="N546" s="192"/>
      <c r="O546" s="192"/>
      <c r="P546" s="192"/>
      <c r="Q546" s="192"/>
      <c r="R546" s="192"/>
      <c r="V546" s="192"/>
      <c r="Y546" s="192"/>
      <c r="Z546" s="228"/>
      <c r="AA546" s="192"/>
      <c r="AB546" s="192"/>
      <c r="AC546" s="192"/>
      <c r="AD546" s="192"/>
      <c r="AE546" s="192"/>
      <c r="AF546" s="192"/>
      <c r="AI546" s="192"/>
      <c r="AJ546" s="192"/>
      <c r="AK546" s="194"/>
      <c r="AL546" s="192"/>
    </row>
    <row r="547" spans="1:40" x14ac:dyDescent="0.3">
      <c r="C547" s="99"/>
      <c r="F547" s="110"/>
      <c r="H547" s="110"/>
      <c r="I547" s="110"/>
      <c r="J547" s="163"/>
      <c r="K547" s="163"/>
      <c r="L547" s="110"/>
      <c r="M547" s="110"/>
      <c r="N547" s="207"/>
      <c r="O547" s="207"/>
      <c r="P547" s="110"/>
      <c r="Q547" s="110"/>
      <c r="R547" s="110"/>
      <c r="T547" s="99"/>
      <c r="V547" s="110"/>
      <c r="Y547" s="110"/>
      <c r="Z547" s="163"/>
      <c r="AA547" s="110"/>
      <c r="AB547" s="110"/>
      <c r="AC547" s="207"/>
      <c r="AD547" s="207"/>
      <c r="AE547" s="110"/>
      <c r="AF547" s="110"/>
      <c r="AH547" s="207"/>
      <c r="AI547" s="110"/>
      <c r="AJ547" s="110"/>
      <c r="AL547" s="110"/>
      <c r="AM547" s="207"/>
      <c r="AN547" s="207"/>
    </row>
    <row r="548" spans="1:40" x14ac:dyDescent="0.3">
      <c r="F548" s="192"/>
      <c r="H548" s="192"/>
      <c r="I548" s="192"/>
      <c r="J548" s="228"/>
      <c r="K548" s="228"/>
      <c r="L548" s="192"/>
      <c r="M548" s="192"/>
      <c r="N548" s="192"/>
      <c r="O548" s="192"/>
      <c r="P548" s="192"/>
      <c r="Q548" s="192"/>
      <c r="R548" s="192"/>
      <c r="V548" s="192"/>
      <c r="Y548" s="192"/>
      <c r="Z548" s="217"/>
      <c r="AA548" s="192"/>
      <c r="AB548" s="192"/>
      <c r="AC548" s="192"/>
      <c r="AD548" s="192"/>
      <c r="AE548" s="192"/>
      <c r="AF548" s="192"/>
      <c r="AI548" s="192"/>
      <c r="AJ548" s="192"/>
      <c r="AK548" s="194"/>
      <c r="AL548" s="192"/>
    </row>
    <row r="549" spans="1:40" x14ac:dyDescent="0.3">
      <c r="J549" s="163"/>
      <c r="K549" s="163"/>
    </row>
    <row r="550" spans="1:40" x14ac:dyDescent="0.3">
      <c r="C550" s="99"/>
      <c r="F550" s="110"/>
      <c r="H550" s="110"/>
      <c r="I550" s="110"/>
      <c r="J550" s="163"/>
      <c r="K550" s="163"/>
      <c r="L550" s="110"/>
      <c r="M550" s="110"/>
      <c r="N550" s="141"/>
      <c r="O550" s="141"/>
      <c r="P550" s="172"/>
      <c r="Q550" s="172"/>
      <c r="R550" s="110"/>
      <c r="T550" s="99"/>
      <c r="V550" s="110"/>
      <c r="Y550" s="110"/>
      <c r="AA550" s="110"/>
      <c r="AB550" s="110"/>
      <c r="AC550" s="207"/>
      <c r="AD550" s="207"/>
      <c r="AE550" s="110"/>
      <c r="AF550" s="110"/>
      <c r="AH550" s="207"/>
      <c r="AI550" s="172"/>
      <c r="AJ550" s="172"/>
      <c r="AL550" s="110"/>
      <c r="AM550" s="207"/>
      <c r="AN550" s="207"/>
    </row>
    <row r="551" spans="1:40" x14ac:dyDescent="0.3">
      <c r="H551" s="192"/>
      <c r="I551" s="192"/>
      <c r="J551" s="228"/>
      <c r="K551" s="228"/>
      <c r="L551" s="192"/>
      <c r="M551" s="192"/>
      <c r="N551" s="192"/>
      <c r="O551" s="192"/>
      <c r="P551" s="192"/>
      <c r="Q551" s="192"/>
      <c r="R551" s="192"/>
      <c r="V551" s="192"/>
      <c r="Y551" s="192"/>
      <c r="Z551" s="217"/>
      <c r="AA551" s="192"/>
      <c r="AB551" s="192"/>
      <c r="AC551" s="192"/>
      <c r="AD551" s="192"/>
      <c r="AE551" s="192"/>
      <c r="AF551" s="192"/>
      <c r="AI551" s="192"/>
      <c r="AJ551" s="192"/>
      <c r="AK551" s="194"/>
      <c r="AL551" s="192"/>
    </row>
    <row r="552" spans="1:40" x14ac:dyDescent="0.3">
      <c r="F552" s="192"/>
      <c r="J552" s="163"/>
    </row>
    <row r="553" spans="1:40" x14ac:dyDescent="0.3">
      <c r="J553" s="163"/>
    </row>
    <row r="554" spans="1:40" x14ac:dyDescent="0.3">
      <c r="A554" s="99"/>
      <c r="J554" s="163"/>
    </row>
    <row r="555" spans="1:40" x14ac:dyDescent="0.3">
      <c r="J555" s="163"/>
    </row>
    <row r="556" spans="1:40" x14ac:dyDescent="0.3">
      <c r="H556" s="99"/>
      <c r="I556" s="99"/>
      <c r="J556" s="163"/>
      <c r="Y556" s="99"/>
    </row>
    <row r="557" spans="1:40" x14ac:dyDescent="0.3">
      <c r="J557" s="163"/>
    </row>
    <row r="558" spans="1:40" x14ac:dyDescent="0.3">
      <c r="J558" s="163"/>
      <c r="L558" s="99"/>
      <c r="M558" s="99"/>
      <c r="AA558" s="99"/>
      <c r="AB558" s="99"/>
    </row>
    <row r="559" spans="1:40" x14ac:dyDescent="0.3">
      <c r="J559" s="163"/>
      <c r="R559" s="99"/>
      <c r="AK559" s="190"/>
      <c r="AL559" s="99"/>
    </row>
    <row r="560" spans="1:40" x14ac:dyDescent="0.3">
      <c r="J560" s="163"/>
      <c r="R560" s="99"/>
      <c r="AK560" s="190"/>
      <c r="AL560" s="99"/>
    </row>
    <row r="561" spans="1:40" x14ac:dyDescent="0.3">
      <c r="A561" s="99"/>
      <c r="J561" s="163"/>
      <c r="R561" s="99"/>
      <c r="AK561" s="190"/>
      <c r="AL561" s="99"/>
    </row>
    <row r="562" spans="1:40" x14ac:dyDescent="0.3">
      <c r="J562" s="163"/>
      <c r="L562" s="99"/>
      <c r="M562" s="99"/>
      <c r="AA562" s="99"/>
      <c r="AB562" s="99"/>
    </row>
    <row r="563" spans="1:40" x14ac:dyDescent="0.3">
      <c r="A563" s="101"/>
      <c r="B563" s="101"/>
      <c r="C563" s="101"/>
      <c r="D563" s="101"/>
      <c r="E563" s="101"/>
      <c r="F563" s="101"/>
      <c r="G563" s="101"/>
      <c r="H563" s="101"/>
      <c r="I563" s="101"/>
      <c r="J563" s="212"/>
      <c r="K563" s="101"/>
      <c r="L563" s="101"/>
      <c r="M563" s="101"/>
      <c r="N563" s="101"/>
      <c r="O563" s="101"/>
      <c r="P563" s="101"/>
      <c r="Q563" s="101"/>
      <c r="R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91"/>
      <c r="AH563" s="101"/>
      <c r="AI563" s="101"/>
      <c r="AJ563" s="101"/>
      <c r="AK563" s="191"/>
      <c r="AL563" s="101"/>
      <c r="AM563" s="101"/>
      <c r="AN563" s="101"/>
    </row>
    <row r="564" spans="1:40" x14ac:dyDescent="0.3">
      <c r="J564" s="163"/>
      <c r="L564" s="102"/>
      <c r="M564" s="102"/>
      <c r="N564" s="102"/>
      <c r="O564" s="102"/>
      <c r="R564" s="102"/>
      <c r="AA564" s="102"/>
      <c r="AB564" s="102"/>
      <c r="AC564" s="102"/>
      <c r="AD564" s="102"/>
      <c r="AE564" s="102"/>
      <c r="AF564" s="102"/>
      <c r="AG564" s="151"/>
      <c r="AH564" s="102"/>
      <c r="AK564" s="151"/>
      <c r="AL564" s="102"/>
      <c r="AM564" s="102"/>
      <c r="AN564" s="102"/>
    </row>
    <row r="565" spans="1:40" x14ac:dyDescent="0.3">
      <c r="J565" s="163"/>
      <c r="L565" s="102"/>
      <c r="M565" s="102"/>
      <c r="N565" s="102"/>
      <c r="O565" s="102"/>
      <c r="R565" s="102"/>
      <c r="Z565" s="102"/>
      <c r="AA565" s="102"/>
      <c r="AB565" s="102"/>
      <c r="AC565" s="102"/>
      <c r="AD565" s="102"/>
      <c r="AE565" s="102"/>
      <c r="AF565" s="102"/>
      <c r="AG565" s="151"/>
      <c r="AH565" s="102"/>
      <c r="AK565" s="151"/>
      <c r="AL565" s="102"/>
      <c r="AM565" s="102"/>
      <c r="AN565" s="102"/>
    </row>
    <row r="566" spans="1:40" x14ac:dyDescent="0.3">
      <c r="A566" s="102"/>
      <c r="C566" s="102"/>
      <c r="D566" s="102"/>
      <c r="E566" s="102"/>
      <c r="F566" s="102"/>
      <c r="J566" s="213"/>
      <c r="K566" s="102"/>
      <c r="L566" s="102"/>
      <c r="M566" s="102"/>
      <c r="N566" s="102"/>
      <c r="O566" s="102"/>
      <c r="P566" s="102"/>
      <c r="Q566" s="102"/>
      <c r="R566" s="102"/>
      <c r="T566" s="102"/>
      <c r="U566" s="102"/>
      <c r="V566" s="102"/>
      <c r="Z566" s="102"/>
      <c r="AA566" s="102"/>
      <c r="AB566" s="102"/>
      <c r="AC566" s="102"/>
      <c r="AD566" s="102"/>
      <c r="AE566" s="102"/>
      <c r="AF566" s="102"/>
      <c r="AG566" s="151"/>
      <c r="AH566" s="102"/>
      <c r="AI566" s="102"/>
      <c r="AJ566" s="102"/>
      <c r="AK566" s="151"/>
      <c r="AL566" s="102"/>
      <c r="AM566" s="102"/>
      <c r="AN566" s="102"/>
    </row>
    <row r="567" spans="1:40" x14ac:dyDescent="0.3">
      <c r="A567" s="102"/>
      <c r="C567" s="102"/>
      <c r="D567" s="102"/>
      <c r="E567" s="102"/>
      <c r="F567" s="102"/>
      <c r="H567" s="102"/>
      <c r="I567" s="102"/>
      <c r="J567" s="213"/>
      <c r="K567" s="102"/>
      <c r="L567" s="102"/>
      <c r="M567" s="102"/>
      <c r="N567" s="102"/>
      <c r="O567" s="102"/>
      <c r="P567" s="102"/>
      <c r="Q567" s="102"/>
      <c r="R567" s="102"/>
      <c r="T567" s="102"/>
      <c r="U567" s="102"/>
      <c r="V567" s="102"/>
      <c r="Y567" s="102"/>
      <c r="Z567" s="102"/>
      <c r="AA567" s="102"/>
      <c r="AB567" s="102"/>
      <c r="AC567" s="102"/>
      <c r="AD567" s="102"/>
      <c r="AE567" s="102"/>
      <c r="AF567" s="102"/>
      <c r="AG567" s="151"/>
      <c r="AH567" s="102"/>
      <c r="AI567" s="102"/>
      <c r="AJ567" s="102"/>
      <c r="AK567" s="151"/>
      <c r="AL567" s="102"/>
      <c r="AM567" s="102"/>
      <c r="AN567" s="102"/>
    </row>
    <row r="568" spans="1:40" x14ac:dyDescent="0.3">
      <c r="C568" s="102"/>
      <c r="D568" s="102"/>
      <c r="E568" s="102"/>
      <c r="F568" s="102"/>
      <c r="H568" s="102"/>
      <c r="I568" s="102"/>
      <c r="J568" s="213"/>
      <c r="K568" s="102"/>
      <c r="L568" s="102"/>
      <c r="M568" s="102"/>
      <c r="N568" s="102"/>
      <c r="O568" s="102"/>
      <c r="P568" s="102"/>
      <c r="Q568" s="102"/>
      <c r="R568" s="102"/>
      <c r="T568" s="102"/>
      <c r="U568" s="102"/>
      <c r="V568" s="102"/>
      <c r="Y568" s="102"/>
      <c r="Z568" s="102"/>
      <c r="AA568" s="102"/>
      <c r="AB568" s="102"/>
      <c r="AC568" s="102"/>
      <c r="AD568" s="102"/>
      <c r="AE568" s="102"/>
      <c r="AF568" s="102"/>
      <c r="AG568" s="151"/>
      <c r="AH568" s="102"/>
      <c r="AI568" s="102"/>
      <c r="AJ568" s="102"/>
      <c r="AK568" s="151"/>
      <c r="AL568" s="102"/>
      <c r="AM568" s="102"/>
      <c r="AN568" s="102"/>
    </row>
    <row r="569" spans="1:40" x14ac:dyDescent="0.3">
      <c r="A569" s="101"/>
      <c r="B569" s="101"/>
      <c r="C569" s="101"/>
      <c r="D569" s="101"/>
      <c r="E569" s="101"/>
      <c r="F569" s="101"/>
      <c r="G569" s="101"/>
      <c r="H569" s="101"/>
      <c r="I569" s="101"/>
      <c r="J569" s="212"/>
      <c r="K569" s="101"/>
      <c r="L569" s="101"/>
      <c r="M569" s="101"/>
      <c r="N569" s="101"/>
      <c r="O569" s="101"/>
      <c r="P569" s="101"/>
      <c r="Q569" s="101"/>
      <c r="R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91"/>
      <c r="AH569" s="101"/>
      <c r="AI569" s="101"/>
      <c r="AJ569" s="101"/>
      <c r="AK569" s="191"/>
      <c r="AL569" s="101"/>
      <c r="AM569" s="101"/>
      <c r="AN569" s="101"/>
    </row>
    <row r="570" spans="1:40" x14ac:dyDescent="0.3">
      <c r="H570" s="102"/>
      <c r="I570" s="102"/>
      <c r="J570" s="213"/>
      <c r="K570" s="102"/>
      <c r="L570" s="102"/>
      <c r="M570" s="102"/>
      <c r="N570" s="102"/>
      <c r="O570" s="102"/>
      <c r="P570" s="102"/>
      <c r="Q570" s="102"/>
      <c r="R570" s="102"/>
      <c r="Y570" s="102"/>
      <c r="Z570" s="102"/>
      <c r="AA570" s="102"/>
      <c r="AB570" s="102"/>
      <c r="AC570" s="102"/>
      <c r="AD570" s="102"/>
      <c r="AE570" s="102"/>
      <c r="AF570" s="102"/>
      <c r="AG570" s="151"/>
      <c r="AH570" s="102"/>
      <c r="AI570" s="102"/>
      <c r="AJ570" s="102"/>
      <c r="AK570" s="151"/>
      <c r="AL570" s="102"/>
      <c r="AM570" s="102"/>
      <c r="AN570" s="102"/>
    </row>
    <row r="571" spans="1:40" x14ac:dyDescent="0.3">
      <c r="C571" s="99"/>
      <c r="D571" s="99"/>
      <c r="E571" s="99"/>
      <c r="J571" s="163"/>
      <c r="T571" s="99"/>
      <c r="U571" s="99"/>
    </row>
    <row r="572" spans="1:40" x14ac:dyDescent="0.3">
      <c r="J572" s="163"/>
    </row>
    <row r="573" spans="1:40" x14ac:dyDescent="0.3">
      <c r="C573" s="99"/>
      <c r="D573" s="99"/>
      <c r="E573" s="99"/>
      <c r="J573" s="163"/>
      <c r="T573" s="99"/>
      <c r="U573" s="99"/>
    </row>
    <row r="574" spans="1:40" x14ac:dyDescent="0.3">
      <c r="C574" s="99"/>
      <c r="J574" s="163"/>
      <c r="T574" s="99"/>
    </row>
    <row r="575" spans="1:40" x14ac:dyDescent="0.3">
      <c r="C575" s="99"/>
      <c r="J575" s="163"/>
      <c r="T575" s="99"/>
    </row>
    <row r="576" spans="1:40" x14ac:dyDescent="0.3">
      <c r="C576" s="99"/>
      <c r="H576" s="172"/>
      <c r="I576" s="172"/>
      <c r="J576" s="228"/>
      <c r="K576" s="228"/>
      <c r="L576" s="110"/>
      <c r="M576" s="110"/>
      <c r="N576" s="141"/>
      <c r="O576" s="141"/>
      <c r="P576" s="110"/>
      <c r="Q576" s="110"/>
      <c r="R576" s="110"/>
      <c r="T576" s="99"/>
      <c r="V576" s="110"/>
      <c r="W576" s="110"/>
      <c r="X576" s="110"/>
      <c r="Y576" s="110"/>
      <c r="Z576" s="228"/>
      <c r="AA576" s="110"/>
      <c r="AB576" s="110"/>
      <c r="AC576" s="141"/>
      <c r="AD576" s="141"/>
      <c r="AE576" s="110"/>
      <c r="AF576" s="110"/>
      <c r="AH576" s="207"/>
      <c r="AI576" s="110"/>
      <c r="AJ576" s="110"/>
      <c r="AL576" s="110"/>
      <c r="AM576" s="141"/>
      <c r="AN576" s="141"/>
    </row>
    <row r="577" spans="3:40" x14ac:dyDescent="0.3">
      <c r="C577" s="99"/>
      <c r="F577" s="172"/>
      <c r="J577" s="163"/>
      <c r="K577" s="163"/>
      <c r="T577" s="99"/>
      <c r="V577" s="110"/>
      <c r="W577" s="110"/>
      <c r="X577" s="110"/>
      <c r="Y577" s="110"/>
      <c r="Z577" s="228"/>
    </row>
    <row r="578" spans="3:40" x14ac:dyDescent="0.3">
      <c r="C578" s="99"/>
      <c r="H578" s="172"/>
      <c r="I578" s="172"/>
      <c r="J578" s="228"/>
      <c r="K578" s="228"/>
      <c r="L578" s="110"/>
      <c r="M578" s="110"/>
      <c r="N578" s="141"/>
      <c r="O578" s="141"/>
      <c r="P578" s="110"/>
      <c r="Q578" s="110"/>
      <c r="R578" s="110"/>
      <c r="T578" s="99"/>
      <c r="V578" s="110"/>
      <c r="W578" s="110"/>
      <c r="X578" s="110"/>
      <c r="Y578" s="110"/>
      <c r="Z578" s="228"/>
      <c r="AA578" s="110"/>
      <c r="AB578" s="110"/>
      <c r="AC578" s="141"/>
      <c r="AD578" s="141"/>
      <c r="AE578" s="110"/>
      <c r="AF578" s="110"/>
      <c r="AH578" s="207"/>
      <c r="AI578" s="110"/>
      <c r="AJ578" s="110"/>
      <c r="AL578" s="110"/>
      <c r="AM578" s="141"/>
      <c r="AN578" s="141"/>
    </row>
    <row r="579" spans="3:40" x14ac:dyDescent="0.3">
      <c r="C579" s="99"/>
      <c r="F579" s="172"/>
      <c r="J579" s="163"/>
      <c r="K579" s="163"/>
      <c r="T579" s="99"/>
      <c r="V579" s="110"/>
      <c r="W579" s="110"/>
      <c r="X579" s="110"/>
      <c r="Y579" s="110"/>
      <c r="Z579" s="228"/>
    </row>
    <row r="580" spans="3:40" x14ac:dyDescent="0.3">
      <c r="C580" s="99"/>
      <c r="H580" s="172"/>
      <c r="I580" s="172"/>
      <c r="J580" s="228"/>
      <c r="K580" s="228"/>
      <c r="L580" s="110"/>
      <c r="M580" s="110"/>
      <c r="N580" s="141"/>
      <c r="O580" s="141"/>
      <c r="P580" s="110"/>
      <c r="Q580" s="110"/>
      <c r="R580" s="110"/>
      <c r="T580" s="99"/>
      <c r="V580" s="110"/>
      <c r="W580" s="110"/>
      <c r="X580" s="110"/>
      <c r="Y580" s="110"/>
      <c r="Z580" s="228"/>
      <c r="AA580" s="110"/>
      <c r="AB580" s="110"/>
      <c r="AC580" s="141"/>
      <c r="AD580" s="141"/>
      <c r="AE580" s="110"/>
      <c r="AF580" s="110"/>
      <c r="AH580" s="207"/>
      <c r="AI580" s="110"/>
      <c r="AJ580" s="110"/>
      <c r="AL580" s="110"/>
      <c r="AM580" s="141"/>
      <c r="AN580" s="141"/>
    </row>
    <row r="581" spans="3:40" x14ac:dyDescent="0.3">
      <c r="C581" s="99"/>
      <c r="F581" s="172"/>
      <c r="J581" s="163"/>
      <c r="K581" s="163"/>
      <c r="T581" s="99"/>
      <c r="V581" s="110"/>
      <c r="W581" s="110"/>
      <c r="X581" s="110"/>
      <c r="Y581" s="110"/>
      <c r="Z581" s="228"/>
    </row>
    <row r="582" spans="3:40" x14ac:dyDescent="0.3">
      <c r="C582" s="99"/>
      <c r="H582" s="172"/>
      <c r="I582" s="172"/>
      <c r="J582" s="228"/>
      <c r="K582" s="228"/>
      <c r="L582" s="110"/>
      <c r="M582" s="110"/>
      <c r="N582" s="141"/>
      <c r="O582" s="141"/>
      <c r="P582" s="110"/>
      <c r="Q582" s="110"/>
      <c r="R582" s="110"/>
      <c r="T582" s="99"/>
      <c r="V582" s="110"/>
      <c r="W582" s="110"/>
      <c r="X582" s="110"/>
      <c r="Y582" s="110"/>
      <c r="Z582" s="228"/>
      <c r="AA582" s="110"/>
      <c r="AB582" s="110"/>
      <c r="AC582" s="141"/>
      <c r="AD582" s="141"/>
      <c r="AE582" s="110"/>
      <c r="AF582" s="110"/>
      <c r="AH582" s="207"/>
      <c r="AI582" s="110"/>
      <c r="AJ582" s="110"/>
      <c r="AL582" s="110"/>
      <c r="AM582" s="141"/>
      <c r="AN582" s="141"/>
    </row>
    <row r="583" spans="3:40" x14ac:dyDescent="0.3">
      <c r="C583" s="99"/>
      <c r="F583" s="172"/>
      <c r="J583" s="163"/>
      <c r="K583" s="163"/>
      <c r="T583" s="99"/>
      <c r="V583" s="110"/>
      <c r="W583" s="110"/>
      <c r="X583" s="110"/>
      <c r="Y583" s="110"/>
      <c r="Z583" s="228"/>
    </row>
    <row r="584" spans="3:40" x14ac:dyDescent="0.3">
      <c r="C584" s="99"/>
      <c r="H584" s="172"/>
      <c r="I584" s="172"/>
      <c r="J584" s="228"/>
      <c r="K584" s="228"/>
      <c r="L584" s="110"/>
      <c r="M584" s="110"/>
      <c r="N584" s="141"/>
      <c r="O584" s="141"/>
      <c r="P584" s="110"/>
      <c r="Q584" s="110"/>
      <c r="R584" s="110"/>
      <c r="T584" s="99"/>
      <c r="V584" s="110"/>
      <c r="W584" s="110"/>
      <c r="X584" s="110"/>
      <c r="Y584" s="110"/>
      <c r="Z584" s="228"/>
      <c r="AA584" s="110"/>
      <c r="AB584" s="110"/>
      <c r="AC584" s="141"/>
      <c r="AD584" s="141"/>
      <c r="AE584" s="110"/>
      <c r="AF584" s="110"/>
      <c r="AH584" s="207"/>
      <c r="AI584" s="110"/>
      <c r="AJ584" s="110"/>
      <c r="AL584" s="110"/>
      <c r="AM584" s="141"/>
      <c r="AN584" s="141"/>
    </row>
    <row r="585" spans="3:40" x14ac:dyDescent="0.3">
      <c r="C585" s="99"/>
      <c r="F585" s="172"/>
      <c r="J585" s="163"/>
      <c r="K585" s="163"/>
      <c r="T585" s="99"/>
      <c r="V585" s="110"/>
      <c r="W585" s="110"/>
      <c r="X585" s="110"/>
      <c r="Y585" s="110"/>
      <c r="Z585" s="228"/>
    </row>
    <row r="586" spans="3:40" x14ac:dyDescent="0.3">
      <c r="C586" s="99"/>
      <c r="H586" s="172"/>
      <c r="I586" s="172"/>
      <c r="J586" s="228"/>
      <c r="K586" s="228"/>
      <c r="L586" s="110"/>
      <c r="M586" s="110"/>
      <c r="N586" s="141"/>
      <c r="O586" s="141"/>
      <c r="P586" s="110"/>
      <c r="Q586" s="110"/>
      <c r="R586" s="110"/>
      <c r="T586" s="99"/>
      <c r="V586" s="110"/>
      <c r="W586" s="110"/>
      <c r="X586" s="110"/>
      <c r="Y586" s="110"/>
      <c r="Z586" s="228"/>
      <c r="AA586" s="110"/>
      <c r="AB586" s="110"/>
      <c r="AC586" s="141"/>
      <c r="AD586" s="141"/>
      <c r="AE586" s="110"/>
      <c r="AF586" s="110"/>
      <c r="AH586" s="207"/>
      <c r="AI586" s="110"/>
      <c r="AJ586" s="110"/>
      <c r="AL586" s="110"/>
      <c r="AM586" s="141"/>
      <c r="AN586" s="141"/>
    </row>
    <row r="587" spans="3:40" x14ac:dyDescent="0.3">
      <c r="F587" s="172"/>
      <c r="H587" s="192"/>
      <c r="I587" s="192"/>
      <c r="J587" s="228"/>
      <c r="K587" s="228"/>
      <c r="L587" s="192"/>
      <c r="M587" s="192"/>
      <c r="N587" s="192"/>
      <c r="O587" s="192"/>
      <c r="P587" s="192"/>
      <c r="Q587" s="192"/>
      <c r="R587" s="192"/>
      <c r="V587" s="192"/>
      <c r="Y587" s="192"/>
      <c r="Z587" s="228"/>
      <c r="AA587" s="192"/>
      <c r="AB587" s="192"/>
      <c r="AC587" s="192"/>
      <c r="AD587" s="192"/>
      <c r="AE587" s="192"/>
      <c r="AF587" s="192"/>
      <c r="AI587" s="192"/>
      <c r="AJ587" s="192"/>
      <c r="AK587" s="194"/>
      <c r="AL587" s="192"/>
      <c r="AM587" s="141"/>
      <c r="AN587" s="141"/>
    </row>
    <row r="588" spans="3:40" x14ac:dyDescent="0.3">
      <c r="C588" s="99"/>
      <c r="F588" s="192"/>
      <c r="H588" s="110"/>
      <c r="I588" s="110"/>
      <c r="J588" s="163"/>
      <c r="K588" s="163"/>
      <c r="L588" s="110"/>
      <c r="M588" s="110"/>
      <c r="N588" s="141"/>
      <c r="O588" s="141"/>
      <c r="P588" s="172"/>
      <c r="Q588" s="172"/>
      <c r="R588" s="110"/>
      <c r="T588" s="99"/>
      <c r="V588" s="110"/>
      <c r="W588" s="110"/>
      <c r="X588" s="110"/>
      <c r="Y588" s="110"/>
      <c r="Z588" s="228"/>
      <c r="AA588" s="110"/>
      <c r="AB588" s="110"/>
      <c r="AC588" s="141"/>
      <c r="AD588" s="141"/>
      <c r="AE588" s="110"/>
      <c r="AF588" s="110"/>
      <c r="AH588" s="207"/>
      <c r="AI588" s="172"/>
      <c r="AJ588" s="172"/>
      <c r="AL588" s="110"/>
      <c r="AM588" s="141"/>
      <c r="AN588" s="141"/>
    </row>
    <row r="589" spans="3:40" x14ac:dyDescent="0.3">
      <c r="F589" s="110"/>
      <c r="H589" s="192"/>
      <c r="I589" s="192"/>
      <c r="J589" s="228"/>
      <c r="K589" s="228"/>
      <c r="L589" s="192"/>
      <c r="M589" s="192"/>
      <c r="N589" s="192"/>
      <c r="O589" s="192"/>
      <c r="P589" s="192"/>
      <c r="Q589" s="192"/>
      <c r="R589" s="192"/>
      <c r="V589" s="192"/>
      <c r="Y589" s="192"/>
      <c r="Z589" s="228"/>
      <c r="AA589" s="192"/>
      <c r="AB589" s="192"/>
      <c r="AC589" s="192"/>
      <c r="AD589" s="192"/>
      <c r="AE589" s="192"/>
      <c r="AF589" s="192"/>
      <c r="AI589" s="192"/>
      <c r="AJ589" s="192"/>
      <c r="AK589" s="194"/>
      <c r="AL589" s="192"/>
    </row>
    <row r="590" spans="3:40" x14ac:dyDescent="0.3">
      <c r="C590" s="99"/>
      <c r="D590" s="99"/>
      <c r="E590" s="99"/>
      <c r="F590" s="192"/>
      <c r="J590" s="163"/>
      <c r="K590" s="163"/>
      <c r="T590" s="99"/>
      <c r="U590" s="99"/>
      <c r="V590" s="110"/>
      <c r="W590" s="110"/>
      <c r="X590" s="110"/>
      <c r="Y590" s="110"/>
      <c r="Z590" s="228"/>
    </row>
    <row r="591" spans="3:40" x14ac:dyDescent="0.3">
      <c r="C591" s="99"/>
      <c r="J591" s="163"/>
      <c r="K591" s="163"/>
      <c r="T591" s="99"/>
      <c r="V591" s="110"/>
      <c r="W591" s="110"/>
      <c r="X591" s="110"/>
      <c r="Y591" s="110"/>
      <c r="Z591" s="228"/>
    </row>
    <row r="592" spans="3:40" x14ac:dyDescent="0.3">
      <c r="C592" s="99"/>
      <c r="J592" s="163"/>
      <c r="K592" s="163"/>
      <c r="T592" s="99"/>
      <c r="V592" s="110"/>
      <c r="W592" s="110"/>
      <c r="X592" s="110"/>
      <c r="Y592" s="110"/>
      <c r="Z592" s="228"/>
    </row>
    <row r="593" spans="3:40" x14ac:dyDescent="0.3">
      <c r="C593" s="99"/>
      <c r="H593" s="172"/>
      <c r="I593" s="172"/>
      <c r="J593" s="228"/>
      <c r="K593" s="228"/>
      <c r="L593" s="110"/>
      <c r="M593" s="110"/>
      <c r="N593" s="141"/>
      <c r="O593" s="141"/>
      <c r="P593" s="110"/>
      <c r="Q593" s="110"/>
      <c r="R593" s="110"/>
      <c r="T593" s="99"/>
      <c r="V593" s="110"/>
      <c r="W593" s="110"/>
      <c r="X593" s="110"/>
      <c r="Y593" s="110"/>
      <c r="Z593" s="228"/>
      <c r="AA593" s="110"/>
      <c r="AB593" s="110"/>
      <c r="AC593" s="141"/>
      <c r="AD593" s="141"/>
      <c r="AE593" s="110"/>
      <c r="AF593" s="110"/>
      <c r="AH593" s="207"/>
      <c r="AI593" s="110"/>
      <c r="AJ593" s="110"/>
      <c r="AL593" s="110"/>
      <c r="AM593" s="141"/>
      <c r="AN593" s="141"/>
    </row>
    <row r="594" spans="3:40" x14ac:dyDescent="0.3">
      <c r="C594" s="99"/>
      <c r="F594" s="172"/>
      <c r="J594" s="163"/>
      <c r="K594" s="163"/>
      <c r="T594" s="99"/>
      <c r="V594" s="110"/>
      <c r="W594" s="110"/>
      <c r="X594" s="110"/>
      <c r="Y594" s="110"/>
      <c r="Z594" s="228"/>
    </row>
    <row r="595" spans="3:40" x14ac:dyDescent="0.3">
      <c r="C595" s="99"/>
      <c r="H595" s="172"/>
      <c r="I595" s="172"/>
      <c r="J595" s="228"/>
      <c r="K595" s="228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Z595" s="228"/>
      <c r="AA595" s="110"/>
      <c r="AB595" s="110"/>
      <c r="AC595" s="141"/>
      <c r="AD595" s="141"/>
      <c r="AE595" s="110"/>
      <c r="AF595" s="110"/>
      <c r="AH595" s="207"/>
      <c r="AI595" s="110"/>
      <c r="AJ595" s="110"/>
      <c r="AL595" s="110"/>
      <c r="AM595" s="141"/>
      <c r="AN595" s="141"/>
    </row>
    <row r="596" spans="3:40" x14ac:dyDescent="0.3">
      <c r="F596" s="172"/>
      <c r="H596" s="192"/>
      <c r="I596" s="192"/>
      <c r="J596" s="228"/>
      <c r="K596" s="228"/>
      <c r="L596" s="192"/>
      <c r="M596" s="192"/>
      <c r="N596" s="192"/>
      <c r="O596" s="192"/>
      <c r="P596" s="192"/>
      <c r="Q596" s="192"/>
      <c r="R596" s="192"/>
      <c r="V596" s="192"/>
      <c r="Y596" s="192"/>
      <c r="Z596" s="217"/>
      <c r="AA596" s="192"/>
      <c r="AB596" s="192"/>
      <c r="AC596" s="192"/>
      <c r="AD596" s="192"/>
      <c r="AE596" s="192"/>
      <c r="AF596" s="192"/>
      <c r="AI596" s="192"/>
      <c r="AJ596" s="192"/>
      <c r="AK596" s="194"/>
      <c r="AL596" s="192"/>
    </row>
    <row r="597" spans="3:40" x14ac:dyDescent="0.3">
      <c r="C597" s="99"/>
      <c r="F597" s="192"/>
      <c r="H597" s="110"/>
      <c r="I597" s="110"/>
      <c r="L597" s="110"/>
      <c r="M597" s="110"/>
      <c r="N597" s="141"/>
      <c r="O597" s="141"/>
      <c r="P597" s="172"/>
      <c r="Q597" s="172"/>
      <c r="R597" s="110"/>
      <c r="T597" s="99"/>
      <c r="V597" s="110"/>
      <c r="W597" s="110"/>
      <c r="X597" s="110"/>
      <c r="Y597" s="110"/>
      <c r="Z597" s="227"/>
      <c r="AA597" s="110"/>
      <c r="AB597" s="110"/>
      <c r="AC597" s="141"/>
      <c r="AD597" s="141"/>
      <c r="AE597" s="110"/>
      <c r="AF597" s="110"/>
      <c r="AH597" s="207"/>
      <c r="AI597" s="172"/>
      <c r="AJ597" s="172"/>
      <c r="AL597" s="110"/>
      <c r="AM597" s="141"/>
      <c r="AN597" s="141"/>
    </row>
    <row r="598" spans="3:40" x14ac:dyDescent="0.3">
      <c r="F598" s="110"/>
      <c r="H598" s="192"/>
      <c r="I598" s="192"/>
      <c r="J598" s="217"/>
      <c r="K598" s="217"/>
      <c r="L598" s="192"/>
      <c r="M598" s="192"/>
      <c r="N598" s="192"/>
      <c r="O598" s="192"/>
      <c r="P598" s="192"/>
      <c r="Q598" s="192"/>
      <c r="R598" s="192"/>
      <c r="V598" s="192"/>
      <c r="Y598" s="192"/>
      <c r="Z598" s="217"/>
      <c r="AA598" s="192"/>
      <c r="AB598" s="192"/>
      <c r="AC598" s="192"/>
      <c r="AD598" s="192"/>
      <c r="AE598" s="192"/>
      <c r="AF598" s="192"/>
      <c r="AI598" s="192"/>
      <c r="AJ598" s="192"/>
      <c r="AK598" s="194"/>
      <c r="AL598" s="192"/>
    </row>
    <row r="599" spans="3:40" x14ac:dyDescent="0.3">
      <c r="C599" s="99"/>
      <c r="D599" s="99"/>
      <c r="E599" s="99"/>
      <c r="F599" s="192"/>
      <c r="T599" s="99"/>
      <c r="U599" s="99"/>
      <c r="V599" s="110"/>
      <c r="W599" s="110"/>
      <c r="X599" s="110"/>
      <c r="Y599" s="110"/>
      <c r="Z599" s="227"/>
    </row>
    <row r="600" spans="3:40" x14ac:dyDescent="0.3">
      <c r="C600" s="99"/>
      <c r="T600" s="99"/>
      <c r="V600" s="110"/>
      <c r="W600" s="110"/>
      <c r="X600" s="110"/>
      <c r="Y600" s="110"/>
      <c r="Z600" s="227"/>
    </row>
    <row r="601" spans="3:40" x14ac:dyDescent="0.3">
      <c r="C601" s="99"/>
      <c r="H601" s="172"/>
      <c r="I601" s="172"/>
      <c r="J601" s="227"/>
      <c r="K601" s="227"/>
      <c r="L601" s="110"/>
      <c r="M601" s="110"/>
      <c r="N601" s="141"/>
      <c r="O601" s="141"/>
      <c r="P601" s="110"/>
      <c r="Q601" s="110"/>
      <c r="R601" s="110"/>
      <c r="T601" s="99"/>
      <c r="V601" s="110"/>
      <c r="W601" s="110"/>
      <c r="X601" s="110"/>
      <c r="Y601" s="110"/>
      <c r="Z601" s="227"/>
      <c r="AA601" s="110"/>
      <c r="AB601" s="110"/>
      <c r="AC601" s="141"/>
      <c r="AD601" s="141"/>
      <c r="AE601" s="110"/>
      <c r="AF601" s="110"/>
      <c r="AH601" s="207"/>
      <c r="AI601" s="110"/>
      <c r="AJ601" s="110"/>
      <c r="AL601" s="110"/>
      <c r="AM601" s="141"/>
      <c r="AN601" s="141"/>
    </row>
    <row r="602" spans="3:40" x14ac:dyDescent="0.3">
      <c r="C602" s="99"/>
      <c r="F602" s="172"/>
      <c r="T602" s="99"/>
      <c r="V602" s="110"/>
      <c r="W602" s="110"/>
      <c r="X602" s="110"/>
      <c r="Y602" s="110"/>
      <c r="Z602" s="227"/>
    </row>
    <row r="603" spans="3:40" x14ac:dyDescent="0.3">
      <c r="C603" s="99"/>
      <c r="H603" s="172"/>
      <c r="I603" s="172"/>
      <c r="J603" s="227"/>
      <c r="K603" s="227"/>
      <c r="L603" s="110"/>
      <c r="M603" s="110"/>
      <c r="N603" s="141"/>
      <c r="O603" s="141"/>
      <c r="P603" s="110"/>
      <c r="Q603" s="110"/>
      <c r="R603" s="110"/>
      <c r="T603" s="99"/>
      <c r="V603" s="110"/>
      <c r="W603" s="110"/>
      <c r="X603" s="110"/>
      <c r="Y603" s="110"/>
      <c r="Z603" s="227"/>
      <c r="AA603" s="110"/>
      <c r="AB603" s="110"/>
      <c r="AC603" s="141"/>
      <c r="AD603" s="141"/>
      <c r="AE603" s="110"/>
      <c r="AF603" s="110"/>
      <c r="AH603" s="207"/>
      <c r="AI603" s="110"/>
      <c r="AJ603" s="110"/>
      <c r="AL603" s="110"/>
      <c r="AM603" s="141"/>
      <c r="AN603" s="141"/>
    </row>
    <row r="604" spans="3:40" x14ac:dyDescent="0.3">
      <c r="C604" s="99"/>
      <c r="F604" s="172"/>
      <c r="T604" s="99"/>
      <c r="V604" s="110"/>
      <c r="W604" s="110"/>
      <c r="X604" s="110"/>
      <c r="Y604" s="110"/>
      <c r="Z604" s="227"/>
    </row>
    <row r="605" spans="3:40" x14ac:dyDescent="0.3">
      <c r="C605" s="99"/>
      <c r="H605" s="172"/>
      <c r="I605" s="172"/>
      <c r="J605" s="227"/>
      <c r="K605" s="227"/>
      <c r="L605" s="110"/>
      <c r="M605" s="110"/>
      <c r="N605" s="141"/>
      <c r="O605" s="141"/>
      <c r="P605" s="110"/>
      <c r="Q605" s="110"/>
      <c r="R605" s="110"/>
      <c r="T605" s="99"/>
      <c r="V605" s="110"/>
      <c r="W605" s="110"/>
      <c r="X605" s="110"/>
      <c r="Y605" s="110"/>
      <c r="Z605" s="227"/>
      <c r="AA605" s="110"/>
      <c r="AB605" s="110"/>
      <c r="AC605" s="141"/>
      <c r="AD605" s="141"/>
      <c r="AE605" s="110"/>
      <c r="AF605" s="110"/>
      <c r="AH605" s="207"/>
      <c r="AI605" s="110"/>
      <c r="AJ605" s="110"/>
      <c r="AL605" s="110"/>
      <c r="AM605" s="141"/>
      <c r="AN605" s="141"/>
    </row>
    <row r="606" spans="3:40" x14ac:dyDescent="0.3">
      <c r="C606" s="99"/>
      <c r="F606" s="172"/>
      <c r="T606" s="99"/>
      <c r="V606" s="110"/>
      <c r="W606" s="110"/>
      <c r="X606" s="110"/>
      <c r="Y606" s="110"/>
      <c r="Z606" s="227"/>
    </row>
    <row r="607" spans="3:40" x14ac:dyDescent="0.3">
      <c r="C607" s="99"/>
      <c r="H607" s="172"/>
      <c r="I607" s="172"/>
      <c r="J607" s="227"/>
      <c r="K607" s="227"/>
      <c r="L607" s="110"/>
      <c r="M607" s="110"/>
      <c r="N607" s="141"/>
      <c r="O607" s="141"/>
      <c r="P607" s="110"/>
      <c r="Q607" s="110"/>
      <c r="R607" s="110"/>
      <c r="T607" s="99"/>
      <c r="V607" s="110"/>
      <c r="W607" s="110"/>
      <c r="X607" s="110"/>
      <c r="Y607" s="110"/>
      <c r="Z607" s="227"/>
      <c r="AA607" s="110"/>
      <c r="AB607" s="110"/>
      <c r="AC607" s="141"/>
      <c r="AD607" s="141"/>
      <c r="AE607" s="110"/>
      <c r="AF607" s="110"/>
      <c r="AH607" s="207"/>
      <c r="AI607" s="110"/>
      <c r="AJ607" s="110"/>
      <c r="AL607" s="110"/>
      <c r="AM607" s="141"/>
      <c r="AN607" s="141"/>
    </row>
    <row r="608" spans="3:40" x14ac:dyDescent="0.3">
      <c r="F608" s="172"/>
      <c r="H608" s="192"/>
      <c r="I608" s="192"/>
      <c r="J608" s="217"/>
      <c r="K608" s="217"/>
      <c r="L608" s="192"/>
      <c r="M608" s="192"/>
      <c r="N608" s="192"/>
      <c r="O608" s="192"/>
      <c r="P608" s="192"/>
      <c r="Q608" s="192"/>
      <c r="R608" s="192"/>
      <c r="V608" s="192"/>
      <c r="Y608" s="192"/>
      <c r="Z608" s="217"/>
      <c r="AA608" s="192"/>
      <c r="AB608" s="192"/>
      <c r="AC608" s="192"/>
      <c r="AD608" s="192"/>
      <c r="AE608" s="192"/>
      <c r="AF608" s="192"/>
      <c r="AI608" s="192"/>
      <c r="AJ608" s="192"/>
      <c r="AK608" s="194"/>
      <c r="AL608" s="192"/>
    </row>
    <row r="609" spans="1:40" x14ac:dyDescent="0.3">
      <c r="C609" s="99"/>
      <c r="F609" s="192"/>
      <c r="H609" s="110"/>
      <c r="I609" s="110"/>
      <c r="L609" s="110"/>
      <c r="M609" s="110"/>
      <c r="N609" s="141"/>
      <c r="O609" s="141"/>
      <c r="P609" s="172"/>
      <c r="Q609" s="172"/>
      <c r="R609" s="110"/>
      <c r="T609" s="99"/>
      <c r="V609" s="110"/>
      <c r="W609" s="110"/>
      <c r="X609" s="110"/>
      <c r="Y609" s="110"/>
      <c r="Z609" s="227"/>
      <c r="AA609" s="110"/>
      <c r="AB609" s="110"/>
      <c r="AC609" s="141"/>
      <c r="AD609" s="141"/>
      <c r="AE609" s="110"/>
      <c r="AF609" s="110"/>
      <c r="AH609" s="207"/>
      <c r="AI609" s="172"/>
      <c r="AJ609" s="172"/>
      <c r="AL609" s="110"/>
      <c r="AM609" s="141"/>
      <c r="AN609" s="141"/>
    </row>
    <row r="610" spans="1:40" x14ac:dyDescent="0.3">
      <c r="F610" s="110"/>
      <c r="H610" s="192"/>
      <c r="I610" s="192"/>
      <c r="J610" s="217"/>
      <c r="K610" s="217"/>
      <c r="L610" s="192"/>
      <c r="M610" s="192"/>
      <c r="N610" s="192"/>
      <c r="O610" s="192"/>
      <c r="P610" s="192"/>
      <c r="Q610" s="192"/>
      <c r="R610" s="192"/>
      <c r="V610" s="192"/>
      <c r="Y610" s="192"/>
      <c r="Z610" s="217"/>
      <c r="AA610" s="192"/>
      <c r="AB610" s="192"/>
      <c r="AC610" s="192"/>
      <c r="AD610" s="192"/>
      <c r="AE610" s="192"/>
      <c r="AF610" s="192"/>
      <c r="AI610" s="192"/>
      <c r="AJ610" s="192"/>
      <c r="AK610" s="194"/>
      <c r="AL610" s="192"/>
    </row>
    <row r="611" spans="1:40" x14ac:dyDescent="0.3">
      <c r="C611" s="99"/>
      <c r="F611" s="192"/>
      <c r="H611" s="110"/>
      <c r="I611" s="110"/>
      <c r="L611" s="110"/>
      <c r="M611" s="110"/>
      <c r="N611" s="141"/>
      <c r="O611" s="141"/>
      <c r="P611" s="110"/>
      <c r="Q611" s="110"/>
      <c r="R611" s="110"/>
      <c r="T611" s="99"/>
      <c r="V611" s="110"/>
      <c r="W611" s="110"/>
      <c r="X611" s="110"/>
      <c r="Y611" s="110"/>
      <c r="AA611" s="110"/>
      <c r="AB611" s="110"/>
      <c r="AC611" s="141"/>
      <c r="AD611" s="141"/>
      <c r="AE611" s="110"/>
      <c r="AF611" s="110"/>
      <c r="AH611" s="207"/>
      <c r="AI611" s="110"/>
      <c r="AJ611" s="110"/>
      <c r="AL611" s="110"/>
      <c r="AM611" s="207"/>
      <c r="AN611" s="207"/>
    </row>
    <row r="612" spans="1:40" x14ac:dyDescent="0.3">
      <c r="F612" s="110"/>
      <c r="H612" s="192"/>
      <c r="I612" s="192"/>
      <c r="J612" s="217"/>
      <c r="K612" s="217"/>
      <c r="L612" s="192"/>
      <c r="M612" s="192"/>
      <c r="N612" s="192"/>
      <c r="O612" s="192"/>
      <c r="P612" s="192"/>
      <c r="Q612" s="192"/>
      <c r="R612" s="192"/>
      <c r="V612" s="192"/>
      <c r="Y612" s="192"/>
      <c r="Z612" s="217"/>
      <c r="AA612" s="192"/>
      <c r="AB612" s="192"/>
      <c r="AC612" s="192"/>
      <c r="AD612" s="192"/>
      <c r="AE612" s="192"/>
      <c r="AF612" s="192"/>
      <c r="AI612" s="192"/>
      <c r="AJ612" s="192"/>
      <c r="AK612" s="194"/>
      <c r="AL612" s="192"/>
    </row>
    <row r="614" spans="1:40" x14ac:dyDescent="0.3">
      <c r="F614" s="192"/>
    </row>
    <row r="615" spans="1:40" x14ac:dyDescent="0.3">
      <c r="A615" s="99"/>
    </row>
    <row r="617" spans="1:40" x14ac:dyDescent="0.3">
      <c r="H617" s="99"/>
      <c r="I617" s="99"/>
      <c r="Y617" s="99"/>
    </row>
    <row r="619" spans="1:40" x14ac:dyDescent="0.3">
      <c r="L619" s="99"/>
      <c r="M619" s="99"/>
      <c r="AA619" s="99"/>
      <c r="AB619" s="99"/>
    </row>
    <row r="620" spans="1:40" x14ac:dyDescent="0.3">
      <c r="R620" s="99"/>
      <c r="AK620" s="190"/>
      <c r="AL620" s="99"/>
    </row>
    <row r="621" spans="1:40" x14ac:dyDescent="0.3">
      <c r="R621" s="99"/>
      <c r="AK621" s="190"/>
      <c r="AL621" s="99"/>
    </row>
    <row r="622" spans="1:40" x14ac:dyDescent="0.3">
      <c r="A622" s="99"/>
      <c r="R622" s="99"/>
      <c r="AK622" s="190"/>
      <c r="AL622" s="99"/>
    </row>
    <row r="623" spans="1:40" x14ac:dyDescent="0.3">
      <c r="L623" s="99"/>
      <c r="M623" s="99"/>
      <c r="AA623" s="99"/>
      <c r="AB623" s="99"/>
    </row>
    <row r="624" spans="1:40" x14ac:dyDescent="0.3">
      <c r="A624" s="101"/>
      <c r="B624" s="101"/>
      <c r="C624" s="101"/>
      <c r="D624" s="101"/>
      <c r="E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91"/>
      <c r="AH624" s="101"/>
      <c r="AI624" s="101"/>
      <c r="AJ624" s="101"/>
      <c r="AK624" s="191"/>
      <c r="AL624" s="101"/>
      <c r="AM624" s="101"/>
      <c r="AN624" s="101"/>
    </row>
    <row r="625" spans="1:40" x14ac:dyDescent="0.3">
      <c r="F625" s="101"/>
      <c r="L625" s="102"/>
      <c r="M625" s="102"/>
      <c r="N625" s="102"/>
      <c r="O625" s="102"/>
      <c r="R625" s="102"/>
      <c r="AA625" s="102"/>
      <c r="AB625" s="102"/>
      <c r="AC625" s="102"/>
      <c r="AD625" s="102"/>
      <c r="AE625" s="102"/>
      <c r="AF625" s="102"/>
      <c r="AG625" s="151"/>
      <c r="AH625" s="102"/>
      <c r="AK625" s="151"/>
      <c r="AL625" s="102"/>
      <c r="AM625" s="102"/>
      <c r="AN625" s="102"/>
    </row>
    <row r="626" spans="1:40" x14ac:dyDescent="0.3">
      <c r="L626" s="102"/>
      <c r="M626" s="102"/>
      <c r="N626" s="102"/>
      <c r="O626" s="102"/>
      <c r="R626" s="102"/>
      <c r="Z626" s="102"/>
      <c r="AA626" s="102"/>
      <c r="AB626" s="102"/>
      <c r="AC626" s="102"/>
      <c r="AD626" s="102"/>
      <c r="AE626" s="102"/>
      <c r="AF626" s="102"/>
      <c r="AG626" s="151"/>
      <c r="AH626" s="102"/>
      <c r="AK626" s="151"/>
      <c r="AL626" s="102"/>
      <c r="AM626" s="102"/>
      <c r="AN626" s="102"/>
    </row>
    <row r="627" spans="1:40" x14ac:dyDescent="0.3">
      <c r="A627" s="102"/>
      <c r="C627" s="102"/>
      <c r="D627" s="102"/>
      <c r="E627" s="102"/>
      <c r="J627" s="102"/>
      <c r="K627" s="102"/>
      <c r="L627" s="102"/>
      <c r="M627" s="102"/>
      <c r="N627" s="102"/>
      <c r="O627" s="102"/>
      <c r="P627" s="102"/>
      <c r="Q627" s="102"/>
      <c r="R627" s="102"/>
      <c r="T627" s="102"/>
      <c r="U627" s="102"/>
      <c r="V627" s="102"/>
      <c r="Z627" s="102"/>
      <c r="AA627" s="102"/>
      <c r="AB627" s="102"/>
      <c r="AC627" s="102"/>
      <c r="AD627" s="102"/>
      <c r="AE627" s="102"/>
      <c r="AF627" s="102"/>
      <c r="AG627" s="151"/>
      <c r="AH627" s="102"/>
      <c r="AI627" s="102"/>
      <c r="AJ627" s="102"/>
      <c r="AK627" s="151"/>
      <c r="AL627" s="102"/>
      <c r="AM627" s="102"/>
      <c r="AN627" s="102"/>
    </row>
    <row r="628" spans="1:40" x14ac:dyDescent="0.3">
      <c r="A628" s="102"/>
      <c r="C628" s="102"/>
      <c r="D628" s="102"/>
      <c r="E628" s="102"/>
      <c r="F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T628" s="102"/>
      <c r="U628" s="102"/>
      <c r="V628" s="102"/>
      <c r="Y628" s="102"/>
      <c r="Z628" s="102"/>
      <c r="AA628" s="102"/>
      <c r="AB628" s="102"/>
      <c r="AC628" s="102"/>
      <c r="AD628" s="102"/>
      <c r="AE628" s="102"/>
      <c r="AF628" s="102"/>
      <c r="AG628" s="151"/>
      <c r="AH628" s="102"/>
      <c r="AI628" s="102"/>
      <c r="AJ628" s="102"/>
      <c r="AK628" s="151"/>
      <c r="AL628" s="102"/>
      <c r="AM628" s="102"/>
      <c r="AN628" s="102"/>
    </row>
    <row r="629" spans="1:40" x14ac:dyDescent="0.3">
      <c r="C629" s="102"/>
      <c r="D629" s="102"/>
      <c r="E629" s="102"/>
      <c r="F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T629" s="102"/>
      <c r="U629" s="102"/>
      <c r="V629" s="102"/>
      <c r="Y629" s="102"/>
      <c r="Z629" s="102"/>
      <c r="AA629" s="102"/>
      <c r="AB629" s="102"/>
      <c r="AC629" s="102"/>
      <c r="AD629" s="102"/>
      <c r="AE629" s="102"/>
      <c r="AF629" s="102"/>
      <c r="AG629" s="151"/>
      <c r="AH629" s="102"/>
      <c r="AI629" s="102"/>
      <c r="AJ629" s="102"/>
      <c r="AK629" s="151"/>
      <c r="AL629" s="102"/>
      <c r="AM629" s="102"/>
      <c r="AN629" s="102"/>
    </row>
    <row r="630" spans="1:40" x14ac:dyDescent="0.3">
      <c r="A630" s="101"/>
      <c r="B630" s="101"/>
      <c r="C630" s="101"/>
      <c r="D630" s="101"/>
      <c r="E630" s="101"/>
      <c r="F630" s="102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91"/>
      <c r="AH630" s="101"/>
      <c r="AI630" s="101"/>
      <c r="AJ630" s="101"/>
      <c r="AK630" s="191"/>
      <c r="AL630" s="101"/>
      <c r="AM630" s="101"/>
      <c r="AN630" s="101"/>
    </row>
    <row r="631" spans="1:40" x14ac:dyDescent="0.3">
      <c r="F631" s="101"/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Y631" s="102"/>
      <c r="Z631" s="102"/>
      <c r="AA631" s="102"/>
      <c r="AB631" s="102"/>
      <c r="AC631" s="102"/>
      <c r="AD631" s="102"/>
      <c r="AE631" s="102"/>
      <c r="AF631" s="102"/>
      <c r="AG631" s="151"/>
      <c r="AH631" s="102"/>
      <c r="AI631" s="102"/>
      <c r="AJ631" s="102"/>
      <c r="AK631" s="151"/>
      <c r="AL631" s="102"/>
      <c r="AM631" s="102"/>
      <c r="AN631" s="102"/>
    </row>
    <row r="632" spans="1:40" x14ac:dyDescent="0.3">
      <c r="C632" s="99"/>
      <c r="D632" s="99"/>
      <c r="E632" s="99"/>
      <c r="H632" s="110"/>
      <c r="I632" s="110"/>
      <c r="J632" s="198"/>
      <c r="K632" s="198"/>
      <c r="L632" s="110"/>
      <c r="M632" s="110"/>
      <c r="N632" s="198"/>
      <c r="O632" s="198"/>
      <c r="P632" s="110"/>
      <c r="Q632" s="110"/>
      <c r="R632" s="110"/>
      <c r="T632" s="99"/>
      <c r="U632" s="99"/>
      <c r="V632" s="110"/>
      <c r="Y632" s="110"/>
      <c r="Z632" s="198"/>
      <c r="AA632" s="110"/>
      <c r="AB632" s="110"/>
      <c r="AC632" s="198"/>
      <c r="AD632" s="198"/>
      <c r="AE632" s="110"/>
      <c r="AF632" s="110"/>
      <c r="AH632" s="207"/>
      <c r="AI632" s="110"/>
      <c r="AJ632" s="110"/>
      <c r="AL632" s="110"/>
      <c r="AM632" s="141"/>
      <c r="AN632" s="141"/>
    </row>
    <row r="633" spans="1:40" x14ac:dyDescent="0.3">
      <c r="F633" s="110"/>
      <c r="H633" s="192"/>
      <c r="I633" s="192"/>
      <c r="J633" s="217"/>
      <c r="K633" s="217"/>
      <c r="L633" s="192"/>
      <c r="M633" s="192"/>
      <c r="N633" s="192"/>
      <c r="O633" s="192"/>
      <c r="P633" s="192"/>
      <c r="Q633" s="192"/>
      <c r="R633" s="192"/>
      <c r="V633" s="192"/>
      <c r="Y633" s="192"/>
      <c r="Z633" s="217"/>
      <c r="AA633" s="192"/>
      <c r="AB633" s="192"/>
      <c r="AC633" s="192"/>
      <c r="AD633" s="192"/>
      <c r="AE633" s="192"/>
      <c r="AF633" s="192"/>
      <c r="AI633" s="192"/>
      <c r="AJ633" s="192"/>
      <c r="AK633" s="194"/>
      <c r="AL633" s="192"/>
      <c r="AM633" s="141"/>
      <c r="AN633" s="141"/>
    </row>
    <row r="634" spans="1:40" x14ac:dyDescent="0.3">
      <c r="C634" s="99"/>
      <c r="F634" s="192"/>
      <c r="H634" s="110"/>
      <c r="I634" s="110"/>
      <c r="J634" s="198"/>
      <c r="K634" s="198"/>
      <c r="L634" s="110"/>
      <c r="M634" s="110"/>
      <c r="N634" s="198"/>
      <c r="O634" s="198"/>
      <c r="P634" s="110"/>
      <c r="Q634" s="110"/>
      <c r="R634" s="110"/>
      <c r="T634" s="99"/>
      <c r="V634" s="110"/>
      <c r="Y634" s="110"/>
      <c r="Z634" s="198"/>
      <c r="AA634" s="110"/>
      <c r="AB634" s="110"/>
      <c r="AC634" s="198"/>
      <c r="AD634" s="198"/>
      <c r="AE634" s="110"/>
      <c r="AF634" s="110"/>
      <c r="AH634" s="207"/>
      <c r="AI634" s="110"/>
      <c r="AJ634" s="110"/>
      <c r="AL634" s="110"/>
      <c r="AM634" s="141"/>
      <c r="AN634" s="141"/>
    </row>
    <row r="635" spans="1:40" x14ac:dyDescent="0.3">
      <c r="F635" s="110"/>
      <c r="H635" s="110"/>
      <c r="I635" s="110"/>
      <c r="J635" s="198"/>
      <c r="K635" s="198"/>
      <c r="L635" s="110"/>
      <c r="M635" s="110"/>
      <c r="N635" s="198"/>
      <c r="O635" s="198"/>
      <c r="P635" s="110"/>
      <c r="Q635" s="110"/>
      <c r="R635" s="110"/>
      <c r="V635" s="110"/>
      <c r="Y635" s="110"/>
      <c r="Z635" s="198"/>
      <c r="AA635" s="110"/>
      <c r="AB635" s="110"/>
      <c r="AC635" s="198"/>
      <c r="AD635" s="198"/>
      <c r="AH635" s="207"/>
      <c r="AI635" s="110"/>
      <c r="AJ635" s="110"/>
      <c r="AL635" s="110"/>
      <c r="AM635" s="141"/>
      <c r="AN635" s="141"/>
    </row>
    <row r="636" spans="1:40" x14ac:dyDescent="0.3">
      <c r="C636" s="99"/>
      <c r="D636" s="99"/>
      <c r="E636" s="99"/>
      <c r="F636" s="110"/>
      <c r="H636" s="110"/>
      <c r="I636" s="110"/>
      <c r="J636" s="198"/>
      <c r="K636" s="198"/>
      <c r="L636" s="110"/>
      <c r="M636" s="110"/>
      <c r="N636" s="198"/>
      <c r="O636" s="198"/>
      <c r="P636" s="110"/>
      <c r="Q636" s="110"/>
      <c r="R636" s="110"/>
      <c r="T636" s="99"/>
      <c r="U636" s="99"/>
      <c r="V636" s="110"/>
      <c r="Y636" s="110"/>
      <c r="Z636" s="198"/>
      <c r="AA636" s="110"/>
      <c r="AB636" s="110"/>
      <c r="AC636" s="198"/>
      <c r="AD636" s="198"/>
      <c r="AE636" s="110"/>
      <c r="AF636" s="110"/>
      <c r="AH636" s="207"/>
      <c r="AI636" s="110"/>
      <c r="AJ636" s="110"/>
      <c r="AL636" s="110"/>
      <c r="AM636" s="141"/>
      <c r="AN636" s="141"/>
    </row>
    <row r="637" spans="1:40" x14ac:dyDescent="0.3">
      <c r="C637" s="99"/>
      <c r="D637" s="99"/>
      <c r="E637" s="99"/>
      <c r="F637" s="110"/>
      <c r="H637" s="110"/>
      <c r="I637" s="110"/>
      <c r="J637" s="198"/>
      <c r="K637" s="198"/>
      <c r="L637" s="110"/>
      <c r="M637" s="110"/>
      <c r="N637" s="198"/>
      <c r="O637" s="198"/>
      <c r="P637" s="110"/>
      <c r="Q637" s="110"/>
      <c r="R637" s="110"/>
      <c r="T637" s="99"/>
      <c r="U637" s="99"/>
      <c r="V637" s="110"/>
      <c r="Y637" s="110"/>
      <c r="Z637" s="198"/>
      <c r="AA637" s="110"/>
      <c r="AB637" s="110"/>
      <c r="AC637" s="198"/>
      <c r="AD637" s="198"/>
      <c r="AE637" s="110"/>
      <c r="AF637" s="110"/>
      <c r="AH637" s="207"/>
      <c r="AI637" s="110"/>
      <c r="AJ637" s="110"/>
      <c r="AL637" s="110"/>
      <c r="AM637" s="141"/>
      <c r="AN637" s="141"/>
    </row>
    <row r="638" spans="1:40" x14ac:dyDescent="0.3">
      <c r="C638" s="99"/>
      <c r="D638" s="99"/>
      <c r="E638" s="99"/>
      <c r="F638" s="110"/>
      <c r="H638" s="110"/>
      <c r="I638" s="110"/>
      <c r="J638" s="198"/>
      <c r="K638" s="198"/>
      <c r="L638" s="110"/>
      <c r="M638" s="110"/>
      <c r="N638" s="198"/>
      <c r="O638" s="198"/>
      <c r="P638" s="110"/>
      <c r="Q638" s="110"/>
      <c r="R638" s="110"/>
      <c r="T638" s="99"/>
      <c r="U638" s="99"/>
      <c r="V638" s="110"/>
      <c r="Y638" s="110"/>
      <c r="Z638" s="198"/>
      <c r="AA638" s="110"/>
      <c r="AB638" s="110"/>
      <c r="AC638" s="198"/>
      <c r="AD638" s="198"/>
      <c r="AE638" s="110"/>
      <c r="AF638" s="110"/>
      <c r="AH638" s="207"/>
      <c r="AI638" s="110"/>
      <c r="AJ638" s="110"/>
      <c r="AL638" s="110"/>
      <c r="AM638" s="141"/>
      <c r="AN638" s="141"/>
    </row>
    <row r="639" spans="1:40" x14ac:dyDescent="0.3">
      <c r="C639" s="99"/>
      <c r="D639" s="99"/>
      <c r="E639" s="99"/>
      <c r="F639" s="110"/>
      <c r="H639" s="110"/>
      <c r="I639" s="110"/>
      <c r="J639" s="198"/>
      <c r="K639" s="198"/>
      <c r="L639" s="110"/>
      <c r="M639" s="110"/>
      <c r="N639" s="198"/>
      <c r="O639" s="198"/>
      <c r="P639" s="110"/>
      <c r="Q639" s="110"/>
      <c r="R639" s="110"/>
      <c r="T639" s="99"/>
      <c r="U639" s="99"/>
      <c r="V639" s="110"/>
      <c r="Y639" s="110"/>
      <c r="Z639" s="198"/>
      <c r="AA639" s="110"/>
      <c r="AB639" s="110"/>
      <c r="AC639" s="198"/>
      <c r="AD639" s="198"/>
      <c r="AE639" s="110"/>
      <c r="AF639" s="110"/>
      <c r="AH639" s="207"/>
      <c r="AI639" s="110"/>
      <c r="AJ639" s="110"/>
      <c r="AL639" s="110"/>
      <c r="AM639" s="141"/>
      <c r="AN639" s="141"/>
    </row>
    <row r="640" spans="1:40" x14ac:dyDescent="0.3">
      <c r="C640" s="99"/>
      <c r="D640" s="99"/>
      <c r="E640" s="99"/>
      <c r="F640" s="110"/>
      <c r="H640" s="110"/>
      <c r="I640" s="110"/>
      <c r="J640" s="198"/>
      <c r="K640" s="198"/>
      <c r="L640" s="110"/>
      <c r="M640" s="110"/>
      <c r="N640" s="198"/>
      <c r="O640" s="198"/>
      <c r="P640" s="110"/>
      <c r="Q640" s="110"/>
      <c r="R640" s="110"/>
      <c r="T640" s="99"/>
      <c r="U640" s="99"/>
      <c r="V640" s="110"/>
      <c r="Y640" s="110"/>
      <c r="Z640" s="198"/>
      <c r="AA640" s="110"/>
      <c r="AB640" s="110"/>
      <c r="AC640" s="198"/>
      <c r="AD640" s="198"/>
      <c r="AE640" s="110"/>
      <c r="AF640" s="110"/>
      <c r="AH640" s="207"/>
      <c r="AI640" s="110"/>
      <c r="AJ640" s="110"/>
      <c r="AL640" s="110"/>
      <c r="AM640" s="141"/>
      <c r="AN640" s="141"/>
    </row>
    <row r="641" spans="3:40" x14ac:dyDescent="0.3">
      <c r="C641" s="99"/>
      <c r="D641" s="99"/>
      <c r="E641" s="99"/>
      <c r="F641" s="110"/>
      <c r="H641" s="110"/>
      <c r="I641" s="110"/>
      <c r="J641" s="198"/>
      <c r="K641" s="198"/>
      <c r="L641" s="110"/>
      <c r="M641" s="110"/>
      <c r="N641" s="198"/>
      <c r="O641" s="198"/>
      <c r="P641" s="110"/>
      <c r="Q641" s="110"/>
      <c r="R641" s="110"/>
      <c r="T641" s="99"/>
      <c r="U641" s="99"/>
      <c r="V641" s="110"/>
      <c r="Y641" s="110"/>
      <c r="Z641" s="198"/>
      <c r="AA641" s="110"/>
      <c r="AB641" s="110"/>
      <c r="AC641" s="198"/>
      <c r="AD641" s="198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F642" s="110"/>
      <c r="H642" s="192"/>
      <c r="I642" s="192"/>
      <c r="J642" s="217"/>
      <c r="K642" s="217"/>
      <c r="L642" s="192"/>
      <c r="M642" s="192"/>
      <c r="N642" s="192"/>
      <c r="O642" s="192"/>
      <c r="P642" s="192"/>
      <c r="Q642" s="192"/>
      <c r="R642" s="192"/>
      <c r="V642" s="192"/>
      <c r="Y642" s="192"/>
      <c r="Z642" s="217"/>
      <c r="AA642" s="192"/>
      <c r="AB642" s="192"/>
      <c r="AC642" s="192"/>
      <c r="AD642" s="192"/>
      <c r="AE642" s="192"/>
      <c r="AF642" s="192"/>
      <c r="AI642" s="192"/>
      <c r="AJ642" s="192"/>
      <c r="AK642" s="194"/>
      <c r="AL642" s="192"/>
      <c r="AM642" s="141"/>
      <c r="AN642" s="141"/>
    </row>
    <row r="643" spans="3:40" x14ac:dyDescent="0.3">
      <c r="C643" s="99"/>
      <c r="F643" s="192"/>
      <c r="H643" s="110"/>
      <c r="I643" s="110"/>
      <c r="J643" s="198"/>
      <c r="K643" s="198"/>
      <c r="L643" s="110"/>
      <c r="M643" s="110"/>
      <c r="N643" s="198"/>
      <c r="O643" s="198"/>
      <c r="P643" s="110"/>
      <c r="Q643" s="110"/>
      <c r="R643" s="110"/>
      <c r="T643" s="99"/>
      <c r="V643" s="110"/>
      <c r="Y643" s="110"/>
      <c r="Z643" s="198"/>
      <c r="AA643" s="110"/>
      <c r="AB643" s="110"/>
      <c r="AC643" s="198"/>
      <c r="AD643" s="198"/>
      <c r="AE643" s="110"/>
      <c r="AF643" s="110"/>
      <c r="AH643" s="207"/>
      <c r="AI643" s="110"/>
      <c r="AJ643" s="110"/>
      <c r="AL643" s="110"/>
      <c r="AM643" s="141"/>
      <c r="AN643" s="141"/>
    </row>
    <row r="644" spans="3:40" x14ac:dyDescent="0.3">
      <c r="F644" s="110"/>
      <c r="H644" s="110"/>
      <c r="I644" s="110"/>
      <c r="J644" s="198"/>
      <c r="K644" s="198"/>
      <c r="L644" s="110"/>
      <c r="M644" s="110"/>
      <c r="N644" s="198"/>
      <c r="O644" s="198"/>
      <c r="P644" s="110"/>
      <c r="Q644" s="110"/>
      <c r="R644" s="110"/>
      <c r="V644" s="110"/>
      <c r="Y644" s="110"/>
      <c r="Z644" s="198"/>
      <c r="AA644" s="110"/>
      <c r="AB644" s="110"/>
      <c r="AC644" s="198"/>
      <c r="AD644" s="198"/>
      <c r="AH644" s="207"/>
      <c r="AI644" s="110"/>
      <c r="AJ644" s="110"/>
      <c r="AL644" s="110"/>
      <c r="AM644" s="141"/>
      <c r="AN644" s="141"/>
    </row>
    <row r="645" spans="3:40" x14ac:dyDescent="0.3">
      <c r="C645" s="99"/>
      <c r="D645" s="99"/>
      <c r="E645" s="99"/>
      <c r="F645" s="110"/>
      <c r="H645" s="110"/>
      <c r="I645" s="110"/>
      <c r="J645" s="198"/>
      <c r="K645" s="198"/>
      <c r="L645" s="110"/>
      <c r="M645" s="110"/>
      <c r="N645" s="198"/>
      <c r="O645" s="198"/>
      <c r="P645" s="110"/>
      <c r="Q645" s="110"/>
      <c r="R645" s="110"/>
      <c r="T645" s="99"/>
      <c r="U645" s="99"/>
      <c r="V645" s="110"/>
      <c r="Y645" s="110"/>
      <c r="Z645" s="198"/>
      <c r="AA645" s="110"/>
      <c r="AB645" s="110"/>
      <c r="AC645" s="198"/>
      <c r="AD645" s="198"/>
      <c r="AE645" s="110"/>
      <c r="AF645" s="110"/>
      <c r="AH645" s="207"/>
      <c r="AI645" s="110"/>
      <c r="AJ645" s="110"/>
      <c r="AL645" s="110"/>
      <c r="AM645" s="141"/>
      <c r="AN645" s="141"/>
    </row>
    <row r="646" spans="3:40" x14ac:dyDescent="0.3">
      <c r="F646" s="110"/>
      <c r="H646" s="192"/>
      <c r="I646" s="192"/>
      <c r="J646" s="217"/>
      <c r="K646" s="217"/>
      <c r="L646" s="192"/>
      <c r="M646" s="192"/>
      <c r="N646" s="192"/>
      <c r="O646" s="192"/>
      <c r="P646" s="192"/>
      <c r="Q646" s="192"/>
      <c r="R646" s="192"/>
      <c r="V646" s="192"/>
      <c r="Y646" s="192"/>
      <c r="Z646" s="217"/>
      <c r="AA646" s="192"/>
      <c r="AB646" s="192"/>
      <c r="AC646" s="192"/>
      <c r="AD646" s="192"/>
      <c r="AE646" s="192"/>
      <c r="AF646" s="192"/>
      <c r="AI646" s="192"/>
      <c r="AJ646" s="192"/>
      <c r="AK646" s="194"/>
      <c r="AL646" s="192"/>
      <c r="AM646" s="141"/>
      <c r="AN646" s="141"/>
    </row>
    <row r="647" spans="3:40" x14ac:dyDescent="0.3">
      <c r="C647" s="99"/>
      <c r="F647" s="192"/>
      <c r="H647" s="110"/>
      <c r="I647" s="110"/>
      <c r="J647" s="198"/>
      <c r="K647" s="198"/>
      <c r="L647" s="110"/>
      <c r="M647" s="110"/>
      <c r="N647" s="198"/>
      <c r="O647" s="198"/>
      <c r="P647" s="110"/>
      <c r="Q647" s="110"/>
      <c r="R647" s="110"/>
      <c r="T647" s="99"/>
      <c r="V647" s="110"/>
      <c r="Y647" s="110"/>
      <c r="Z647" s="198"/>
      <c r="AA647" s="110"/>
      <c r="AB647" s="110"/>
      <c r="AC647" s="198"/>
      <c r="AD647" s="198"/>
      <c r="AE647" s="110"/>
      <c r="AF647" s="110"/>
      <c r="AH647" s="207"/>
      <c r="AI647" s="110"/>
      <c r="AJ647" s="110"/>
      <c r="AL647" s="110"/>
      <c r="AM647" s="141"/>
      <c r="AN647" s="141"/>
    </row>
    <row r="648" spans="3:40" x14ac:dyDescent="0.3">
      <c r="F648" s="110"/>
      <c r="H648" s="110"/>
      <c r="I648" s="110"/>
      <c r="J648" s="198"/>
      <c r="K648" s="198"/>
      <c r="L648" s="110"/>
      <c r="M648" s="110"/>
      <c r="N648" s="198"/>
      <c r="O648" s="198"/>
      <c r="P648" s="110"/>
      <c r="Q648" s="110"/>
      <c r="R648" s="110"/>
      <c r="V648" s="110"/>
      <c r="Y648" s="110"/>
      <c r="Z648" s="198"/>
      <c r="AA648" s="110"/>
      <c r="AB648" s="110"/>
      <c r="AC648" s="198"/>
      <c r="AD648" s="198"/>
      <c r="AH648" s="207"/>
      <c r="AI648" s="110"/>
      <c r="AJ648" s="110"/>
      <c r="AL648" s="110"/>
      <c r="AM648" s="141"/>
      <c r="AN648" s="141"/>
    </row>
    <row r="649" spans="3:40" x14ac:dyDescent="0.3">
      <c r="C649" s="99"/>
      <c r="D649" s="99"/>
      <c r="E649" s="99"/>
      <c r="F649" s="110"/>
      <c r="H649" s="110"/>
      <c r="I649" s="110"/>
      <c r="J649" s="198"/>
      <c r="K649" s="198"/>
      <c r="L649" s="110"/>
      <c r="M649" s="110"/>
      <c r="N649" s="198"/>
      <c r="O649" s="198"/>
      <c r="P649" s="110"/>
      <c r="Q649" s="110"/>
      <c r="R649" s="110"/>
      <c r="T649" s="99"/>
      <c r="U649" s="99"/>
      <c r="V649" s="110"/>
      <c r="Y649" s="110"/>
      <c r="Z649" s="198"/>
      <c r="AA649" s="110"/>
      <c r="AB649" s="110"/>
      <c r="AC649" s="198"/>
      <c r="AD649" s="198"/>
      <c r="AE649" s="110"/>
      <c r="AF649" s="110"/>
      <c r="AH649" s="207"/>
      <c r="AI649" s="110"/>
      <c r="AJ649" s="110"/>
      <c r="AL649" s="110"/>
      <c r="AM649" s="141"/>
      <c r="AN649" s="141"/>
    </row>
    <row r="650" spans="3:40" x14ac:dyDescent="0.3">
      <c r="C650" s="99"/>
      <c r="D650" s="99"/>
      <c r="E650" s="99"/>
      <c r="F650" s="110"/>
      <c r="G650" s="110"/>
      <c r="H650" s="110"/>
      <c r="I650" s="110"/>
      <c r="J650" s="198"/>
      <c r="K650" s="198"/>
      <c r="L650" s="110"/>
      <c r="M650" s="110"/>
      <c r="N650" s="198"/>
      <c r="O650" s="198"/>
      <c r="P650" s="110"/>
      <c r="Q650" s="110"/>
      <c r="R650" s="110"/>
      <c r="T650" s="99"/>
      <c r="U650" s="99"/>
      <c r="V650" s="110"/>
      <c r="W650" s="110"/>
      <c r="X650" s="110"/>
      <c r="Y650" s="110"/>
      <c r="Z650" s="198"/>
      <c r="AA650" s="110"/>
      <c r="AB650" s="110"/>
      <c r="AC650" s="198"/>
      <c r="AD650" s="198"/>
      <c r="AE650" s="110"/>
      <c r="AF650" s="110"/>
      <c r="AH650" s="207"/>
      <c r="AI650" s="110"/>
      <c r="AJ650" s="110"/>
      <c r="AL650" s="110"/>
      <c r="AM650" s="141"/>
      <c r="AN650" s="141"/>
    </row>
    <row r="651" spans="3:40" x14ac:dyDescent="0.3">
      <c r="C651" s="99"/>
      <c r="D651" s="99"/>
      <c r="E651" s="99"/>
      <c r="F651" s="110"/>
      <c r="G651" s="110"/>
      <c r="H651" s="110"/>
      <c r="I651" s="110"/>
      <c r="J651" s="198"/>
      <c r="K651" s="198"/>
      <c r="L651" s="110"/>
      <c r="M651" s="110"/>
      <c r="N651" s="198"/>
      <c r="O651" s="198"/>
      <c r="P651" s="110"/>
      <c r="Q651" s="110"/>
      <c r="R651" s="110"/>
      <c r="T651" s="99"/>
      <c r="U651" s="99"/>
      <c r="V651" s="110"/>
      <c r="W651" s="110"/>
      <c r="X651" s="110"/>
      <c r="Y651" s="110"/>
      <c r="Z651" s="198"/>
      <c r="AA651" s="110"/>
      <c r="AB651" s="110"/>
      <c r="AC651" s="198"/>
      <c r="AD651" s="198"/>
      <c r="AE651" s="110"/>
      <c r="AF651" s="110"/>
      <c r="AH651" s="207"/>
      <c r="AI651" s="110"/>
      <c r="AJ651" s="110"/>
      <c r="AL651" s="110"/>
      <c r="AM651" s="141"/>
      <c r="AN651" s="141"/>
    </row>
    <row r="652" spans="3:40" x14ac:dyDescent="0.3">
      <c r="C652" s="99"/>
      <c r="D652" s="99"/>
      <c r="E652" s="99"/>
      <c r="F652" s="110"/>
      <c r="H652" s="110"/>
      <c r="I652" s="110"/>
      <c r="J652" s="198"/>
      <c r="K652" s="198"/>
      <c r="L652" s="110"/>
      <c r="M652" s="110"/>
      <c r="N652" s="198"/>
      <c r="O652" s="198"/>
      <c r="P652" s="110"/>
      <c r="Q652" s="110"/>
      <c r="R652" s="110"/>
      <c r="T652" s="99"/>
      <c r="U652" s="99"/>
      <c r="V652" s="110"/>
      <c r="Y652" s="110"/>
      <c r="Z652" s="198"/>
      <c r="AA652" s="110"/>
      <c r="AB652" s="110"/>
      <c r="AC652" s="198"/>
      <c r="AD652" s="198"/>
      <c r="AE652" s="110"/>
      <c r="AF652" s="110"/>
      <c r="AH652" s="207"/>
      <c r="AI652" s="110"/>
      <c r="AJ652" s="110"/>
      <c r="AL652" s="110"/>
      <c r="AM652" s="141"/>
      <c r="AN652" s="141"/>
    </row>
    <row r="653" spans="3:40" x14ac:dyDescent="0.3">
      <c r="C653" s="99"/>
      <c r="D653" s="99"/>
      <c r="E653" s="99"/>
      <c r="F653" s="110"/>
      <c r="H653" s="110"/>
      <c r="I653" s="110"/>
      <c r="J653" s="198"/>
      <c r="K653" s="198"/>
      <c r="L653" s="110"/>
      <c r="M653" s="110"/>
      <c r="N653" s="198"/>
      <c r="O653" s="198"/>
      <c r="P653" s="110"/>
      <c r="Q653" s="110"/>
      <c r="R653" s="110"/>
      <c r="T653" s="99"/>
      <c r="U653" s="99"/>
      <c r="V653" s="110"/>
      <c r="Y653" s="110"/>
      <c r="Z653" s="198"/>
      <c r="AA653" s="110"/>
      <c r="AB653" s="110"/>
      <c r="AC653" s="198"/>
      <c r="AD653" s="198"/>
      <c r="AE653" s="110"/>
      <c r="AF653" s="110"/>
      <c r="AH653" s="207"/>
      <c r="AI653" s="110"/>
      <c r="AJ653" s="110"/>
      <c r="AL653" s="110"/>
      <c r="AM653" s="141"/>
      <c r="AN653" s="141"/>
    </row>
    <row r="654" spans="3:40" x14ac:dyDescent="0.3">
      <c r="C654" s="99"/>
      <c r="D654" s="99"/>
      <c r="E654" s="99"/>
      <c r="F654" s="110"/>
      <c r="H654" s="110"/>
      <c r="I654" s="110"/>
      <c r="J654" s="198"/>
      <c r="K654" s="198"/>
      <c r="L654" s="110"/>
      <c r="M654" s="110"/>
      <c r="N654" s="198"/>
      <c r="O654" s="198"/>
      <c r="P654" s="110"/>
      <c r="Q654" s="110"/>
      <c r="R654" s="110"/>
      <c r="T654" s="99"/>
      <c r="U654" s="99"/>
      <c r="V654" s="110"/>
      <c r="Y654" s="110"/>
      <c r="Z654" s="198"/>
      <c r="AA654" s="110"/>
      <c r="AB654" s="110"/>
      <c r="AC654" s="198"/>
      <c r="AD654" s="198"/>
      <c r="AE654" s="110"/>
      <c r="AF654" s="110"/>
      <c r="AH654" s="207"/>
      <c r="AI654" s="110"/>
      <c r="AJ654" s="110"/>
      <c r="AL654" s="110"/>
      <c r="AM654" s="141"/>
      <c r="AN654" s="141"/>
    </row>
    <row r="655" spans="3:40" x14ac:dyDescent="0.3">
      <c r="C655" s="99"/>
      <c r="D655" s="99"/>
      <c r="E655" s="99"/>
      <c r="F655" s="110"/>
      <c r="H655" s="110"/>
      <c r="I655" s="110"/>
      <c r="J655" s="198"/>
      <c r="K655" s="198"/>
      <c r="L655" s="110"/>
      <c r="M655" s="110"/>
      <c r="N655" s="198"/>
      <c r="O655" s="198"/>
      <c r="P655" s="110"/>
      <c r="Q655" s="110"/>
      <c r="R655" s="110"/>
      <c r="T655" s="99"/>
      <c r="U655" s="99"/>
      <c r="V655" s="110"/>
      <c r="Y655" s="110"/>
      <c r="Z655" s="198"/>
      <c r="AA655" s="110"/>
      <c r="AB655" s="110"/>
      <c r="AC655" s="198"/>
      <c r="AD655" s="198"/>
      <c r="AE655" s="110"/>
      <c r="AF655" s="110"/>
      <c r="AH655" s="207"/>
      <c r="AI655" s="110"/>
      <c r="AJ655" s="110"/>
      <c r="AL655" s="110"/>
      <c r="AM655" s="141"/>
      <c r="AN655" s="141"/>
    </row>
    <row r="656" spans="3:40" x14ac:dyDescent="0.3">
      <c r="F656" s="110"/>
      <c r="H656" s="192"/>
      <c r="I656" s="192"/>
      <c r="J656" s="217"/>
      <c r="K656" s="217"/>
      <c r="L656" s="192"/>
      <c r="M656" s="192"/>
      <c r="N656" s="192"/>
      <c r="O656" s="192"/>
      <c r="P656" s="192"/>
      <c r="Q656" s="192"/>
      <c r="R656" s="192"/>
      <c r="V656" s="192"/>
      <c r="Y656" s="192"/>
      <c r="Z656" s="217"/>
      <c r="AA656" s="192"/>
      <c r="AB656" s="192"/>
      <c r="AC656" s="192"/>
      <c r="AD656" s="192"/>
      <c r="AE656" s="192"/>
      <c r="AF656" s="192"/>
      <c r="AI656" s="192"/>
      <c r="AJ656" s="192"/>
      <c r="AK656" s="194"/>
      <c r="AL656" s="192"/>
      <c r="AM656" s="141"/>
      <c r="AN656" s="141"/>
    </row>
    <row r="657" spans="3:40" x14ac:dyDescent="0.3">
      <c r="C657" s="99"/>
      <c r="F657" s="192"/>
      <c r="H657" s="110"/>
      <c r="I657" s="110"/>
      <c r="J657" s="198"/>
      <c r="K657" s="198"/>
      <c r="L657" s="110"/>
      <c r="M657" s="110"/>
      <c r="N657" s="198"/>
      <c r="O657" s="198"/>
      <c r="P657" s="110"/>
      <c r="Q657" s="110"/>
      <c r="R657" s="110"/>
      <c r="T657" s="99"/>
      <c r="V657" s="110"/>
      <c r="Y657" s="110"/>
      <c r="Z657" s="198"/>
      <c r="AA657" s="110"/>
      <c r="AB657" s="110"/>
      <c r="AC657" s="198"/>
      <c r="AD657" s="198"/>
      <c r="AE657" s="110"/>
      <c r="AF657" s="110"/>
      <c r="AH657" s="207"/>
      <c r="AI657" s="110"/>
      <c r="AJ657" s="110"/>
      <c r="AL657" s="110"/>
      <c r="AM657" s="141"/>
      <c r="AN657" s="141"/>
    </row>
    <row r="658" spans="3:40" x14ac:dyDescent="0.3">
      <c r="F658" s="110"/>
      <c r="V658" s="110"/>
      <c r="Y658" s="110"/>
      <c r="Z658" s="217"/>
      <c r="AA658" s="110"/>
      <c r="AB658" s="110"/>
      <c r="AC658" s="110"/>
      <c r="AD658" s="110"/>
      <c r="AE658" s="110"/>
      <c r="AF658" s="110"/>
      <c r="AI658" s="110"/>
      <c r="AJ658" s="110"/>
      <c r="AL658" s="110"/>
      <c r="AM658" s="141"/>
      <c r="AN658" s="141"/>
    </row>
    <row r="659" spans="3:40" x14ac:dyDescent="0.3">
      <c r="C659" s="99"/>
      <c r="D659" s="99"/>
      <c r="E659" s="99"/>
      <c r="L659" s="110"/>
      <c r="M659" s="110"/>
      <c r="N659" s="198"/>
      <c r="O659" s="198"/>
      <c r="R659" s="110"/>
      <c r="T659" s="99"/>
      <c r="U659" s="99"/>
      <c r="AA659" s="110"/>
      <c r="AB659" s="110"/>
      <c r="AC659" s="198"/>
      <c r="AD659" s="198"/>
      <c r="AE659" s="110"/>
      <c r="AF659" s="110"/>
      <c r="AH659" s="207"/>
      <c r="AL659" s="110"/>
      <c r="AM659" s="141"/>
      <c r="AN659" s="141"/>
    </row>
    <row r="660" spans="3:40" x14ac:dyDescent="0.3">
      <c r="D660" s="99"/>
      <c r="E660" s="99"/>
      <c r="H660" s="172"/>
      <c r="I660" s="172"/>
      <c r="J660" s="198"/>
      <c r="K660" s="198"/>
      <c r="L660" s="110"/>
      <c r="M660" s="110"/>
      <c r="N660" s="198"/>
      <c r="O660" s="198"/>
      <c r="P660" s="172"/>
      <c r="Q660" s="172"/>
      <c r="R660" s="110"/>
      <c r="U660" s="99"/>
      <c r="V660" s="110"/>
      <c r="Y660" s="110"/>
      <c r="Z660" s="198"/>
      <c r="AA660" s="110"/>
      <c r="AB660" s="110"/>
      <c r="AC660" s="198"/>
      <c r="AD660" s="198"/>
      <c r="AE660" s="110"/>
      <c r="AF660" s="110"/>
      <c r="AH660" s="207"/>
      <c r="AI660" s="110"/>
      <c r="AJ660" s="110"/>
      <c r="AL660" s="110"/>
      <c r="AM660" s="141"/>
      <c r="AN660" s="141"/>
    </row>
    <row r="661" spans="3:40" x14ac:dyDescent="0.3">
      <c r="F661" s="172"/>
      <c r="H661" s="192"/>
      <c r="I661" s="192"/>
      <c r="J661" s="217"/>
      <c r="K661" s="217"/>
      <c r="L661" s="192"/>
      <c r="M661" s="192"/>
      <c r="N661" s="192"/>
      <c r="O661" s="192"/>
      <c r="P661" s="192"/>
      <c r="Q661" s="192"/>
      <c r="R661" s="192"/>
      <c r="V661" s="192"/>
      <c r="Y661" s="192"/>
      <c r="Z661" s="217"/>
      <c r="AA661" s="192"/>
      <c r="AB661" s="192"/>
      <c r="AC661" s="192"/>
      <c r="AD661" s="192"/>
      <c r="AE661" s="192"/>
      <c r="AF661" s="192"/>
      <c r="AI661" s="192"/>
      <c r="AJ661" s="192"/>
      <c r="AK661" s="194"/>
      <c r="AL661" s="192"/>
      <c r="AM661" s="141"/>
      <c r="AN661" s="141"/>
    </row>
    <row r="662" spans="3:40" x14ac:dyDescent="0.3">
      <c r="C662" s="99"/>
      <c r="F662" s="192"/>
      <c r="H662" s="110"/>
      <c r="I662" s="110"/>
      <c r="J662" s="198"/>
      <c r="K662" s="198"/>
      <c r="L662" s="110"/>
      <c r="M662" s="110"/>
      <c r="N662" s="198"/>
      <c r="O662" s="198"/>
      <c r="P662" s="110"/>
      <c r="Q662" s="110"/>
      <c r="R662" s="110"/>
      <c r="T662" s="99"/>
      <c r="V662" s="110"/>
      <c r="Y662" s="110"/>
      <c r="Z662" s="198"/>
      <c r="AA662" s="110"/>
      <c r="AB662" s="110"/>
      <c r="AC662" s="198"/>
      <c r="AD662" s="198"/>
      <c r="AE662" s="110"/>
      <c r="AF662" s="110"/>
      <c r="AH662" s="207"/>
      <c r="AI662" s="110"/>
      <c r="AJ662" s="110"/>
      <c r="AL662" s="110"/>
      <c r="AM662" s="141"/>
      <c r="AN662" s="141"/>
    </row>
    <row r="663" spans="3:40" x14ac:dyDescent="0.3">
      <c r="F663" s="110"/>
      <c r="H663" s="110"/>
      <c r="I663" s="110"/>
      <c r="J663" s="198"/>
      <c r="K663" s="198"/>
      <c r="L663" s="110"/>
      <c r="M663" s="110"/>
      <c r="N663" s="198"/>
      <c r="O663" s="198"/>
      <c r="P663" s="110"/>
      <c r="Q663" s="110"/>
      <c r="R663" s="110"/>
      <c r="V663" s="110"/>
      <c r="Y663" s="110"/>
      <c r="Z663" s="198"/>
      <c r="AA663" s="110"/>
      <c r="AB663" s="110"/>
      <c r="AC663" s="198"/>
      <c r="AD663" s="198"/>
      <c r="AH663" s="207"/>
      <c r="AI663" s="110"/>
      <c r="AJ663" s="110"/>
      <c r="AL663" s="110"/>
      <c r="AM663" s="141"/>
      <c r="AN663" s="141"/>
    </row>
    <row r="664" spans="3:40" x14ac:dyDescent="0.3">
      <c r="D664" s="99"/>
      <c r="E664" s="99"/>
      <c r="F664" s="110"/>
      <c r="H664" s="110"/>
      <c r="I664" s="110"/>
      <c r="J664" s="198"/>
      <c r="K664" s="198"/>
      <c r="L664" s="172"/>
      <c r="M664" s="172"/>
      <c r="N664" s="198"/>
      <c r="O664" s="198"/>
      <c r="P664" s="110"/>
      <c r="Q664" s="110"/>
      <c r="R664" s="110"/>
      <c r="U664" s="99"/>
      <c r="V664" s="110"/>
      <c r="Y664" s="110"/>
      <c r="Z664" s="198"/>
      <c r="AA664" s="172"/>
      <c r="AB664" s="172"/>
      <c r="AC664" s="198"/>
      <c r="AD664" s="198"/>
      <c r="AE664" s="110"/>
      <c r="AF664" s="110"/>
      <c r="AH664" s="207"/>
      <c r="AI664" s="110"/>
      <c r="AJ664" s="110"/>
      <c r="AL664" s="110"/>
      <c r="AM664" s="141"/>
      <c r="AN664" s="141"/>
    </row>
    <row r="665" spans="3:40" x14ac:dyDescent="0.3">
      <c r="D665" s="99"/>
      <c r="E665" s="99"/>
      <c r="F665" s="110"/>
      <c r="H665" s="110"/>
      <c r="I665" s="110"/>
      <c r="J665" s="198"/>
      <c r="K665" s="198"/>
      <c r="L665" s="172"/>
      <c r="M665" s="172"/>
      <c r="N665" s="198"/>
      <c r="O665" s="198"/>
      <c r="P665" s="110"/>
      <c r="Q665" s="110"/>
      <c r="R665" s="110"/>
      <c r="U665" s="99"/>
      <c r="V665" s="110"/>
      <c r="Y665" s="110"/>
      <c r="Z665" s="198"/>
      <c r="AA665" s="172"/>
      <c r="AB665" s="172"/>
      <c r="AC665" s="198"/>
      <c r="AD665" s="198"/>
      <c r="AE665" s="110"/>
      <c r="AF665" s="110"/>
      <c r="AH665" s="207"/>
      <c r="AI665" s="110"/>
      <c r="AJ665" s="110"/>
      <c r="AL665" s="110"/>
      <c r="AM665" s="141"/>
      <c r="AN665" s="141"/>
    </row>
    <row r="666" spans="3:40" x14ac:dyDescent="0.3">
      <c r="D666" s="99"/>
      <c r="E666" s="99"/>
      <c r="F666" s="110"/>
      <c r="H666" s="110"/>
      <c r="I666" s="110"/>
      <c r="J666" s="198"/>
      <c r="K666" s="198"/>
      <c r="L666" s="172"/>
      <c r="M666" s="172"/>
      <c r="N666" s="198"/>
      <c r="O666" s="198"/>
      <c r="P666" s="110"/>
      <c r="Q666" s="110"/>
      <c r="R666" s="110"/>
      <c r="U666" s="99"/>
      <c r="V666" s="110"/>
      <c r="Y666" s="110"/>
      <c r="Z666" s="198"/>
      <c r="AA666" s="172"/>
      <c r="AB666" s="172"/>
      <c r="AC666" s="198"/>
      <c r="AD666" s="198"/>
      <c r="AE666" s="110"/>
      <c r="AF666" s="110"/>
      <c r="AH666" s="207"/>
      <c r="AI666" s="110"/>
      <c r="AJ666" s="110"/>
      <c r="AL666" s="110"/>
      <c r="AM666" s="141"/>
      <c r="AN666" s="141"/>
    </row>
    <row r="667" spans="3:40" x14ac:dyDescent="0.3">
      <c r="F667" s="110"/>
      <c r="H667" s="192"/>
      <c r="I667" s="192"/>
      <c r="J667" s="217"/>
      <c r="K667" s="217"/>
      <c r="L667" s="192"/>
      <c r="M667" s="192"/>
      <c r="N667" s="192"/>
      <c r="O667" s="192"/>
      <c r="P667" s="192"/>
      <c r="Q667" s="192"/>
      <c r="R667" s="192"/>
      <c r="V667" s="192"/>
      <c r="Y667" s="192"/>
      <c r="Z667" s="217"/>
      <c r="AA667" s="192"/>
      <c r="AB667" s="192"/>
      <c r="AC667" s="192"/>
      <c r="AD667" s="192"/>
      <c r="AE667" s="192"/>
      <c r="AF667" s="192"/>
      <c r="AI667" s="192"/>
      <c r="AJ667" s="192"/>
      <c r="AK667" s="194"/>
      <c r="AL667" s="192"/>
      <c r="AM667" s="141"/>
      <c r="AN667" s="141"/>
    </row>
    <row r="668" spans="3:40" x14ac:dyDescent="0.3">
      <c r="C668" s="99"/>
      <c r="F668" s="192"/>
      <c r="H668" s="110"/>
      <c r="I668" s="110"/>
      <c r="J668" s="198"/>
      <c r="K668" s="198"/>
      <c r="L668" s="110"/>
      <c r="M668" s="110"/>
      <c r="N668" s="198"/>
      <c r="O668" s="198"/>
      <c r="P668" s="110"/>
      <c r="Q668" s="110"/>
      <c r="R668" s="110"/>
      <c r="T668" s="99"/>
      <c r="V668" s="110"/>
      <c r="Y668" s="110"/>
      <c r="Z668" s="198"/>
      <c r="AA668" s="110"/>
      <c r="AB668" s="110"/>
      <c r="AC668" s="198"/>
      <c r="AD668" s="198"/>
      <c r="AE668" s="110"/>
      <c r="AF668" s="110"/>
      <c r="AH668" s="207"/>
      <c r="AI668" s="110"/>
      <c r="AJ668" s="110"/>
      <c r="AL668" s="110"/>
      <c r="AM668" s="141"/>
      <c r="AN668" s="141"/>
    </row>
    <row r="669" spans="3:40" x14ac:dyDescent="0.3">
      <c r="F669" s="110"/>
      <c r="H669" s="110"/>
      <c r="I669" s="110"/>
      <c r="J669" s="198"/>
      <c r="K669" s="198"/>
      <c r="L669" s="110"/>
      <c r="M669" s="110"/>
      <c r="N669" s="198"/>
      <c r="O669" s="198"/>
      <c r="P669" s="110"/>
      <c r="Q669" s="110"/>
      <c r="R669" s="110"/>
      <c r="V669" s="110"/>
      <c r="Y669" s="110"/>
      <c r="Z669" s="198"/>
      <c r="AA669" s="110"/>
      <c r="AB669" s="110"/>
      <c r="AC669" s="198"/>
      <c r="AD669" s="198"/>
      <c r="AH669" s="207"/>
      <c r="AI669" s="110"/>
      <c r="AJ669" s="110"/>
      <c r="AL669" s="110"/>
      <c r="AM669" s="141"/>
      <c r="AN669" s="141"/>
    </row>
    <row r="670" spans="3:40" x14ac:dyDescent="0.3">
      <c r="C670" s="99"/>
      <c r="F670" s="110"/>
      <c r="H670" s="110"/>
      <c r="I670" s="110"/>
      <c r="J670" s="198"/>
      <c r="K670" s="198"/>
      <c r="L670" s="110"/>
      <c r="M670" s="110"/>
      <c r="N670" s="198"/>
      <c r="O670" s="198"/>
      <c r="P670" s="110"/>
      <c r="Q670" s="110"/>
      <c r="R670" s="110"/>
      <c r="T670" s="99"/>
      <c r="V670" s="110"/>
      <c r="Y670" s="110"/>
      <c r="Z670" s="198"/>
      <c r="AA670" s="110"/>
      <c r="AB670" s="110"/>
      <c r="AC670" s="198"/>
      <c r="AD670" s="198"/>
      <c r="AE670" s="110"/>
      <c r="AF670" s="110"/>
      <c r="AH670" s="207"/>
      <c r="AI670" s="110"/>
      <c r="AJ670" s="110"/>
      <c r="AL670" s="110"/>
      <c r="AM670" s="141"/>
      <c r="AN670" s="141"/>
    </row>
    <row r="671" spans="3:40" x14ac:dyDescent="0.3">
      <c r="F671" s="110"/>
      <c r="H671" s="192"/>
      <c r="I671" s="192"/>
      <c r="J671" s="217"/>
      <c r="K671" s="217"/>
      <c r="L671" s="192"/>
      <c r="M671" s="192"/>
      <c r="N671" s="192"/>
      <c r="O671" s="192"/>
      <c r="P671" s="192"/>
      <c r="Q671" s="192"/>
      <c r="R671" s="192"/>
      <c r="V671" s="192"/>
      <c r="Y671" s="192"/>
      <c r="Z671" s="217"/>
      <c r="AA671" s="192"/>
      <c r="AB671" s="192"/>
      <c r="AC671" s="192"/>
      <c r="AD671" s="192"/>
      <c r="AE671" s="192"/>
      <c r="AF671" s="192"/>
      <c r="AI671" s="192"/>
      <c r="AJ671" s="192"/>
      <c r="AK671" s="194"/>
      <c r="AL671" s="192"/>
    </row>
    <row r="673" spans="1:20" x14ac:dyDescent="0.3">
      <c r="C673" s="99"/>
      <c r="F673" s="192"/>
      <c r="L673" s="110"/>
      <c r="M673" s="110"/>
      <c r="P673" s="110"/>
      <c r="Q673" s="110"/>
      <c r="R673" s="110"/>
      <c r="T673" s="99"/>
    </row>
    <row r="674" spans="1:20" x14ac:dyDescent="0.3">
      <c r="A674" s="99"/>
      <c r="L674" s="110"/>
      <c r="M674" s="110"/>
      <c r="P674" s="110"/>
      <c r="Q674" s="110"/>
      <c r="R674" s="110"/>
    </row>
    <row r="675" spans="1:20" x14ac:dyDescent="0.3">
      <c r="L675" s="110"/>
      <c r="M675" s="110"/>
      <c r="P675" s="110"/>
      <c r="Q675" s="110"/>
      <c r="R675" s="110"/>
    </row>
    <row r="676" spans="1:20" x14ac:dyDescent="0.3">
      <c r="L676" s="110"/>
      <c r="M676" s="110"/>
      <c r="P676" s="110"/>
      <c r="Q676" s="110"/>
      <c r="R676" s="110"/>
    </row>
    <row r="677" spans="1:20" x14ac:dyDescent="0.3">
      <c r="L677" s="110"/>
      <c r="M677" s="110"/>
      <c r="P677" s="110"/>
      <c r="Q677" s="110"/>
      <c r="R677" s="110"/>
    </row>
    <row r="678" spans="1:20" x14ac:dyDescent="0.3">
      <c r="L678" s="110"/>
      <c r="M678" s="110"/>
      <c r="P678" s="110"/>
      <c r="Q678" s="110"/>
      <c r="R678" s="110"/>
    </row>
    <row r="679" spans="1:20" x14ac:dyDescent="0.3">
      <c r="L679" s="110"/>
      <c r="M679" s="110"/>
      <c r="P679" s="110"/>
      <c r="Q679" s="110"/>
      <c r="R679" s="110"/>
    </row>
    <row r="712" spans="49:49" x14ac:dyDescent="0.3">
      <c r="AW712" s="110"/>
    </row>
    <row r="713" spans="49:49" x14ac:dyDescent="0.3">
      <c r="AW713" s="110"/>
    </row>
    <row r="714" spans="49:49" x14ac:dyDescent="0.3">
      <c r="AW714" s="110"/>
    </row>
    <row r="715" spans="49:49" x14ac:dyDescent="0.3">
      <c r="AW715" s="110"/>
    </row>
    <row r="716" spans="49:49" x14ac:dyDescent="0.3">
      <c r="AW716" s="110"/>
    </row>
    <row r="717" spans="49:49" x14ac:dyDescent="0.3">
      <c r="AW717" s="110"/>
    </row>
    <row r="720" spans="49:49" x14ac:dyDescent="0.3">
      <c r="AW720" s="110"/>
    </row>
    <row r="721" spans="49:49" x14ac:dyDescent="0.3">
      <c r="AW721" s="110"/>
    </row>
    <row r="722" spans="49:49" x14ac:dyDescent="0.3">
      <c r="AW722" s="110"/>
    </row>
    <row r="723" spans="49:49" x14ac:dyDescent="0.3">
      <c r="AW723" s="110"/>
    </row>
    <row r="724" spans="49:49" x14ac:dyDescent="0.3">
      <c r="AW724" s="110"/>
    </row>
    <row r="725" spans="49:49" x14ac:dyDescent="0.3">
      <c r="AW725" s="110"/>
    </row>
    <row r="726" spans="49:49" x14ac:dyDescent="0.3">
      <c r="AW726" s="110"/>
    </row>
    <row r="727" spans="49:49" x14ac:dyDescent="0.3">
      <c r="AW727" s="110"/>
    </row>
    <row r="730" spans="49:49" x14ac:dyDescent="0.3">
      <c r="AW730" s="110"/>
    </row>
    <row r="731" spans="49:49" x14ac:dyDescent="0.3">
      <c r="AW731" s="110"/>
    </row>
    <row r="734" spans="49:49" x14ac:dyDescent="0.3">
      <c r="AW734" s="110"/>
    </row>
    <row r="735" spans="49:49" x14ac:dyDescent="0.3">
      <c r="AW735" s="110"/>
    </row>
    <row r="736" spans="49:49" x14ac:dyDescent="0.3">
      <c r="AW736" s="110"/>
    </row>
    <row r="737" spans="45:57" x14ac:dyDescent="0.3">
      <c r="AW737" s="110"/>
    </row>
    <row r="745" spans="45:57" x14ac:dyDescent="0.3">
      <c r="AY745" s="99"/>
    </row>
    <row r="746" spans="45:57" x14ac:dyDescent="0.3">
      <c r="AY746" s="99"/>
    </row>
    <row r="747" spans="45:57" x14ac:dyDescent="0.3">
      <c r="BD747" s="99"/>
    </row>
    <row r="748" spans="45:57" x14ac:dyDescent="0.3">
      <c r="BD748" s="99"/>
    </row>
    <row r="749" spans="45:57" x14ac:dyDescent="0.3">
      <c r="AS749" s="99"/>
      <c r="BD749" s="99"/>
    </row>
    <row r="751" spans="45:57" x14ac:dyDescent="0.3">
      <c r="AS751" s="101"/>
      <c r="AT751" s="101"/>
      <c r="AU751" s="101"/>
      <c r="AV751" s="101"/>
      <c r="AW751" s="101"/>
      <c r="AX751" s="101"/>
      <c r="AY751" s="101"/>
      <c r="AZ751" s="101"/>
      <c r="BA751" s="101"/>
      <c r="BB751" s="101"/>
      <c r="BC751" s="101"/>
      <c r="BD751" s="101"/>
      <c r="BE751" s="101"/>
    </row>
    <row r="752" spans="45:57" x14ac:dyDescent="0.3">
      <c r="AX752" s="99"/>
    </row>
    <row r="753" spans="45:69" x14ac:dyDescent="0.3">
      <c r="AX753" s="101"/>
      <c r="AY753" s="101"/>
      <c r="AZ753" s="101"/>
      <c r="BA753" s="101"/>
      <c r="BC753" s="102"/>
      <c r="BD753" s="102"/>
    </row>
    <row r="754" spans="45:69" x14ac:dyDescent="0.3">
      <c r="AV754" s="102"/>
      <c r="AW754" s="102"/>
      <c r="AZ754" s="102"/>
      <c r="BA754" s="102"/>
      <c r="BC754" s="102"/>
      <c r="BD754" s="102"/>
      <c r="BE754" s="102"/>
      <c r="BG754" s="101"/>
      <c r="BH754" s="99"/>
      <c r="BK754" s="101"/>
      <c r="BM754" s="101"/>
      <c r="BN754" s="99"/>
      <c r="BQ754" s="101"/>
    </row>
    <row r="755" spans="45:69" x14ac:dyDescent="0.3"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H755" s="102"/>
      <c r="BI755" s="102"/>
      <c r="BJ755" s="102"/>
      <c r="BN755" s="102"/>
      <c r="BO755" s="102"/>
      <c r="BP755" s="102"/>
    </row>
    <row r="756" spans="45:69" x14ac:dyDescent="0.3">
      <c r="AS756" s="102"/>
      <c r="AU756" s="99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G756" s="102"/>
      <c r="BH756" s="102"/>
      <c r="BI756" s="102"/>
      <c r="BJ756" s="102"/>
      <c r="BK756" s="102"/>
      <c r="BM756" s="102"/>
      <c r="BN756" s="102"/>
      <c r="BO756" s="102"/>
      <c r="BP756" s="102"/>
      <c r="BQ756" s="102"/>
    </row>
    <row r="757" spans="45:69" x14ac:dyDescent="0.3">
      <c r="AS757" s="102"/>
      <c r="AU757" s="99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G757" s="102"/>
      <c r="BH757" s="102"/>
      <c r="BI757" s="102"/>
      <c r="BJ757" s="102"/>
      <c r="BK757" s="102"/>
      <c r="BM757" s="102"/>
      <c r="BN757" s="102"/>
      <c r="BO757" s="102"/>
      <c r="BP757" s="102"/>
      <c r="BQ757" s="102"/>
    </row>
    <row r="758" spans="45:69" x14ac:dyDescent="0.3">
      <c r="AS758" s="101"/>
      <c r="AT758" s="101"/>
      <c r="AU758" s="101"/>
      <c r="AV758" s="101"/>
      <c r="AW758" s="101"/>
      <c r="AX758" s="101"/>
      <c r="AY758" s="101"/>
      <c r="AZ758" s="101"/>
      <c r="BA758" s="101"/>
      <c r="BB758" s="101"/>
      <c r="BC758" s="101"/>
      <c r="BD758" s="101"/>
      <c r="BE758" s="101"/>
      <c r="BG758" s="101"/>
      <c r="BH758" s="101"/>
      <c r="BI758" s="101"/>
      <c r="BJ758" s="101"/>
      <c r="BK758" s="101"/>
      <c r="BM758" s="101"/>
      <c r="BN758" s="101"/>
      <c r="BO758" s="101"/>
      <c r="BP758" s="101"/>
      <c r="BQ758" s="101"/>
    </row>
    <row r="759" spans="45:69" x14ac:dyDescent="0.3"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</row>
    <row r="760" spans="45:69" x14ac:dyDescent="0.3">
      <c r="AU760" s="99"/>
      <c r="AV760" s="102"/>
      <c r="AY760" s="198"/>
    </row>
    <row r="761" spans="45:69" x14ac:dyDescent="0.3">
      <c r="AV761" s="102"/>
      <c r="AW761" s="110"/>
      <c r="AX761" s="163"/>
      <c r="AY761" s="163"/>
      <c r="AZ761" s="163"/>
      <c r="BA761" s="141"/>
      <c r="BB761" s="163"/>
      <c r="BC761" s="198"/>
      <c r="BD761" s="198"/>
      <c r="BE761" s="141"/>
      <c r="BG761" s="163"/>
      <c r="BH761" s="163"/>
      <c r="BI761" s="163"/>
      <c r="BJ761" s="163"/>
      <c r="BK761" s="163"/>
      <c r="BM761" s="163"/>
      <c r="BN761" s="163"/>
      <c r="BO761" s="163"/>
      <c r="BP761" s="163"/>
      <c r="BQ761" s="163"/>
    </row>
    <row r="762" spans="45:69" x14ac:dyDescent="0.3">
      <c r="AV762" s="102"/>
      <c r="AW762" s="110"/>
      <c r="AX762" s="163"/>
      <c r="AY762" s="163"/>
      <c r="AZ762" s="163"/>
      <c r="BA762" s="141"/>
      <c r="BB762" s="163"/>
      <c r="BC762" s="198"/>
      <c r="BD762" s="198"/>
      <c r="BE762" s="141"/>
      <c r="BG762" s="163"/>
      <c r="BH762" s="163"/>
      <c r="BI762" s="163"/>
      <c r="BJ762" s="163"/>
      <c r="BK762" s="163"/>
      <c r="BM762" s="163"/>
      <c r="BN762" s="163"/>
      <c r="BO762" s="163"/>
      <c r="BP762" s="163"/>
      <c r="BQ762" s="163"/>
    </row>
    <row r="763" spans="45:69" x14ac:dyDescent="0.3">
      <c r="AV763" s="102"/>
      <c r="AW763" s="110"/>
      <c r="AX763" s="163"/>
      <c r="AY763" s="163"/>
      <c r="AZ763" s="163"/>
      <c r="BA763" s="141"/>
      <c r="BB763" s="163"/>
      <c r="BC763" s="198"/>
      <c r="BD763" s="198"/>
      <c r="BE763" s="141"/>
      <c r="BG763" s="163"/>
      <c r="BH763" s="163"/>
      <c r="BI763" s="163"/>
      <c r="BJ763" s="163"/>
      <c r="BK763" s="163"/>
      <c r="BM763" s="163"/>
      <c r="BN763" s="163"/>
      <c r="BO763" s="163"/>
      <c r="BP763" s="163"/>
      <c r="BQ763" s="163"/>
    </row>
    <row r="764" spans="45:69" x14ac:dyDescent="0.3">
      <c r="AV764" s="102"/>
      <c r="AW764" s="110"/>
      <c r="AX764" s="163"/>
      <c r="AY764" s="163"/>
      <c r="AZ764" s="163"/>
      <c r="BA764" s="141"/>
      <c r="BB764" s="163"/>
      <c r="BC764" s="198"/>
      <c r="BD764" s="198"/>
      <c r="BE764" s="141"/>
      <c r="BG764" s="163"/>
      <c r="BH764" s="163"/>
      <c r="BI764" s="163"/>
      <c r="BJ764" s="163"/>
      <c r="BK764" s="163"/>
      <c r="BM764" s="163"/>
      <c r="BN764" s="163"/>
      <c r="BO764" s="163"/>
      <c r="BP764" s="163"/>
      <c r="BQ764" s="163"/>
    </row>
    <row r="765" spans="45:69" x14ac:dyDescent="0.3">
      <c r="AV765" s="102"/>
      <c r="AW765" s="110"/>
      <c r="AX765" s="163"/>
      <c r="AY765" s="163"/>
      <c r="AZ765" s="163"/>
      <c r="BA765" s="141"/>
      <c r="BB765" s="163"/>
      <c r="BC765" s="198"/>
      <c r="BD765" s="198"/>
      <c r="BE765" s="141"/>
      <c r="BG765" s="163"/>
      <c r="BH765" s="163"/>
      <c r="BI765" s="163"/>
      <c r="BJ765" s="163"/>
      <c r="BK765" s="163"/>
      <c r="BM765" s="163"/>
      <c r="BN765" s="163"/>
      <c r="BO765" s="163"/>
      <c r="BP765" s="163"/>
      <c r="BQ765" s="163"/>
    </row>
    <row r="766" spans="45:69" x14ac:dyDescent="0.3">
      <c r="AV766" s="102"/>
      <c r="AW766" s="110"/>
      <c r="AX766" s="163"/>
      <c r="AY766" s="163"/>
      <c r="AZ766" s="163"/>
      <c r="BA766" s="141"/>
      <c r="BB766" s="163"/>
      <c r="BC766" s="198"/>
      <c r="BD766" s="198"/>
      <c r="BE766" s="141"/>
      <c r="BG766" s="163"/>
      <c r="BH766" s="163"/>
      <c r="BI766" s="163"/>
      <c r="BJ766" s="163"/>
      <c r="BK766" s="163"/>
      <c r="BM766" s="163"/>
      <c r="BN766" s="163"/>
      <c r="BO766" s="163"/>
      <c r="BP766" s="163"/>
      <c r="BQ766" s="163"/>
    </row>
    <row r="767" spans="45:69" x14ac:dyDescent="0.3">
      <c r="AV767" s="102"/>
      <c r="AW767" s="110"/>
      <c r="AX767" s="163"/>
      <c r="AY767" s="163"/>
      <c r="AZ767" s="163"/>
      <c r="BA767" s="141"/>
      <c r="BB767" s="163"/>
      <c r="BC767" s="198"/>
      <c r="BD767" s="198"/>
      <c r="BE767" s="141"/>
      <c r="BG767" s="163"/>
      <c r="BH767" s="163"/>
      <c r="BI767" s="163"/>
      <c r="BJ767" s="163"/>
      <c r="BK767" s="163"/>
      <c r="BM767" s="163"/>
      <c r="BN767" s="163"/>
      <c r="BO767" s="163"/>
      <c r="BP767" s="163"/>
      <c r="BQ767" s="163"/>
    </row>
    <row r="768" spans="45:69" x14ac:dyDescent="0.3">
      <c r="AY768" s="198"/>
      <c r="AZ768" s="163"/>
      <c r="BA768" s="141"/>
      <c r="BB768" s="163"/>
      <c r="BC768" s="198"/>
      <c r="BD768" s="198"/>
      <c r="BE768" s="141"/>
      <c r="BK768" s="163"/>
      <c r="BQ768" s="163"/>
    </row>
    <row r="769" spans="45:69" x14ac:dyDescent="0.3">
      <c r="AV769" s="102"/>
      <c r="AY769" s="198"/>
      <c r="AZ769" s="163"/>
      <c r="BA769" s="141"/>
      <c r="BB769" s="163"/>
      <c r="BC769" s="198"/>
      <c r="BD769" s="198"/>
      <c r="BE769" s="141"/>
      <c r="BK769" s="163"/>
      <c r="BQ769" s="163"/>
    </row>
    <row r="770" spans="45:69" x14ac:dyDescent="0.3">
      <c r="AV770" s="102"/>
      <c r="AW770" s="110"/>
      <c r="AX770" s="163"/>
      <c r="AY770" s="163"/>
      <c r="AZ770" s="163"/>
      <c r="BA770" s="141"/>
      <c r="BB770" s="163"/>
      <c r="BC770" s="198"/>
      <c r="BD770" s="198"/>
      <c r="BE770" s="141"/>
      <c r="BG770" s="163"/>
      <c r="BH770" s="163"/>
      <c r="BI770" s="163"/>
      <c r="BJ770" s="163"/>
      <c r="BK770" s="163"/>
      <c r="BM770" s="163"/>
      <c r="BN770" s="163"/>
      <c r="BO770" s="163"/>
      <c r="BP770" s="163"/>
      <c r="BQ770" s="163"/>
    </row>
    <row r="771" spans="45:69" x14ac:dyDescent="0.3">
      <c r="AV771" s="102"/>
      <c r="AW771" s="110"/>
      <c r="AX771" s="163"/>
      <c r="AY771" s="163"/>
      <c r="AZ771" s="163"/>
      <c r="BA771" s="141"/>
      <c r="BB771" s="163"/>
      <c r="BC771" s="198"/>
      <c r="BD771" s="198"/>
      <c r="BE771" s="141"/>
      <c r="BG771" s="163"/>
      <c r="BH771" s="163"/>
      <c r="BI771" s="163"/>
      <c r="BJ771" s="163"/>
      <c r="BK771" s="163"/>
      <c r="BM771" s="163"/>
      <c r="BN771" s="163"/>
      <c r="BO771" s="163"/>
      <c r="BP771" s="163"/>
      <c r="BQ771" s="163"/>
    </row>
    <row r="772" spans="45:69" x14ac:dyDescent="0.3">
      <c r="AV772" s="102"/>
      <c r="AW772" s="110"/>
      <c r="AX772" s="163"/>
      <c r="AY772" s="163"/>
      <c r="AZ772" s="163"/>
      <c r="BA772" s="141"/>
      <c r="BB772" s="163"/>
      <c r="BC772" s="198"/>
      <c r="BD772" s="198"/>
      <c r="BE772" s="141"/>
      <c r="BG772" s="163"/>
      <c r="BH772" s="163"/>
      <c r="BI772" s="163"/>
      <c r="BJ772" s="163"/>
      <c r="BK772" s="163"/>
      <c r="BM772" s="163"/>
      <c r="BN772" s="163"/>
      <c r="BO772" s="163"/>
      <c r="BP772" s="163"/>
      <c r="BQ772" s="163"/>
    </row>
    <row r="773" spans="45:69" x14ac:dyDescent="0.3">
      <c r="AV773" s="102"/>
      <c r="AW773" s="110"/>
      <c r="AX773" s="163"/>
      <c r="AY773" s="163"/>
      <c r="AZ773" s="163"/>
      <c r="BA773" s="141"/>
      <c r="BB773" s="163"/>
      <c r="BC773" s="198"/>
      <c r="BD773" s="198"/>
      <c r="BE773" s="141"/>
      <c r="BG773" s="163"/>
      <c r="BH773" s="163"/>
      <c r="BI773" s="163"/>
      <c r="BJ773" s="163"/>
      <c r="BK773" s="163"/>
      <c r="BM773" s="163"/>
      <c r="BN773" s="163"/>
      <c r="BO773" s="163"/>
      <c r="BP773" s="163"/>
      <c r="BQ773" s="163"/>
    </row>
    <row r="774" spans="45:69" x14ac:dyDescent="0.3">
      <c r="AV774" s="102"/>
      <c r="AW774" s="110"/>
      <c r="AX774" s="163"/>
      <c r="AY774" s="163"/>
      <c r="AZ774" s="163"/>
      <c r="BA774" s="141"/>
      <c r="BB774" s="163"/>
      <c r="BC774" s="198"/>
      <c r="BD774" s="198"/>
      <c r="BE774" s="141"/>
      <c r="BG774" s="163"/>
      <c r="BH774" s="163"/>
      <c r="BI774" s="163"/>
      <c r="BJ774" s="163"/>
      <c r="BK774" s="163"/>
      <c r="BM774" s="163"/>
      <c r="BN774" s="163"/>
      <c r="BO774" s="163"/>
      <c r="BP774" s="163"/>
      <c r="BQ774" s="163"/>
    </row>
    <row r="775" spans="45:69" x14ac:dyDescent="0.3">
      <c r="AV775" s="102"/>
      <c r="AW775" s="110"/>
      <c r="AX775" s="163"/>
      <c r="AY775" s="163"/>
      <c r="AZ775" s="163"/>
      <c r="BA775" s="141"/>
      <c r="BB775" s="163"/>
      <c r="BC775" s="198"/>
      <c r="BD775" s="198"/>
      <c r="BE775" s="141"/>
      <c r="BG775" s="163"/>
      <c r="BH775" s="163"/>
      <c r="BI775" s="163"/>
      <c r="BJ775" s="163"/>
      <c r="BK775" s="163"/>
      <c r="BM775" s="163"/>
      <c r="BN775" s="163"/>
      <c r="BO775" s="163"/>
      <c r="BP775" s="163"/>
      <c r="BQ775" s="163"/>
    </row>
    <row r="776" spans="45:69" x14ac:dyDescent="0.3">
      <c r="AV776" s="102"/>
      <c r="AW776" s="110"/>
      <c r="AX776" s="163"/>
      <c r="AY776" s="163"/>
      <c r="AZ776" s="163"/>
      <c r="BA776" s="141"/>
      <c r="BB776" s="163"/>
      <c r="BC776" s="198"/>
      <c r="BD776" s="198"/>
      <c r="BE776" s="141"/>
      <c r="BG776" s="163"/>
      <c r="BH776" s="163"/>
      <c r="BI776" s="163"/>
      <c r="BJ776" s="163"/>
      <c r="BK776" s="163"/>
      <c r="BM776" s="163"/>
      <c r="BN776" s="163"/>
      <c r="BO776" s="163"/>
      <c r="BP776" s="163"/>
      <c r="BQ776" s="163"/>
    </row>
    <row r="777" spans="45:69" x14ac:dyDescent="0.3">
      <c r="AV777" s="102"/>
      <c r="AW777" s="110"/>
      <c r="AX777" s="163"/>
      <c r="AY777" s="163"/>
      <c r="AZ777" s="163"/>
      <c r="BA777" s="141"/>
      <c r="BB777" s="163"/>
      <c r="BC777" s="198"/>
      <c r="BD777" s="198"/>
      <c r="BE777" s="141"/>
      <c r="BG777" s="163"/>
      <c r="BH777" s="163"/>
      <c r="BI777" s="163"/>
      <c r="BJ777" s="163"/>
      <c r="BK777" s="163"/>
      <c r="BM777" s="163"/>
      <c r="BN777" s="163"/>
      <c r="BO777" s="163"/>
      <c r="BP777" s="163"/>
      <c r="BQ777" s="163"/>
    </row>
    <row r="778" spans="45:69" x14ac:dyDescent="0.3">
      <c r="AY778" s="198"/>
      <c r="AZ778" s="163"/>
      <c r="BA778" s="141"/>
      <c r="BB778" s="163"/>
      <c r="BC778" s="198"/>
      <c r="BD778" s="198"/>
      <c r="BE778" s="141"/>
      <c r="BK778" s="163"/>
      <c r="BQ778" s="163"/>
    </row>
    <row r="779" spans="45:69" x14ac:dyDescent="0.3">
      <c r="AU779" s="99"/>
      <c r="AZ779" s="163"/>
      <c r="BB779" s="163"/>
      <c r="BG779" s="163"/>
      <c r="BH779" s="163"/>
      <c r="BJ779" s="163"/>
      <c r="BK779" s="163"/>
    </row>
    <row r="780" spans="45:69" x14ac:dyDescent="0.3">
      <c r="AZ780" s="163"/>
      <c r="BB780" s="163"/>
    </row>
    <row r="781" spans="45:69" x14ac:dyDescent="0.3">
      <c r="AS781" s="99"/>
      <c r="AZ781" s="163"/>
      <c r="BB781" s="163"/>
      <c r="BI781" s="163"/>
    </row>
    <row r="782" spans="45:69" x14ac:dyDescent="0.3">
      <c r="AZ782" s="163"/>
      <c r="BB782" s="163"/>
    </row>
    <row r="783" spans="45:69" x14ac:dyDescent="0.3">
      <c r="AY783" s="163"/>
      <c r="BB783" s="163"/>
    </row>
    <row r="784" spans="45:69" x14ac:dyDescent="0.3">
      <c r="AY784" s="99"/>
      <c r="AZ784" s="163"/>
      <c r="BB784" s="163"/>
    </row>
    <row r="785" spans="45:75" x14ac:dyDescent="0.3">
      <c r="AY785" s="99"/>
      <c r="AZ785" s="163"/>
      <c r="BB785" s="163"/>
    </row>
    <row r="786" spans="45:75" x14ac:dyDescent="0.3">
      <c r="AZ786" s="163"/>
      <c r="BB786" s="163"/>
      <c r="BD786" s="99"/>
    </row>
    <row r="787" spans="45:75" x14ac:dyDescent="0.3">
      <c r="AZ787" s="163"/>
      <c r="BB787" s="163"/>
      <c r="BD787" s="99"/>
    </row>
    <row r="788" spans="45:75" x14ac:dyDescent="0.3">
      <c r="AS788" s="99"/>
      <c r="AZ788" s="163"/>
      <c r="BB788" s="163"/>
      <c r="BD788" s="99"/>
    </row>
    <row r="789" spans="45:75" x14ac:dyDescent="0.3">
      <c r="AZ789" s="163"/>
      <c r="BB789" s="163"/>
    </row>
    <row r="790" spans="45:75" x14ac:dyDescent="0.3">
      <c r="AS790" s="101"/>
      <c r="AT790" s="101"/>
      <c r="AU790" s="101"/>
      <c r="AV790" s="101"/>
      <c r="AW790" s="101"/>
      <c r="AX790" s="101"/>
      <c r="AY790" s="101"/>
      <c r="AZ790" s="212"/>
      <c r="BA790" s="101"/>
      <c r="BB790" s="212"/>
      <c r="BC790" s="101"/>
      <c r="BD790" s="101"/>
      <c r="BE790" s="101"/>
    </row>
    <row r="791" spans="45:75" x14ac:dyDescent="0.3">
      <c r="AX791" s="99"/>
      <c r="AZ791" s="163"/>
      <c r="BB791" s="163"/>
    </row>
    <row r="792" spans="45:75" x14ac:dyDescent="0.3">
      <c r="AX792" s="101"/>
      <c r="AY792" s="101"/>
      <c r="AZ792" s="212"/>
      <c r="BA792" s="101"/>
      <c r="BB792" s="163"/>
      <c r="BC792" s="102"/>
      <c r="BD792" s="102"/>
    </row>
    <row r="793" spans="45:75" x14ac:dyDescent="0.3">
      <c r="AV793" s="102"/>
      <c r="AW793" s="102"/>
      <c r="AZ793" s="213"/>
      <c r="BA793" s="102"/>
      <c r="BB793" s="163"/>
      <c r="BC793" s="102"/>
      <c r="BD793" s="102"/>
      <c r="BE793" s="102"/>
      <c r="BG793" s="101"/>
      <c r="BH793" s="101"/>
      <c r="BI793" s="99"/>
      <c r="BM793" s="101"/>
      <c r="BN793" s="101"/>
      <c r="BP793" s="101"/>
      <c r="BQ793" s="101"/>
      <c r="BR793" s="99"/>
      <c r="BV793" s="101"/>
      <c r="BW793" s="101"/>
    </row>
    <row r="794" spans="45:75" x14ac:dyDescent="0.3">
      <c r="AV794" s="102"/>
      <c r="AW794" s="102"/>
      <c r="AX794" s="102"/>
      <c r="AY794" s="102"/>
      <c r="AZ794" s="213"/>
      <c r="BA794" s="102"/>
      <c r="BB794" s="213"/>
      <c r="BC794" s="102"/>
      <c r="BD794" s="102"/>
      <c r="BE794" s="102"/>
      <c r="BH794" s="102"/>
      <c r="BI794" s="102"/>
      <c r="BJ794" s="102"/>
      <c r="BK794" s="102"/>
      <c r="BL794" s="102"/>
      <c r="BM794" s="102"/>
      <c r="BQ794" s="102"/>
      <c r="BR794" s="102"/>
      <c r="BS794" s="102"/>
      <c r="BT794" s="102"/>
      <c r="BU794" s="102"/>
      <c r="BV794" s="102"/>
    </row>
    <row r="795" spans="45:75" x14ac:dyDescent="0.3">
      <c r="AS795" s="102"/>
      <c r="AU795" s="99"/>
      <c r="AV795" s="102"/>
      <c r="AW795" s="102"/>
      <c r="AX795" s="102"/>
      <c r="AY795" s="102"/>
      <c r="AZ795" s="213"/>
      <c r="BA795" s="102"/>
      <c r="BB795" s="213"/>
      <c r="BC795" s="102"/>
      <c r="BD795" s="102"/>
      <c r="BE795" s="102"/>
      <c r="BG795" s="102"/>
      <c r="BH795" s="102"/>
      <c r="BI795" s="102"/>
      <c r="BJ795" s="102"/>
      <c r="BK795" s="102"/>
      <c r="BL795" s="102"/>
      <c r="BM795" s="102"/>
      <c r="BN795" s="102"/>
      <c r="BP795" s="102"/>
      <c r="BQ795" s="102"/>
      <c r="BR795" s="102"/>
      <c r="BS795" s="102"/>
      <c r="BT795" s="102"/>
      <c r="BU795" s="102"/>
      <c r="BV795" s="102"/>
      <c r="BW795" s="102"/>
    </row>
    <row r="796" spans="45:75" x14ac:dyDescent="0.3">
      <c r="AS796" s="102"/>
      <c r="AU796" s="99"/>
      <c r="AV796" s="102"/>
      <c r="AW796" s="102"/>
      <c r="AX796" s="102"/>
      <c r="AY796" s="102"/>
      <c r="AZ796" s="213"/>
      <c r="BA796" s="102"/>
      <c r="BB796" s="213"/>
      <c r="BC796" s="102"/>
      <c r="BD796" s="102"/>
      <c r="BE796" s="102"/>
      <c r="BG796" s="102"/>
      <c r="BH796" s="102"/>
      <c r="BI796" s="102"/>
      <c r="BJ796" s="102"/>
      <c r="BK796" s="102"/>
      <c r="BL796" s="102"/>
      <c r="BM796" s="102"/>
      <c r="BN796" s="102"/>
      <c r="BP796" s="102"/>
      <c r="BQ796" s="102"/>
      <c r="BR796" s="102"/>
      <c r="BS796" s="102"/>
      <c r="BT796" s="102"/>
      <c r="BU796" s="102"/>
      <c r="BV796" s="102"/>
      <c r="BW796" s="102"/>
    </row>
    <row r="797" spans="45:75" x14ac:dyDescent="0.3">
      <c r="AS797" s="101"/>
      <c r="AT797" s="101"/>
      <c r="AU797" s="101"/>
      <c r="AV797" s="101"/>
      <c r="AW797" s="101"/>
      <c r="AX797" s="101"/>
      <c r="AY797" s="101"/>
      <c r="AZ797" s="212"/>
      <c r="BA797" s="101"/>
      <c r="BB797" s="212"/>
      <c r="BC797" s="101"/>
      <c r="BD797" s="101"/>
      <c r="BE797" s="101"/>
      <c r="BG797" s="101"/>
      <c r="BH797" s="101"/>
      <c r="BI797" s="101"/>
      <c r="BJ797" s="101"/>
      <c r="BK797" s="101"/>
      <c r="BL797" s="101"/>
      <c r="BM797" s="101"/>
      <c r="BN797" s="101"/>
      <c r="BP797" s="101"/>
      <c r="BQ797" s="101"/>
      <c r="BR797" s="101"/>
      <c r="BS797" s="101"/>
      <c r="BT797" s="101"/>
      <c r="BU797" s="101"/>
      <c r="BV797" s="101"/>
      <c r="BW797" s="101"/>
    </row>
    <row r="798" spans="45:75" x14ac:dyDescent="0.3">
      <c r="AV798" s="102"/>
      <c r="AW798" s="102"/>
      <c r="AX798" s="102"/>
      <c r="AY798" s="102"/>
      <c r="AZ798" s="213"/>
      <c r="BA798" s="102"/>
      <c r="BB798" s="213"/>
      <c r="BC798" s="102"/>
      <c r="BD798" s="102"/>
      <c r="BE798" s="102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</row>
    <row r="799" spans="45:75" x14ac:dyDescent="0.3">
      <c r="AU799" s="99"/>
      <c r="AW799" s="110"/>
      <c r="AX799" s="163"/>
      <c r="AY799" s="163"/>
      <c r="AZ799" s="163"/>
      <c r="BA799" s="207"/>
      <c r="BB799" s="163"/>
      <c r="BC799" s="163"/>
      <c r="BD799" s="163"/>
      <c r="BE799" s="207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</row>
    <row r="800" spans="45:75" x14ac:dyDescent="0.3">
      <c r="AW800" s="110"/>
      <c r="AX800" s="163"/>
      <c r="AY800" s="163"/>
      <c r="AZ800" s="163"/>
      <c r="BA800" s="207"/>
      <c r="BB800" s="163"/>
      <c r="BC800" s="163"/>
      <c r="BD800" s="163"/>
      <c r="BE800" s="207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</row>
    <row r="801" spans="49:75" x14ac:dyDescent="0.3">
      <c r="AW801" s="110"/>
      <c r="AX801" s="163"/>
      <c r="AY801" s="163"/>
      <c r="AZ801" s="163"/>
      <c r="BA801" s="207"/>
      <c r="BB801" s="163"/>
      <c r="BC801" s="163"/>
      <c r="BD801" s="163"/>
      <c r="BE801" s="207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</row>
    <row r="802" spans="49:75" x14ac:dyDescent="0.3">
      <c r="AW802" s="110"/>
      <c r="AX802" s="163"/>
      <c r="AY802" s="163"/>
      <c r="AZ802" s="163"/>
      <c r="BA802" s="207"/>
      <c r="BB802" s="163"/>
      <c r="BC802" s="163"/>
      <c r="BD802" s="163"/>
      <c r="BE802" s="207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</row>
    <row r="803" spans="49:75" x14ac:dyDescent="0.3">
      <c r="AW803" s="110"/>
      <c r="AX803" s="163"/>
      <c r="AY803" s="163"/>
      <c r="AZ803" s="163"/>
      <c r="BA803" s="207"/>
      <c r="BB803" s="163"/>
      <c r="BC803" s="163"/>
      <c r="BD803" s="163"/>
      <c r="BE803" s="207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</row>
    <row r="804" spans="49:75" x14ac:dyDescent="0.3">
      <c r="AW804" s="110"/>
      <c r="AX804" s="163"/>
      <c r="AY804" s="163"/>
      <c r="AZ804" s="163"/>
      <c r="BA804" s="207"/>
      <c r="BB804" s="163"/>
      <c r="BC804" s="163"/>
      <c r="BD804" s="163"/>
      <c r="BE804" s="207"/>
      <c r="BG804" s="163"/>
      <c r="BH804" s="163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</row>
    <row r="805" spans="49:75" x14ac:dyDescent="0.3">
      <c r="AW805" s="110"/>
      <c r="AX805" s="163"/>
      <c r="AY805" s="163"/>
      <c r="AZ805" s="163"/>
      <c r="BA805" s="207"/>
      <c r="BB805" s="163"/>
      <c r="BC805" s="163"/>
      <c r="BD805" s="163"/>
      <c r="BE805" s="207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</row>
    <row r="806" spans="49:75" x14ac:dyDescent="0.3">
      <c r="AW806" s="110"/>
      <c r="AX806" s="163"/>
      <c r="AY806" s="163"/>
      <c r="AZ806" s="163"/>
      <c r="BA806" s="207"/>
      <c r="BB806" s="163"/>
      <c r="BC806" s="163"/>
      <c r="BD806" s="163"/>
      <c r="BE806" s="207"/>
      <c r="BG806" s="163"/>
      <c r="BH806" s="163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</row>
    <row r="807" spans="49:75" x14ac:dyDescent="0.3">
      <c r="AW807" s="110"/>
      <c r="AX807" s="163"/>
      <c r="AY807" s="163"/>
      <c r="AZ807" s="163"/>
      <c r="BA807" s="207"/>
      <c r="BB807" s="163"/>
      <c r="BC807" s="163"/>
      <c r="BD807" s="163"/>
      <c r="BE807" s="207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</row>
    <row r="808" spans="49:75" x14ac:dyDescent="0.3">
      <c r="AW808" s="110"/>
      <c r="AX808" s="163"/>
      <c r="AY808" s="163"/>
      <c r="AZ808" s="163"/>
      <c r="BA808" s="207"/>
      <c r="BB808" s="163"/>
      <c r="BC808" s="163"/>
      <c r="BD808" s="163"/>
      <c r="BE808" s="207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  <c r="BT808" s="163"/>
      <c r="BU808" s="163"/>
      <c r="BV808" s="163"/>
      <c r="BW808" s="163"/>
    </row>
    <row r="809" spans="49:75" x14ac:dyDescent="0.3">
      <c r="AW809" s="110"/>
      <c r="AX809" s="163"/>
      <c r="AY809" s="163"/>
      <c r="AZ809" s="163"/>
      <c r="BA809" s="207"/>
      <c r="BB809" s="163"/>
      <c r="BC809" s="163"/>
      <c r="BD809" s="163"/>
      <c r="BE809" s="207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  <c r="BW809" s="163"/>
    </row>
    <row r="810" spans="49:75" x14ac:dyDescent="0.3">
      <c r="AW810" s="110"/>
      <c r="AX810" s="163"/>
      <c r="AY810" s="163"/>
      <c r="AZ810" s="163"/>
      <c r="BA810" s="207"/>
      <c r="BB810" s="163"/>
      <c r="BC810" s="163"/>
      <c r="BD810" s="163"/>
      <c r="BE810" s="207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  <c r="BT810" s="163"/>
      <c r="BU810" s="163"/>
      <c r="BV810" s="163"/>
      <c r="BW810" s="163"/>
    </row>
    <row r="811" spans="49:75" x14ac:dyDescent="0.3">
      <c r="AW811" s="110"/>
      <c r="AX811" s="163"/>
      <c r="AY811" s="163"/>
      <c r="AZ811" s="163"/>
      <c r="BA811" s="207"/>
      <c r="BB811" s="163"/>
      <c r="BC811" s="163"/>
      <c r="BD811" s="163"/>
      <c r="BE811" s="207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  <c r="BW811" s="163"/>
    </row>
    <row r="812" spans="49:75" x14ac:dyDescent="0.3">
      <c r="AW812" s="110"/>
      <c r="AX812" s="163"/>
      <c r="AY812" s="163"/>
      <c r="AZ812" s="163"/>
      <c r="BA812" s="207"/>
      <c r="BB812" s="163"/>
      <c r="BC812" s="163"/>
      <c r="BD812" s="163"/>
      <c r="BE812" s="207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  <c r="BT812" s="163"/>
      <c r="BU812" s="163"/>
      <c r="BV812" s="163"/>
      <c r="BW812" s="163"/>
    </row>
    <row r="813" spans="49:75" x14ac:dyDescent="0.3">
      <c r="AW813" s="110"/>
      <c r="AX813" s="163"/>
      <c r="AY813" s="163"/>
      <c r="AZ813" s="163"/>
      <c r="BA813" s="207"/>
      <c r="BB813" s="163"/>
      <c r="BC813" s="163"/>
      <c r="BD813" s="163"/>
      <c r="BE813" s="207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</row>
    <row r="814" spans="49:75" x14ac:dyDescent="0.3">
      <c r="AW814" s="110"/>
      <c r="AX814" s="163"/>
      <c r="AY814" s="163"/>
      <c r="AZ814" s="163"/>
      <c r="BA814" s="207"/>
      <c r="BB814" s="163"/>
      <c r="BC814" s="163"/>
      <c r="BD814" s="163"/>
      <c r="BE814" s="207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</row>
    <row r="815" spans="49:75" x14ac:dyDescent="0.3">
      <c r="AW815" s="110"/>
      <c r="AX815" s="163"/>
      <c r="AY815" s="163"/>
      <c r="AZ815" s="163"/>
      <c r="BA815" s="207"/>
      <c r="BB815" s="163"/>
      <c r="BC815" s="163"/>
      <c r="BD815" s="163"/>
      <c r="BE815" s="207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</row>
    <row r="816" spans="49:75" x14ac:dyDescent="0.3">
      <c r="AW816" s="110"/>
      <c r="AX816" s="163"/>
      <c r="AY816" s="163"/>
      <c r="AZ816" s="163"/>
      <c r="BA816" s="207"/>
      <c r="BB816" s="163"/>
      <c r="BC816" s="163"/>
      <c r="BD816" s="163"/>
      <c r="BE816" s="207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</row>
    <row r="817" spans="45:75" x14ac:dyDescent="0.3">
      <c r="AW817" s="110"/>
      <c r="AX817" s="163"/>
      <c r="AY817" s="163"/>
      <c r="AZ817" s="163"/>
      <c r="BA817" s="207"/>
      <c r="BB817" s="163"/>
      <c r="BC817" s="163"/>
      <c r="BD817" s="163"/>
      <c r="BE817" s="207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</row>
    <row r="818" spans="45:75" x14ac:dyDescent="0.3">
      <c r="AW818" s="110"/>
      <c r="AX818" s="163"/>
      <c r="AY818" s="163"/>
      <c r="AZ818" s="163"/>
      <c r="BA818" s="207"/>
      <c r="BB818" s="163"/>
      <c r="BC818" s="163"/>
      <c r="BD818" s="163"/>
      <c r="BE818" s="207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</row>
    <row r="819" spans="45:75" x14ac:dyDescent="0.3">
      <c r="AW819" s="110"/>
      <c r="AX819" s="163"/>
      <c r="AY819" s="163"/>
      <c r="AZ819" s="163"/>
      <c r="BA819" s="207"/>
      <c r="BB819" s="163"/>
      <c r="BC819" s="163"/>
      <c r="BD819" s="163"/>
      <c r="BE819" s="207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</row>
    <row r="820" spans="45:75" x14ac:dyDescent="0.3">
      <c r="AW820" s="110"/>
      <c r="AX820" s="163"/>
      <c r="AY820" s="163"/>
      <c r="AZ820" s="163"/>
      <c r="BA820" s="207"/>
      <c r="BB820" s="163"/>
      <c r="BC820" s="163"/>
      <c r="BD820" s="163"/>
      <c r="BE820" s="207"/>
      <c r="BG820" s="101"/>
      <c r="BH820" s="101"/>
      <c r="BI820" s="99"/>
      <c r="BM820" s="101"/>
      <c r="BN820" s="101"/>
      <c r="BO820" s="163"/>
      <c r="BP820" s="101"/>
      <c r="BQ820" s="101"/>
      <c r="BR820" s="99"/>
      <c r="BV820" s="101"/>
      <c r="BW820" s="101"/>
    </row>
    <row r="821" spans="45:75" x14ac:dyDescent="0.3">
      <c r="AU821" s="99"/>
      <c r="AV821" s="102"/>
      <c r="AW821" s="110"/>
      <c r="AX821" s="163"/>
      <c r="AY821" s="163"/>
      <c r="AZ821" s="163"/>
      <c r="BA821" s="207"/>
      <c r="BB821" s="163"/>
      <c r="BC821" s="163"/>
      <c r="BD821" s="163"/>
      <c r="BE821" s="207"/>
      <c r="BG821" s="213"/>
      <c r="BH821" s="163"/>
      <c r="BI821" s="163"/>
      <c r="BJ821" s="163"/>
      <c r="BK821" s="213"/>
      <c r="BL821" s="214"/>
      <c r="BM821" s="163"/>
      <c r="BN821" s="213"/>
      <c r="BO821" s="163"/>
      <c r="BP821" s="213"/>
      <c r="BQ821" s="163"/>
      <c r="BR821" s="163"/>
      <c r="BS821" s="163"/>
      <c r="BT821" s="213"/>
      <c r="BU821" s="214"/>
      <c r="BV821" s="163"/>
      <c r="BW821" s="213"/>
    </row>
    <row r="822" spans="45:75" x14ac:dyDescent="0.3">
      <c r="AV822" s="102"/>
      <c r="AW822" s="110"/>
      <c r="AX822" s="163"/>
      <c r="AY822" s="163"/>
      <c r="AZ822" s="163"/>
      <c r="BA822" s="207"/>
      <c r="BB822" s="163"/>
      <c r="BC822" s="163"/>
      <c r="BD822" s="163"/>
      <c r="BE822" s="207"/>
      <c r="BG822" s="163"/>
      <c r="BH822" s="163"/>
      <c r="BI822" s="163"/>
      <c r="BJ822" s="163"/>
      <c r="BK822" s="163"/>
      <c r="BL822" s="214"/>
      <c r="BM822" s="163"/>
      <c r="BN822" s="163"/>
      <c r="BO822" s="163"/>
      <c r="BP822" s="163"/>
      <c r="BQ822" s="163"/>
      <c r="BR822" s="163"/>
      <c r="BS822" s="163"/>
      <c r="BT822" s="163"/>
      <c r="BU822" s="214"/>
      <c r="BV822" s="163"/>
      <c r="BW822" s="163"/>
    </row>
    <row r="823" spans="45:75" x14ac:dyDescent="0.3">
      <c r="AV823" s="102"/>
      <c r="AW823" s="110"/>
      <c r="AX823" s="163"/>
      <c r="AY823" s="163"/>
      <c r="AZ823" s="163"/>
      <c r="BA823" s="207"/>
      <c r="BB823" s="163"/>
      <c r="BC823" s="163"/>
      <c r="BD823" s="163"/>
      <c r="BE823" s="207"/>
      <c r="BG823" s="163"/>
      <c r="BH823" s="163"/>
      <c r="BI823" s="163"/>
      <c r="BJ823" s="163"/>
      <c r="BK823" s="163"/>
      <c r="BL823" s="214"/>
      <c r="BM823" s="163"/>
      <c r="BN823" s="163"/>
      <c r="BO823" s="163"/>
      <c r="BP823" s="163"/>
      <c r="BQ823" s="163"/>
      <c r="BR823" s="163"/>
      <c r="BS823" s="163"/>
      <c r="BT823" s="163"/>
      <c r="BU823" s="214"/>
      <c r="BV823" s="163"/>
      <c r="BW823" s="163"/>
    </row>
    <row r="824" spans="45:75" x14ac:dyDescent="0.3">
      <c r="AV824" s="102"/>
      <c r="AW824" s="110"/>
      <c r="AX824" s="163"/>
      <c r="AY824" s="163"/>
      <c r="AZ824" s="163"/>
      <c r="BA824" s="207"/>
      <c r="BB824" s="163"/>
      <c r="BC824" s="163"/>
      <c r="BD824" s="163"/>
      <c r="BE824" s="207"/>
      <c r="BG824" s="163"/>
      <c r="BH824" s="163"/>
      <c r="BI824" s="163"/>
      <c r="BJ824" s="163"/>
      <c r="BK824" s="163"/>
      <c r="BL824" s="214"/>
      <c r="BM824" s="163"/>
      <c r="BN824" s="163"/>
      <c r="BO824" s="163"/>
      <c r="BP824" s="163"/>
      <c r="BQ824" s="163"/>
      <c r="BR824" s="163"/>
      <c r="BS824" s="163"/>
      <c r="BT824" s="163"/>
      <c r="BU824" s="214"/>
      <c r="BV824" s="163"/>
      <c r="BW824" s="163"/>
    </row>
    <row r="825" spans="45:75" x14ac:dyDescent="0.3">
      <c r="AX825" s="163"/>
      <c r="AY825" s="163"/>
      <c r="AZ825" s="163"/>
      <c r="BA825" s="207"/>
      <c r="BB825" s="163"/>
      <c r="BC825" s="163"/>
      <c r="BD825" s="163"/>
      <c r="BE825" s="207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</row>
    <row r="826" spans="45:75" x14ac:dyDescent="0.3">
      <c r="AU826" s="99"/>
    </row>
    <row r="827" spans="45:75" x14ac:dyDescent="0.3">
      <c r="AU827" s="99"/>
      <c r="AZ827" s="163"/>
      <c r="BA827" s="207"/>
      <c r="BB827" s="163"/>
      <c r="BC827" s="163"/>
      <c r="BD827" s="163"/>
      <c r="BE827" s="207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</row>
    <row r="828" spans="45:75" x14ac:dyDescent="0.3">
      <c r="AS828" s="99"/>
      <c r="AZ828" s="163"/>
      <c r="BB828" s="163"/>
    </row>
    <row r="829" spans="45:75" x14ac:dyDescent="0.3">
      <c r="AZ829" s="163"/>
      <c r="BB829" s="163"/>
      <c r="BO829" s="163"/>
      <c r="BP829" s="163"/>
      <c r="BQ829" s="163"/>
      <c r="BR829" s="163"/>
      <c r="BS829" s="163"/>
      <c r="BT829" s="163"/>
      <c r="BU829" s="163"/>
      <c r="BV829" s="163"/>
    </row>
    <row r="830" spans="45:75" x14ac:dyDescent="0.3">
      <c r="AY830" s="163"/>
      <c r="AZ830" s="163"/>
      <c r="BB830" s="163"/>
      <c r="BO830" s="163"/>
      <c r="BP830" s="163"/>
      <c r="BQ830" s="163"/>
      <c r="BR830" s="163"/>
      <c r="BS830" s="163"/>
      <c r="BT830" s="163"/>
      <c r="BU830" s="163"/>
      <c r="BV830" s="163"/>
    </row>
    <row r="831" spans="45:75" x14ac:dyDescent="0.3">
      <c r="AY831" s="99"/>
      <c r="AZ831" s="163"/>
      <c r="BB831" s="163"/>
      <c r="BO831" s="163"/>
      <c r="BP831" s="163"/>
      <c r="BQ831" s="163"/>
      <c r="BR831" s="163"/>
      <c r="BS831" s="163"/>
      <c r="BT831" s="163"/>
      <c r="BU831" s="163"/>
      <c r="BV831" s="163"/>
    </row>
    <row r="832" spans="45:75" x14ac:dyDescent="0.3">
      <c r="AY832" s="99"/>
      <c r="AZ832" s="163"/>
      <c r="BB832" s="163"/>
      <c r="BO832" s="163"/>
      <c r="BP832" s="163"/>
      <c r="BQ832" s="163"/>
      <c r="BR832" s="163"/>
      <c r="BS832" s="163"/>
      <c r="BT832" s="163"/>
      <c r="BU832" s="163"/>
      <c r="BV832" s="163"/>
    </row>
    <row r="833" spans="45:74" x14ac:dyDescent="0.3">
      <c r="AZ833" s="163"/>
      <c r="BB833" s="163"/>
      <c r="BD833" s="99"/>
      <c r="BO833" s="163"/>
      <c r="BP833" s="163"/>
      <c r="BQ833" s="163"/>
      <c r="BR833" s="163"/>
      <c r="BS833" s="163"/>
      <c r="BT833" s="163"/>
      <c r="BU833" s="163"/>
      <c r="BV833" s="163"/>
    </row>
    <row r="834" spans="45:74" x14ac:dyDescent="0.3">
      <c r="AZ834" s="163"/>
      <c r="BB834" s="163"/>
      <c r="BD834" s="99"/>
      <c r="BO834" s="163"/>
      <c r="BP834" s="163"/>
      <c r="BQ834" s="163"/>
      <c r="BR834" s="163"/>
      <c r="BS834" s="163"/>
      <c r="BT834" s="163"/>
      <c r="BU834" s="163"/>
      <c r="BV834" s="163"/>
    </row>
    <row r="835" spans="45:74" x14ac:dyDescent="0.3">
      <c r="AS835" s="99"/>
      <c r="AZ835" s="163"/>
      <c r="BB835" s="163"/>
      <c r="BD835" s="99"/>
      <c r="BO835" s="163"/>
      <c r="BP835" s="163"/>
      <c r="BQ835" s="163"/>
      <c r="BR835" s="163"/>
      <c r="BS835" s="163"/>
      <c r="BT835" s="163"/>
      <c r="BU835" s="163"/>
      <c r="BV835" s="163"/>
    </row>
    <row r="836" spans="45:74" x14ac:dyDescent="0.3">
      <c r="AZ836" s="163"/>
      <c r="BB836" s="163"/>
      <c r="BO836" s="163"/>
      <c r="BP836" s="163"/>
      <c r="BQ836" s="163"/>
      <c r="BR836" s="163"/>
      <c r="BS836" s="163"/>
      <c r="BT836" s="163"/>
      <c r="BU836" s="163"/>
      <c r="BV836" s="163"/>
    </row>
    <row r="837" spans="45:74" x14ac:dyDescent="0.3">
      <c r="AS837" s="101"/>
      <c r="AT837" s="101"/>
      <c r="AU837" s="101"/>
      <c r="AV837" s="101"/>
      <c r="AW837" s="101"/>
      <c r="AX837" s="101"/>
      <c r="AY837" s="101"/>
      <c r="AZ837" s="212"/>
      <c r="BA837" s="101"/>
      <c r="BB837" s="212"/>
      <c r="BC837" s="101"/>
      <c r="BD837" s="101"/>
      <c r="BE837" s="101"/>
      <c r="BO837" s="163"/>
      <c r="BP837" s="163"/>
      <c r="BQ837" s="163"/>
      <c r="BR837" s="163"/>
      <c r="BS837" s="163"/>
      <c r="BT837" s="163"/>
      <c r="BU837" s="163"/>
      <c r="BV837" s="163"/>
    </row>
    <row r="838" spans="45:74" x14ac:dyDescent="0.3">
      <c r="AX838" s="99"/>
      <c r="AZ838" s="163"/>
      <c r="BB838" s="163"/>
      <c r="BO838" s="163"/>
      <c r="BP838" s="163"/>
      <c r="BQ838" s="163"/>
      <c r="BR838" s="163"/>
      <c r="BS838" s="163"/>
      <c r="BT838" s="163"/>
      <c r="BU838" s="163"/>
      <c r="BV838" s="163"/>
    </row>
    <row r="839" spans="45:74" x14ac:dyDescent="0.3">
      <c r="AX839" s="101"/>
      <c r="AY839" s="101"/>
      <c r="AZ839" s="212"/>
      <c r="BA839" s="101"/>
      <c r="BB839" s="163"/>
      <c r="BC839" s="102"/>
      <c r="BD839" s="102"/>
      <c r="BO839" s="163"/>
      <c r="BP839" s="163"/>
      <c r="BQ839" s="163"/>
      <c r="BR839" s="163"/>
      <c r="BS839" s="163"/>
      <c r="BT839" s="163"/>
      <c r="BU839" s="163"/>
      <c r="BV839" s="163"/>
    </row>
    <row r="840" spans="45:74" x14ac:dyDescent="0.3">
      <c r="AV840" s="102"/>
      <c r="AW840" s="102"/>
      <c r="AZ840" s="213"/>
      <c r="BA840" s="102"/>
      <c r="BB840" s="163"/>
      <c r="BC840" s="102"/>
      <c r="BD840" s="102"/>
      <c r="BE840" s="102"/>
      <c r="BG840" s="101"/>
      <c r="BH840" s="99"/>
      <c r="BK840" s="101"/>
      <c r="BM840" s="101"/>
      <c r="BN840" s="99"/>
      <c r="BQ840" s="101"/>
    </row>
    <row r="841" spans="45:74" x14ac:dyDescent="0.3">
      <c r="AV841" s="102"/>
      <c r="AW841" s="102"/>
      <c r="AX841" s="102"/>
      <c r="AY841" s="102"/>
      <c r="AZ841" s="213"/>
      <c r="BA841" s="102"/>
      <c r="BB841" s="213"/>
      <c r="BC841" s="102"/>
      <c r="BD841" s="102"/>
      <c r="BE841" s="102"/>
      <c r="BH841" s="102"/>
      <c r="BI841" s="102"/>
      <c r="BN841" s="102"/>
      <c r="BO841" s="102"/>
    </row>
    <row r="842" spans="45:74" x14ac:dyDescent="0.3">
      <c r="AS842" s="102"/>
      <c r="AU842" s="99"/>
      <c r="AV842" s="102"/>
      <c r="AW842" s="102"/>
      <c r="AX842" s="102"/>
      <c r="AY842" s="102"/>
      <c r="AZ842" s="213"/>
      <c r="BA842" s="102"/>
      <c r="BB842" s="213"/>
      <c r="BC842" s="102"/>
      <c r="BD842" s="102"/>
      <c r="BE842" s="102"/>
      <c r="BG842" s="102"/>
      <c r="BH842" s="102"/>
      <c r="BI842" s="102"/>
      <c r="BJ842" s="102"/>
      <c r="BK842" s="102"/>
      <c r="BM842" s="102"/>
      <c r="BN842" s="102"/>
      <c r="BO842" s="102"/>
      <c r="BP842" s="102"/>
      <c r="BQ842" s="102"/>
    </row>
    <row r="843" spans="45:74" x14ac:dyDescent="0.3">
      <c r="AS843" s="102"/>
      <c r="AU843" s="99"/>
      <c r="AV843" s="102"/>
      <c r="AW843" s="102"/>
      <c r="AX843" s="102"/>
      <c r="AY843" s="102"/>
      <c r="AZ843" s="213"/>
      <c r="BA843" s="102"/>
      <c r="BB843" s="213"/>
      <c r="BC843" s="102"/>
      <c r="BD843" s="102"/>
      <c r="BE843" s="102"/>
      <c r="BG843" s="102"/>
      <c r="BH843" s="102"/>
      <c r="BI843" s="102"/>
      <c r="BJ843" s="102"/>
      <c r="BK843" s="102"/>
      <c r="BM843" s="102"/>
      <c r="BN843" s="102"/>
      <c r="BO843" s="102"/>
      <c r="BP843" s="102"/>
      <c r="BQ843" s="102"/>
    </row>
    <row r="844" spans="45:74" x14ac:dyDescent="0.3">
      <c r="AS844" s="101"/>
      <c r="AT844" s="101"/>
      <c r="AU844" s="101"/>
      <c r="AV844" s="101"/>
      <c r="AW844" s="101"/>
      <c r="AX844" s="101"/>
      <c r="AY844" s="101"/>
      <c r="AZ844" s="212"/>
      <c r="BA844" s="101"/>
      <c r="BB844" s="212"/>
      <c r="BC844" s="101"/>
      <c r="BD844" s="101"/>
      <c r="BE844" s="101"/>
      <c r="BG844" s="101"/>
      <c r="BH844" s="101"/>
      <c r="BI844" s="101"/>
      <c r="BJ844" s="101"/>
      <c r="BK844" s="101"/>
      <c r="BM844" s="101"/>
      <c r="BN844" s="101"/>
      <c r="BO844" s="101"/>
      <c r="BP844" s="101"/>
      <c r="BQ844" s="101"/>
    </row>
    <row r="845" spans="45:74" x14ac:dyDescent="0.3">
      <c r="AV845" s="102"/>
      <c r="AW845" s="102"/>
      <c r="AX845" s="102"/>
      <c r="AY845" s="102"/>
      <c r="AZ845" s="213"/>
      <c r="BA845" s="102"/>
      <c r="BB845" s="213"/>
      <c r="BC845" s="102"/>
      <c r="BD845" s="102"/>
      <c r="BE845" s="102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</row>
    <row r="846" spans="45:74" x14ac:dyDescent="0.3">
      <c r="AT846" s="99"/>
      <c r="AV846" s="110"/>
      <c r="AW846" s="110"/>
      <c r="AX846" s="163"/>
      <c r="AY846" s="163"/>
      <c r="AZ846" s="163"/>
      <c r="BA846" s="207"/>
      <c r="BB846" s="163"/>
      <c r="BC846" s="163"/>
      <c r="BD846" s="163"/>
      <c r="BE846" s="207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</row>
    <row r="847" spans="45:74" x14ac:dyDescent="0.3">
      <c r="AV847" s="110"/>
      <c r="AW847" s="110"/>
      <c r="AX847" s="163"/>
      <c r="AY847" s="163"/>
      <c r="AZ847" s="163"/>
      <c r="BA847" s="207"/>
      <c r="BB847" s="163"/>
      <c r="BC847" s="163"/>
      <c r="BD847" s="163"/>
      <c r="BE847" s="207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</row>
    <row r="848" spans="45:74" x14ac:dyDescent="0.3">
      <c r="AV848" s="110"/>
      <c r="AW848" s="110"/>
      <c r="AX848" s="163"/>
      <c r="AY848" s="163"/>
      <c r="AZ848" s="163"/>
      <c r="BA848" s="207"/>
      <c r="BB848" s="163"/>
      <c r="BC848" s="163"/>
      <c r="BD848" s="163"/>
      <c r="BE848" s="207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</row>
    <row r="849" spans="48:71" x14ac:dyDescent="0.3">
      <c r="AV849" s="110"/>
      <c r="AW849" s="110"/>
      <c r="AX849" s="163"/>
      <c r="AY849" s="163"/>
      <c r="AZ849" s="163"/>
      <c r="BA849" s="207"/>
      <c r="BB849" s="163"/>
      <c r="BC849" s="163"/>
      <c r="BD849" s="163"/>
      <c r="BE849" s="207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</row>
    <row r="850" spans="48:71" x14ac:dyDescent="0.3">
      <c r="AV850" s="110"/>
      <c r="AW850" s="110"/>
      <c r="AX850" s="163"/>
      <c r="AY850" s="163"/>
      <c r="AZ850" s="163"/>
      <c r="BA850" s="207"/>
      <c r="BB850" s="163"/>
      <c r="BC850" s="163"/>
      <c r="BD850" s="163"/>
      <c r="BE850" s="207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</row>
    <row r="851" spans="48:71" x14ac:dyDescent="0.3">
      <c r="AV851" s="110"/>
      <c r="AW851" s="110"/>
      <c r="AX851" s="163"/>
      <c r="AY851" s="163"/>
      <c r="AZ851" s="163"/>
      <c r="BA851" s="207"/>
      <c r="BB851" s="163"/>
      <c r="BC851" s="163"/>
      <c r="BD851" s="163"/>
      <c r="BE851" s="207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</row>
    <row r="852" spans="48:71" x14ac:dyDescent="0.3">
      <c r="AV852" s="110"/>
      <c r="AW852" s="110"/>
      <c r="AX852" s="163"/>
      <c r="AY852" s="163"/>
      <c r="AZ852" s="163"/>
      <c r="BA852" s="207"/>
      <c r="BB852" s="163"/>
      <c r="BC852" s="163"/>
      <c r="BD852" s="163"/>
      <c r="BE852" s="207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</row>
    <row r="853" spans="48:71" x14ac:dyDescent="0.3">
      <c r="AV853" s="110"/>
      <c r="AW853" s="110"/>
      <c r="AX853" s="163"/>
      <c r="AY853" s="163"/>
      <c r="AZ853" s="163"/>
      <c r="BA853" s="207"/>
      <c r="BB853" s="163"/>
      <c r="BC853" s="163"/>
      <c r="BD853" s="163"/>
      <c r="BE853" s="207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</row>
    <row r="854" spans="48:71" x14ac:dyDescent="0.3">
      <c r="AV854" s="110"/>
      <c r="AW854" s="110"/>
      <c r="AX854" s="163"/>
      <c r="AY854" s="163"/>
      <c r="AZ854" s="163"/>
      <c r="BA854" s="207"/>
      <c r="BB854" s="163"/>
      <c r="BC854" s="163"/>
      <c r="BD854" s="163"/>
      <c r="BE854" s="207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</row>
    <row r="855" spans="48:71" x14ac:dyDescent="0.3">
      <c r="AV855" s="110"/>
      <c r="AW855" s="110"/>
      <c r="AX855" s="163"/>
      <c r="AY855" s="163"/>
      <c r="AZ855" s="163"/>
      <c r="BA855" s="207"/>
      <c r="BB855" s="163"/>
      <c r="BC855" s="163"/>
      <c r="BD855" s="163"/>
      <c r="BE855" s="207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</row>
    <row r="856" spans="48:71" x14ac:dyDescent="0.3">
      <c r="AV856" s="110"/>
      <c r="AW856" s="110"/>
      <c r="AX856" s="163"/>
      <c r="AY856" s="163"/>
      <c r="AZ856" s="163"/>
      <c r="BA856" s="207"/>
      <c r="BB856" s="163"/>
      <c r="BC856" s="163"/>
      <c r="BD856" s="163"/>
      <c r="BE856" s="207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</row>
    <row r="857" spans="48:71" x14ac:dyDescent="0.3">
      <c r="AV857" s="110"/>
      <c r="AW857" s="110"/>
      <c r="AX857" s="163"/>
      <c r="AY857" s="163"/>
      <c r="AZ857" s="163"/>
      <c r="BA857" s="207"/>
      <c r="BB857" s="163"/>
      <c r="BC857" s="163"/>
      <c r="BD857" s="163"/>
      <c r="BE857" s="207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</row>
    <row r="858" spans="48:71" x14ac:dyDescent="0.3">
      <c r="AV858" s="110"/>
      <c r="AW858" s="110"/>
      <c r="AX858" s="163"/>
      <c r="AY858" s="163"/>
      <c r="AZ858" s="163"/>
      <c r="BA858" s="207"/>
      <c r="BB858" s="163"/>
      <c r="BC858" s="163"/>
      <c r="BD858" s="163"/>
      <c r="BE858" s="207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</row>
    <row r="859" spans="48:71" x14ac:dyDescent="0.3">
      <c r="AV859" s="110"/>
      <c r="AW859" s="110"/>
      <c r="AX859" s="163"/>
      <c r="AY859" s="163"/>
      <c r="AZ859" s="163"/>
      <c r="BA859" s="207"/>
      <c r="BB859" s="163"/>
      <c r="BC859" s="163"/>
      <c r="BD859" s="163"/>
      <c r="BE859" s="207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</row>
    <row r="860" spans="48:71" x14ac:dyDescent="0.3">
      <c r="AV860" s="110"/>
      <c r="AW860" s="110"/>
      <c r="AX860" s="163"/>
      <c r="AY860" s="163"/>
      <c r="AZ860" s="163"/>
      <c r="BA860" s="207"/>
      <c r="BB860" s="163"/>
      <c r="BC860" s="163"/>
      <c r="BD860" s="163"/>
      <c r="BE860" s="207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</row>
    <row r="861" spans="48:71" x14ac:dyDescent="0.3">
      <c r="AV861" s="110"/>
      <c r="AW861" s="110"/>
      <c r="AX861" s="163"/>
      <c r="AY861" s="163"/>
      <c r="AZ861" s="163"/>
      <c r="BA861" s="207"/>
      <c r="BB861" s="163"/>
      <c r="BC861" s="163"/>
      <c r="BD861" s="163"/>
      <c r="BE861" s="207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</row>
    <row r="862" spans="48:71" x14ac:dyDescent="0.3">
      <c r="AV862" s="110"/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</row>
    <row r="863" spans="48:71" x14ac:dyDescent="0.3">
      <c r="AV863" s="110"/>
      <c r="AW863" s="110"/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</row>
    <row r="864" spans="48:71" x14ac:dyDescent="0.3">
      <c r="AZ864" s="163"/>
      <c r="BB864" s="163"/>
      <c r="BC864" s="163"/>
      <c r="BD864" s="163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</row>
    <row r="865" spans="46:57" x14ac:dyDescent="0.3">
      <c r="AT865" s="99"/>
      <c r="AV865" s="110"/>
      <c r="AW865" s="110"/>
      <c r="AX865" s="163"/>
      <c r="AY865" s="163"/>
      <c r="AZ865" s="163"/>
      <c r="BA865" s="207"/>
      <c r="BB865" s="163"/>
      <c r="BC865" s="163"/>
      <c r="BD865" s="163"/>
      <c r="BE865" s="207"/>
    </row>
    <row r="866" spans="46:57" x14ac:dyDescent="0.3">
      <c r="AV866" s="110"/>
      <c r="AW866" s="110"/>
      <c r="AX866" s="163"/>
      <c r="AY866" s="163"/>
      <c r="AZ866" s="163"/>
      <c r="BA866" s="207"/>
      <c r="BB866" s="163"/>
      <c r="BC866" s="163"/>
      <c r="BD866" s="163"/>
      <c r="BE866" s="207"/>
    </row>
    <row r="867" spans="46:57" x14ac:dyDescent="0.3">
      <c r="AV867" s="110"/>
      <c r="AW867" s="110"/>
      <c r="AX867" s="163"/>
      <c r="AY867" s="163"/>
      <c r="AZ867" s="163"/>
      <c r="BA867" s="207"/>
      <c r="BB867" s="163"/>
      <c r="BC867" s="163"/>
      <c r="BD867" s="163"/>
      <c r="BE867" s="207"/>
    </row>
    <row r="868" spans="46:57" x14ac:dyDescent="0.3">
      <c r="AV868" s="110"/>
      <c r="AW868" s="110"/>
      <c r="AX868" s="163"/>
      <c r="AY868" s="163"/>
      <c r="AZ868" s="163"/>
      <c r="BA868" s="207"/>
      <c r="BB868" s="163"/>
      <c r="BC868" s="163"/>
      <c r="BD868" s="163"/>
      <c r="BE868" s="207"/>
    </row>
    <row r="869" spans="46:57" x14ac:dyDescent="0.3">
      <c r="AV869" s="110"/>
      <c r="AW869" s="110"/>
      <c r="AX869" s="163"/>
      <c r="AY869" s="163"/>
      <c r="AZ869" s="163"/>
      <c r="BA869" s="207"/>
      <c r="BB869" s="163"/>
      <c r="BC869" s="163"/>
      <c r="BD869" s="163"/>
      <c r="BE869" s="207"/>
    </row>
    <row r="870" spans="46:57" x14ac:dyDescent="0.3">
      <c r="AV870" s="110"/>
      <c r="AW870" s="110"/>
      <c r="AX870" s="163"/>
      <c r="AY870" s="163"/>
      <c r="AZ870" s="163"/>
      <c r="BA870" s="207"/>
      <c r="BB870" s="163"/>
      <c r="BC870" s="163"/>
      <c r="BD870" s="163"/>
      <c r="BE870" s="207"/>
    </row>
    <row r="871" spans="46:57" x14ac:dyDescent="0.3">
      <c r="AV871" s="110"/>
      <c r="AW871" s="110"/>
      <c r="AX871" s="163"/>
      <c r="AY871" s="163"/>
      <c r="AZ871" s="163"/>
      <c r="BA871" s="207"/>
      <c r="BB871" s="163"/>
      <c r="BC871" s="163"/>
      <c r="BD871" s="163"/>
      <c r="BE871" s="207"/>
    </row>
    <row r="872" spans="46:57" x14ac:dyDescent="0.3">
      <c r="AV872" s="110"/>
      <c r="AW872" s="110"/>
      <c r="AX872" s="163"/>
      <c r="AY872" s="163"/>
      <c r="AZ872" s="163"/>
      <c r="BA872" s="207"/>
      <c r="BB872" s="163"/>
      <c r="BC872" s="163"/>
      <c r="BD872" s="163"/>
      <c r="BE872" s="207"/>
    </row>
    <row r="873" spans="46:57" x14ac:dyDescent="0.3">
      <c r="AV873" s="110"/>
      <c r="AW873" s="110"/>
      <c r="AX873" s="163"/>
      <c r="AY873" s="163"/>
      <c r="AZ873" s="163"/>
      <c r="BA873" s="207"/>
      <c r="BB873" s="163"/>
      <c r="BC873" s="163"/>
      <c r="BD873" s="163"/>
      <c r="BE873" s="207"/>
    </row>
    <row r="874" spans="46:57" x14ac:dyDescent="0.3">
      <c r="AV874" s="110"/>
      <c r="AW874" s="110"/>
      <c r="AX874" s="163"/>
      <c r="AY874" s="163"/>
      <c r="AZ874" s="163"/>
      <c r="BA874" s="207"/>
      <c r="BB874" s="163"/>
      <c r="BC874" s="163"/>
      <c r="BD874" s="163"/>
      <c r="BE874" s="207"/>
    </row>
    <row r="875" spans="46:57" x14ac:dyDescent="0.3">
      <c r="AV875" s="110"/>
      <c r="AW875" s="110"/>
      <c r="AX875" s="163"/>
      <c r="AY875" s="163"/>
      <c r="AZ875" s="163"/>
      <c r="BA875" s="207"/>
      <c r="BB875" s="163"/>
      <c r="BC875" s="163"/>
      <c r="BD875" s="163"/>
      <c r="BE875" s="207"/>
    </row>
    <row r="876" spans="46:57" x14ac:dyDescent="0.3">
      <c r="AV876" s="110"/>
      <c r="AW876" s="110"/>
      <c r="AX876" s="163"/>
      <c r="AY876" s="163"/>
      <c r="AZ876" s="163"/>
      <c r="BA876" s="207"/>
      <c r="BB876" s="163"/>
      <c r="BC876" s="163"/>
      <c r="BD876" s="163"/>
      <c r="BE876" s="207"/>
    </row>
    <row r="877" spans="46:57" x14ac:dyDescent="0.3">
      <c r="AV877" s="110"/>
      <c r="AW877" s="110"/>
      <c r="AX877" s="163"/>
      <c r="AY877" s="163"/>
      <c r="AZ877" s="163"/>
      <c r="BA877" s="207"/>
      <c r="BB877" s="163"/>
      <c r="BC877" s="163"/>
      <c r="BD877" s="163"/>
      <c r="BE877" s="207"/>
    </row>
    <row r="878" spans="46:57" x14ac:dyDescent="0.3">
      <c r="AV878" s="110"/>
      <c r="AW878" s="110"/>
      <c r="AX878" s="163"/>
      <c r="AY878" s="163"/>
      <c r="AZ878" s="163"/>
      <c r="BA878" s="207"/>
      <c r="BB878" s="163"/>
      <c r="BC878" s="163"/>
      <c r="BD878" s="163"/>
      <c r="BE878" s="207"/>
    </row>
    <row r="879" spans="46:57" x14ac:dyDescent="0.3">
      <c r="AV879" s="110"/>
      <c r="AW879" s="110"/>
      <c r="AX879" s="163"/>
      <c r="AY879" s="163"/>
      <c r="AZ879" s="163"/>
      <c r="BA879" s="207"/>
      <c r="BB879" s="163"/>
      <c r="BC879" s="163"/>
      <c r="BD879" s="163"/>
      <c r="BE879" s="207"/>
    </row>
    <row r="880" spans="46:57" x14ac:dyDescent="0.3">
      <c r="AV880" s="110"/>
      <c r="AW880" s="110"/>
      <c r="AX880" s="163"/>
      <c r="AY880" s="163"/>
      <c r="AZ880" s="163"/>
      <c r="BA880" s="207"/>
      <c r="BB880" s="163"/>
      <c r="BC880" s="163"/>
      <c r="BD880" s="163"/>
      <c r="BE880" s="207"/>
    </row>
    <row r="881" spans="45:57" x14ac:dyDescent="0.3">
      <c r="AV881" s="110"/>
      <c r="AW881" s="110"/>
      <c r="AX881" s="163"/>
      <c r="AY881" s="163"/>
      <c r="AZ881" s="163"/>
      <c r="BA881" s="207"/>
      <c r="BB881" s="163"/>
      <c r="BC881" s="163"/>
      <c r="BD881" s="163"/>
      <c r="BE881" s="207"/>
    </row>
    <row r="882" spans="45:57" x14ac:dyDescent="0.3">
      <c r="AV882" s="110"/>
      <c r="AW882" s="110"/>
      <c r="AX882" s="163"/>
      <c r="AY882" s="163"/>
      <c r="AZ882" s="163"/>
      <c r="BA882" s="207"/>
      <c r="BB882" s="163"/>
      <c r="BC882" s="163"/>
      <c r="BD882" s="163"/>
      <c r="BE882" s="207"/>
    </row>
    <row r="883" spans="45:57" x14ac:dyDescent="0.3">
      <c r="BB883" s="163"/>
    </row>
    <row r="884" spans="45:57" x14ac:dyDescent="0.3">
      <c r="AU884" s="99"/>
      <c r="BB884" s="163"/>
    </row>
    <row r="885" spans="45:57" x14ac:dyDescent="0.3">
      <c r="AU885" s="99"/>
    </row>
    <row r="886" spans="45:57" x14ac:dyDescent="0.3">
      <c r="AU886" s="99"/>
      <c r="BB886" s="163"/>
    </row>
    <row r="887" spans="45:57" x14ac:dyDescent="0.3">
      <c r="AS887" s="99"/>
      <c r="AZ887" s="163"/>
      <c r="BB887" s="163"/>
    </row>
    <row r="888" spans="45:57" x14ac:dyDescent="0.3">
      <c r="AZ888" s="163"/>
      <c r="BB888" s="163"/>
    </row>
    <row r="889" spans="45:57" x14ac:dyDescent="0.3">
      <c r="AY889" s="163"/>
      <c r="AZ889" s="163"/>
      <c r="BB889" s="163"/>
    </row>
    <row r="890" spans="45:57" x14ac:dyDescent="0.3">
      <c r="AY890" s="99"/>
      <c r="AZ890" s="163"/>
      <c r="BB890" s="163"/>
    </row>
    <row r="891" spans="45:57" x14ac:dyDescent="0.3">
      <c r="AY891" s="99"/>
      <c r="AZ891" s="163"/>
      <c r="BB891" s="163"/>
    </row>
    <row r="892" spans="45:57" x14ac:dyDescent="0.3">
      <c r="AZ892" s="163"/>
      <c r="BB892" s="163"/>
      <c r="BD892" s="99"/>
    </row>
    <row r="893" spans="45:57" x14ac:dyDescent="0.3">
      <c r="AZ893" s="163"/>
      <c r="BB893" s="163"/>
      <c r="BD893" s="99"/>
    </row>
    <row r="894" spans="45:57" x14ac:dyDescent="0.3">
      <c r="AS894" s="99"/>
      <c r="AZ894" s="163"/>
      <c r="BB894" s="163"/>
      <c r="BD894" s="99"/>
    </row>
    <row r="895" spans="45:57" x14ac:dyDescent="0.3">
      <c r="AZ895" s="163"/>
      <c r="BB895" s="163"/>
    </row>
    <row r="896" spans="45:57" x14ac:dyDescent="0.3">
      <c r="AS896" s="101"/>
      <c r="AT896" s="101"/>
      <c r="AU896" s="101"/>
      <c r="AV896" s="101"/>
      <c r="AW896" s="101"/>
      <c r="AX896" s="101"/>
      <c r="AY896" s="101"/>
      <c r="AZ896" s="212"/>
      <c r="BA896" s="101"/>
      <c r="BB896" s="212"/>
      <c r="BC896" s="101"/>
      <c r="BD896" s="101"/>
      <c r="BE896" s="101"/>
    </row>
    <row r="897" spans="45:57" x14ac:dyDescent="0.3">
      <c r="AX897" s="99"/>
      <c r="AZ897" s="163"/>
      <c r="BB897" s="163"/>
    </row>
    <row r="898" spans="45:57" x14ac:dyDescent="0.3">
      <c r="AX898" s="101"/>
      <c r="AY898" s="101"/>
      <c r="AZ898" s="212"/>
      <c r="BA898" s="101"/>
      <c r="BB898" s="163"/>
      <c r="BC898" s="102"/>
      <c r="BD898" s="102"/>
    </row>
    <row r="899" spans="45:57" x14ac:dyDescent="0.3">
      <c r="AV899" s="102"/>
      <c r="AW899" s="102"/>
      <c r="AZ899" s="213"/>
      <c r="BA899" s="102"/>
      <c r="BB899" s="163"/>
      <c r="BC899" s="102"/>
      <c r="BD899" s="102"/>
      <c r="BE899" s="102"/>
    </row>
    <row r="900" spans="45:57" x14ac:dyDescent="0.3">
      <c r="AV900" s="102"/>
      <c r="AW900" s="102"/>
      <c r="AX900" s="102"/>
      <c r="AY900" s="102"/>
      <c r="AZ900" s="213"/>
      <c r="BA900" s="102"/>
      <c r="BB900" s="213"/>
      <c r="BC900" s="102"/>
      <c r="BD900" s="102"/>
      <c r="BE900" s="102"/>
    </row>
    <row r="901" spans="45:57" x14ac:dyDescent="0.3">
      <c r="AS901" s="102"/>
      <c r="AU901" s="99"/>
      <c r="AV901" s="102"/>
      <c r="AW901" s="102"/>
      <c r="AX901" s="102"/>
      <c r="AY901" s="102"/>
      <c r="AZ901" s="213"/>
      <c r="BA901" s="102"/>
      <c r="BB901" s="213"/>
      <c r="BC901" s="102"/>
      <c r="BD901" s="102"/>
      <c r="BE901" s="102"/>
    </row>
    <row r="902" spans="45:57" x14ac:dyDescent="0.3">
      <c r="AS902" s="102"/>
      <c r="AU902" s="99"/>
      <c r="AV902" s="102"/>
      <c r="AW902" s="102"/>
      <c r="AX902" s="102"/>
      <c r="AY902" s="102"/>
      <c r="AZ902" s="213"/>
      <c r="BA902" s="102"/>
      <c r="BB902" s="213"/>
      <c r="BC902" s="102"/>
      <c r="BD902" s="102"/>
      <c r="BE902" s="102"/>
    </row>
    <row r="903" spans="45:57" x14ac:dyDescent="0.3">
      <c r="AS903" s="101"/>
      <c r="AT903" s="101"/>
      <c r="AU903" s="101"/>
      <c r="AV903" s="101"/>
      <c r="AW903" s="101"/>
      <c r="AX903" s="101"/>
      <c r="AY903" s="101"/>
      <c r="AZ903" s="212"/>
      <c r="BA903" s="101"/>
      <c r="BB903" s="212"/>
      <c r="BC903" s="101"/>
      <c r="BD903" s="101"/>
      <c r="BE903" s="101"/>
    </row>
    <row r="904" spans="45:57" x14ac:dyDescent="0.3">
      <c r="AV904" s="102"/>
      <c r="AW904" s="102"/>
      <c r="AX904" s="102"/>
      <c r="AY904" s="102"/>
      <c r="AZ904" s="213"/>
      <c r="BA904" s="102"/>
      <c r="BB904" s="213"/>
      <c r="BC904" s="102"/>
      <c r="BD904" s="102"/>
      <c r="BE904" s="102"/>
    </row>
    <row r="905" spans="45:57" x14ac:dyDescent="0.3">
      <c r="AT905" s="99"/>
      <c r="AV905" s="110"/>
      <c r="AW905" s="110"/>
      <c r="AX905" s="163"/>
      <c r="AY905" s="163"/>
      <c r="AZ905" s="163"/>
      <c r="BA905" s="207"/>
      <c r="BB905" s="163"/>
      <c r="BC905" s="163"/>
      <c r="BD905" s="163"/>
      <c r="BE905" s="207"/>
    </row>
    <row r="906" spans="45:57" x14ac:dyDescent="0.3">
      <c r="AV906" s="110"/>
      <c r="AW906" s="110"/>
      <c r="AX906" s="163"/>
      <c r="AY906" s="163"/>
      <c r="AZ906" s="163"/>
      <c r="BA906" s="207"/>
      <c r="BB906" s="163"/>
      <c r="BC906" s="163"/>
      <c r="BD906" s="163"/>
      <c r="BE906" s="207"/>
    </row>
    <row r="907" spans="45:57" x14ac:dyDescent="0.3"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</row>
    <row r="908" spans="45:57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</row>
    <row r="909" spans="45:57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</row>
    <row r="910" spans="45:57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</row>
    <row r="911" spans="45:57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</row>
    <row r="912" spans="45:57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</row>
    <row r="913" spans="46:57" x14ac:dyDescent="0.3"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</row>
    <row r="914" spans="46:57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</row>
    <row r="915" spans="46:57" x14ac:dyDescent="0.3">
      <c r="AV915" s="110"/>
      <c r="AW915" s="110"/>
      <c r="BB915" s="163"/>
    </row>
    <row r="916" spans="46:57" x14ac:dyDescent="0.3">
      <c r="AT916" s="99"/>
      <c r="AV916" s="110"/>
      <c r="AW916" s="110"/>
      <c r="AX916" s="163"/>
      <c r="AY916" s="163"/>
      <c r="AZ916" s="163"/>
      <c r="BA916" s="207"/>
      <c r="BB916" s="163"/>
      <c r="BC916" s="163"/>
      <c r="BD916" s="163"/>
      <c r="BE916" s="207"/>
    </row>
    <row r="917" spans="46:57" x14ac:dyDescent="0.3">
      <c r="AV917" s="110"/>
      <c r="AW917" s="110"/>
      <c r="AX917" s="163"/>
      <c r="AY917" s="163"/>
      <c r="AZ917" s="163"/>
      <c r="BA917" s="207"/>
      <c r="BB917" s="163"/>
      <c r="BC917" s="163"/>
      <c r="BD917" s="163"/>
      <c r="BE917" s="207"/>
    </row>
    <row r="918" spans="46:57" x14ac:dyDescent="0.3">
      <c r="AV918" s="110"/>
      <c r="AW918" s="110"/>
      <c r="AX918" s="163"/>
      <c r="AY918" s="163"/>
      <c r="AZ918" s="163"/>
      <c r="BA918" s="207"/>
      <c r="BB918" s="163"/>
      <c r="BC918" s="163"/>
      <c r="BD918" s="163"/>
      <c r="BE918" s="207"/>
    </row>
    <row r="919" spans="46:57" x14ac:dyDescent="0.3">
      <c r="AV919" s="110"/>
      <c r="AW919" s="110"/>
      <c r="AX919" s="163"/>
      <c r="AY919" s="163"/>
      <c r="AZ919" s="163"/>
      <c r="BA919" s="207"/>
      <c r="BB919" s="163"/>
      <c r="BC919" s="163"/>
      <c r="BD919" s="163"/>
      <c r="BE919" s="207"/>
    </row>
    <row r="920" spans="46:57" x14ac:dyDescent="0.3">
      <c r="AV920" s="110"/>
      <c r="AW920" s="110"/>
      <c r="AX920" s="163"/>
      <c r="AY920" s="163"/>
      <c r="AZ920" s="163"/>
      <c r="BA920" s="207"/>
      <c r="BB920" s="163"/>
      <c r="BC920" s="163"/>
      <c r="BD920" s="163"/>
      <c r="BE920" s="207"/>
    </row>
    <row r="921" spans="46:57" x14ac:dyDescent="0.3">
      <c r="AV921" s="110"/>
      <c r="AW921" s="110"/>
      <c r="AX921" s="163"/>
      <c r="AY921" s="163"/>
      <c r="AZ921" s="163"/>
      <c r="BA921" s="207"/>
      <c r="BB921" s="163"/>
      <c r="BC921" s="163"/>
      <c r="BD921" s="163"/>
      <c r="BE921" s="207"/>
    </row>
    <row r="922" spans="46:57" x14ac:dyDescent="0.3">
      <c r="AV922" s="110"/>
      <c r="AW922" s="110"/>
      <c r="AX922" s="163"/>
      <c r="AY922" s="163"/>
      <c r="AZ922" s="163"/>
      <c r="BA922" s="207"/>
      <c r="BB922" s="163"/>
      <c r="BC922" s="163"/>
      <c r="BD922" s="163"/>
      <c r="BE922" s="207"/>
    </row>
    <row r="923" spans="46:57" x14ac:dyDescent="0.3"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</row>
    <row r="924" spans="46:57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</row>
    <row r="925" spans="46:57" x14ac:dyDescent="0.3">
      <c r="AV925" s="110"/>
      <c r="AW925" s="110"/>
      <c r="AX925" s="163"/>
      <c r="AY925" s="163"/>
      <c r="AZ925" s="163"/>
      <c r="BA925" s="207"/>
      <c r="BB925" s="163"/>
      <c r="BC925" s="163"/>
      <c r="BD925" s="163"/>
      <c r="BE925" s="207"/>
    </row>
    <row r="927" spans="46:57" x14ac:dyDescent="0.3">
      <c r="AU927" s="99"/>
    </row>
    <row r="928" spans="46:57" x14ac:dyDescent="0.3">
      <c r="AU928" s="99"/>
    </row>
    <row r="929" spans="45:47" x14ac:dyDescent="0.3">
      <c r="AU929" s="99"/>
    </row>
    <row r="930" spans="45:47" x14ac:dyDescent="0.3">
      <c r="AS930" s="99"/>
    </row>
    <row r="951" spans="52:71" x14ac:dyDescent="0.3">
      <c r="AZ951" s="163"/>
      <c r="BB951" s="163"/>
      <c r="BC951" s="163"/>
      <c r="BD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</row>
    <row r="952" spans="52:71" x14ac:dyDescent="0.3">
      <c r="AZ952" s="163"/>
      <c r="BB952" s="163"/>
      <c r="BC952" s="163"/>
      <c r="BD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</row>
    <row r="953" spans="52:71" x14ac:dyDescent="0.3">
      <c r="AZ953" s="163"/>
      <c r="BB953" s="163"/>
      <c r="BC953" s="163"/>
      <c r="BD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</row>
    <row r="954" spans="52:71" x14ac:dyDescent="0.3">
      <c r="AZ954" s="163"/>
      <c r="BB954" s="163"/>
      <c r="BC954" s="163"/>
      <c r="BD954" s="163"/>
      <c r="BG954" s="163"/>
      <c r="BH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</row>
    <row r="955" spans="52:71" x14ac:dyDescent="0.3">
      <c r="AZ955" s="163"/>
      <c r="BB955" s="163"/>
      <c r="BC955" s="163"/>
      <c r="BD955" s="163"/>
      <c r="BG955" s="163"/>
      <c r="BH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</row>
    <row r="956" spans="52:71" x14ac:dyDescent="0.3">
      <c r="AZ956" s="163"/>
      <c r="BB956" s="163"/>
      <c r="BC956" s="163"/>
      <c r="BD956" s="163"/>
      <c r="BG956" s="163"/>
      <c r="BH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</row>
    <row r="957" spans="52:71" x14ac:dyDescent="0.3">
      <c r="AZ957" s="163"/>
      <c r="BB957" s="163"/>
      <c r="BC957" s="163"/>
      <c r="BD957" s="163"/>
      <c r="BG957" s="163"/>
      <c r="BH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</row>
    <row r="958" spans="52:71" x14ac:dyDescent="0.3">
      <c r="AZ958" s="163"/>
      <c r="BB958" s="163"/>
      <c r="BC958" s="163"/>
      <c r="BD958" s="163"/>
      <c r="BG958" s="163"/>
      <c r="BH958" s="163"/>
      <c r="BI958" s="163"/>
      <c r="BJ958" s="163"/>
      <c r="BK958" s="163"/>
      <c r="BL958" s="163"/>
      <c r="BM958" s="163"/>
      <c r="BN958" s="163"/>
      <c r="BO958" s="163"/>
      <c r="BP958" s="163"/>
      <c r="BQ958" s="163"/>
      <c r="BR958" s="163"/>
      <c r="BS958" s="163"/>
    </row>
    <row r="959" spans="52:71" x14ac:dyDescent="0.3">
      <c r="AZ959" s="163"/>
      <c r="BB959" s="163"/>
      <c r="BC959" s="163"/>
      <c r="BD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</row>
    <row r="960" spans="52:71" x14ac:dyDescent="0.3">
      <c r="AZ960" s="163"/>
      <c r="BB960" s="163"/>
      <c r="BC960" s="163"/>
      <c r="BD960" s="163"/>
      <c r="BG960" s="163"/>
      <c r="BH960" s="163"/>
      <c r="BI960" s="163"/>
      <c r="BJ960" s="163"/>
      <c r="BK960" s="163"/>
      <c r="BL960" s="163"/>
      <c r="BM960" s="163"/>
      <c r="BN960" s="163"/>
      <c r="BO960" s="163"/>
      <c r="BP960" s="163"/>
      <c r="BQ960" s="163"/>
      <c r="BR960" s="163"/>
      <c r="BS960" s="163"/>
    </row>
    <row r="961" spans="52:71" x14ac:dyDescent="0.3">
      <c r="AZ961" s="163"/>
      <c r="BB961" s="163"/>
      <c r="BC961" s="163"/>
      <c r="BD961" s="163"/>
      <c r="BG961" s="163"/>
      <c r="BH961" s="163"/>
      <c r="BI961" s="163"/>
      <c r="BJ961" s="163"/>
      <c r="BK961" s="163"/>
      <c r="BL961" s="163"/>
      <c r="BM961" s="163"/>
      <c r="BN961" s="163"/>
      <c r="BO961" s="163"/>
      <c r="BP961" s="163"/>
      <c r="BQ961" s="163"/>
      <c r="BR961" s="163"/>
      <c r="BS961" s="163"/>
    </row>
    <row r="962" spans="52:71" x14ac:dyDescent="0.3">
      <c r="AZ962" s="163"/>
      <c r="BB962" s="163"/>
      <c r="BC962" s="163"/>
      <c r="BD962" s="163"/>
      <c r="BG962" s="163"/>
      <c r="BH962" s="163"/>
      <c r="BI962" s="163"/>
      <c r="BJ962" s="163"/>
      <c r="BK962" s="163"/>
      <c r="BL962" s="163"/>
      <c r="BM962" s="163"/>
      <c r="BN962" s="163"/>
      <c r="BO962" s="163"/>
      <c r="BP962" s="163"/>
      <c r="BQ962" s="163"/>
      <c r="BR962" s="163"/>
      <c r="BS962" s="163"/>
    </row>
    <row r="963" spans="52:71" x14ac:dyDescent="0.3">
      <c r="AZ963" s="163"/>
      <c r="BG963" s="163"/>
      <c r="BH963" s="163"/>
      <c r="BI963" s="163"/>
      <c r="BJ963" s="163"/>
      <c r="BK963" s="163"/>
      <c r="BL963" s="163"/>
      <c r="BM963" s="163"/>
      <c r="BN963" s="163"/>
      <c r="BO963" s="163"/>
      <c r="BP963" s="163"/>
      <c r="BQ963" s="163"/>
      <c r="BR963" s="163"/>
      <c r="BS963" s="163"/>
    </row>
    <row r="964" spans="52:71" x14ac:dyDescent="0.3">
      <c r="AZ964" s="163"/>
      <c r="BG964" s="163"/>
      <c r="BH964" s="163"/>
      <c r="BI964" s="163"/>
      <c r="BJ964" s="163"/>
      <c r="BK964" s="163"/>
      <c r="BL964" s="163"/>
      <c r="BM964" s="163"/>
      <c r="BN964" s="163"/>
      <c r="BO964" s="163"/>
      <c r="BP964" s="163"/>
      <c r="BQ964" s="163"/>
      <c r="BR964" s="163"/>
      <c r="BS964" s="163"/>
    </row>
    <row r="965" spans="52:71" x14ac:dyDescent="0.3">
      <c r="AZ965" s="163"/>
      <c r="BG965" s="163"/>
      <c r="BH965" s="163"/>
      <c r="BI965" s="163"/>
      <c r="BJ965" s="163"/>
      <c r="BK965" s="163"/>
      <c r="BL965" s="163"/>
      <c r="BM965" s="163"/>
      <c r="BN965" s="163"/>
      <c r="BO965" s="163"/>
      <c r="BP965" s="163"/>
      <c r="BQ965" s="163"/>
      <c r="BR965" s="163"/>
      <c r="BS965" s="163"/>
    </row>
    <row r="966" spans="52:71" x14ac:dyDescent="0.3">
      <c r="AZ966" s="163"/>
      <c r="BG966" s="163"/>
      <c r="BH966" s="163"/>
      <c r="BI966" s="163"/>
      <c r="BJ966" s="163"/>
      <c r="BK966" s="163"/>
      <c r="BL966" s="163"/>
      <c r="BM966" s="163"/>
      <c r="BN966" s="163"/>
      <c r="BO966" s="163"/>
      <c r="BP966" s="163"/>
      <c r="BQ966" s="163"/>
      <c r="BR966" s="163"/>
      <c r="BS966" s="163"/>
    </row>
    <row r="967" spans="52:71" x14ac:dyDescent="0.3">
      <c r="AZ967" s="163"/>
      <c r="BG967" s="163"/>
      <c r="BH967" s="163"/>
      <c r="BI967" s="163"/>
      <c r="BJ967" s="163"/>
      <c r="BK967" s="163"/>
      <c r="BL967" s="163"/>
      <c r="BM967" s="163"/>
      <c r="BN967" s="163"/>
      <c r="BO967" s="163"/>
      <c r="BP967" s="163"/>
      <c r="BQ967" s="163"/>
      <c r="BR967" s="163"/>
      <c r="BS967" s="163"/>
    </row>
    <row r="968" spans="52:71" x14ac:dyDescent="0.3">
      <c r="AZ968" s="163"/>
      <c r="BG968" s="163"/>
      <c r="BH968" s="163"/>
      <c r="BI968" s="163"/>
      <c r="BJ968" s="163"/>
      <c r="BK968" s="163"/>
      <c r="BL968" s="163"/>
      <c r="BM968" s="163"/>
      <c r="BN968" s="163"/>
      <c r="BO968" s="163"/>
      <c r="BP968" s="163"/>
      <c r="BQ968" s="163"/>
      <c r="BR968" s="163"/>
      <c r="BS968" s="163"/>
    </row>
    <row r="969" spans="52:71" x14ac:dyDescent="0.3">
      <c r="AZ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</row>
    <row r="970" spans="52:71" x14ac:dyDescent="0.3">
      <c r="AZ970" s="163"/>
    </row>
    <row r="971" spans="52:71" x14ac:dyDescent="0.3">
      <c r="AZ971" s="163"/>
    </row>
    <row r="985" spans="1:28" x14ac:dyDescent="0.3">
      <c r="A985" s="99"/>
    </row>
    <row r="988" spans="1:28" x14ac:dyDescent="0.3">
      <c r="Y988" s="99"/>
    </row>
    <row r="989" spans="1:28" x14ac:dyDescent="0.3">
      <c r="A989" s="99"/>
      <c r="H989" s="99"/>
      <c r="I989" s="99"/>
    </row>
    <row r="990" spans="1:28" x14ac:dyDescent="0.3">
      <c r="A990" s="99"/>
      <c r="V990" s="102"/>
      <c r="AA990" s="102"/>
      <c r="AB990" s="102"/>
    </row>
    <row r="991" spans="1:28" x14ac:dyDescent="0.3">
      <c r="A991" s="99"/>
      <c r="V991" s="101"/>
      <c r="AA991" s="101"/>
      <c r="AB991" s="101"/>
    </row>
    <row r="992" spans="1:28" x14ac:dyDescent="0.3">
      <c r="A992" s="99"/>
      <c r="U992" s="99"/>
      <c r="AA992" s="102"/>
      <c r="AB992" s="102"/>
    </row>
    <row r="993" spans="1:28" x14ac:dyDescent="0.3">
      <c r="A993" s="99"/>
    </row>
    <row r="994" spans="1:28" x14ac:dyDescent="0.3">
      <c r="A994" s="99"/>
      <c r="U994" s="99"/>
      <c r="AA994" s="102"/>
      <c r="AB994" s="102"/>
    </row>
    <row r="995" spans="1:28" x14ac:dyDescent="0.3">
      <c r="A995" s="99"/>
    </row>
    <row r="996" spans="1:28" x14ac:dyDescent="0.3">
      <c r="A996" s="99"/>
      <c r="U996" s="99"/>
      <c r="V996" s="231"/>
      <c r="AA996" s="102"/>
      <c r="AB996" s="102"/>
    </row>
    <row r="997" spans="1:28" x14ac:dyDescent="0.3">
      <c r="A997" s="99"/>
    </row>
    <row r="998" spans="1:28" x14ac:dyDescent="0.3">
      <c r="A998" s="99"/>
      <c r="U998" s="99"/>
      <c r="AA998" s="102"/>
      <c r="AB998" s="102"/>
    </row>
    <row r="999" spans="1:28" x14ac:dyDescent="0.3">
      <c r="A999" s="99"/>
    </row>
    <row r="1000" spans="1:28" x14ac:dyDescent="0.3">
      <c r="A1000" s="99"/>
      <c r="U1000" s="99"/>
      <c r="AA1000" s="102"/>
      <c r="AB1000" s="102"/>
    </row>
    <row r="1001" spans="1:28" x14ac:dyDescent="0.3">
      <c r="A1001" s="99"/>
    </row>
    <row r="1002" spans="1:28" x14ac:dyDescent="0.3">
      <c r="A1002" s="99"/>
    </row>
    <row r="1003" spans="1:28" x14ac:dyDescent="0.3">
      <c r="A1003" s="99"/>
    </row>
    <row r="1004" spans="1:28" x14ac:dyDescent="0.3">
      <c r="A1004" s="99"/>
    </row>
    <row r="1005" spans="1:28" x14ac:dyDescent="0.3">
      <c r="A1005" s="99"/>
    </row>
    <row r="1006" spans="1:28" x14ac:dyDescent="0.3">
      <c r="A1006" s="99"/>
    </row>
    <row r="1007" spans="1:28" x14ac:dyDescent="0.3">
      <c r="A1007" s="99"/>
    </row>
    <row r="1008" spans="1:28" x14ac:dyDescent="0.3">
      <c r="A1008" s="99"/>
    </row>
    <row r="1009" spans="1:9" x14ac:dyDescent="0.3">
      <c r="A1009" s="99"/>
    </row>
    <row r="1010" spans="1:9" x14ac:dyDescent="0.3">
      <c r="A1010" s="99"/>
    </row>
    <row r="1011" spans="1:9" x14ac:dyDescent="0.3">
      <c r="A1011" s="99"/>
      <c r="H1011" s="99"/>
      <c r="I1011" s="99"/>
    </row>
    <row r="1014" spans="1:9" x14ac:dyDescent="0.3">
      <c r="A1014" s="99"/>
    </row>
    <row r="1017" spans="1:9" x14ac:dyDescent="0.3">
      <c r="A1017" s="99"/>
    </row>
    <row r="1020" spans="1:9" x14ac:dyDescent="0.3">
      <c r="A1020" s="99"/>
    </row>
    <row r="1021" spans="1:9" x14ac:dyDescent="0.3">
      <c r="A1021" s="99"/>
    </row>
    <row r="1022" spans="1:9" x14ac:dyDescent="0.3">
      <c r="A1022" s="99"/>
    </row>
    <row r="1023" spans="1:9" x14ac:dyDescent="0.3">
      <c r="A1023" s="99"/>
    </row>
    <row r="1024" spans="1:9" x14ac:dyDescent="0.3">
      <c r="A1024" s="99"/>
    </row>
    <row r="1025" spans="1:1" x14ac:dyDescent="0.3">
      <c r="A1025" s="99"/>
    </row>
    <row r="1026" spans="1:1" x14ac:dyDescent="0.3">
      <c r="A1026" s="99"/>
    </row>
    <row r="1027" spans="1:1" x14ac:dyDescent="0.3">
      <c r="A1027" s="99"/>
    </row>
    <row r="1028" spans="1:1" x14ac:dyDescent="0.3">
      <c r="A1028" s="99"/>
    </row>
    <row r="1029" spans="1:1" x14ac:dyDescent="0.3">
      <c r="A1029" s="99"/>
    </row>
    <row r="1030" spans="1:1" x14ac:dyDescent="0.3">
      <c r="A1030" s="99"/>
    </row>
    <row r="1031" spans="1:1" x14ac:dyDescent="0.3">
      <c r="A1031" s="99"/>
    </row>
    <row r="1032" spans="1:1" x14ac:dyDescent="0.3">
      <c r="A1032" s="99"/>
    </row>
    <row r="1033" spans="1:1" x14ac:dyDescent="0.3">
      <c r="A1033" s="99"/>
    </row>
    <row r="1034" spans="1:1" x14ac:dyDescent="0.3">
      <c r="A1034" s="99"/>
    </row>
    <row r="1035" spans="1:1" x14ac:dyDescent="0.3">
      <c r="A1035" s="99"/>
    </row>
    <row r="1036" spans="1:1" x14ac:dyDescent="0.3">
      <c r="A1036" s="99"/>
    </row>
    <row r="1037" spans="1:1" x14ac:dyDescent="0.3">
      <c r="A1037" s="99"/>
    </row>
    <row r="1038" spans="1:1" x14ac:dyDescent="0.3">
      <c r="A1038" s="99"/>
    </row>
    <row r="1039" spans="1:1" x14ac:dyDescent="0.3">
      <c r="A1039" s="99"/>
    </row>
    <row r="1040" spans="1:1" x14ac:dyDescent="0.3">
      <c r="A1040" s="99"/>
    </row>
    <row r="1041" spans="1:1" x14ac:dyDescent="0.3">
      <c r="A1041" s="99"/>
    </row>
    <row r="1042" spans="1:1" x14ac:dyDescent="0.3">
      <c r="A1042" s="99"/>
    </row>
    <row r="1043" spans="1:1" x14ac:dyDescent="0.3">
      <c r="A1043" s="99"/>
    </row>
    <row r="1044" spans="1:1" x14ac:dyDescent="0.3">
      <c r="A1044" s="99"/>
    </row>
    <row r="1045" spans="1:1" x14ac:dyDescent="0.3">
      <c r="A1045" s="99"/>
    </row>
    <row r="1046" spans="1:1" x14ac:dyDescent="0.3">
      <c r="A1046" s="99"/>
    </row>
    <row r="1047" spans="1:1" x14ac:dyDescent="0.3">
      <c r="A1047" s="99"/>
    </row>
    <row r="1048" spans="1:1" x14ac:dyDescent="0.3">
      <c r="A1048" s="99"/>
    </row>
    <row r="1049" spans="1:1" x14ac:dyDescent="0.3">
      <c r="A1049" s="99"/>
    </row>
    <row r="1050" spans="1:1" x14ac:dyDescent="0.3">
      <c r="A1050" s="99"/>
    </row>
    <row r="1051" spans="1:1" x14ac:dyDescent="0.3">
      <c r="A1051" s="99"/>
    </row>
    <row r="1052" spans="1:1" x14ac:dyDescent="0.3">
      <c r="A1052" s="99"/>
    </row>
    <row r="1053" spans="1:1" x14ac:dyDescent="0.3">
      <c r="A1053" s="99"/>
    </row>
    <row r="1054" spans="1:1" x14ac:dyDescent="0.3">
      <c r="A1054" s="99"/>
    </row>
    <row r="1059" spans="1:1" x14ac:dyDescent="0.3">
      <c r="A1059" s="99"/>
    </row>
    <row r="1060" spans="1:1" x14ac:dyDescent="0.3">
      <c r="A1060" s="99"/>
    </row>
    <row r="1063" spans="1:1" x14ac:dyDescent="0.3">
      <c r="A1063" s="99"/>
    </row>
    <row r="1065" spans="1:1" x14ac:dyDescent="0.3">
      <c r="A1065" s="99"/>
    </row>
    <row r="1067" spans="1:1" x14ac:dyDescent="0.3">
      <c r="A1067" s="99"/>
    </row>
    <row r="1069" spans="1:1" x14ac:dyDescent="0.3">
      <c r="A1069" s="99"/>
    </row>
    <row r="1072" spans="1:1" x14ac:dyDescent="0.3">
      <c r="A1072" s="99"/>
    </row>
    <row r="1073" spans="1:1" x14ac:dyDescent="0.3">
      <c r="A1073" s="99"/>
    </row>
    <row r="1074" spans="1:1" x14ac:dyDescent="0.3">
      <c r="A1074" s="99"/>
    </row>
    <row r="1075" spans="1:1" x14ac:dyDescent="0.3">
      <c r="A1075" s="99"/>
    </row>
    <row r="1076" spans="1:1" x14ac:dyDescent="0.3">
      <c r="A1076" s="99"/>
    </row>
    <row r="1077" spans="1:1" x14ac:dyDescent="0.3">
      <c r="A1077" s="99"/>
    </row>
    <row r="1078" spans="1:1" x14ac:dyDescent="0.3">
      <c r="A1078" s="99"/>
    </row>
    <row r="1079" spans="1:1" x14ac:dyDescent="0.3">
      <c r="A1079" s="99"/>
    </row>
  </sheetData>
  <customSheetViews>
    <customSheetView guid="{F562D92E-120C-4AE9-9663-89E64D41DC53}" scale="75" fitToPage="1" topLeftCell="A20">
      <selection activeCell="P46" sqref="P46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"/>
      <headerFooter alignWithMargins="0"/>
    </customSheetView>
    <customSheetView guid="{35F19056-2E6F-4935-B863-78836FE990BF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2"/>
      <headerFooter alignWithMargins="0"/>
    </customSheetView>
    <customSheetView guid="{18BDED73-BFA0-442E-87EC-CED86EE4CF94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3"/>
      <headerFooter alignWithMargins="0"/>
    </customSheetView>
    <customSheetView guid="{0BC1F393-8A13-47D5-BC6C-0C99615B5AB9}" scale="75" fitToPage="1" showRuler="0" topLeftCell="A20">
      <selection activeCell="R49" sqref="R49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4"/>
      <headerFooter alignWithMargins="0"/>
    </customSheetView>
    <customSheetView guid="{6B3D5C27-2FDE-4561-9575-1E98BFB869D0}" scale="75" fitToPage="1" showRuler="0">
      <selection activeCell="D33" sqref="D33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6"/>
      <headerFooter alignWithMargins="0"/>
    </customSheetView>
    <customSheetView guid="{8FC77C99-DBF7-40B8-99B8-01B75826CDCB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7"/>
      <headerFooter alignWithMargins="0"/>
    </customSheetView>
    <customSheetView guid="{2EA35095-1ADC-4CC7-8C3C-B487D65FA247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8"/>
      <headerFooter alignWithMargins="0"/>
    </customSheetView>
    <customSheetView guid="{2431C9E5-7CC2-4B8D-99C3-962247B1DBF5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9"/>
      <headerFooter alignWithMargins="0"/>
    </customSheetView>
    <customSheetView guid="{4BC93440-BA85-4935-A8C9-66DC6AE5DE5E}" scale="75" fitToPage="1" showRuler="0" topLeftCell="P64">
      <selection activeCell="AC95" sqref="AC95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66" orientation="landscape" r:id="rId10"/>
      <headerFooter alignWithMargins="0"/>
    </customSheetView>
    <customSheetView guid="{0C49E549-011E-46F4-A82E-2CC8951A9C1E}" scale="75" fitToPage="1" showRuler="0">
      <selection sqref="A1:R51"/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28" max="65535" man="1"/>
        <brk id="171" max="65535" man="1"/>
        <brk id="213" max="65535" man="1"/>
        <brk id="252" max="65535" man="1"/>
        <brk id="308" max="65535" man="1"/>
        <brk id="354" max="65535" man="1"/>
        <brk id="436" max="65535" man="1"/>
        <brk id="474" max="65535" man="1"/>
        <brk id="511" max="65535" man="1"/>
        <brk id="559" max="65535" man="1"/>
        <brk id="620" max="65535" man="1"/>
        <brk id="679" max="65535" man="1"/>
        <brk id="786" max="65535" man="1"/>
        <brk id="833" max="65535" man="1"/>
        <brk id="892" max="65535" man="1"/>
        <brk id="935" max="65535" man="1"/>
      </rowBreaks>
      <colBreaks count="1" manualBreakCount="1">
        <brk id="44" max="1048575" man="1"/>
      </colBreaks>
      <pageMargins left="0.5" right="0.5" top="1" bottom="0" header="0" footer="0"/>
      <pageSetup scale="74" orientation="landscape" r:id="rId12"/>
      <headerFooter alignWithMargins="0"/>
    </customSheetView>
  </customSheetViews>
  <phoneticPr fontId="11" type="noConversion"/>
  <pageMargins left="0.5" right="0.5" top="1" bottom="0" header="0" footer="0"/>
  <pageSetup scale="56" orientation="landscape" r:id="rId13"/>
  <headerFooter alignWithMargins="0"/>
  <rowBreaks count="16" manualBreakCount="16">
    <brk id="128" max="65535" man="1"/>
    <brk id="171" max="65535" man="1"/>
    <brk id="213" max="65535" man="1"/>
    <brk id="252" max="65535" man="1"/>
    <brk id="308" max="65535" man="1"/>
    <brk id="354" max="65535" man="1"/>
    <brk id="436" max="65535" man="1"/>
    <brk id="474" max="65535" man="1"/>
    <brk id="511" max="65535" man="1"/>
    <brk id="559" max="65535" man="1"/>
    <brk id="620" max="65535" man="1"/>
    <brk id="679" max="65535" man="1"/>
    <brk id="786" max="65535" man="1"/>
    <brk id="833" max="65535" man="1"/>
    <brk id="892" max="65535" man="1"/>
    <brk id="935" max="65535" man="1"/>
  </rowBreaks>
  <colBreaks count="1" manualBreakCount="1">
    <brk id="44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syncVertical="1" syncRef="A1" transitionEvaluation="1" transitionEntry="1" codeName="Sheet16">
    <pageSetUpPr fitToPage="1"/>
  </sheetPr>
  <dimension ref="A1:BY1538"/>
  <sheetViews>
    <sheetView zoomScale="75" zoomScaleNormal="75" workbookViewId="0"/>
  </sheetViews>
  <sheetFormatPr defaultColWidth="8.9140625" defaultRowHeight="15.6" x14ac:dyDescent="0.3"/>
  <cols>
    <col min="1" max="1" width="5.25" style="98" customWidth="1"/>
    <col min="2" max="2" width="0.4140625" style="98" customWidth="1"/>
    <col min="3" max="3" width="9.4140625" style="98" customWidth="1"/>
    <col min="4" max="4" width="57.58203125" style="98" customWidth="1"/>
    <col min="5" max="5" width="0.582031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1" width="11.25" style="98" customWidth="1"/>
    <col min="12" max="12" width="14.6640625" style="98" customWidth="1"/>
    <col min="13" max="13" width="0.33203125" style="98" customWidth="1"/>
    <col min="14" max="14" width="15" style="98" customWidth="1"/>
    <col min="15" max="15" width="0.58203125" style="98" customWidth="1"/>
    <col min="16" max="16" width="15.6640625" style="98" customWidth="1"/>
    <col min="17" max="17" width="0.58203125" style="98" customWidth="1"/>
    <col min="18" max="18" width="16.4140625" style="98" customWidth="1"/>
    <col min="19" max="19" width="6.75" style="98" customWidth="1"/>
    <col min="20" max="20" width="6.25" style="98" customWidth="1"/>
    <col min="21" max="21" width="0.58203125" style="98" customWidth="1"/>
    <col min="22" max="22" width="7.08203125" style="98" customWidth="1"/>
    <col min="23" max="23" width="60.25" style="98" customWidth="1"/>
    <col min="24" max="24" width="0.58203125" style="98" customWidth="1"/>
    <col min="25" max="25" width="13.25" style="98" customWidth="1"/>
    <col min="26" max="26" width="1" style="98" customWidth="1"/>
    <col min="27" max="27" width="14.58203125" style="98" customWidth="1"/>
    <col min="28" max="28" width="0.6640625" style="98" customWidth="1"/>
    <col min="29" max="29" width="13.33203125" style="98" customWidth="1"/>
    <col min="30" max="30" width="11.25" style="98" customWidth="1"/>
    <col min="31" max="31" width="14.33203125" style="98" customWidth="1"/>
    <col min="32" max="32" width="0.9140625" style="98" customWidth="1"/>
    <col min="33" max="33" width="12.9140625" style="148" customWidth="1"/>
    <col min="34" max="34" width="0.75" style="98" customWidth="1"/>
    <col min="35" max="35" width="14.75" style="98" customWidth="1"/>
    <col min="36" max="36" width="0.6640625" style="98" customWidth="1"/>
    <col min="37" max="37" width="14.33203125" style="148" customWidth="1"/>
    <col min="38" max="38" width="0.75" style="98" customWidth="1"/>
    <col min="39" max="39" width="12.4140625" style="98" customWidth="1"/>
    <col min="40" max="40" width="0.58203125" style="98" customWidth="1"/>
    <col min="41" max="41" width="12.08203125" style="98" customWidth="1"/>
    <col min="42" max="42" width="0.58203125" style="98" customWidth="1"/>
    <col min="43" max="43" width="13.25" style="194" customWidth="1"/>
    <col min="44" max="44" width="0.6640625" style="98" customWidth="1"/>
    <col min="45" max="45" width="11.25" style="98" customWidth="1"/>
    <col min="46" max="46" width="14.75" style="98" customWidth="1"/>
    <col min="47" max="47" width="4.75" style="98" customWidth="1"/>
    <col min="48" max="48" width="5.75" style="98" customWidth="1"/>
    <col min="49" max="49" width="10.75" style="98" customWidth="1"/>
    <col min="50" max="50" width="11.75" style="98" customWidth="1"/>
    <col min="51" max="51" width="12.75" style="98" customWidth="1"/>
    <col min="52" max="54" width="15.75" style="98" customWidth="1"/>
    <col min="55" max="55" width="12.75" style="98" customWidth="1"/>
    <col min="56" max="58" width="15.75" style="98" customWidth="1"/>
    <col min="59" max="59" width="12.75" style="98" customWidth="1"/>
    <col min="60" max="61" width="8.9140625" style="98"/>
    <col min="62" max="64" width="12.75" style="98" customWidth="1"/>
    <col min="65" max="65" width="14.75" style="98" customWidth="1"/>
    <col min="66" max="67" width="8.9140625" style="98"/>
    <col min="68" max="70" width="12.75" style="98" customWidth="1"/>
    <col min="71" max="71" width="14.75" style="98" customWidth="1"/>
    <col min="72" max="78" width="8.9140625" style="98"/>
    <col min="79" max="79" width="1.75" style="98" customWidth="1"/>
    <col min="80" max="81" width="8.9140625" style="98"/>
    <col min="82" max="82" width="10.75" style="98" customWidth="1"/>
    <col min="83" max="84" width="8.9140625" style="98"/>
    <col min="85" max="85" width="7.75" style="98" customWidth="1"/>
    <col min="86" max="16384" width="8.9140625" style="98"/>
  </cols>
  <sheetData>
    <row r="1" spans="1:42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AA1" s="98" t="s">
        <v>539</v>
      </c>
      <c r="AG1" s="303">
        <f>'Rate SL'!AG1</f>
        <v>0.14260999999999999</v>
      </c>
    </row>
    <row r="2" spans="1:42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AC2" s="264"/>
      <c r="AE2" s="99"/>
    </row>
    <row r="3" spans="1:42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AC3" s="265"/>
      <c r="AE3" s="99"/>
    </row>
    <row r="4" spans="1:42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AC4" s="265"/>
      <c r="AE4" s="99"/>
    </row>
    <row r="5" spans="1:42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C5" s="265"/>
      <c r="AE5" s="99"/>
      <c r="AM5" s="99"/>
      <c r="AN5" s="99"/>
    </row>
    <row r="6" spans="1:42" x14ac:dyDescent="0.3">
      <c r="A6" s="98" t="str">
        <f>DATA_PERIOD</f>
        <v>DATA: __X__ BASE PERIOD   ____FORECASTED PERIOD</v>
      </c>
      <c r="R6" s="99" t="s">
        <v>156</v>
      </c>
      <c r="AC6" s="265"/>
      <c r="AE6" s="99"/>
      <c r="AM6" s="99"/>
      <c r="AN6" s="99"/>
    </row>
    <row r="7" spans="1:42" x14ac:dyDescent="0.3">
      <c r="A7" s="98" t="str">
        <f>TYPE</f>
        <v>TYPE OF FILING: _X_ ORIGINAL   ___UPDATED  ___ REVISED</v>
      </c>
      <c r="R7" s="116" t="str">
        <f>"PAGE 20 OF "&amp;TEXT(Page_Num_2.3,"00")</f>
        <v>PAGE 20 OF 24</v>
      </c>
      <c r="AC7" s="265"/>
      <c r="AE7" s="99"/>
      <c r="AM7" s="99"/>
      <c r="AN7" s="99"/>
    </row>
    <row r="8" spans="1:42" x14ac:dyDescent="0.3">
      <c r="A8" s="99" t="s">
        <v>170</v>
      </c>
      <c r="R8" s="99" t="s">
        <v>3</v>
      </c>
      <c r="AC8" s="265"/>
      <c r="AE8" s="99"/>
      <c r="AM8" s="99"/>
      <c r="AN8" s="99"/>
    </row>
    <row r="9" spans="1:42" x14ac:dyDescent="0.3">
      <c r="A9" s="134" t="str">
        <f>TIME</f>
        <v>6 Months Actual and 6 Months Projected with Riders</v>
      </c>
      <c r="M9" s="99"/>
      <c r="R9" s="98" t="str">
        <f>WIT</f>
        <v>B. L. Sailers</v>
      </c>
      <c r="AC9" s="265"/>
      <c r="AE9" s="99"/>
    </row>
    <row r="10" spans="1:42" ht="15" customHeight="1" x14ac:dyDescent="0.3">
      <c r="A10" s="97" t="s">
        <v>129</v>
      </c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AC10" s="265"/>
      <c r="AE10" s="99"/>
    </row>
    <row r="11" spans="1:42" x14ac:dyDescent="0.3">
      <c r="A11" s="101"/>
      <c r="B11" s="101"/>
      <c r="C11" s="101"/>
      <c r="D11" s="101"/>
      <c r="E11" s="101"/>
      <c r="G11" s="101"/>
      <c r="H11" s="101"/>
      <c r="I11" s="101"/>
      <c r="J11" s="101"/>
      <c r="K11" s="101"/>
      <c r="L11" s="100"/>
      <c r="M11" s="100"/>
      <c r="N11" s="100"/>
      <c r="O11" s="100"/>
      <c r="P11" s="100"/>
      <c r="Q11" s="100"/>
      <c r="R11" s="100"/>
      <c r="T11" s="101"/>
      <c r="U11" s="101"/>
      <c r="V11" s="101"/>
      <c r="W11" s="101"/>
      <c r="X11" s="101"/>
      <c r="Y11" s="101"/>
      <c r="Z11" s="101"/>
      <c r="AC11" s="265"/>
      <c r="AE11" s="99"/>
      <c r="AJ11" s="101"/>
      <c r="AK11" s="191"/>
      <c r="AL11" s="101"/>
      <c r="AM11" s="101"/>
      <c r="AN11" s="101"/>
      <c r="AO11" s="101"/>
      <c r="AP11" s="101"/>
    </row>
    <row r="12" spans="1:42" ht="18" customHeight="1" x14ac:dyDescent="0.3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02" t="s">
        <v>6</v>
      </c>
      <c r="M12" s="102"/>
      <c r="N12" s="102" t="s">
        <v>7</v>
      </c>
      <c r="O12" s="102"/>
      <c r="R12" s="102" t="s">
        <v>6</v>
      </c>
      <c r="AC12" s="265"/>
      <c r="AE12" s="99"/>
      <c r="AJ12" s="102"/>
      <c r="AM12" s="102"/>
      <c r="AN12" s="102"/>
      <c r="AO12" s="102"/>
      <c r="AP12" s="102"/>
    </row>
    <row r="13" spans="1:42" x14ac:dyDescent="0.3">
      <c r="L13" s="102" t="s">
        <v>12</v>
      </c>
      <c r="M13" s="102"/>
      <c r="N13" s="102" t="s">
        <v>13</v>
      </c>
      <c r="O13" s="102"/>
      <c r="R13" s="102" t="s">
        <v>11</v>
      </c>
      <c r="AC13" s="265"/>
      <c r="AE13" s="99"/>
      <c r="AJ13" s="102"/>
      <c r="AM13" s="102"/>
      <c r="AN13" s="102"/>
      <c r="AO13" s="102"/>
      <c r="AP13" s="102"/>
    </row>
    <row r="14" spans="1:42" x14ac:dyDescent="0.3">
      <c r="A14" s="102" t="s">
        <v>17</v>
      </c>
      <c r="C14" s="102" t="s">
        <v>18</v>
      </c>
      <c r="D14" s="102" t="s">
        <v>19</v>
      </c>
      <c r="E14" s="102"/>
      <c r="F14" s="102" t="s">
        <v>20</v>
      </c>
      <c r="J14" s="97" t="s">
        <v>6</v>
      </c>
      <c r="K14" s="97"/>
      <c r="L14" s="102" t="s">
        <v>593</v>
      </c>
      <c r="M14" s="102"/>
      <c r="N14" s="102" t="s">
        <v>593</v>
      </c>
      <c r="O14" s="102"/>
      <c r="P14" s="102" t="s">
        <v>593</v>
      </c>
      <c r="Q14" s="102"/>
      <c r="R14" s="102" t="s">
        <v>9</v>
      </c>
      <c r="T14" s="102"/>
      <c r="U14" s="102"/>
      <c r="V14" s="102"/>
      <c r="AC14" s="265"/>
      <c r="AE14" s="99"/>
      <c r="AJ14" s="102"/>
      <c r="AK14" s="151"/>
      <c r="AL14" s="102"/>
      <c r="AM14" s="102"/>
      <c r="AN14" s="102"/>
      <c r="AO14" s="102"/>
      <c r="AP14" s="102"/>
    </row>
    <row r="15" spans="1:42" x14ac:dyDescent="0.3">
      <c r="A15" s="102" t="s">
        <v>22</v>
      </c>
      <c r="C15" s="102" t="s">
        <v>23</v>
      </c>
      <c r="D15" s="102" t="s">
        <v>24</v>
      </c>
      <c r="E15" s="102"/>
      <c r="F15" s="102" t="s">
        <v>25</v>
      </c>
      <c r="H15" s="102" t="s">
        <v>26</v>
      </c>
      <c r="I15" s="102"/>
      <c r="J15" s="103" t="s">
        <v>563</v>
      </c>
      <c r="K15" s="103" t="s">
        <v>564</v>
      </c>
      <c r="L15" s="102" t="s">
        <v>9</v>
      </c>
      <c r="M15" s="102"/>
      <c r="N15" s="102" t="s">
        <v>9</v>
      </c>
      <c r="O15" s="102"/>
      <c r="P15" s="102" t="s">
        <v>323</v>
      </c>
      <c r="Q15" s="102"/>
      <c r="R15" s="131" t="s">
        <v>28</v>
      </c>
      <c r="T15" s="102"/>
      <c r="U15" s="102"/>
      <c r="V15" s="102"/>
      <c r="AC15" s="265"/>
      <c r="AE15" s="99"/>
      <c r="AJ15" s="102"/>
      <c r="AK15" s="151"/>
      <c r="AL15" s="102"/>
      <c r="AM15" s="102"/>
      <c r="AN15" s="102"/>
      <c r="AO15" s="102"/>
      <c r="AP15" s="102"/>
    </row>
    <row r="16" spans="1:42" x14ac:dyDescent="0.3">
      <c r="C16" s="131" t="s">
        <v>33</v>
      </c>
      <c r="D16" s="131" t="s">
        <v>34</v>
      </c>
      <c r="E16" s="131"/>
      <c r="F16" s="131" t="s">
        <v>35</v>
      </c>
      <c r="G16" s="134"/>
      <c r="H16" s="131" t="s">
        <v>36</v>
      </c>
      <c r="I16" s="131"/>
      <c r="J16" s="146" t="s">
        <v>565</v>
      </c>
      <c r="K16" s="146" t="s">
        <v>566</v>
      </c>
      <c r="L16" s="146" t="s">
        <v>38</v>
      </c>
      <c r="M16" s="131"/>
      <c r="N16" s="146" t="s">
        <v>39</v>
      </c>
      <c r="O16" s="131"/>
      <c r="P16" s="146" t="s">
        <v>40</v>
      </c>
      <c r="Q16" s="131"/>
      <c r="R16" s="146" t="s">
        <v>41</v>
      </c>
      <c r="T16" s="101"/>
      <c r="U16" s="101"/>
      <c r="V16" s="101"/>
      <c r="W16" s="101"/>
      <c r="X16" s="101"/>
      <c r="Y16" s="101"/>
      <c r="Z16" s="101"/>
      <c r="AC16" s="265"/>
      <c r="AE16" s="99"/>
      <c r="AJ16" s="101"/>
      <c r="AK16" s="191"/>
      <c r="AL16" s="101"/>
      <c r="AM16" s="101"/>
      <c r="AN16" s="101"/>
      <c r="AO16" s="101"/>
      <c r="AP16" s="101"/>
    </row>
    <row r="17" spans="1:45" ht="17.100000000000001" customHeight="1" x14ac:dyDescent="0.3">
      <c r="A17" s="174"/>
      <c r="B17" s="174"/>
      <c r="C17" s="174"/>
      <c r="D17" s="174"/>
      <c r="E17" s="174"/>
      <c r="F17" s="174"/>
      <c r="G17" s="174"/>
      <c r="H17" s="258" t="s">
        <v>49</v>
      </c>
      <c r="I17" s="258"/>
      <c r="J17" s="257" t="s">
        <v>69</v>
      </c>
      <c r="K17" s="258"/>
      <c r="L17" s="258" t="s">
        <v>50</v>
      </c>
      <c r="M17" s="258"/>
      <c r="N17" s="258" t="s">
        <v>51</v>
      </c>
      <c r="O17" s="258"/>
      <c r="P17" s="258" t="s">
        <v>50</v>
      </c>
      <c r="Q17" s="258"/>
      <c r="R17" s="258" t="s">
        <v>50</v>
      </c>
      <c r="Y17" s="102"/>
      <c r="AC17" s="265"/>
      <c r="AE17" s="99"/>
      <c r="AJ17" s="102"/>
      <c r="AK17" s="151"/>
      <c r="AL17" s="102"/>
      <c r="AM17" s="102"/>
      <c r="AN17" s="102"/>
      <c r="AO17" s="102"/>
      <c r="AP17" s="102"/>
    </row>
    <row r="18" spans="1:45" x14ac:dyDescent="0.3">
      <c r="A18" s="268">
        <v>1</v>
      </c>
      <c r="C18" s="124" t="s">
        <v>551</v>
      </c>
      <c r="D18" s="169" t="s">
        <v>552</v>
      </c>
      <c r="E18" s="99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T18" s="99"/>
      <c r="U18" s="99"/>
      <c r="Y18" s="102"/>
      <c r="AC18" s="265"/>
      <c r="AE18" s="99"/>
    </row>
    <row r="19" spans="1:45" x14ac:dyDescent="0.3">
      <c r="A19" s="268">
        <v>2</v>
      </c>
      <c r="C19" s="124" t="s">
        <v>572</v>
      </c>
      <c r="D19" s="134"/>
      <c r="F19" s="147"/>
      <c r="G19" s="1"/>
      <c r="H19" s="147"/>
      <c r="I19" s="147"/>
      <c r="J19" s="171"/>
      <c r="K19" s="171"/>
      <c r="L19" s="106"/>
      <c r="M19" s="106"/>
      <c r="N19" s="175"/>
      <c r="O19" s="175"/>
      <c r="P19" s="106"/>
      <c r="Q19" s="106"/>
      <c r="R19" s="106"/>
      <c r="S19" s="110"/>
      <c r="V19" s="192"/>
      <c r="Y19" s="102"/>
      <c r="AA19" s="98" t="s">
        <v>560</v>
      </c>
      <c r="AC19" s="98" t="s">
        <v>520</v>
      </c>
      <c r="AH19" s="110"/>
      <c r="AL19" s="110"/>
      <c r="AM19" s="110"/>
      <c r="AN19" s="110"/>
    </row>
    <row r="20" spans="1:45" x14ac:dyDescent="0.3">
      <c r="A20" s="268">
        <v>3</v>
      </c>
      <c r="C20" s="116" t="s">
        <v>558</v>
      </c>
      <c r="F20" s="172">
        <v>0</v>
      </c>
      <c r="G20" s="1"/>
      <c r="H20" s="172">
        <f>ROUND(F20*AC19/12,0)</f>
        <v>0</v>
      </c>
      <c r="I20" s="147"/>
      <c r="J20" s="228">
        <f>ROUND(AC371+(AC371*'Rate SL'!$AG$1),6)</f>
        <v>4.7418319999999996</v>
      </c>
      <c r="K20" s="228">
        <f>ROUND(AD371+(AD371*'Rate SL'!$AG$1),6)</f>
        <v>3.3135690000000002</v>
      </c>
      <c r="L20" s="106">
        <f>ROUND((F20*(J20+K20)),0)</f>
        <v>0</v>
      </c>
      <c r="M20" s="106"/>
      <c r="N20" s="175">
        <f t="shared" ref="N20:N61" si="0">ROUND((L20/L$340)*100,1)</f>
        <v>0</v>
      </c>
      <c r="O20" s="175"/>
      <c r="P20" s="106">
        <f t="shared" ref="P20:P61" si="1">ROUND(($P$108/$H$108)*D20,0)</f>
        <v>0</v>
      </c>
      <c r="Q20" s="106"/>
      <c r="R20" s="106">
        <f>L20+P20</f>
        <v>0</v>
      </c>
      <c r="S20" s="110"/>
      <c r="V20" s="192"/>
      <c r="AA20" s="102">
        <v>17</v>
      </c>
      <c r="AC20" s="192">
        <f>AA20*12</f>
        <v>204</v>
      </c>
      <c r="AF20" s="172"/>
      <c r="AG20" s="190"/>
      <c r="AH20" s="192"/>
      <c r="AK20" s="194"/>
      <c r="AL20" s="192"/>
      <c r="AM20" s="192"/>
      <c r="AN20" s="192"/>
      <c r="AO20" s="141"/>
      <c r="AP20" s="141"/>
    </row>
    <row r="21" spans="1:45" x14ac:dyDescent="0.3">
      <c r="A21" s="268">
        <v>4</v>
      </c>
      <c r="C21" s="116" t="s">
        <v>559</v>
      </c>
      <c r="F21" s="172">
        <v>0</v>
      </c>
      <c r="G21" s="1"/>
      <c r="H21" s="172">
        <f t="shared" ref="H21:H46" si="2">ROUND(F21*AC20/12,0)</f>
        <v>0</v>
      </c>
      <c r="I21" s="147"/>
      <c r="J21" s="228">
        <f>ROUND(AC372+(AC372*'Rate SL'!$AG$1),6)</f>
        <v>4.7989620000000004</v>
      </c>
      <c r="K21" s="228">
        <f>ROUND(AD372+(AD372*'Rate SL'!$AG$1),6)</f>
        <v>3.3135690000000002</v>
      </c>
      <c r="L21" s="106">
        <f t="shared" ref="L21:L46" si="3">ROUND((F21*(J21+K21)),0)</f>
        <v>0</v>
      </c>
      <c r="M21" s="106"/>
      <c r="N21" s="175">
        <f t="shared" si="0"/>
        <v>0</v>
      </c>
      <c r="O21" s="175"/>
      <c r="P21" s="106">
        <f t="shared" si="1"/>
        <v>0</v>
      </c>
      <c r="Q21" s="106"/>
      <c r="R21" s="106">
        <f>L21+P21</f>
        <v>0</v>
      </c>
      <c r="S21" s="110"/>
      <c r="V21" s="228"/>
      <c r="Y21" s="304"/>
      <c r="AA21" s="102">
        <v>17</v>
      </c>
      <c r="AB21" s="217"/>
      <c r="AC21" s="192">
        <f t="shared" ref="AC21:AC41" si="4">AA21*12</f>
        <v>204</v>
      </c>
      <c r="AD21" s="192"/>
      <c r="AE21" s="192"/>
      <c r="AF21" s="192"/>
      <c r="AG21" s="194"/>
      <c r="AH21" s="192"/>
      <c r="AK21" s="194"/>
      <c r="AL21" s="192"/>
      <c r="AM21" s="192"/>
      <c r="AN21" s="192"/>
      <c r="AO21" s="269"/>
      <c r="AP21" s="141"/>
    </row>
    <row r="22" spans="1:45" x14ac:dyDescent="0.3">
      <c r="A22" s="268">
        <v>5</v>
      </c>
      <c r="C22" s="116" t="s">
        <v>624</v>
      </c>
      <c r="F22" s="172">
        <v>259</v>
      </c>
      <c r="G22" s="1"/>
      <c r="H22" s="172">
        <f t="shared" si="2"/>
        <v>4403</v>
      </c>
      <c r="I22" s="147"/>
      <c r="J22" s="228">
        <f>ROUND(AC373+(AC373*'Rate SL'!$AG$1),6)</f>
        <v>4.3876220000000004</v>
      </c>
      <c r="K22" s="228">
        <f>ROUND(AD373+(AD373*'Rate SL'!$AG$1),6)</f>
        <v>3.3135690000000002</v>
      </c>
      <c r="L22" s="106">
        <f t="shared" si="3"/>
        <v>1995</v>
      </c>
      <c r="M22" s="106"/>
      <c r="N22" s="175">
        <f t="shared" si="0"/>
        <v>8.8000000000000007</v>
      </c>
      <c r="O22" s="175"/>
      <c r="P22" s="106">
        <f t="shared" si="1"/>
        <v>0</v>
      </c>
      <c r="Q22" s="106"/>
      <c r="R22" s="106">
        <f t="shared" ref="R22:R31" si="5">L22+P22</f>
        <v>1995</v>
      </c>
      <c r="S22" s="110"/>
      <c r="V22" s="228"/>
      <c r="Y22" s="304"/>
      <c r="AA22" s="102">
        <v>17</v>
      </c>
      <c r="AB22" s="217"/>
      <c r="AC22" s="192">
        <f t="shared" si="4"/>
        <v>204</v>
      </c>
      <c r="AD22" s="110"/>
      <c r="AE22" s="141"/>
      <c r="AF22" s="141"/>
      <c r="AH22" s="110"/>
      <c r="AL22" s="110"/>
      <c r="AM22" s="110"/>
      <c r="AN22" s="110"/>
      <c r="AO22" s="269"/>
      <c r="AP22" s="141"/>
    </row>
    <row r="23" spans="1:45" x14ac:dyDescent="0.3">
      <c r="A23" s="268">
        <v>6</v>
      </c>
      <c r="C23" s="116" t="s">
        <v>623</v>
      </c>
      <c r="F23" s="172">
        <v>672</v>
      </c>
      <c r="G23" s="1"/>
      <c r="H23" s="172">
        <f t="shared" si="2"/>
        <v>11424</v>
      </c>
      <c r="I23" s="147"/>
      <c r="J23" s="228">
        <f>ROUND(AC374+(AC374*'Rate SL'!$AG$1),6)</f>
        <v>4.8218139999999998</v>
      </c>
      <c r="K23" s="228">
        <f>ROUND(AD374+(AD374*'Rate SL'!$AG$1),6)</f>
        <v>3.3135690000000002</v>
      </c>
      <c r="L23" s="106">
        <f t="shared" si="3"/>
        <v>5467</v>
      </c>
      <c r="M23" s="106"/>
      <c r="N23" s="175">
        <f t="shared" si="0"/>
        <v>24.1</v>
      </c>
      <c r="O23" s="175"/>
      <c r="P23" s="106">
        <f t="shared" si="1"/>
        <v>0</v>
      </c>
      <c r="Q23" s="106"/>
      <c r="R23" s="106">
        <f>L23+P23</f>
        <v>5467</v>
      </c>
      <c r="S23" s="110"/>
      <c r="V23" s="228"/>
      <c r="Y23" s="304"/>
      <c r="AA23" s="102">
        <v>24</v>
      </c>
      <c r="AB23" s="217"/>
      <c r="AC23" s="192">
        <f t="shared" si="4"/>
        <v>288</v>
      </c>
      <c r="AD23" s="110"/>
      <c r="AE23" s="141"/>
      <c r="AF23" s="141"/>
      <c r="AH23" s="110"/>
      <c r="AL23" s="110"/>
      <c r="AM23" s="110"/>
      <c r="AN23" s="110"/>
      <c r="AO23" s="269"/>
      <c r="AP23" s="141"/>
    </row>
    <row r="24" spans="1:45" x14ac:dyDescent="0.3">
      <c r="A24" s="268">
        <v>7</v>
      </c>
      <c r="C24" s="116" t="s">
        <v>622</v>
      </c>
      <c r="F24" s="172">
        <v>22</v>
      </c>
      <c r="G24" s="1"/>
      <c r="H24" s="172">
        <f t="shared" si="2"/>
        <v>528</v>
      </c>
      <c r="I24" s="147"/>
      <c r="J24" s="228">
        <f>ROUND(AC375+(AC375*'Rate SL'!$AG$1),6)</f>
        <v>5.4502499999999996</v>
      </c>
      <c r="K24" s="228">
        <f>ROUND(AD375+(AD375*'Rate SL'!$AG$1),6)</f>
        <v>3.3135690000000002</v>
      </c>
      <c r="L24" s="106">
        <f t="shared" si="3"/>
        <v>193</v>
      </c>
      <c r="M24" s="106"/>
      <c r="N24" s="175">
        <f t="shared" si="0"/>
        <v>0.8</v>
      </c>
      <c r="O24" s="175"/>
      <c r="P24" s="106">
        <f t="shared" si="1"/>
        <v>0</v>
      </c>
      <c r="Q24" s="106"/>
      <c r="R24" s="106">
        <f t="shared" si="5"/>
        <v>193</v>
      </c>
      <c r="S24" s="110"/>
      <c r="U24" s="97"/>
      <c r="V24" s="228"/>
      <c r="W24" s="97"/>
      <c r="X24" s="97"/>
      <c r="Y24" s="304"/>
      <c r="Z24" s="97"/>
      <c r="AA24" s="102">
        <v>38</v>
      </c>
      <c r="AB24" s="97"/>
      <c r="AC24" s="192">
        <f t="shared" si="4"/>
        <v>456</v>
      </c>
      <c r="AD24" s="97"/>
      <c r="AE24" s="97"/>
      <c r="AF24" s="97"/>
      <c r="AG24" s="149"/>
      <c r="AH24" s="97"/>
      <c r="AI24" s="97"/>
      <c r="AJ24" s="97"/>
      <c r="AK24" s="149"/>
      <c r="AL24" s="97"/>
      <c r="AM24" s="97"/>
      <c r="AN24" s="97"/>
      <c r="AO24" s="269"/>
      <c r="AP24" s="97"/>
      <c r="AR24" s="97"/>
      <c r="AS24" s="97"/>
    </row>
    <row r="25" spans="1:45" x14ac:dyDescent="0.3">
      <c r="A25" s="268">
        <v>8</v>
      </c>
      <c r="C25" s="116" t="s">
        <v>621</v>
      </c>
      <c r="F25" s="172">
        <v>10</v>
      </c>
      <c r="G25" s="1"/>
      <c r="H25" s="172">
        <f t="shared" si="2"/>
        <v>380</v>
      </c>
      <c r="I25" s="147"/>
      <c r="J25" s="228">
        <f>ROUND(AC376+(AC376*'Rate SL'!$AG$1),6)</f>
        <v>5.5188059999999997</v>
      </c>
      <c r="K25" s="228">
        <f>ROUND(AD376+(AD376*'Rate SL'!$AG$1),6)</f>
        <v>3.3135690000000002</v>
      </c>
      <c r="L25" s="106">
        <f t="shared" si="3"/>
        <v>88</v>
      </c>
      <c r="M25" s="106"/>
      <c r="N25" s="175">
        <f t="shared" si="0"/>
        <v>0.4</v>
      </c>
      <c r="O25" s="175"/>
      <c r="P25" s="106">
        <f t="shared" si="1"/>
        <v>0</v>
      </c>
      <c r="Q25" s="106"/>
      <c r="R25" s="106">
        <f>L25+P25</f>
        <v>88</v>
      </c>
      <c r="S25" s="110"/>
      <c r="U25" s="97"/>
      <c r="V25" s="228"/>
      <c r="W25" s="99"/>
      <c r="X25" s="97"/>
      <c r="Y25" s="304"/>
      <c r="Z25" s="97"/>
      <c r="AA25" s="102">
        <v>52</v>
      </c>
      <c r="AB25" s="97"/>
      <c r="AC25" s="192">
        <f t="shared" si="4"/>
        <v>624</v>
      </c>
      <c r="AD25" s="97"/>
      <c r="AE25" s="97"/>
      <c r="AF25" s="97"/>
      <c r="AG25" s="149"/>
      <c r="AH25" s="97"/>
      <c r="AI25" s="97"/>
      <c r="AJ25" s="97"/>
      <c r="AK25" s="149"/>
      <c r="AL25" s="97"/>
      <c r="AM25" s="97"/>
      <c r="AN25" s="97"/>
      <c r="AO25" s="269"/>
      <c r="AP25" s="97"/>
      <c r="AR25" s="97"/>
      <c r="AS25" s="97"/>
    </row>
    <row r="26" spans="1:45" x14ac:dyDescent="0.3">
      <c r="A26" s="268">
        <v>9</v>
      </c>
      <c r="C26" s="116" t="s">
        <v>620</v>
      </c>
      <c r="F26" s="172">
        <v>19</v>
      </c>
      <c r="G26" s="1"/>
      <c r="H26" s="172">
        <f t="shared" si="2"/>
        <v>988</v>
      </c>
      <c r="I26" s="147"/>
      <c r="J26" s="228">
        <f>ROUND(AC377+(AC377*'Rate SL'!$AG$1),6)</f>
        <v>7.2098690000000003</v>
      </c>
      <c r="K26" s="228">
        <f>ROUND(AD377+(AD377*'Rate SL'!$AG$1),6)</f>
        <v>4.0448389999999996</v>
      </c>
      <c r="L26" s="106">
        <f t="shared" si="3"/>
        <v>214</v>
      </c>
      <c r="M26" s="106"/>
      <c r="N26" s="175">
        <f t="shared" si="0"/>
        <v>0.9</v>
      </c>
      <c r="O26" s="175"/>
      <c r="P26" s="106">
        <f t="shared" si="1"/>
        <v>0</v>
      </c>
      <c r="Q26" s="106"/>
      <c r="R26" s="106">
        <f>L26+P26</f>
        <v>214</v>
      </c>
      <c r="S26" s="110"/>
      <c r="U26" s="97"/>
      <c r="V26" s="228"/>
      <c r="W26" s="97"/>
      <c r="X26" s="97"/>
      <c r="Y26" s="304"/>
      <c r="Z26" s="97"/>
      <c r="AA26" s="102">
        <v>76</v>
      </c>
      <c r="AB26" s="97"/>
      <c r="AC26" s="192">
        <f t="shared" si="4"/>
        <v>912</v>
      </c>
      <c r="AD26" s="97"/>
      <c r="AE26" s="97"/>
      <c r="AF26" s="97"/>
      <c r="AG26" s="149"/>
      <c r="AH26" s="97"/>
      <c r="AI26" s="97"/>
      <c r="AJ26" s="97"/>
      <c r="AK26" s="149"/>
      <c r="AL26" s="97"/>
      <c r="AM26" s="97"/>
      <c r="AN26" s="97"/>
      <c r="AO26" s="269"/>
      <c r="AP26" s="97"/>
      <c r="AR26" s="97"/>
      <c r="AS26" s="97"/>
    </row>
    <row r="27" spans="1:45" x14ac:dyDescent="0.3">
      <c r="A27" s="268">
        <v>10</v>
      </c>
      <c r="C27" s="116" t="s">
        <v>619</v>
      </c>
      <c r="F27" s="172">
        <v>4</v>
      </c>
      <c r="G27" s="1"/>
      <c r="H27" s="172">
        <f t="shared" si="2"/>
        <v>304</v>
      </c>
      <c r="I27" s="147"/>
      <c r="J27" s="228">
        <f>ROUND(AC378+(AC378*'Rate SL'!$AG$1),6)</f>
        <v>7.2670000000000003</v>
      </c>
      <c r="K27" s="228">
        <f>ROUND(AD378+(AD378*'Rate SL'!$AG$1),6)</f>
        <v>4.0448389999999996</v>
      </c>
      <c r="L27" s="106">
        <f t="shared" si="3"/>
        <v>45</v>
      </c>
      <c r="M27" s="106"/>
      <c r="N27" s="175">
        <f t="shared" si="0"/>
        <v>0.2</v>
      </c>
      <c r="O27" s="175"/>
      <c r="P27" s="106">
        <f t="shared" si="1"/>
        <v>0</v>
      </c>
      <c r="Q27" s="106"/>
      <c r="R27" s="106">
        <f>L27+P27</f>
        <v>45</v>
      </c>
      <c r="S27" s="110"/>
      <c r="U27" s="97"/>
      <c r="V27" s="228"/>
      <c r="W27" s="99"/>
      <c r="X27" s="97"/>
      <c r="Y27" s="304"/>
      <c r="Z27" s="97"/>
      <c r="AA27" s="102">
        <v>97</v>
      </c>
      <c r="AB27" s="97"/>
      <c r="AC27" s="192">
        <f t="shared" si="4"/>
        <v>1164</v>
      </c>
      <c r="AD27" s="97"/>
      <c r="AE27" s="97"/>
      <c r="AF27" s="97"/>
      <c r="AG27" s="149"/>
      <c r="AH27" s="97"/>
      <c r="AI27" s="97"/>
      <c r="AJ27" s="97"/>
      <c r="AK27" s="149"/>
      <c r="AL27" s="97"/>
      <c r="AM27" s="97"/>
      <c r="AN27" s="97"/>
      <c r="AO27" s="269"/>
      <c r="AP27" s="97"/>
      <c r="AR27" s="97"/>
      <c r="AS27" s="97"/>
    </row>
    <row r="28" spans="1:45" x14ac:dyDescent="0.3">
      <c r="A28" s="268">
        <v>11</v>
      </c>
      <c r="C28" s="116" t="s">
        <v>618</v>
      </c>
      <c r="F28" s="172">
        <v>0</v>
      </c>
      <c r="G28" s="1"/>
      <c r="H28" s="172">
        <f t="shared" si="2"/>
        <v>0</v>
      </c>
      <c r="I28" s="147"/>
      <c r="J28" s="228">
        <f>ROUND(AC379+(AC379*'Rate SL'!$AG$1),6)</f>
        <v>13.379963</v>
      </c>
      <c r="K28" s="228">
        <f>ROUND(AD379+(AD379*'Rate SL'!$AG$1),6)</f>
        <v>3.3135690000000002</v>
      </c>
      <c r="L28" s="106">
        <f t="shared" si="3"/>
        <v>0</v>
      </c>
      <c r="M28" s="106"/>
      <c r="N28" s="175">
        <f t="shared" si="0"/>
        <v>0</v>
      </c>
      <c r="O28" s="175"/>
      <c r="P28" s="106">
        <f t="shared" si="1"/>
        <v>0</v>
      </c>
      <c r="Q28" s="106"/>
      <c r="R28" s="106">
        <f t="shared" si="5"/>
        <v>0</v>
      </c>
      <c r="S28" s="110"/>
      <c r="V28" s="228"/>
      <c r="Y28" s="304"/>
      <c r="AA28" s="102">
        <v>17</v>
      </c>
      <c r="AC28" s="192">
        <f t="shared" si="4"/>
        <v>204</v>
      </c>
      <c r="AD28" s="110"/>
      <c r="AE28" s="110"/>
      <c r="AF28" s="110"/>
      <c r="AL28" s="110"/>
      <c r="AM28" s="110"/>
      <c r="AN28" s="110"/>
      <c r="AO28" s="269"/>
    </row>
    <row r="29" spans="1:45" x14ac:dyDescent="0.3">
      <c r="A29" s="268">
        <v>12</v>
      </c>
      <c r="C29" s="116" t="s">
        <v>617</v>
      </c>
      <c r="F29" s="172">
        <v>0</v>
      </c>
      <c r="G29" s="1"/>
      <c r="H29" s="172">
        <f t="shared" si="2"/>
        <v>0</v>
      </c>
      <c r="I29" s="147"/>
      <c r="J29" s="228">
        <f>ROUND(AC380+(AC380*'Rate SL'!$AG$1),6)</f>
        <v>14.911061</v>
      </c>
      <c r="K29" s="228">
        <f>ROUND(AD380+(AD380*'Rate SL'!$AG$1),6)</f>
        <v>3.3135690000000002</v>
      </c>
      <c r="L29" s="106">
        <f t="shared" si="3"/>
        <v>0</v>
      </c>
      <c r="M29" s="106"/>
      <c r="N29" s="175">
        <f t="shared" si="0"/>
        <v>0</v>
      </c>
      <c r="O29" s="175"/>
      <c r="P29" s="106">
        <f t="shared" si="1"/>
        <v>0</v>
      </c>
      <c r="Q29" s="106"/>
      <c r="R29" s="106">
        <f>L29+P29</f>
        <v>0</v>
      </c>
      <c r="S29" s="110"/>
      <c r="V29" s="228"/>
      <c r="Y29" s="304"/>
      <c r="AA29" s="102">
        <v>17</v>
      </c>
      <c r="AC29" s="192">
        <f t="shared" si="4"/>
        <v>204</v>
      </c>
      <c r="AD29" s="110"/>
      <c r="AE29" s="110"/>
      <c r="AF29" s="110"/>
      <c r="AL29" s="110"/>
      <c r="AM29" s="110"/>
      <c r="AN29" s="110"/>
      <c r="AO29" s="269"/>
    </row>
    <row r="30" spans="1:45" ht="15" customHeight="1" x14ac:dyDescent="0.3">
      <c r="A30" s="268">
        <v>13</v>
      </c>
      <c r="C30" s="116" t="s">
        <v>553</v>
      </c>
      <c r="F30" s="172">
        <v>0</v>
      </c>
      <c r="G30" s="1"/>
      <c r="H30" s="172">
        <f t="shared" si="2"/>
        <v>0</v>
      </c>
      <c r="I30" s="147"/>
      <c r="J30" s="228">
        <f>ROUND(AC381+(AC381*'Rate SL'!$AG$1),6)</f>
        <v>15.356678</v>
      </c>
      <c r="K30" s="228">
        <f>ROUND(AD381+(AD381*'Rate SL'!$AG$1),6)</f>
        <v>3.3135690000000002</v>
      </c>
      <c r="L30" s="106">
        <f t="shared" si="3"/>
        <v>0</v>
      </c>
      <c r="M30" s="106"/>
      <c r="N30" s="175">
        <f t="shared" si="0"/>
        <v>0</v>
      </c>
      <c r="O30" s="175"/>
      <c r="P30" s="106">
        <f t="shared" si="1"/>
        <v>0</v>
      </c>
      <c r="Q30" s="106"/>
      <c r="R30" s="106">
        <f t="shared" si="5"/>
        <v>0</v>
      </c>
      <c r="S30" s="110"/>
      <c r="V30" s="228"/>
      <c r="Y30" s="304"/>
      <c r="AA30" s="102">
        <v>24</v>
      </c>
      <c r="AC30" s="192">
        <f t="shared" si="4"/>
        <v>288</v>
      </c>
      <c r="AO30" s="269"/>
    </row>
    <row r="31" spans="1:45" ht="15.75" customHeight="1" x14ac:dyDescent="0.3">
      <c r="A31" s="268">
        <v>14</v>
      </c>
      <c r="C31" s="116" t="s">
        <v>616</v>
      </c>
      <c r="F31" s="172">
        <v>858</v>
      </c>
      <c r="G31" s="1"/>
      <c r="H31" s="172">
        <f t="shared" si="2"/>
        <v>20592</v>
      </c>
      <c r="I31" s="147"/>
      <c r="J31" s="228">
        <f>ROUND(AC382+(AC382*'Rate SL'!$AG$1),6)</f>
        <v>7.2098690000000003</v>
      </c>
      <c r="K31" s="228">
        <f>ROUND(AD382+(AD382*'Rate SL'!$AG$1),6)</f>
        <v>3.3135690000000002</v>
      </c>
      <c r="L31" s="106">
        <f t="shared" si="3"/>
        <v>9029</v>
      </c>
      <c r="M31" s="106"/>
      <c r="N31" s="175">
        <f t="shared" si="0"/>
        <v>39.700000000000003</v>
      </c>
      <c r="O31" s="175"/>
      <c r="P31" s="106">
        <f t="shared" si="1"/>
        <v>0</v>
      </c>
      <c r="Q31" s="106"/>
      <c r="R31" s="106">
        <f t="shared" si="5"/>
        <v>9029</v>
      </c>
      <c r="S31" s="110"/>
      <c r="U31" s="97"/>
      <c r="V31" s="228"/>
      <c r="W31" s="97"/>
      <c r="X31" s="97"/>
      <c r="Y31" s="304"/>
      <c r="Z31" s="97"/>
      <c r="AA31" s="102">
        <v>17</v>
      </c>
      <c r="AB31" s="97"/>
      <c r="AC31" s="192">
        <f t="shared" si="4"/>
        <v>204</v>
      </c>
      <c r="AD31" s="97"/>
      <c r="AE31" s="97"/>
      <c r="AF31" s="97"/>
      <c r="AG31" s="149"/>
      <c r="AH31" s="97"/>
      <c r="AI31" s="97"/>
      <c r="AJ31" s="97"/>
      <c r="AK31" s="149"/>
      <c r="AL31" s="97"/>
      <c r="AM31" s="97"/>
      <c r="AN31" s="97"/>
      <c r="AO31" s="269"/>
      <c r="AP31" s="97"/>
      <c r="AR31" s="97"/>
      <c r="AS31" s="97"/>
    </row>
    <row r="32" spans="1:45" ht="15.75" customHeight="1" x14ac:dyDescent="0.3">
      <c r="A32" s="268">
        <v>15</v>
      </c>
      <c r="C32" s="116" t="s">
        <v>615</v>
      </c>
      <c r="F32" s="172">
        <v>0</v>
      </c>
      <c r="G32" s="1"/>
      <c r="H32" s="172">
        <f t="shared" si="2"/>
        <v>0</v>
      </c>
      <c r="I32" s="147"/>
      <c r="J32" s="228">
        <f>ROUND(AC383+(AC383*'Rate SL'!$AG$1),6)</f>
        <v>7.4955220000000002</v>
      </c>
      <c r="K32" s="228">
        <f>ROUND(AD383+(AD383*'Rate SL'!$AG$1),6)</f>
        <v>3.3135690000000002</v>
      </c>
      <c r="L32" s="106">
        <f t="shared" si="3"/>
        <v>0</v>
      </c>
      <c r="M32" s="106"/>
      <c r="N32" s="175">
        <f t="shared" si="0"/>
        <v>0</v>
      </c>
      <c r="O32" s="175"/>
      <c r="P32" s="106">
        <f t="shared" si="1"/>
        <v>0</v>
      </c>
      <c r="Q32" s="106"/>
      <c r="R32" s="106">
        <f t="shared" ref="R32:R39" si="6">L32+P32</f>
        <v>0</v>
      </c>
      <c r="S32" s="110"/>
      <c r="U32" s="97"/>
      <c r="V32" s="228"/>
      <c r="W32" s="97"/>
      <c r="X32" s="97"/>
      <c r="Y32" s="304"/>
      <c r="Z32" s="97"/>
      <c r="AA32" s="102">
        <v>17</v>
      </c>
      <c r="AB32" s="97"/>
      <c r="AC32" s="192">
        <f t="shared" si="4"/>
        <v>204</v>
      </c>
      <c r="AD32" s="97"/>
      <c r="AE32" s="97"/>
      <c r="AF32" s="97"/>
      <c r="AG32" s="149"/>
      <c r="AH32" s="97"/>
      <c r="AI32" s="97"/>
      <c r="AJ32" s="97"/>
      <c r="AK32" s="149"/>
      <c r="AL32" s="97"/>
      <c r="AM32" s="97"/>
      <c r="AN32" s="97"/>
      <c r="AO32" s="269"/>
      <c r="AP32" s="97"/>
      <c r="AR32" s="97"/>
      <c r="AS32" s="97"/>
    </row>
    <row r="33" spans="1:45" ht="15.75" customHeight="1" x14ac:dyDescent="0.3">
      <c r="A33" s="268">
        <v>16</v>
      </c>
      <c r="C33" s="116" t="s">
        <v>614</v>
      </c>
      <c r="F33" s="172">
        <v>0</v>
      </c>
      <c r="G33" s="1"/>
      <c r="H33" s="172">
        <f t="shared" si="2"/>
        <v>0</v>
      </c>
      <c r="I33" s="147"/>
      <c r="J33" s="228">
        <f>ROUND(AC384+(AC384*'Rate SL'!$AG$1),6)</f>
        <v>13.722746000000001</v>
      </c>
      <c r="K33" s="228">
        <f>ROUND(AD384+(AD384*'Rate SL'!$AG$1),6)</f>
        <v>3.3135690000000002</v>
      </c>
      <c r="L33" s="106">
        <f t="shared" si="3"/>
        <v>0</v>
      </c>
      <c r="M33" s="106"/>
      <c r="N33" s="175">
        <f t="shared" si="0"/>
        <v>0</v>
      </c>
      <c r="O33" s="175"/>
      <c r="P33" s="106">
        <f t="shared" si="1"/>
        <v>0</v>
      </c>
      <c r="Q33" s="106"/>
      <c r="R33" s="106">
        <f t="shared" si="6"/>
        <v>0</v>
      </c>
      <c r="S33" s="110"/>
      <c r="U33" s="97"/>
      <c r="V33" s="228"/>
      <c r="W33" s="97"/>
      <c r="X33" s="97"/>
      <c r="Y33" s="304"/>
      <c r="Z33" s="97"/>
      <c r="AA33" s="102">
        <v>17</v>
      </c>
      <c r="AB33" s="97"/>
      <c r="AC33" s="192">
        <f t="shared" si="4"/>
        <v>204</v>
      </c>
      <c r="AD33" s="97"/>
      <c r="AE33" s="97"/>
      <c r="AF33" s="97"/>
      <c r="AG33" s="149"/>
      <c r="AH33" s="97"/>
      <c r="AI33" s="97"/>
      <c r="AJ33" s="97"/>
      <c r="AK33" s="149"/>
      <c r="AL33" s="97"/>
      <c r="AM33" s="97"/>
      <c r="AN33" s="97"/>
      <c r="AO33" s="269"/>
      <c r="AP33" s="97"/>
      <c r="AR33" s="97"/>
      <c r="AS33" s="97"/>
    </row>
    <row r="34" spans="1:45" ht="15.75" customHeight="1" x14ac:dyDescent="0.3">
      <c r="A34" s="268">
        <v>17</v>
      </c>
      <c r="B34" s="272"/>
      <c r="C34" s="116" t="s">
        <v>613</v>
      </c>
      <c r="D34" s="272"/>
      <c r="F34" s="172">
        <v>0</v>
      </c>
      <c r="G34" s="1"/>
      <c r="H34" s="172">
        <f t="shared" si="2"/>
        <v>0</v>
      </c>
      <c r="I34" s="147"/>
      <c r="J34" s="228">
        <f>ROUND(AC385+(AC385*'Rate SL'!$AG$1),6)</f>
        <v>13.174293</v>
      </c>
      <c r="K34" s="228">
        <f>ROUND(AD385+(AD385*'Rate SL'!$AG$1),6)</f>
        <v>3.3135690000000002</v>
      </c>
      <c r="L34" s="106">
        <f t="shared" si="3"/>
        <v>0</v>
      </c>
      <c r="M34" s="106"/>
      <c r="N34" s="175">
        <f t="shared" si="0"/>
        <v>0</v>
      </c>
      <c r="O34" s="175"/>
      <c r="P34" s="106">
        <f t="shared" si="1"/>
        <v>0</v>
      </c>
      <c r="Q34" s="106"/>
      <c r="R34" s="106">
        <f t="shared" si="6"/>
        <v>0</v>
      </c>
      <c r="S34" s="110"/>
      <c r="U34" s="97"/>
      <c r="V34" s="228"/>
      <c r="W34" s="97"/>
      <c r="X34" s="97"/>
      <c r="Y34" s="304"/>
      <c r="Z34" s="97"/>
      <c r="AA34" s="102">
        <v>17</v>
      </c>
      <c r="AB34" s="97"/>
      <c r="AC34" s="192">
        <f t="shared" si="4"/>
        <v>204</v>
      </c>
      <c r="AD34" s="97"/>
      <c r="AE34" s="97"/>
      <c r="AF34" s="97"/>
      <c r="AG34" s="149"/>
      <c r="AH34" s="97"/>
      <c r="AI34" s="97"/>
      <c r="AJ34" s="97"/>
      <c r="AK34" s="149"/>
      <c r="AL34" s="97"/>
      <c r="AM34" s="97"/>
      <c r="AN34" s="97"/>
      <c r="AO34" s="269"/>
      <c r="AP34" s="97"/>
      <c r="AR34" s="97"/>
      <c r="AS34" s="97"/>
    </row>
    <row r="35" spans="1:45" ht="15.75" customHeight="1" x14ac:dyDescent="0.3">
      <c r="A35" s="268">
        <v>18</v>
      </c>
      <c r="B35" s="272"/>
      <c r="C35" s="116" t="s">
        <v>612</v>
      </c>
      <c r="D35" s="272"/>
      <c r="F35" s="172">
        <v>0</v>
      </c>
      <c r="G35" s="1"/>
      <c r="H35" s="172">
        <f t="shared" si="2"/>
        <v>0</v>
      </c>
      <c r="I35" s="147"/>
      <c r="J35" s="228">
        <f>ROUND(AC386+(AC386*'Rate SL'!$AG$1),6)</f>
        <v>16.750662999999999</v>
      </c>
      <c r="K35" s="228">
        <f>ROUND(AD386+(AD386*'Rate SL'!$AG$1),6)</f>
        <v>3.3135690000000002</v>
      </c>
      <c r="L35" s="106">
        <f t="shared" si="3"/>
        <v>0</v>
      </c>
      <c r="M35" s="106"/>
      <c r="N35" s="175">
        <f t="shared" si="0"/>
        <v>0</v>
      </c>
      <c r="O35" s="175"/>
      <c r="P35" s="106">
        <f t="shared" si="1"/>
        <v>0</v>
      </c>
      <c r="Q35" s="106"/>
      <c r="R35" s="106">
        <f t="shared" si="6"/>
        <v>0</v>
      </c>
      <c r="S35" s="110"/>
      <c r="U35" s="97"/>
      <c r="V35" s="228"/>
      <c r="W35" s="97"/>
      <c r="X35" s="97"/>
      <c r="Y35" s="304"/>
      <c r="Z35" s="97"/>
      <c r="AA35" s="102">
        <v>24</v>
      </c>
      <c r="AB35" s="97"/>
      <c r="AC35" s="192">
        <f t="shared" si="4"/>
        <v>288</v>
      </c>
      <c r="AD35" s="97"/>
      <c r="AE35" s="97"/>
      <c r="AF35" s="97"/>
      <c r="AG35" s="149"/>
      <c r="AH35" s="97"/>
      <c r="AI35" s="97"/>
      <c r="AJ35" s="97"/>
      <c r="AK35" s="149"/>
      <c r="AL35" s="97"/>
      <c r="AM35" s="97"/>
      <c r="AN35" s="97"/>
      <c r="AO35" s="269"/>
      <c r="AP35" s="97"/>
      <c r="AR35" s="97"/>
      <c r="AS35" s="97"/>
    </row>
    <row r="36" spans="1:45" ht="15.75" customHeight="1" x14ac:dyDescent="0.3">
      <c r="A36" s="268">
        <v>19</v>
      </c>
      <c r="B36" s="272"/>
      <c r="C36" s="116" t="s">
        <v>611</v>
      </c>
      <c r="D36" s="272"/>
      <c r="F36" s="172">
        <v>0</v>
      </c>
      <c r="G36" s="1"/>
      <c r="H36" s="172">
        <f t="shared" si="2"/>
        <v>0</v>
      </c>
      <c r="I36" s="147"/>
      <c r="J36" s="228">
        <f>ROUND(AC387+(AC387*'Rate SL'!$AG$1),6)</f>
        <v>17.459081000000001</v>
      </c>
      <c r="K36" s="228">
        <f>ROUND(AD387+(AD387*'Rate SL'!$AG$1),6)</f>
        <v>3.3135690000000002</v>
      </c>
      <c r="L36" s="106">
        <f t="shared" si="3"/>
        <v>0</v>
      </c>
      <c r="M36" s="106"/>
      <c r="N36" s="175">
        <f t="shared" si="0"/>
        <v>0</v>
      </c>
      <c r="O36" s="175"/>
      <c r="P36" s="106">
        <f t="shared" si="1"/>
        <v>0</v>
      </c>
      <c r="Q36" s="106"/>
      <c r="R36" s="106">
        <f t="shared" si="6"/>
        <v>0</v>
      </c>
      <c r="S36" s="110"/>
      <c r="U36" s="97"/>
      <c r="V36" s="228"/>
      <c r="W36" s="97"/>
      <c r="X36" s="97"/>
      <c r="Y36" s="304"/>
      <c r="Z36" s="97"/>
      <c r="AA36" s="102">
        <v>52</v>
      </c>
      <c r="AB36" s="97"/>
      <c r="AC36" s="192">
        <f t="shared" si="4"/>
        <v>624</v>
      </c>
      <c r="AD36" s="97"/>
      <c r="AE36" s="97"/>
      <c r="AF36" s="97"/>
      <c r="AG36" s="149"/>
      <c r="AH36" s="97"/>
      <c r="AI36" s="97"/>
      <c r="AJ36" s="97"/>
      <c r="AK36" s="149"/>
      <c r="AL36" s="97"/>
      <c r="AM36" s="97"/>
      <c r="AN36" s="97"/>
      <c r="AO36" s="269"/>
      <c r="AP36" s="97"/>
      <c r="AR36" s="97"/>
      <c r="AS36" s="97"/>
    </row>
    <row r="37" spans="1:45" ht="15.75" customHeight="1" x14ac:dyDescent="0.3">
      <c r="A37" s="268">
        <v>20</v>
      </c>
      <c r="C37" s="116" t="s">
        <v>554</v>
      </c>
      <c r="F37" s="172">
        <v>0</v>
      </c>
      <c r="G37" s="1"/>
      <c r="H37" s="172">
        <f t="shared" si="2"/>
        <v>0</v>
      </c>
      <c r="I37" s="147"/>
      <c r="J37" s="228">
        <f>ROUND(AC388+(AC388*'Rate SL'!$AG$1),6)</f>
        <v>20.97832</v>
      </c>
      <c r="K37" s="228">
        <f>ROUND(AD388+(AD388*'Rate SL'!$AG$1),6)</f>
        <v>3.3135690000000002</v>
      </c>
      <c r="L37" s="106">
        <f t="shared" si="3"/>
        <v>0</v>
      </c>
      <c r="M37" s="106"/>
      <c r="N37" s="175">
        <f t="shared" si="0"/>
        <v>0</v>
      </c>
      <c r="O37" s="175"/>
      <c r="P37" s="106">
        <f t="shared" si="1"/>
        <v>0</v>
      </c>
      <c r="Q37" s="106"/>
      <c r="R37" s="106">
        <f t="shared" si="6"/>
        <v>0</v>
      </c>
      <c r="S37" s="110"/>
      <c r="U37" s="97"/>
      <c r="V37" s="228"/>
      <c r="W37" s="97"/>
      <c r="X37" s="97"/>
      <c r="Y37" s="304"/>
      <c r="Z37" s="97"/>
      <c r="AA37" s="102">
        <v>52</v>
      </c>
      <c r="AB37" s="97"/>
      <c r="AC37" s="192">
        <f t="shared" si="4"/>
        <v>624</v>
      </c>
      <c r="AD37" s="97"/>
      <c r="AE37" s="97"/>
      <c r="AF37" s="97"/>
      <c r="AG37" s="149"/>
      <c r="AH37" s="97"/>
      <c r="AI37" s="97"/>
      <c r="AJ37" s="97"/>
      <c r="AK37" s="149"/>
      <c r="AL37" s="97"/>
      <c r="AM37" s="97"/>
      <c r="AN37" s="97"/>
      <c r="AO37" s="269"/>
      <c r="AP37" s="97"/>
      <c r="AR37" s="97"/>
      <c r="AS37" s="97"/>
    </row>
    <row r="38" spans="1:45" ht="15.75" customHeight="1" x14ac:dyDescent="0.3">
      <c r="A38" s="268">
        <v>21</v>
      </c>
      <c r="B38" s="273"/>
      <c r="C38" s="116" t="s">
        <v>555</v>
      </c>
      <c r="F38" s="172">
        <v>0</v>
      </c>
      <c r="G38" s="1"/>
      <c r="H38" s="172">
        <f t="shared" si="2"/>
        <v>0</v>
      </c>
      <c r="I38" s="147"/>
      <c r="J38" s="228">
        <f>ROUND(AC389+(AC389*'Rate SL'!$AG$1),6)</f>
        <v>17.150576000000001</v>
      </c>
      <c r="K38" s="228">
        <f>ROUND(AD389+(AD389*'Rate SL'!$AG$1),6)</f>
        <v>3.3135690000000002</v>
      </c>
      <c r="L38" s="106">
        <f t="shared" si="3"/>
        <v>0</v>
      </c>
      <c r="M38" s="106"/>
      <c r="N38" s="175">
        <f t="shared" si="0"/>
        <v>0</v>
      </c>
      <c r="O38" s="175"/>
      <c r="P38" s="106">
        <f t="shared" si="1"/>
        <v>0</v>
      </c>
      <c r="Q38" s="106"/>
      <c r="R38" s="106">
        <f t="shared" si="6"/>
        <v>0</v>
      </c>
      <c r="S38" s="110"/>
      <c r="U38" s="97"/>
      <c r="V38" s="228"/>
      <c r="W38" s="97"/>
      <c r="X38" s="97"/>
      <c r="Y38" s="304"/>
      <c r="Z38" s="97"/>
      <c r="AA38" s="102">
        <v>17</v>
      </c>
      <c r="AB38" s="97"/>
      <c r="AC38" s="192">
        <f t="shared" si="4"/>
        <v>204</v>
      </c>
      <c r="AD38" s="97"/>
      <c r="AE38" s="97"/>
      <c r="AF38" s="97"/>
      <c r="AG38" s="149"/>
      <c r="AH38" s="97"/>
      <c r="AI38" s="97"/>
      <c r="AJ38" s="97"/>
      <c r="AK38" s="149"/>
      <c r="AL38" s="97"/>
      <c r="AM38" s="97"/>
      <c r="AN38" s="97"/>
      <c r="AO38" s="269"/>
      <c r="AP38" s="97"/>
      <c r="AR38" s="97"/>
      <c r="AS38" s="97"/>
    </row>
    <row r="39" spans="1:45" ht="15.75" customHeight="1" x14ac:dyDescent="0.3">
      <c r="A39" s="268">
        <v>22</v>
      </c>
      <c r="C39" s="116" t="s">
        <v>556</v>
      </c>
      <c r="F39" s="172">
        <v>0</v>
      </c>
      <c r="G39" s="1"/>
      <c r="H39" s="172">
        <f t="shared" si="2"/>
        <v>0</v>
      </c>
      <c r="I39" s="147"/>
      <c r="J39" s="228">
        <f>ROUND(AC390+(AC390*'Rate SL'!$AG$1),6)</f>
        <v>13.014328000000001</v>
      </c>
      <c r="K39" s="228">
        <f>ROUND(AD390+(AD390*'Rate SL'!$AG$1),6)</f>
        <v>4.0448389999999996</v>
      </c>
      <c r="L39" s="106">
        <f t="shared" si="3"/>
        <v>0</v>
      </c>
      <c r="M39" s="106"/>
      <c r="N39" s="175">
        <f t="shared" si="0"/>
        <v>0</v>
      </c>
      <c r="O39" s="175"/>
      <c r="P39" s="106">
        <f t="shared" si="1"/>
        <v>0</v>
      </c>
      <c r="Q39" s="106"/>
      <c r="R39" s="106">
        <f t="shared" si="6"/>
        <v>0</v>
      </c>
      <c r="S39" s="110"/>
      <c r="U39" s="97"/>
      <c r="V39" s="228"/>
      <c r="W39" s="97"/>
      <c r="X39" s="97"/>
      <c r="Y39" s="304"/>
      <c r="Z39" s="97"/>
      <c r="AA39" s="102">
        <v>76</v>
      </c>
      <c r="AB39" s="97"/>
      <c r="AC39" s="192">
        <f t="shared" si="4"/>
        <v>912</v>
      </c>
      <c r="AD39" s="97"/>
      <c r="AE39" s="97"/>
      <c r="AF39" s="97"/>
      <c r="AG39" s="149"/>
      <c r="AH39" s="97"/>
      <c r="AI39" s="97"/>
      <c r="AJ39" s="97"/>
      <c r="AK39" s="149"/>
      <c r="AL39" s="97"/>
      <c r="AM39" s="97"/>
      <c r="AN39" s="97"/>
      <c r="AO39" s="269"/>
      <c r="AP39" s="97"/>
      <c r="AR39" s="97"/>
      <c r="AS39" s="97"/>
    </row>
    <row r="40" spans="1:45" x14ac:dyDescent="0.3">
      <c r="A40" s="268">
        <v>23</v>
      </c>
      <c r="C40" s="116" t="s">
        <v>557</v>
      </c>
      <c r="F40" s="172">
        <v>0</v>
      </c>
      <c r="G40" s="1"/>
      <c r="H40" s="172">
        <f t="shared" si="2"/>
        <v>0</v>
      </c>
      <c r="I40" s="1"/>
      <c r="J40" s="228">
        <f>ROUND(AC391+(AC391*'Rate SL'!$AG$1),6)</f>
        <v>19.332961000000001</v>
      </c>
      <c r="K40" s="228">
        <f>ROUND(AD391+(AD391*'Rate SL'!$AG$1),6)</f>
        <v>4.0448389999999996</v>
      </c>
      <c r="L40" s="106">
        <f t="shared" si="3"/>
        <v>0</v>
      </c>
      <c r="M40" s="1"/>
      <c r="N40" s="175">
        <f t="shared" si="0"/>
        <v>0</v>
      </c>
      <c r="O40" s="1"/>
      <c r="P40" s="106">
        <f t="shared" si="1"/>
        <v>0</v>
      </c>
      <c r="Q40" s="1"/>
      <c r="R40" s="106">
        <f t="shared" ref="R40:R46" si="7">L40+P40</f>
        <v>0</v>
      </c>
      <c r="S40" s="110"/>
      <c r="V40" s="228"/>
      <c r="Y40" s="304"/>
      <c r="AA40" s="102">
        <v>146</v>
      </c>
      <c r="AC40" s="192">
        <f t="shared" si="4"/>
        <v>1752</v>
      </c>
      <c r="AO40" s="269"/>
    </row>
    <row r="41" spans="1:45" x14ac:dyDescent="0.3">
      <c r="A41" s="268">
        <v>24</v>
      </c>
      <c r="C41" s="116" t="s">
        <v>625</v>
      </c>
      <c r="F41" s="172">
        <v>0</v>
      </c>
      <c r="G41" s="1"/>
      <c r="H41" s="172">
        <f t="shared" si="2"/>
        <v>0</v>
      </c>
      <c r="I41" s="147"/>
      <c r="J41" s="228">
        <f>ROUND(AC392+(AC392*'Rate SL'!$AG$1),6)</f>
        <v>22.269469000000001</v>
      </c>
      <c r="K41" s="228">
        <f>ROUND(AD392+(AD392*'Rate SL'!$AG$1),6)</f>
        <v>4.0448389999999996</v>
      </c>
      <c r="L41" s="106">
        <f t="shared" si="3"/>
        <v>0</v>
      </c>
      <c r="M41" s="106"/>
      <c r="N41" s="175">
        <f t="shared" si="0"/>
        <v>0</v>
      </c>
      <c r="O41" s="175"/>
      <c r="P41" s="106">
        <f t="shared" si="1"/>
        <v>0</v>
      </c>
      <c r="Q41" s="106"/>
      <c r="R41" s="106">
        <f t="shared" si="7"/>
        <v>0</v>
      </c>
      <c r="S41" s="110"/>
      <c r="V41" s="228"/>
      <c r="Y41" s="304"/>
      <c r="AA41" s="102">
        <v>184</v>
      </c>
      <c r="AC41" s="192">
        <f t="shared" si="4"/>
        <v>2208</v>
      </c>
      <c r="AO41" s="269"/>
    </row>
    <row r="42" spans="1:45" x14ac:dyDescent="0.3">
      <c r="A42" s="268">
        <v>25</v>
      </c>
      <c r="C42" s="116" t="s">
        <v>610</v>
      </c>
      <c r="F42" s="172">
        <v>0</v>
      </c>
      <c r="G42" s="1"/>
      <c r="H42" s="172">
        <f t="shared" si="2"/>
        <v>0</v>
      </c>
      <c r="I42" s="147"/>
      <c r="J42" s="228">
        <f>ROUND(AC393+(AC393*'Rate SL'!$AG$1),6)</f>
        <v>22.897904</v>
      </c>
      <c r="K42" s="228">
        <f>ROUND(AD393+(AD393*'Rate SL'!$AG$1),6)</f>
        <v>3.3135690000000002</v>
      </c>
      <c r="L42" s="106">
        <f t="shared" si="3"/>
        <v>0</v>
      </c>
      <c r="M42" s="106"/>
      <c r="N42" s="175">
        <f t="shared" si="0"/>
        <v>0</v>
      </c>
      <c r="O42" s="175"/>
      <c r="P42" s="106">
        <f t="shared" si="1"/>
        <v>0</v>
      </c>
      <c r="Q42" s="106"/>
      <c r="R42" s="106">
        <f>L42+P42</f>
        <v>0</v>
      </c>
      <c r="S42" s="110"/>
      <c r="V42" s="228"/>
      <c r="Y42" s="304"/>
      <c r="AA42" s="102">
        <v>52</v>
      </c>
      <c r="AC42" s="192">
        <f t="shared" ref="AC42:AC50" si="8">AA42*12</f>
        <v>624</v>
      </c>
      <c r="AO42" s="269"/>
    </row>
    <row r="43" spans="1:45" x14ac:dyDescent="0.3">
      <c r="A43" s="268">
        <v>26</v>
      </c>
      <c r="C43" s="116" t="s">
        <v>609</v>
      </c>
      <c r="F43" s="172">
        <v>14</v>
      </c>
      <c r="G43" s="1"/>
      <c r="H43" s="172">
        <f t="shared" si="2"/>
        <v>728</v>
      </c>
      <c r="I43" s="147"/>
      <c r="J43" s="228">
        <f>ROUND(AC394+(AC394*'Rate SL'!$AG$1),6)</f>
        <v>8.2267919999999997</v>
      </c>
      <c r="K43" s="228">
        <f>ROUND(AD394+(AD394*'Rate SL'!$AG$1),6)</f>
        <v>3.3135690000000002</v>
      </c>
      <c r="L43" s="106">
        <f t="shared" si="3"/>
        <v>162</v>
      </c>
      <c r="M43" s="106"/>
      <c r="N43" s="175">
        <f t="shared" si="0"/>
        <v>0.7</v>
      </c>
      <c r="O43" s="175"/>
      <c r="P43" s="106">
        <f t="shared" si="1"/>
        <v>0</v>
      </c>
      <c r="Q43" s="106"/>
      <c r="R43" s="106">
        <f t="shared" si="7"/>
        <v>162</v>
      </c>
      <c r="S43" s="110"/>
      <c r="V43" s="228"/>
      <c r="Y43" s="304"/>
      <c r="AA43" s="102">
        <v>45</v>
      </c>
      <c r="AC43" s="192">
        <f t="shared" si="8"/>
        <v>540</v>
      </c>
      <c r="AO43" s="269"/>
      <c r="AR43" s="99"/>
    </row>
    <row r="44" spans="1:45" x14ac:dyDescent="0.3">
      <c r="A44" s="268">
        <v>27</v>
      </c>
      <c r="C44" s="116" t="s">
        <v>608</v>
      </c>
      <c r="F44" s="172">
        <v>58</v>
      </c>
      <c r="G44" s="1"/>
      <c r="H44" s="172">
        <f t="shared" si="2"/>
        <v>2610</v>
      </c>
      <c r="I44" s="147"/>
      <c r="J44" s="228">
        <f>ROUND(AC395+(AC395*'Rate SL'!$AG$1),6)</f>
        <v>12.842936</v>
      </c>
      <c r="K44" s="228">
        <f>ROUND(AD395+(AD395*'Rate SL'!$AG$1),6)</f>
        <v>4.0448389999999996</v>
      </c>
      <c r="L44" s="106">
        <f t="shared" si="3"/>
        <v>979</v>
      </c>
      <c r="M44" s="106"/>
      <c r="N44" s="175">
        <f t="shared" si="0"/>
        <v>4.3</v>
      </c>
      <c r="O44" s="175"/>
      <c r="P44" s="106">
        <f t="shared" si="1"/>
        <v>0</v>
      </c>
      <c r="Q44" s="106"/>
      <c r="R44" s="106">
        <f>L44+P44</f>
        <v>979</v>
      </c>
      <c r="S44" s="110"/>
      <c r="V44" s="228"/>
      <c r="Y44" s="304"/>
      <c r="AA44" s="102">
        <v>90</v>
      </c>
      <c r="AC44" s="192">
        <f t="shared" si="8"/>
        <v>1080</v>
      </c>
      <c r="AO44" s="269"/>
      <c r="AR44" s="99"/>
    </row>
    <row r="45" spans="1:45" x14ac:dyDescent="0.3">
      <c r="A45" s="268">
        <v>28</v>
      </c>
      <c r="C45" s="116" t="s">
        <v>607</v>
      </c>
      <c r="F45" s="172">
        <v>0</v>
      </c>
      <c r="G45" s="1"/>
      <c r="H45" s="172">
        <f t="shared" si="2"/>
        <v>0</v>
      </c>
      <c r="I45" s="147"/>
      <c r="J45" s="228">
        <f>ROUND(AC396+(AC396*'Rate SL'!$AG$1),6)</f>
        <v>15.413809000000001</v>
      </c>
      <c r="K45" s="228">
        <f>ROUND(AD396+(AD396*'Rate SL'!$AG$1),6)</f>
        <v>3.3135690000000002</v>
      </c>
      <c r="L45" s="106">
        <f t="shared" si="3"/>
        <v>0</v>
      </c>
      <c r="M45" s="106"/>
      <c r="N45" s="175">
        <f t="shared" si="0"/>
        <v>0</v>
      </c>
      <c r="O45" s="175"/>
      <c r="P45" s="106">
        <f t="shared" si="1"/>
        <v>0</v>
      </c>
      <c r="Q45" s="106"/>
      <c r="R45" s="106">
        <f>L45+P45</f>
        <v>0</v>
      </c>
      <c r="S45" s="110"/>
      <c r="V45" s="228"/>
      <c r="Y45" s="304"/>
      <c r="AA45" s="102">
        <v>17</v>
      </c>
      <c r="AC45" s="192">
        <f t="shared" si="8"/>
        <v>204</v>
      </c>
      <c r="AO45" s="269"/>
      <c r="AR45" s="99"/>
    </row>
    <row r="46" spans="1:45" x14ac:dyDescent="0.3">
      <c r="A46" s="268">
        <v>29</v>
      </c>
      <c r="C46" s="116" t="s">
        <v>626</v>
      </c>
      <c r="F46" s="172">
        <v>0</v>
      </c>
      <c r="G46" s="1"/>
      <c r="H46" s="172">
        <f t="shared" si="2"/>
        <v>0</v>
      </c>
      <c r="I46" s="147"/>
      <c r="J46" s="228">
        <f>ROUND(AC397+(AC397*'Rate SL'!$AG$1),6)</f>
        <v>14.682539</v>
      </c>
      <c r="K46" s="228">
        <f>ROUND(AD397+(AD397*'Rate SL'!$AG$1),6)</f>
        <v>3.3135690000000002</v>
      </c>
      <c r="L46" s="106">
        <f t="shared" si="3"/>
        <v>0</v>
      </c>
      <c r="M46" s="106"/>
      <c r="N46" s="175">
        <f t="shared" si="0"/>
        <v>0</v>
      </c>
      <c r="O46" s="175"/>
      <c r="P46" s="106">
        <f t="shared" si="1"/>
        <v>0</v>
      </c>
      <c r="Q46" s="106"/>
      <c r="R46" s="106">
        <f t="shared" si="7"/>
        <v>0</v>
      </c>
      <c r="S46" s="110"/>
      <c r="V46" s="228"/>
      <c r="Y46" s="304"/>
      <c r="AA46" s="102">
        <v>17</v>
      </c>
      <c r="AC46" s="192">
        <f t="shared" si="8"/>
        <v>204</v>
      </c>
      <c r="AO46" s="269"/>
    </row>
    <row r="47" spans="1:45" x14ac:dyDescent="0.3">
      <c r="A47" s="268">
        <v>30</v>
      </c>
      <c r="C47" s="116" t="s">
        <v>606</v>
      </c>
      <c r="F47" s="172">
        <v>0</v>
      </c>
      <c r="G47" s="1"/>
      <c r="H47" s="172">
        <f t="shared" ref="H47:H107" si="9">ROUND(F47*AC46/12,0)</f>
        <v>0</v>
      </c>
      <c r="I47" s="147"/>
      <c r="J47" s="228">
        <f>ROUND(AC398+(AC398*'Rate SL'!$AG$1),6)</f>
        <v>16.042244</v>
      </c>
      <c r="K47" s="228">
        <f>ROUND(AD398+(AD398*'Rate SL'!$AG$1),6)</f>
        <v>3.3135690000000002</v>
      </c>
      <c r="L47" s="106">
        <f t="shared" ref="L47:L87" si="10">ROUND((F47*(J47+K47)),0)</f>
        <v>0</v>
      </c>
      <c r="M47" s="106"/>
      <c r="N47" s="175">
        <f t="shared" si="0"/>
        <v>0</v>
      </c>
      <c r="O47" s="175"/>
      <c r="P47" s="106">
        <f t="shared" si="1"/>
        <v>0</v>
      </c>
      <c r="Q47" s="106"/>
      <c r="R47" s="106">
        <f>L47+P47</f>
        <v>0</v>
      </c>
      <c r="S47" s="110"/>
      <c r="V47" s="228"/>
      <c r="Y47" s="304"/>
      <c r="AA47" s="102">
        <v>17</v>
      </c>
      <c r="AC47" s="192">
        <f t="shared" si="8"/>
        <v>204</v>
      </c>
      <c r="AO47" s="269"/>
    </row>
    <row r="48" spans="1:45" x14ac:dyDescent="0.3">
      <c r="A48" s="268">
        <v>31</v>
      </c>
      <c r="B48" s="274"/>
      <c r="C48" s="116" t="s">
        <v>605</v>
      </c>
      <c r="F48" s="172">
        <v>0</v>
      </c>
      <c r="G48" s="1"/>
      <c r="H48" s="172">
        <f t="shared" si="9"/>
        <v>0</v>
      </c>
      <c r="I48" s="147"/>
      <c r="J48" s="228">
        <f>ROUND(AC399+(AC399*'Rate SL'!$AG$1),6)</f>
        <v>14.682539</v>
      </c>
      <c r="K48" s="228">
        <f>ROUND(AD399+(AD399*'Rate SL'!$AG$1),6)</f>
        <v>3.3135690000000002</v>
      </c>
      <c r="L48" s="106">
        <f t="shared" si="10"/>
        <v>0</v>
      </c>
      <c r="M48" s="106"/>
      <c r="N48" s="175">
        <f t="shared" si="0"/>
        <v>0</v>
      </c>
      <c r="O48" s="175"/>
      <c r="P48" s="106">
        <f t="shared" si="1"/>
        <v>0</v>
      </c>
      <c r="Q48" s="106"/>
      <c r="R48" s="106">
        <f>L48+P48</f>
        <v>0</v>
      </c>
      <c r="S48" s="110"/>
      <c r="V48" s="228"/>
      <c r="Y48" s="304"/>
      <c r="AA48" s="102">
        <v>17</v>
      </c>
      <c r="AC48" s="192">
        <f t="shared" si="8"/>
        <v>204</v>
      </c>
      <c r="AO48" s="269"/>
    </row>
    <row r="49" spans="1:41" x14ac:dyDescent="0.3">
      <c r="A49" s="268">
        <v>32</v>
      </c>
      <c r="C49" s="116" t="s">
        <v>604</v>
      </c>
      <c r="D49" s="274"/>
      <c r="F49" s="172">
        <v>0</v>
      </c>
      <c r="G49" s="1"/>
      <c r="H49" s="172">
        <f t="shared" si="9"/>
        <v>0</v>
      </c>
      <c r="I49" s="147"/>
      <c r="J49" s="228">
        <f>ROUND(AC400+(AC400*'Rate SL'!$AG$1),6)</f>
        <v>16.042244</v>
      </c>
      <c r="K49" s="228">
        <f>ROUND(AD400+(AD400*'Rate SL'!$AG$1),6)</f>
        <v>3.3135690000000002</v>
      </c>
      <c r="L49" s="106">
        <f t="shared" si="10"/>
        <v>0</v>
      </c>
      <c r="M49" s="106"/>
      <c r="N49" s="175">
        <f t="shared" si="0"/>
        <v>0</v>
      </c>
      <c r="O49" s="175"/>
      <c r="P49" s="106">
        <f t="shared" si="1"/>
        <v>0</v>
      </c>
      <c r="Q49" s="106"/>
      <c r="R49" s="106">
        <f>L49+P49</f>
        <v>0</v>
      </c>
      <c r="S49" s="110"/>
      <c r="V49" s="228"/>
      <c r="Y49" s="304"/>
      <c r="AA49" s="102">
        <v>17</v>
      </c>
      <c r="AC49" s="192">
        <f t="shared" si="8"/>
        <v>204</v>
      </c>
      <c r="AO49" s="269"/>
    </row>
    <row r="50" spans="1:41" x14ac:dyDescent="0.3">
      <c r="A50" s="268">
        <v>33</v>
      </c>
      <c r="C50" s="116" t="s">
        <v>603</v>
      </c>
      <c r="F50" s="172">
        <v>0</v>
      </c>
      <c r="G50" s="1"/>
      <c r="H50" s="172">
        <f t="shared" si="9"/>
        <v>0</v>
      </c>
      <c r="I50" s="147"/>
      <c r="J50" s="228">
        <f>ROUND(AC401+(AC401*'Rate SL'!$AG$1),6)</f>
        <v>15.356678</v>
      </c>
      <c r="K50" s="228">
        <f>ROUND(AD401+(AD401*'Rate SL'!$AG$1),6)</f>
        <v>3.3135690000000002</v>
      </c>
      <c r="L50" s="106">
        <f t="shared" si="10"/>
        <v>0</v>
      </c>
      <c r="M50" s="106"/>
      <c r="N50" s="175">
        <f t="shared" si="0"/>
        <v>0</v>
      </c>
      <c r="O50" s="175"/>
      <c r="P50" s="106">
        <f t="shared" si="1"/>
        <v>0</v>
      </c>
      <c r="Q50" s="106"/>
      <c r="R50" s="106">
        <f>L50+P50</f>
        <v>0</v>
      </c>
      <c r="S50" s="110"/>
      <c r="V50" s="228"/>
      <c r="Y50" s="304"/>
      <c r="AA50" s="102">
        <v>17</v>
      </c>
      <c r="AC50" s="192">
        <f t="shared" si="8"/>
        <v>204</v>
      </c>
      <c r="AO50" s="269"/>
    </row>
    <row r="51" spans="1:41" x14ac:dyDescent="0.3">
      <c r="A51" s="268">
        <v>34</v>
      </c>
      <c r="C51" s="116" t="s">
        <v>719</v>
      </c>
      <c r="F51" s="172">
        <v>0</v>
      </c>
      <c r="G51" s="1"/>
      <c r="H51" s="172">
        <f t="shared" si="9"/>
        <v>0</v>
      </c>
      <c r="I51" s="147"/>
      <c r="J51" s="228">
        <f>ROUND(AC402+(AC402*'Rate SL'!$AG$1),6)</f>
        <v>11.974553</v>
      </c>
      <c r="K51" s="228">
        <f>ROUND(AD402+(AD402*'Rate SL'!$AG$1),6)</f>
        <v>3.3135690000000002</v>
      </c>
      <c r="L51" s="106">
        <f t="shared" si="10"/>
        <v>0</v>
      </c>
      <c r="M51" s="106"/>
      <c r="N51" s="175">
        <f t="shared" si="0"/>
        <v>0</v>
      </c>
      <c r="O51" s="175"/>
      <c r="P51" s="106">
        <f t="shared" si="1"/>
        <v>0</v>
      </c>
      <c r="Q51" s="106"/>
      <c r="R51" s="106">
        <f t="shared" ref="R51:R87" si="11">L51+P51</f>
        <v>0</v>
      </c>
      <c r="S51" s="110"/>
      <c r="V51" s="228"/>
      <c r="Y51" s="304"/>
      <c r="AA51" s="102">
        <v>52</v>
      </c>
      <c r="AC51" s="192">
        <f t="shared" ref="AC51:AC107" si="12">AA51*12</f>
        <v>624</v>
      </c>
      <c r="AO51" s="269"/>
    </row>
    <row r="52" spans="1:41" x14ac:dyDescent="0.3">
      <c r="A52" s="268">
        <v>35</v>
      </c>
      <c r="C52" s="116" t="s">
        <v>720</v>
      </c>
      <c r="F52" s="172">
        <v>0</v>
      </c>
      <c r="G52" s="1"/>
      <c r="H52" s="172">
        <f t="shared" si="9"/>
        <v>0</v>
      </c>
      <c r="I52" s="147"/>
      <c r="J52" s="228">
        <f>ROUND(AC403+(AC403*'Rate SL'!$AG$1),6)</f>
        <v>15.882279</v>
      </c>
      <c r="K52" s="228">
        <f>ROUND(AD403+(AD403*'Rate SL'!$AG$1),6)</f>
        <v>3.3135690000000002</v>
      </c>
      <c r="L52" s="106">
        <f t="shared" si="10"/>
        <v>0</v>
      </c>
      <c r="M52" s="106"/>
      <c r="N52" s="175">
        <f t="shared" si="0"/>
        <v>0</v>
      </c>
      <c r="O52" s="175"/>
      <c r="P52" s="106">
        <f t="shared" si="1"/>
        <v>0</v>
      </c>
      <c r="Q52" s="106"/>
      <c r="R52" s="106">
        <f t="shared" si="11"/>
        <v>0</v>
      </c>
      <c r="S52" s="110"/>
      <c r="V52" s="228"/>
      <c r="Y52" s="304"/>
      <c r="AA52" s="102">
        <v>17</v>
      </c>
      <c r="AC52" s="192">
        <f t="shared" si="12"/>
        <v>204</v>
      </c>
      <c r="AO52" s="269"/>
    </row>
    <row r="53" spans="1:41" x14ac:dyDescent="0.3">
      <c r="A53" s="268">
        <v>36</v>
      </c>
      <c r="C53" s="116" t="s">
        <v>721</v>
      </c>
      <c r="F53" s="172">
        <v>0</v>
      </c>
      <c r="G53" s="1"/>
      <c r="H53" s="172">
        <f t="shared" si="9"/>
        <v>0</v>
      </c>
      <c r="I53" s="147"/>
      <c r="J53" s="228">
        <f>ROUND(AC404+(AC404*'Rate SL'!$AG$1),6)</f>
        <v>12.797231999999999</v>
      </c>
      <c r="K53" s="228">
        <f>ROUND(AD404+(AD404*'Rate SL'!$AG$1),6)</f>
        <v>3.3135690000000002</v>
      </c>
      <c r="L53" s="106">
        <f t="shared" si="10"/>
        <v>0</v>
      </c>
      <c r="M53" s="106"/>
      <c r="N53" s="175">
        <f t="shared" si="0"/>
        <v>0</v>
      </c>
      <c r="O53" s="175"/>
      <c r="P53" s="106">
        <f t="shared" si="1"/>
        <v>0</v>
      </c>
      <c r="Q53" s="106"/>
      <c r="R53" s="106">
        <f t="shared" si="11"/>
        <v>0</v>
      </c>
      <c r="S53" s="110"/>
      <c r="V53" s="228"/>
      <c r="Y53" s="304"/>
      <c r="AA53" s="102">
        <v>14</v>
      </c>
      <c r="AC53" s="192">
        <f t="shared" si="12"/>
        <v>168</v>
      </c>
      <c r="AO53" s="269"/>
    </row>
    <row r="54" spans="1:41" x14ac:dyDescent="0.3">
      <c r="A54" s="268">
        <v>37</v>
      </c>
      <c r="C54" s="116" t="s">
        <v>722</v>
      </c>
      <c r="F54" s="172">
        <v>0</v>
      </c>
      <c r="G54" s="1"/>
      <c r="H54" s="172">
        <f t="shared" si="9"/>
        <v>0</v>
      </c>
      <c r="I54" s="147"/>
      <c r="J54" s="228">
        <f>ROUND(AC405+(AC405*'Rate SL'!$AG$1),6)</f>
        <v>7.6669130000000001</v>
      </c>
      <c r="K54" s="228">
        <f>ROUND(AD405+(AD405*'Rate SL'!$AG$1),6)</f>
        <v>3.3135690000000002</v>
      </c>
      <c r="L54" s="106">
        <f t="shared" si="10"/>
        <v>0</v>
      </c>
      <c r="M54" s="106"/>
      <c r="N54" s="175">
        <f t="shared" si="0"/>
        <v>0</v>
      </c>
      <c r="O54" s="175"/>
      <c r="P54" s="106">
        <f t="shared" si="1"/>
        <v>0</v>
      </c>
      <c r="Q54" s="106"/>
      <c r="R54" s="106">
        <f t="shared" si="11"/>
        <v>0</v>
      </c>
      <c r="S54" s="110"/>
      <c r="V54" s="228"/>
      <c r="Y54" s="304"/>
      <c r="AA54" s="102">
        <v>17</v>
      </c>
      <c r="AC54" s="192">
        <f t="shared" si="12"/>
        <v>204</v>
      </c>
      <c r="AO54" s="269"/>
    </row>
    <row r="55" spans="1:41" x14ac:dyDescent="0.3">
      <c r="A55" s="268">
        <v>38</v>
      </c>
      <c r="C55" s="116" t="s">
        <v>723</v>
      </c>
      <c r="F55" s="172">
        <v>0</v>
      </c>
      <c r="G55" s="1"/>
      <c r="H55" s="172">
        <f t="shared" si="9"/>
        <v>0</v>
      </c>
      <c r="I55" s="147"/>
      <c r="J55" s="228">
        <f>ROUND(AC406+(AC406*'Rate SL'!$AG$1),6)</f>
        <v>14.648260000000001</v>
      </c>
      <c r="K55" s="228">
        <f>ROUND(AD406+(AD406*'Rate SL'!$AG$1),6)</f>
        <v>3.3135690000000002</v>
      </c>
      <c r="L55" s="106">
        <f t="shared" si="10"/>
        <v>0</v>
      </c>
      <c r="M55" s="106"/>
      <c r="N55" s="175">
        <f t="shared" si="0"/>
        <v>0</v>
      </c>
      <c r="O55" s="175"/>
      <c r="P55" s="106">
        <f t="shared" si="1"/>
        <v>0</v>
      </c>
      <c r="Q55" s="106"/>
      <c r="R55" s="106">
        <f t="shared" si="11"/>
        <v>0</v>
      </c>
      <c r="S55" s="110"/>
      <c r="V55" s="228"/>
      <c r="Y55" s="304"/>
      <c r="AA55" s="102">
        <v>17</v>
      </c>
      <c r="AC55" s="192">
        <f t="shared" si="12"/>
        <v>204</v>
      </c>
      <c r="AO55" s="269"/>
    </row>
    <row r="56" spans="1:41" x14ac:dyDescent="0.3">
      <c r="A56" s="268">
        <v>39</v>
      </c>
      <c r="C56" s="116" t="s">
        <v>724</v>
      </c>
      <c r="F56" s="172">
        <v>0</v>
      </c>
      <c r="G56" s="1"/>
      <c r="H56" s="172">
        <f t="shared" si="9"/>
        <v>0</v>
      </c>
      <c r="I56" s="147"/>
      <c r="J56" s="228">
        <f>ROUND(AC407+(AC407*'Rate SL'!$AG$1),6)</f>
        <v>6.1129639999999998</v>
      </c>
      <c r="K56" s="228">
        <f>ROUND(AD407+(AD407*'Rate SL'!$AG$1),6)</f>
        <v>3.3135690000000002</v>
      </c>
      <c r="L56" s="106">
        <f t="shared" si="10"/>
        <v>0</v>
      </c>
      <c r="M56" s="106"/>
      <c r="N56" s="175">
        <f t="shared" si="0"/>
        <v>0</v>
      </c>
      <c r="O56" s="175"/>
      <c r="P56" s="106">
        <f t="shared" si="1"/>
        <v>0</v>
      </c>
      <c r="Q56" s="106"/>
      <c r="R56" s="106">
        <f t="shared" si="11"/>
        <v>0</v>
      </c>
      <c r="S56" s="110"/>
      <c r="V56" s="228"/>
      <c r="Y56" s="304"/>
      <c r="AA56" s="102">
        <v>10</v>
      </c>
      <c r="AC56" s="192">
        <f t="shared" si="12"/>
        <v>120</v>
      </c>
      <c r="AO56" s="269"/>
    </row>
    <row r="57" spans="1:41" x14ac:dyDescent="0.3">
      <c r="A57" s="268">
        <v>40</v>
      </c>
      <c r="C57" s="116" t="s">
        <v>725</v>
      </c>
      <c r="F57" s="172">
        <v>0</v>
      </c>
      <c r="G57" s="1"/>
      <c r="H57" s="172">
        <f t="shared" si="9"/>
        <v>0</v>
      </c>
      <c r="I57" s="147"/>
      <c r="J57" s="228">
        <f>ROUND(AC408+(AC408*'Rate SL'!$AG$1),6)</f>
        <v>5.8158849999999997</v>
      </c>
      <c r="K57" s="228">
        <f>ROUND(AD408+(AD408*'Rate SL'!$AG$1),6)</f>
        <v>3.3135690000000002</v>
      </c>
      <c r="L57" s="106">
        <f t="shared" si="10"/>
        <v>0</v>
      </c>
      <c r="M57" s="106"/>
      <c r="N57" s="175">
        <f t="shared" si="0"/>
        <v>0</v>
      </c>
      <c r="O57" s="175"/>
      <c r="P57" s="106">
        <f t="shared" si="1"/>
        <v>0</v>
      </c>
      <c r="Q57" s="106"/>
      <c r="R57" s="106">
        <f t="shared" si="11"/>
        <v>0</v>
      </c>
      <c r="S57" s="110"/>
      <c r="V57" s="228"/>
      <c r="Y57" s="304"/>
      <c r="AA57" s="102">
        <v>10</v>
      </c>
      <c r="AC57" s="192">
        <f t="shared" si="12"/>
        <v>120</v>
      </c>
      <c r="AO57" s="269"/>
    </row>
    <row r="58" spans="1:41" x14ac:dyDescent="0.3">
      <c r="A58" s="268">
        <v>41</v>
      </c>
      <c r="C58" s="116" t="s">
        <v>726</v>
      </c>
      <c r="F58" s="172">
        <v>0</v>
      </c>
      <c r="G58" s="1"/>
      <c r="H58" s="172">
        <f t="shared" si="9"/>
        <v>0</v>
      </c>
      <c r="I58" s="147"/>
      <c r="J58" s="228">
        <f>ROUND(AC409+(AC409*'Rate SL'!$AG$1),6)</f>
        <v>13.082884999999999</v>
      </c>
      <c r="K58" s="228">
        <f>ROUND(AD409+(AD409*'Rate SL'!$AG$1),6)</f>
        <v>3.3135690000000002</v>
      </c>
      <c r="L58" s="106">
        <f t="shared" si="10"/>
        <v>0</v>
      </c>
      <c r="M58" s="106"/>
      <c r="N58" s="175">
        <f t="shared" si="0"/>
        <v>0</v>
      </c>
      <c r="O58" s="175"/>
      <c r="P58" s="106">
        <f t="shared" si="1"/>
        <v>0</v>
      </c>
      <c r="Q58" s="106"/>
      <c r="R58" s="106">
        <f t="shared" si="11"/>
        <v>0</v>
      </c>
      <c r="S58" s="110"/>
      <c r="V58" s="228"/>
      <c r="Y58" s="304"/>
      <c r="AA58" s="102">
        <v>52</v>
      </c>
      <c r="AC58" s="192">
        <f t="shared" si="12"/>
        <v>624</v>
      </c>
      <c r="AO58" s="269"/>
    </row>
    <row r="59" spans="1:41" x14ac:dyDescent="0.3">
      <c r="A59" s="268">
        <v>42</v>
      </c>
      <c r="C59" s="116" t="s">
        <v>727</v>
      </c>
      <c r="F59" s="172">
        <v>0</v>
      </c>
      <c r="G59" s="1"/>
      <c r="H59" s="172">
        <f t="shared" si="9"/>
        <v>0</v>
      </c>
      <c r="I59" s="147"/>
      <c r="J59" s="228">
        <f>ROUND(AC410+(AC410*'Rate SL'!$AG$1),6)</f>
        <v>13.459946</v>
      </c>
      <c r="K59" s="228">
        <f>ROUND(AD410+(AD410*'Rate SL'!$AG$1),6)</f>
        <v>4.0448389999999996</v>
      </c>
      <c r="L59" s="106">
        <f t="shared" si="10"/>
        <v>0</v>
      </c>
      <c r="M59" s="106"/>
      <c r="N59" s="175">
        <f t="shared" si="0"/>
        <v>0</v>
      </c>
      <c r="O59" s="175"/>
      <c r="P59" s="106">
        <f t="shared" si="1"/>
        <v>0</v>
      </c>
      <c r="Q59" s="106"/>
      <c r="R59" s="106">
        <f t="shared" si="11"/>
        <v>0</v>
      </c>
      <c r="S59" s="110"/>
      <c r="V59" s="228"/>
      <c r="Y59" s="304"/>
      <c r="AA59" s="102">
        <v>76</v>
      </c>
      <c r="AC59" s="192">
        <f t="shared" si="12"/>
        <v>912</v>
      </c>
      <c r="AO59" s="269"/>
    </row>
    <row r="60" spans="1:41" x14ac:dyDescent="0.3">
      <c r="A60" s="268">
        <v>43</v>
      </c>
      <c r="C60" s="116" t="s">
        <v>728</v>
      </c>
      <c r="F60" s="172">
        <v>0</v>
      </c>
      <c r="G60" s="1"/>
      <c r="H60" s="172">
        <f t="shared" si="9"/>
        <v>0</v>
      </c>
      <c r="I60" s="147"/>
      <c r="J60" s="228">
        <f>ROUND(AC411+(AC411*'Rate SL'!$AG$1),6)</f>
        <v>21.343955000000001</v>
      </c>
      <c r="K60" s="228">
        <f>ROUND(AD411+(AD411*'Rate SL'!$AG$1),6)</f>
        <v>3.3135690000000002</v>
      </c>
      <c r="L60" s="106">
        <f t="shared" si="10"/>
        <v>0</v>
      </c>
      <c r="M60" s="106"/>
      <c r="N60" s="175">
        <f t="shared" si="0"/>
        <v>0</v>
      </c>
      <c r="O60" s="175"/>
      <c r="P60" s="106">
        <f t="shared" si="1"/>
        <v>0</v>
      </c>
      <c r="Q60" s="106"/>
      <c r="R60" s="106">
        <f t="shared" si="11"/>
        <v>0</v>
      </c>
      <c r="S60" s="110"/>
      <c r="V60" s="228"/>
      <c r="Y60" s="304"/>
      <c r="AA60" s="102">
        <v>17</v>
      </c>
      <c r="AC60" s="192">
        <f t="shared" si="12"/>
        <v>204</v>
      </c>
      <c r="AO60" s="269"/>
    </row>
    <row r="61" spans="1:41" x14ac:dyDescent="0.3">
      <c r="A61" s="268">
        <v>44</v>
      </c>
      <c r="C61" s="116" t="s">
        <v>729</v>
      </c>
      <c r="F61" s="172">
        <v>0</v>
      </c>
      <c r="G61" s="1"/>
      <c r="H61" s="172">
        <f t="shared" si="9"/>
        <v>0</v>
      </c>
      <c r="I61" s="147"/>
      <c r="J61" s="228">
        <f>ROUND(AC412+(AC412*'Rate SL'!$AG$1),6)</f>
        <v>24.337592999999998</v>
      </c>
      <c r="K61" s="228">
        <f>ROUND(AD412+(AD412*'Rate SL'!$AG$1),6)</f>
        <v>3.3135690000000002</v>
      </c>
      <c r="L61" s="106">
        <f t="shared" si="10"/>
        <v>0</v>
      </c>
      <c r="M61" s="106"/>
      <c r="N61" s="175">
        <f t="shared" si="0"/>
        <v>0</v>
      </c>
      <c r="O61" s="175"/>
      <c r="P61" s="106">
        <f t="shared" si="1"/>
        <v>0</v>
      </c>
      <c r="Q61" s="106"/>
      <c r="R61" s="106">
        <f t="shared" si="11"/>
        <v>0</v>
      </c>
      <c r="S61" s="110"/>
      <c r="V61" s="228"/>
      <c r="Y61" s="304"/>
      <c r="AA61" s="102">
        <v>10</v>
      </c>
      <c r="AC61" s="192">
        <f t="shared" si="12"/>
        <v>120</v>
      </c>
      <c r="AO61" s="269"/>
    </row>
    <row r="62" spans="1:41" x14ac:dyDescent="0.3">
      <c r="A62" s="268"/>
      <c r="C62" s="116"/>
      <c r="F62" s="172"/>
      <c r="G62" s="1"/>
      <c r="H62" s="172"/>
      <c r="I62" s="147"/>
      <c r="J62" s="228"/>
      <c r="K62" s="228"/>
      <c r="L62" s="106"/>
      <c r="M62" s="106"/>
      <c r="N62" s="175"/>
      <c r="O62" s="175"/>
      <c r="P62" s="106"/>
      <c r="Q62" s="106"/>
      <c r="R62" s="106"/>
      <c r="S62" s="110"/>
      <c r="V62" s="228"/>
      <c r="Y62" s="304"/>
      <c r="AA62" s="102"/>
      <c r="AC62" s="192"/>
      <c r="AO62" s="269"/>
    </row>
    <row r="63" spans="1:41" x14ac:dyDescent="0.3">
      <c r="A63" s="178" t="s">
        <v>76</v>
      </c>
      <c r="C63" s="116"/>
      <c r="F63" s="172"/>
      <c r="G63" s="1"/>
      <c r="H63" s="172"/>
      <c r="I63" s="147"/>
      <c r="J63" s="228"/>
      <c r="K63" s="228"/>
      <c r="L63" s="106"/>
      <c r="M63" s="106"/>
      <c r="N63" s="175"/>
      <c r="O63" s="175"/>
      <c r="P63" s="106"/>
      <c r="Q63" s="106"/>
      <c r="R63" s="106"/>
      <c r="S63" s="110"/>
      <c r="V63" s="228"/>
      <c r="Y63" s="304"/>
      <c r="AA63" s="102"/>
      <c r="AC63" s="192"/>
      <c r="AO63" s="269"/>
    </row>
    <row r="64" spans="1:41" x14ac:dyDescent="0.3">
      <c r="A64" s="178" t="str">
        <f>"(1A) REFLECTS FUEL COST RECOVERY INCLUDED IN BASE RATES OF "&amp;TEXT(CUR_BASE_FUEL,"$0.000000;($0.000000)")&amp;"  PER KWH."</f>
        <v>(1A) REFLECTS FUEL COST RECOVERY INCLUDED IN BASE RATES OF $0.033780  PER KWH.</v>
      </c>
      <c r="C64" s="116"/>
      <c r="F64" s="172"/>
      <c r="G64" s="1"/>
      <c r="H64" s="172"/>
      <c r="I64" s="147"/>
      <c r="J64" s="228"/>
      <c r="K64" s="228"/>
      <c r="L64" s="106"/>
      <c r="M64" s="106"/>
      <c r="N64" s="175"/>
      <c r="O64" s="175"/>
      <c r="P64" s="106"/>
      <c r="Q64" s="106"/>
      <c r="R64" s="106"/>
      <c r="S64" s="110"/>
      <c r="V64" s="228"/>
      <c r="Y64" s="304"/>
      <c r="AA64" s="102"/>
      <c r="AC64" s="192"/>
      <c r="AO64" s="269"/>
    </row>
    <row r="65" spans="1:41" x14ac:dyDescent="0.3">
      <c r="A65" s="178" t="str">
        <f>"(2) REFLECTS FUEL COMPONENT OF "&amp;TEXT(CUR_FAC,"$0.000000;($0.000000)")&amp;"  PER KWH."</f>
        <v>(2) REFLECTS FUEL COMPONENT OF $0.003487  PER KWH.</v>
      </c>
      <c r="C65" s="116"/>
      <c r="F65" s="172"/>
      <c r="G65" s="1"/>
      <c r="H65" s="172"/>
      <c r="I65" s="147"/>
      <c r="J65" s="228"/>
      <c r="K65" s="228"/>
      <c r="L65" s="106"/>
      <c r="M65" s="106"/>
      <c r="N65" s="175"/>
      <c r="O65" s="175"/>
      <c r="P65" s="106"/>
      <c r="Q65" s="106"/>
      <c r="R65" s="106"/>
      <c r="S65" s="110"/>
      <c r="V65" s="228"/>
      <c r="Y65" s="304"/>
      <c r="AA65" s="102"/>
      <c r="AC65" s="192"/>
      <c r="AO65" s="269"/>
    </row>
    <row r="66" spans="1:41" x14ac:dyDescent="0.3">
      <c r="A66" s="178"/>
      <c r="C66" s="116"/>
      <c r="F66" s="172"/>
      <c r="G66" s="1"/>
      <c r="H66" s="172"/>
      <c r="I66" s="147"/>
      <c r="J66" s="228"/>
      <c r="K66" s="228"/>
      <c r="L66" s="106"/>
      <c r="M66" s="106"/>
      <c r="N66" s="175"/>
      <c r="O66" s="175"/>
      <c r="P66" s="106"/>
      <c r="Q66" s="106"/>
      <c r="R66" s="106"/>
      <c r="S66" s="110"/>
      <c r="V66" s="228"/>
      <c r="Y66" s="304"/>
      <c r="AA66" s="102"/>
      <c r="AC66" s="192"/>
      <c r="AO66" s="269"/>
    </row>
    <row r="67" spans="1:41" x14ac:dyDescent="0.3">
      <c r="A67" s="97" t="str">
        <f>NAME</f>
        <v>DUKE ENERGY KENTUCKY, INC.</v>
      </c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110"/>
      <c r="V67" s="228"/>
      <c r="Y67" s="304"/>
      <c r="AA67" s="102"/>
      <c r="AC67" s="192"/>
      <c r="AO67" s="269"/>
    </row>
    <row r="68" spans="1:41" x14ac:dyDescent="0.3">
      <c r="A68" s="97" t="str">
        <f>CASE_NO</f>
        <v>CASE NO.   2024-00354</v>
      </c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110"/>
      <c r="V68" s="228"/>
      <c r="Y68" s="304"/>
      <c r="AA68" s="102"/>
      <c r="AC68" s="192"/>
      <c r="AO68" s="269"/>
    </row>
    <row r="69" spans="1:41" x14ac:dyDescent="0.3">
      <c r="A69" s="97" t="str">
        <f>TITLE</f>
        <v>ANNUALIZED BASE YEAR REVENUES AT PROPOSED VS. MOST CURRENT RATES</v>
      </c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110"/>
      <c r="V69" s="228"/>
      <c r="Y69" s="304"/>
      <c r="AA69" s="102"/>
      <c r="AC69" s="192"/>
      <c r="AO69" s="269"/>
    </row>
    <row r="70" spans="1:41" x14ac:dyDescent="0.3">
      <c r="A70" s="97" t="str">
        <f>DATE</f>
        <v>FOR THE TWELVE MONTHS ENDED February 28, 2025</v>
      </c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110"/>
      <c r="V70" s="228"/>
      <c r="Y70" s="304"/>
      <c r="AA70" s="102"/>
      <c r="AC70" s="192"/>
      <c r="AO70" s="269"/>
    </row>
    <row r="71" spans="1:41" x14ac:dyDescent="0.3">
      <c r="A71" s="97" t="str">
        <f>SERVICE</f>
        <v>(ELECTRIC SERVICE)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110"/>
      <c r="V71" s="228"/>
      <c r="Y71" s="304"/>
      <c r="AA71" s="102"/>
      <c r="AC71" s="192"/>
      <c r="AO71" s="269"/>
    </row>
    <row r="72" spans="1:41" x14ac:dyDescent="0.3">
      <c r="A72" s="98" t="str">
        <f>DATA_PERIOD</f>
        <v>DATA: __X__ BASE PERIOD   ____FORECASTED PERIOD</v>
      </c>
      <c r="R72" s="99" t="s">
        <v>156</v>
      </c>
      <c r="S72" s="110"/>
      <c r="V72" s="228"/>
      <c r="Y72" s="304"/>
      <c r="AA72" s="102"/>
      <c r="AC72" s="192"/>
      <c r="AO72" s="269"/>
    </row>
    <row r="73" spans="1:41" x14ac:dyDescent="0.3">
      <c r="A73" s="98" t="str">
        <f>TYPE</f>
        <v>TYPE OF FILING: _X_ ORIGINAL   ___UPDATED  ___ REVISED</v>
      </c>
      <c r="R73" s="116" t="str">
        <f>"PAGE 21 OF "&amp;TEXT(Page_Num_2.3,"00")</f>
        <v>PAGE 21 OF 24</v>
      </c>
      <c r="S73" s="110"/>
      <c r="V73" s="228"/>
      <c r="Y73" s="304"/>
      <c r="AA73" s="102"/>
      <c r="AC73" s="192"/>
      <c r="AO73" s="269"/>
    </row>
    <row r="74" spans="1:41" x14ac:dyDescent="0.3">
      <c r="A74" s="99" t="s">
        <v>170</v>
      </c>
      <c r="R74" s="99" t="s">
        <v>3</v>
      </c>
      <c r="S74" s="110"/>
      <c r="V74" s="228"/>
      <c r="Y74" s="304"/>
      <c r="AA74" s="102"/>
      <c r="AC74" s="192"/>
      <c r="AO74" s="269"/>
    </row>
    <row r="75" spans="1:41" x14ac:dyDescent="0.3">
      <c r="A75" s="134" t="str">
        <f>TIME</f>
        <v>6 Months Actual and 6 Months Projected with Riders</v>
      </c>
      <c r="M75" s="99"/>
      <c r="R75" s="98" t="str">
        <f>WIT</f>
        <v>B. L. Sailers</v>
      </c>
      <c r="S75" s="110"/>
      <c r="V75" s="228"/>
      <c r="Y75" s="304"/>
      <c r="AA75" s="102"/>
      <c r="AC75" s="192"/>
      <c r="AO75" s="269"/>
    </row>
    <row r="76" spans="1:41" x14ac:dyDescent="0.3">
      <c r="A76" s="97" t="s">
        <v>129</v>
      </c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110"/>
      <c r="V76" s="228"/>
      <c r="Y76" s="304"/>
      <c r="AA76" s="102"/>
      <c r="AC76" s="192"/>
      <c r="AO76" s="269"/>
    </row>
    <row r="77" spans="1:41" x14ac:dyDescent="0.3">
      <c r="A77" s="101"/>
      <c r="B77" s="101"/>
      <c r="C77" s="101"/>
      <c r="D77" s="101"/>
      <c r="E77" s="101"/>
      <c r="G77" s="101"/>
      <c r="H77" s="101"/>
      <c r="I77" s="101"/>
      <c r="J77" s="101"/>
      <c r="K77" s="101"/>
      <c r="L77" s="100"/>
      <c r="M77" s="100"/>
      <c r="N77" s="100"/>
      <c r="O77" s="100"/>
      <c r="P77" s="100"/>
      <c r="Q77" s="100"/>
      <c r="R77" s="100"/>
      <c r="S77" s="110"/>
      <c r="V77" s="228"/>
      <c r="Y77" s="304"/>
      <c r="AA77" s="102"/>
      <c r="AC77" s="192"/>
      <c r="AO77" s="269"/>
    </row>
    <row r="78" spans="1:41" x14ac:dyDescent="0.3">
      <c r="A78" s="174"/>
      <c r="B78" s="174"/>
      <c r="C78" s="174"/>
      <c r="D78" s="174"/>
      <c r="E78" s="174"/>
      <c r="F78" s="174"/>
      <c r="G78" s="174"/>
      <c r="H78" s="174"/>
      <c r="I78" s="174"/>
      <c r="J78" s="174"/>
      <c r="K78" s="174"/>
      <c r="L78" s="102" t="s">
        <v>6</v>
      </c>
      <c r="M78" s="102"/>
      <c r="N78" s="102" t="s">
        <v>7</v>
      </c>
      <c r="O78" s="102"/>
      <c r="R78" s="102" t="s">
        <v>6</v>
      </c>
      <c r="S78" s="110"/>
      <c r="V78" s="228"/>
      <c r="Y78" s="304"/>
      <c r="AA78" s="102"/>
      <c r="AC78" s="192"/>
      <c r="AO78" s="269"/>
    </row>
    <row r="79" spans="1:41" x14ac:dyDescent="0.3">
      <c r="L79" s="102" t="s">
        <v>12</v>
      </c>
      <c r="M79" s="102"/>
      <c r="N79" s="102" t="s">
        <v>13</v>
      </c>
      <c r="O79" s="102"/>
      <c r="R79" s="102" t="s">
        <v>11</v>
      </c>
      <c r="S79" s="110"/>
      <c r="V79" s="228"/>
      <c r="Y79" s="304"/>
      <c r="AA79" s="102"/>
      <c r="AC79" s="192"/>
      <c r="AO79" s="269"/>
    </row>
    <row r="80" spans="1:41" x14ac:dyDescent="0.3">
      <c r="A80" s="102" t="s">
        <v>17</v>
      </c>
      <c r="C80" s="102" t="s">
        <v>18</v>
      </c>
      <c r="D80" s="102" t="s">
        <v>19</v>
      </c>
      <c r="E80" s="102"/>
      <c r="F80" s="102" t="s">
        <v>20</v>
      </c>
      <c r="J80" s="97" t="s">
        <v>6</v>
      </c>
      <c r="K80" s="97"/>
      <c r="L80" s="102" t="s">
        <v>593</v>
      </c>
      <c r="M80" s="102"/>
      <c r="N80" s="102" t="s">
        <v>593</v>
      </c>
      <c r="O80" s="102"/>
      <c r="P80" s="102" t="s">
        <v>593</v>
      </c>
      <c r="Q80" s="102"/>
      <c r="R80" s="102" t="s">
        <v>9</v>
      </c>
      <c r="S80" s="110"/>
      <c r="V80" s="228"/>
      <c r="Y80" s="304"/>
      <c r="AA80" s="102"/>
      <c r="AC80" s="192"/>
      <c r="AO80" s="269"/>
    </row>
    <row r="81" spans="1:41" x14ac:dyDescent="0.3">
      <c r="A81" s="102" t="s">
        <v>22</v>
      </c>
      <c r="C81" s="102" t="s">
        <v>23</v>
      </c>
      <c r="D81" s="102" t="s">
        <v>24</v>
      </c>
      <c r="E81" s="102"/>
      <c r="F81" s="102" t="s">
        <v>25</v>
      </c>
      <c r="H81" s="102" t="s">
        <v>26</v>
      </c>
      <c r="I81" s="102"/>
      <c r="J81" s="103" t="s">
        <v>563</v>
      </c>
      <c r="K81" s="103" t="s">
        <v>564</v>
      </c>
      <c r="L81" s="102" t="s">
        <v>9</v>
      </c>
      <c r="M81" s="102"/>
      <c r="N81" s="102" t="s">
        <v>9</v>
      </c>
      <c r="O81" s="102"/>
      <c r="P81" s="102" t="s">
        <v>323</v>
      </c>
      <c r="Q81" s="102"/>
      <c r="R81" s="131" t="s">
        <v>28</v>
      </c>
      <c r="S81" s="110"/>
      <c r="V81" s="228"/>
      <c r="Y81" s="304"/>
      <c r="AA81" s="102"/>
      <c r="AC81" s="192"/>
      <c r="AO81" s="269"/>
    </row>
    <row r="82" spans="1:41" x14ac:dyDescent="0.3">
      <c r="C82" s="131" t="s">
        <v>33</v>
      </c>
      <c r="D82" s="131" t="s">
        <v>34</v>
      </c>
      <c r="E82" s="131"/>
      <c r="F82" s="131" t="s">
        <v>35</v>
      </c>
      <c r="G82" s="134"/>
      <c r="H82" s="131" t="s">
        <v>36</v>
      </c>
      <c r="I82" s="131"/>
      <c r="J82" s="146" t="s">
        <v>565</v>
      </c>
      <c r="K82" s="146" t="s">
        <v>566</v>
      </c>
      <c r="L82" s="146" t="s">
        <v>38</v>
      </c>
      <c r="M82" s="131"/>
      <c r="N82" s="146" t="s">
        <v>39</v>
      </c>
      <c r="O82" s="131"/>
      <c r="P82" s="146" t="s">
        <v>40</v>
      </c>
      <c r="Q82" s="131"/>
      <c r="R82" s="146" t="s">
        <v>41</v>
      </c>
      <c r="S82" s="110"/>
      <c r="V82" s="228"/>
      <c r="Y82" s="304"/>
      <c r="AA82" s="102"/>
      <c r="AC82" s="192"/>
      <c r="AO82" s="269"/>
    </row>
    <row r="83" spans="1:41" x14ac:dyDescent="0.3">
      <c r="A83" s="174"/>
      <c r="B83" s="174"/>
      <c r="C83" s="174"/>
      <c r="D83" s="174"/>
      <c r="E83" s="174"/>
      <c r="F83" s="174"/>
      <c r="G83" s="174"/>
      <c r="H83" s="258" t="s">
        <v>49</v>
      </c>
      <c r="I83" s="258"/>
      <c r="J83" s="257" t="s">
        <v>69</v>
      </c>
      <c r="K83" s="258"/>
      <c r="L83" s="258" t="s">
        <v>50</v>
      </c>
      <c r="M83" s="258"/>
      <c r="N83" s="258" t="s">
        <v>51</v>
      </c>
      <c r="O83" s="258"/>
      <c r="P83" s="258" t="s">
        <v>50</v>
      </c>
      <c r="Q83" s="258"/>
      <c r="R83" s="258" t="s">
        <v>50</v>
      </c>
      <c r="S83" s="110"/>
      <c r="V83" s="228"/>
      <c r="Y83" s="304"/>
      <c r="AA83" s="102"/>
      <c r="AC83" s="192"/>
      <c r="AO83" s="269"/>
    </row>
    <row r="84" spans="1:41" x14ac:dyDescent="0.3">
      <c r="A84" s="268">
        <v>45</v>
      </c>
      <c r="C84" s="124" t="s">
        <v>551</v>
      </c>
      <c r="D84" s="169" t="s">
        <v>570</v>
      </c>
      <c r="F84" s="172"/>
      <c r="G84" s="1"/>
      <c r="H84" s="172"/>
      <c r="I84" s="147"/>
      <c r="J84" s="228"/>
      <c r="K84" s="228"/>
      <c r="L84" s="106"/>
      <c r="M84" s="106"/>
      <c r="N84" s="175"/>
      <c r="O84" s="175"/>
      <c r="P84" s="106"/>
      <c r="Q84" s="106"/>
      <c r="R84" s="106"/>
      <c r="S84" s="110"/>
      <c r="V84" s="228"/>
      <c r="Y84" s="304"/>
      <c r="AA84" s="102"/>
      <c r="AC84" s="192"/>
      <c r="AO84" s="269"/>
    </row>
    <row r="85" spans="1:41" x14ac:dyDescent="0.3">
      <c r="A85" s="268">
        <v>46</v>
      </c>
      <c r="C85" s="169" t="s">
        <v>850</v>
      </c>
      <c r="F85" s="172"/>
      <c r="G85" s="1"/>
      <c r="H85" s="172"/>
      <c r="I85" s="147"/>
      <c r="J85" s="228"/>
      <c r="K85" s="228"/>
      <c r="L85" s="106"/>
      <c r="M85" s="106"/>
      <c r="N85" s="175"/>
      <c r="O85" s="175"/>
      <c r="P85" s="106"/>
      <c r="Q85" s="106"/>
      <c r="R85" s="106"/>
      <c r="S85" s="110"/>
      <c r="V85" s="228"/>
      <c r="Y85" s="304"/>
      <c r="AA85" s="102"/>
      <c r="AC85" s="192"/>
      <c r="AO85" s="269"/>
    </row>
    <row r="86" spans="1:41" x14ac:dyDescent="0.3">
      <c r="A86" s="268">
        <v>47</v>
      </c>
      <c r="C86" s="116" t="s">
        <v>730</v>
      </c>
      <c r="F86" s="172">
        <v>0</v>
      </c>
      <c r="G86" s="1"/>
      <c r="H86" s="172">
        <f>ROUND(F86*AC61/12,0)</f>
        <v>0</v>
      </c>
      <c r="I86" s="147"/>
      <c r="J86" s="228">
        <f>ROUND(AC438+(AC438*'Rate SL'!$AG$1),6)</f>
        <v>4.7646839999999999</v>
      </c>
      <c r="K86" s="228">
        <f>ROUND(AD438+(AD438*'Rate SL'!$AG$1),6)</f>
        <v>3.3135690000000002</v>
      </c>
      <c r="L86" s="106">
        <f t="shared" si="10"/>
        <v>0</v>
      </c>
      <c r="M86" s="106"/>
      <c r="N86" s="175">
        <f t="shared" ref="N86:N108" si="13">ROUND((L86/L$340)*100,1)</f>
        <v>0</v>
      </c>
      <c r="O86" s="175"/>
      <c r="P86" s="106">
        <f t="shared" ref="P86:P107" si="14">ROUND(($P$108/$H$108)*D86,0)</f>
        <v>0</v>
      </c>
      <c r="Q86" s="106"/>
      <c r="R86" s="106">
        <f t="shared" si="11"/>
        <v>0</v>
      </c>
      <c r="S86" s="110"/>
      <c r="V86" s="228"/>
      <c r="Y86" s="304"/>
      <c r="AA86" s="102">
        <v>17</v>
      </c>
      <c r="AC86" s="192">
        <f t="shared" si="12"/>
        <v>204</v>
      </c>
      <c r="AO86" s="269"/>
    </row>
    <row r="87" spans="1:41" x14ac:dyDescent="0.3">
      <c r="A87" s="268">
        <v>48</v>
      </c>
      <c r="C87" s="116" t="s">
        <v>731</v>
      </c>
      <c r="F87" s="172">
        <v>12</v>
      </c>
      <c r="G87" s="1"/>
      <c r="H87" s="172">
        <f t="shared" si="9"/>
        <v>204</v>
      </c>
      <c r="I87" s="147"/>
      <c r="J87" s="228">
        <f>ROUND(AC439+(AC439*'Rate SL'!$AG$1),6)</f>
        <v>4.9475009999999999</v>
      </c>
      <c r="K87" s="228">
        <f>ROUND(AD439+(AD439*'Rate SL'!$AG$1),6)</f>
        <v>3.3135690000000002</v>
      </c>
      <c r="L87" s="106">
        <f t="shared" si="10"/>
        <v>99</v>
      </c>
      <c r="M87" s="106"/>
      <c r="N87" s="175">
        <f t="shared" si="13"/>
        <v>0.4</v>
      </c>
      <c r="O87" s="175"/>
      <c r="P87" s="106">
        <f t="shared" si="14"/>
        <v>0</v>
      </c>
      <c r="Q87" s="106"/>
      <c r="R87" s="106">
        <f t="shared" si="11"/>
        <v>99</v>
      </c>
      <c r="S87" s="110"/>
      <c r="V87" s="228"/>
      <c r="Y87" s="304"/>
      <c r="AA87" s="102">
        <v>24</v>
      </c>
      <c r="AC87" s="192">
        <f t="shared" si="12"/>
        <v>288</v>
      </c>
      <c r="AO87" s="269"/>
    </row>
    <row r="88" spans="1:41" x14ac:dyDescent="0.3">
      <c r="A88" s="268">
        <v>49</v>
      </c>
      <c r="C88" s="116" t="s">
        <v>815</v>
      </c>
      <c r="F88" s="172">
        <v>0</v>
      </c>
      <c r="G88" s="1"/>
      <c r="H88" s="172">
        <f t="shared" si="9"/>
        <v>0</v>
      </c>
      <c r="I88" s="147"/>
      <c r="J88" s="228">
        <v>11.75</v>
      </c>
      <c r="K88" s="228">
        <f>K87</f>
        <v>3.3135690000000002</v>
      </c>
      <c r="L88" s="106">
        <f t="shared" ref="L88:L105" si="15">ROUND((F88*(J88+K88)),0)</f>
        <v>0</v>
      </c>
      <c r="M88" s="106"/>
      <c r="N88" s="175">
        <f t="shared" si="13"/>
        <v>0</v>
      </c>
      <c r="O88" s="175"/>
      <c r="P88" s="106">
        <f t="shared" si="14"/>
        <v>0</v>
      </c>
      <c r="Q88" s="106"/>
      <c r="R88" s="106">
        <f t="shared" ref="R88:R105" si="16">L88+P88</f>
        <v>0</v>
      </c>
      <c r="S88" s="110"/>
      <c r="V88" s="326"/>
      <c r="Y88" s="304"/>
      <c r="AA88" s="327">
        <v>10.4</v>
      </c>
      <c r="AC88" s="192">
        <f t="shared" si="12"/>
        <v>124.80000000000001</v>
      </c>
      <c r="AO88" s="269"/>
    </row>
    <row r="89" spans="1:41" x14ac:dyDescent="0.3">
      <c r="A89" s="268">
        <v>50</v>
      </c>
      <c r="C89" s="116" t="s">
        <v>816</v>
      </c>
      <c r="F89" s="172">
        <v>0</v>
      </c>
      <c r="G89" s="1"/>
      <c r="H89" s="172">
        <f t="shared" si="9"/>
        <v>0</v>
      </c>
      <c r="I89" s="147"/>
      <c r="J89" s="228">
        <v>15.31</v>
      </c>
      <c r="K89" s="228">
        <f t="shared" ref="K89:K107" si="17">K88</f>
        <v>3.3135690000000002</v>
      </c>
      <c r="L89" s="106">
        <f t="shared" si="15"/>
        <v>0</v>
      </c>
      <c r="M89" s="106"/>
      <c r="N89" s="175">
        <f t="shared" si="13"/>
        <v>0</v>
      </c>
      <c r="O89" s="175"/>
      <c r="P89" s="106">
        <f t="shared" si="14"/>
        <v>0</v>
      </c>
      <c r="Q89" s="106"/>
      <c r="R89" s="106">
        <f t="shared" si="16"/>
        <v>0</v>
      </c>
      <c r="S89" s="110"/>
      <c r="V89" s="326"/>
      <c r="Y89" s="304"/>
      <c r="AA89" s="327">
        <v>10.4</v>
      </c>
      <c r="AC89" s="192">
        <f t="shared" si="12"/>
        <v>124.80000000000001</v>
      </c>
      <c r="AO89" s="269"/>
    </row>
    <row r="90" spans="1:41" x14ac:dyDescent="0.3">
      <c r="A90" s="268">
        <v>51</v>
      </c>
      <c r="C90" s="116" t="s">
        <v>817</v>
      </c>
      <c r="F90" s="172">
        <v>0</v>
      </c>
      <c r="G90" s="1"/>
      <c r="H90" s="172">
        <f t="shared" si="9"/>
        <v>0</v>
      </c>
      <c r="I90" s="147"/>
      <c r="J90" s="228">
        <v>15.31</v>
      </c>
      <c r="K90" s="228">
        <f t="shared" si="17"/>
        <v>3.3135690000000002</v>
      </c>
      <c r="L90" s="106">
        <f t="shared" si="15"/>
        <v>0</v>
      </c>
      <c r="M90" s="106"/>
      <c r="N90" s="175">
        <f t="shared" si="13"/>
        <v>0</v>
      </c>
      <c r="O90" s="175"/>
      <c r="P90" s="106">
        <f t="shared" si="14"/>
        <v>0</v>
      </c>
      <c r="Q90" s="106"/>
      <c r="R90" s="106">
        <f t="shared" si="16"/>
        <v>0</v>
      </c>
      <c r="S90" s="110"/>
      <c r="V90" s="326"/>
      <c r="Y90" s="304"/>
      <c r="AA90" s="327">
        <v>10.4</v>
      </c>
      <c r="AC90" s="192">
        <f t="shared" si="12"/>
        <v>124.80000000000001</v>
      </c>
      <c r="AO90" s="269"/>
    </row>
    <row r="91" spans="1:41" x14ac:dyDescent="0.3">
      <c r="A91" s="268">
        <v>52</v>
      </c>
      <c r="C91" s="116" t="s">
        <v>818</v>
      </c>
      <c r="F91" s="172">
        <v>0</v>
      </c>
      <c r="G91" s="1"/>
      <c r="H91" s="172">
        <f t="shared" si="9"/>
        <v>0</v>
      </c>
      <c r="I91" s="147"/>
      <c r="J91" s="228">
        <v>15.31</v>
      </c>
      <c r="K91" s="228">
        <f t="shared" si="17"/>
        <v>3.3135690000000002</v>
      </c>
      <c r="L91" s="106">
        <f t="shared" si="15"/>
        <v>0</v>
      </c>
      <c r="M91" s="106"/>
      <c r="N91" s="175">
        <f t="shared" si="13"/>
        <v>0</v>
      </c>
      <c r="O91" s="175"/>
      <c r="P91" s="106">
        <f t="shared" si="14"/>
        <v>0</v>
      </c>
      <c r="Q91" s="106"/>
      <c r="R91" s="106">
        <f t="shared" si="16"/>
        <v>0</v>
      </c>
      <c r="S91" s="110"/>
      <c r="V91" s="326"/>
      <c r="Y91" s="304"/>
      <c r="AA91" s="327">
        <v>10.4</v>
      </c>
      <c r="AC91" s="192">
        <f t="shared" si="12"/>
        <v>124.80000000000001</v>
      </c>
      <c r="AO91" s="269"/>
    </row>
    <row r="92" spans="1:41" x14ac:dyDescent="0.3">
      <c r="A92" s="268">
        <v>53</v>
      </c>
      <c r="C92" s="116" t="s">
        <v>819</v>
      </c>
      <c r="F92" s="172">
        <v>0</v>
      </c>
      <c r="G92" s="1"/>
      <c r="H92" s="172">
        <f t="shared" si="9"/>
        <v>0</v>
      </c>
      <c r="I92" s="147"/>
      <c r="J92" s="228">
        <v>15.31</v>
      </c>
      <c r="K92" s="228">
        <f t="shared" si="17"/>
        <v>3.3135690000000002</v>
      </c>
      <c r="L92" s="106">
        <f t="shared" si="15"/>
        <v>0</v>
      </c>
      <c r="M92" s="106"/>
      <c r="N92" s="175">
        <f t="shared" si="13"/>
        <v>0</v>
      </c>
      <c r="O92" s="175"/>
      <c r="P92" s="106">
        <f t="shared" si="14"/>
        <v>0</v>
      </c>
      <c r="Q92" s="106"/>
      <c r="R92" s="106">
        <f t="shared" si="16"/>
        <v>0</v>
      </c>
      <c r="S92" s="110"/>
      <c r="V92" s="326"/>
      <c r="Y92" s="304"/>
      <c r="AA92" s="327">
        <v>10.4</v>
      </c>
      <c r="AC92" s="192">
        <f t="shared" si="12"/>
        <v>124.80000000000001</v>
      </c>
      <c r="AO92" s="269"/>
    </row>
    <row r="93" spans="1:41" x14ac:dyDescent="0.3">
      <c r="A93" s="268">
        <v>54</v>
      </c>
      <c r="C93" s="116" t="s">
        <v>820</v>
      </c>
      <c r="F93" s="172">
        <v>0</v>
      </c>
      <c r="G93" s="1"/>
      <c r="H93" s="172">
        <f t="shared" si="9"/>
        <v>0</v>
      </c>
      <c r="I93" s="147"/>
      <c r="J93" s="228">
        <v>19.48</v>
      </c>
      <c r="K93" s="228">
        <f t="shared" si="17"/>
        <v>3.3135690000000002</v>
      </c>
      <c r="L93" s="106">
        <f t="shared" si="15"/>
        <v>0</v>
      </c>
      <c r="M93" s="106"/>
      <c r="N93" s="175">
        <f t="shared" si="13"/>
        <v>0</v>
      </c>
      <c r="O93" s="175"/>
      <c r="P93" s="106">
        <f t="shared" si="14"/>
        <v>0</v>
      </c>
      <c r="Q93" s="106"/>
      <c r="R93" s="106">
        <f t="shared" si="16"/>
        <v>0</v>
      </c>
      <c r="S93" s="110"/>
      <c r="V93" s="326"/>
      <c r="Y93" s="304"/>
      <c r="AA93" s="328">
        <v>13.9</v>
      </c>
      <c r="AC93" s="192">
        <f t="shared" si="12"/>
        <v>166.8</v>
      </c>
      <c r="AO93" s="269"/>
    </row>
    <row r="94" spans="1:41" x14ac:dyDescent="0.3">
      <c r="A94" s="268">
        <v>55</v>
      </c>
      <c r="C94" s="116" t="s">
        <v>821</v>
      </c>
      <c r="F94" s="172">
        <v>0</v>
      </c>
      <c r="G94" s="1"/>
      <c r="H94" s="172">
        <f t="shared" si="9"/>
        <v>0</v>
      </c>
      <c r="I94" s="147"/>
      <c r="J94" s="228">
        <v>19.48</v>
      </c>
      <c r="K94" s="228">
        <f t="shared" si="17"/>
        <v>3.3135690000000002</v>
      </c>
      <c r="L94" s="106">
        <f t="shared" si="15"/>
        <v>0</v>
      </c>
      <c r="M94" s="106"/>
      <c r="N94" s="175">
        <f t="shared" si="13"/>
        <v>0</v>
      </c>
      <c r="O94" s="175"/>
      <c r="P94" s="106">
        <f t="shared" si="14"/>
        <v>0</v>
      </c>
      <c r="Q94" s="106"/>
      <c r="R94" s="106">
        <f t="shared" si="16"/>
        <v>0</v>
      </c>
      <c r="S94" s="110"/>
      <c r="V94" s="326"/>
      <c r="Y94" s="304"/>
      <c r="AA94" s="328">
        <v>13.9</v>
      </c>
      <c r="AC94" s="192">
        <f t="shared" si="12"/>
        <v>166.8</v>
      </c>
      <c r="AO94" s="269"/>
    </row>
    <row r="95" spans="1:41" x14ac:dyDescent="0.3">
      <c r="A95" s="268">
        <v>56</v>
      </c>
      <c r="C95" s="116" t="s">
        <v>822</v>
      </c>
      <c r="F95" s="172">
        <v>0</v>
      </c>
      <c r="G95" s="1"/>
      <c r="H95" s="172">
        <f t="shared" si="9"/>
        <v>0</v>
      </c>
      <c r="I95" s="147"/>
      <c r="J95" s="228">
        <v>4.21</v>
      </c>
      <c r="K95" s="228">
        <f t="shared" si="17"/>
        <v>3.3135690000000002</v>
      </c>
      <c r="L95" s="106">
        <f t="shared" si="15"/>
        <v>0</v>
      </c>
      <c r="M95" s="106"/>
      <c r="N95" s="175">
        <f t="shared" si="13"/>
        <v>0</v>
      </c>
      <c r="O95" s="175"/>
      <c r="P95" s="106">
        <f t="shared" si="14"/>
        <v>0</v>
      </c>
      <c r="Q95" s="106"/>
      <c r="R95" s="106">
        <f t="shared" si="16"/>
        <v>0</v>
      </c>
      <c r="S95" s="110"/>
      <c r="V95" s="326"/>
      <c r="Y95" s="304"/>
      <c r="AA95" s="329">
        <v>9</v>
      </c>
      <c r="AC95" s="192">
        <f t="shared" si="12"/>
        <v>108</v>
      </c>
      <c r="AO95" s="269"/>
    </row>
    <row r="96" spans="1:41" x14ac:dyDescent="0.3">
      <c r="A96" s="268">
        <v>57</v>
      </c>
      <c r="C96" s="116" t="s">
        <v>823</v>
      </c>
      <c r="F96" s="172">
        <v>0</v>
      </c>
      <c r="G96" s="1"/>
      <c r="H96" s="172">
        <f t="shared" si="9"/>
        <v>0</v>
      </c>
      <c r="I96" s="147"/>
      <c r="J96" s="228">
        <v>4.96</v>
      </c>
      <c r="K96" s="228">
        <f t="shared" si="17"/>
        <v>3.3135690000000002</v>
      </c>
      <c r="L96" s="106">
        <f t="shared" si="15"/>
        <v>0</v>
      </c>
      <c r="M96" s="106"/>
      <c r="N96" s="175">
        <f t="shared" si="13"/>
        <v>0</v>
      </c>
      <c r="O96" s="175"/>
      <c r="P96" s="106">
        <f t="shared" si="14"/>
        <v>0</v>
      </c>
      <c r="Q96" s="106"/>
      <c r="R96" s="106">
        <f t="shared" si="16"/>
        <v>0</v>
      </c>
      <c r="S96" s="110"/>
      <c r="V96" s="326"/>
      <c r="Y96" s="304"/>
      <c r="AA96" s="329">
        <v>9</v>
      </c>
      <c r="AC96" s="192">
        <f t="shared" si="12"/>
        <v>108</v>
      </c>
      <c r="AO96" s="269"/>
    </row>
    <row r="97" spans="1:45" x14ac:dyDescent="0.3">
      <c r="A97" s="268">
        <v>58</v>
      </c>
      <c r="C97" s="116" t="s">
        <v>824</v>
      </c>
      <c r="F97" s="172">
        <v>0</v>
      </c>
      <c r="G97" s="1"/>
      <c r="H97" s="172">
        <f t="shared" si="9"/>
        <v>0</v>
      </c>
      <c r="I97" s="147"/>
      <c r="J97" s="228">
        <v>5.85</v>
      </c>
      <c r="K97" s="228">
        <f t="shared" si="17"/>
        <v>3.3135690000000002</v>
      </c>
      <c r="L97" s="106">
        <f t="shared" si="15"/>
        <v>0</v>
      </c>
      <c r="M97" s="106"/>
      <c r="N97" s="175">
        <f t="shared" si="13"/>
        <v>0</v>
      </c>
      <c r="O97" s="175"/>
      <c r="P97" s="106">
        <f t="shared" si="14"/>
        <v>0</v>
      </c>
      <c r="Q97" s="106"/>
      <c r="R97" s="106">
        <f t="shared" si="16"/>
        <v>0</v>
      </c>
      <c r="S97" s="110"/>
      <c r="V97" s="326"/>
      <c r="Y97" s="304"/>
      <c r="AA97" s="329">
        <v>9</v>
      </c>
      <c r="AC97" s="192">
        <f t="shared" si="12"/>
        <v>108</v>
      </c>
      <c r="AO97" s="269"/>
    </row>
    <row r="98" spans="1:45" x14ac:dyDescent="0.3">
      <c r="A98" s="268">
        <v>59</v>
      </c>
      <c r="C98" s="116" t="s">
        <v>825</v>
      </c>
      <c r="F98" s="172">
        <v>0</v>
      </c>
      <c r="G98" s="1"/>
      <c r="H98" s="172">
        <f t="shared" si="9"/>
        <v>0</v>
      </c>
      <c r="I98" s="147"/>
      <c r="J98" s="228">
        <v>5.32</v>
      </c>
      <c r="K98" s="228">
        <f t="shared" si="17"/>
        <v>3.3135690000000002</v>
      </c>
      <c r="L98" s="106">
        <f t="shared" si="15"/>
        <v>0</v>
      </c>
      <c r="M98" s="106"/>
      <c r="N98" s="175">
        <f t="shared" si="13"/>
        <v>0</v>
      </c>
      <c r="O98" s="175"/>
      <c r="P98" s="106">
        <f t="shared" si="14"/>
        <v>0</v>
      </c>
      <c r="Q98" s="106"/>
      <c r="R98" s="106">
        <f t="shared" si="16"/>
        <v>0</v>
      </c>
      <c r="S98" s="110"/>
      <c r="V98" s="326"/>
      <c r="Y98" s="304"/>
      <c r="AA98" s="329">
        <v>9</v>
      </c>
      <c r="AC98" s="192">
        <f t="shared" si="12"/>
        <v>108</v>
      </c>
      <c r="AO98" s="269"/>
    </row>
    <row r="99" spans="1:45" x14ac:dyDescent="0.3">
      <c r="A99" s="268">
        <v>60</v>
      </c>
      <c r="C99" s="116" t="s">
        <v>826</v>
      </c>
      <c r="F99" s="172">
        <v>0</v>
      </c>
      <c r="G99" s="1"/>
      <c r="H99" s="172">
        <f t="shared" si="9"/>
        <v>0</v>
      </c>
      <c r="I99" s="147"/>
      <c r="J99" s="228">
        <v>5.91</v>
      </c>
      <c r="K99" s="228">
        <f t="shared" si="17"/>
        <v>3.3135690000000002</v>
      </c>
      <c r="L99" s="106">
        <f t="shared" si="15"/>
        <v>0</v>
      </c>
      <c r="M99" s="106"/>
      <c r="N99" s="175">
        <f t="shared" si="13"/>
        <v>0</v>
      </c>
      <c r="O99" s="175"/>
      <c r="P99" s="106">
        <f t="shared" si="14"/>
        <v>0</v>
      </c>
      <c r="Q99" s="106"/>
      <c r="R99" s="106">
        <f t="shared" si="16"/>
        <v>0</v>
      </c>
      <c r="S99" s="110"/>
      <c r="V99" s="326"/>
      <c r="Y99" s="304"/>
      <c r="AA99" s="329">
        <v>9</v>
      </c>
      <c r="AC99" s="192">
        <f t="shared" si="12"/>
        <v>108</v>
      </c>
      <c r="AO99" s="269"/>
    </row>
    <row r="100" spans="1:45" x14ac:dyDescent="0.3">
      <c r="A100" s="268">
        <v>61</v>
      </c>
      <c r="C100" s="116" t="s">
        <v>827</v>
      </c>
      <c r="F100" s="172">
        <v>0</v>
      </c>
      <c r="G100" s="1"/>
      <c r="H100" s="172">
        <f t="shared" si="9"/>
        <v>0</v>
      </c>
      <c r="I100" s="147"/>
      <c r="J100" s="228">
        <v>6.94</v>
      </c>
      <c r="K100" s="228">
        <f t="shared" si="17"/>
        <v>3.3135690000000002</v>
      </c>
      <c r="L100" s="106">
        <f t="shared" si="15"/>
        <v>0</v>
      </c>
      <c r="M100" s="106"/>
      <c r="N100" s="175">
        <f t="shared" si="13"/>
        <v>0</v>
      </c>
      <c r="O100" s="175"/>
      <c r="P100" s="106">
        <f t="shared" si="14"/>
        <v>0</v>
      </c>
      <c r="Q100" s="106"/>
      <c r="R100" s="106">
        <f t="shared" si="16"/>
        <v>0</v>
      </c>
      <c r="S100" s="110"/>
      <c r="V100" s="326"/>
      <c r="Y100" s="304"/>
      <c r="AA100" s="329">
        <v>9</v>
      </c>
      <c r="AC100" s="192">
        <f t="shared" si="12"/>
        <v>108</v>
      </c>
      <c r="AO100" s="269"/>
    </row>
    <row r="101" spans="1:45" x14ac:dyDescent="0.3">
      <c r="A101" s="268">
        <v>62</v>
      </c>
      <c r="C101" s="116" t="s">
        <v>828</v>
      </c>
      <c r="F101" s="172">
        <v>0</v>
      </c>
      <c r="G101" s="1"/>
      <c r="H101" s="172">
        <f t="shared" si="9"/>
        <v>0</v>
      </c>
      <c r="I101" s="147"/>
      <c r="J101" s="228">
        <v>7.53</v>
      </c>
      <c r="K101" s="228">
        <f t="shared" si="17"/>
        <v>3.3135690000000002</v>
      </c>
      <c r="L101" s="106">
        <f t="shared" si="15"/>
        <v>0</v>
      </c>
      <c r="M101" s="106"/>
      <c r="N101" s="175">
        <f t="shared" si="13"/>
        <v>0</v>
      </c>
      <c r="O101" s="175"/>
      <c r="P101" s="106">
        <f t="shared" si="14"/>
        <v>0</v>
      </c>
      <c r="Q101" s="106"/>
      <c r="R101" s="106">
        <f t="shared" si="16"/>
        <v>0</v>
      </c>
      <c r="S101" s="110"/>
      <c r="V101" s="326"/>
      <c r="Y101" s="304"/>
      <c r="AA101" s="329">
        <v>9</v>
      </c>
      <c r="AC101" s="192">
        <f t="shared" si="12"/>
        <v>108</v>
      </c>
      <c r="AO101" s="269"/>
    </row>
    <row r="102" spans="1:45" x14ac:dyDescent="0.3">
      <c r="A102" s="268">
        <v>63</v>
      </c>
      <c r="C102" s="116" t="s">
        <v>829</v>
      </c>
      <c r="F102" s="172">
        <v>0</v>
      </c>
      <c r="G102" s="1"/>
      <c r="H102" s="172">
        <f t="shared" si="9"/>
        <v>0</v>
      </c>
      <c r="I102" s="147"/>
      <c r="J102" s="228">
        <v>6.94</v>
      </c>
      <c r="K102" s="228">
        <f t="shared" si="17"/>
        <v>3.3135690000000002</v>
      </c>
      <c r="L102" s="106">
        <f t="shared" si="15"/>
        <v>0</v>
      </c>
      <c r="M102" s="106"/>
      <c r="N102" s="175">
        <f t="shared" si="13"/>
        <v>0</v>
      </c>
      <c r="O102" s="175"/>
      <c r="P102" s="106">
        <f t="shared" si="14"/>
        <v>0</v>
      </c>
      <c r="Q102" s="106"/>
      <c r="R102" s="106">
        <f t="shared" si="16"/>
        <v>0</v>
      </c>
      <c r="S102" s="110"/>
      <c r="V102" s="326"/>
      <c r="Y102" s="304"/>
      <c r="AA102" s="329">
        <v>9</v>
      </c>
      <c r="AC102" s="192">
        <f t="shared" si="12"/>
        <v>108</v>
      </c>
      <c r="AO102" s="269"/>
    </row>
    <row r="103" spans="1:45" x14ac:dyDescent="0.3">
      <c r="A103" s="268">
        <v>64</v>
      </c>
      <c r="C103" s="116" t="s">
        <v>830</v>
      </c>
      <c r="F103" s="172">
        <v>0</v>
      </c>
      <c r="G103" s="1"/>
      <c r="H103" s="172">
        <f t="shared" si="9"/>
        <v>0</v>
      </c>
      <c r="I103" s="147"/>
      <c r="J103" s="228">
        <v>15.68</v>
      </c>
      <c r="K103" s="228">
        <f t="shared" si="17"/>
        <v>3.3135690000000002</v>
      </c>
      <c r="L103" s="106">
        <f t="shared" si="15"/>
        <v>0</v>
      </c>
      <c r="M103" s="106"/>
      <c r="N103" s="175">
        <f t="shared" si="13"/>
        <v>0</v>
      </c>
      <c r="O103" s="175"/>
      <c r="P103" s="106">
        <f t="shared" si="14"/>
        <v>0</v>
      </c>
      <c r="Q103" s="106"/>
      <c r="R103" s="106">
        <f t="shared" si="16"/>
        <v>0</v>
      </c>
      <c r="S103" s="110"/>
      <c r="V103" s="326"/>
      <c r="Y103" s="304"/>
      <c r="AA103" s="330">
        <v>17.3</v>
      </c>
      <c r="AC103" s="192">
        <f t="shared" si="12"/>
        <v>207.60000000000002</v>
      </c>
      <c r="AO103" s="269"/>
    </row>
    <row r="104" spans="1:45" x14ac:dyDescent="0.3">
      <c r="A104" s="268">
        <v>65</v>
      </c>
      <c r="C104" s="116" t="s">
        <v>831</v>
      </c>
      <c r="F104" s="172">
        <v>0</v>
      </c>
      <c r="G104" s="1"/>
      <c r="H104" s="172">
        <f t="shared" si="9"/>
        <v>0</v>
      </c>
      <c r="I104" s="147"/>
      <c r="J104" s="228">
        <v>17.64</v>
      </c>
      <c r="K104" s="228">
        <f t="shared" si="17"/>
        <v>3.3135690000000002</v>
      </c>
      <c r="L104" s="106">
        <f t="shared" si="15"/>
        <v>0</v>
      </c>
      <c r="M104" s="106"/>
      <c r="N104" s="175">
        <f t="shared" si="13"/>
        <v>0</v>
      </c>
      <c r="O104" s="175"/>
      <c r="P104" s="106">
        <f t="shared" si="14"/>
        <v>0</v>
      </c>
      <c r="Q104" s="106"/>
      <c r="R104" s="106">
        <f t="shared" si="16"/>
        <v>0</v>
      </c>
      <c r="S104" s="110"/>
      <c r="V104" s="326"/>
      <c r="Y104" s="304"/>
      <c r="AA104" s="330">
        <v>17.3</v>
      </c>
      <c r="AC104" s="192">
        <f t="shared" si="12"/>
        <v>207.60000000000002</v>
      </c>
      <c r="AO104" s="269"/>
    </row>
    <row r="105" spans="1:45" x14ac:dyDescent="0.3">
      <c r="A105" s="268">
        <v>66</v>
      </c>
      <c r="C105" s="116" t="s">
        <v>832</v>
      </c>
      <c r="F105" s="172">
        <v>0</v>
      </c>
      <c r="G105" s="1"/>
      <c r="H105" s="172">
        <f t="shared" si="9"/>
        <v>0</v>
      </c>
      <c r="I105" s="147"/>
      <c r="J105" s="228">
        <v>3.17</v>
      </c>
      <c r="K105" s="228">
        <f t="shared" si="17"/>
        <v>3.3135690000000002</v>
      </c>
      <c r="L105" s="106">
        <f t="shared" si="15"/>
        <v>0</v>
      </c>
      <c r="M105" s="106"/>
      <c r="N105" s="175">
        <f t="shared" si="13"/>
        <v>0</v>
      </c>
      <c r="O105" s="175"/>
      <c r="P105" s="106">
        <f t="shared" si="14"/>
        <v>0</v>
      </c>
      <c r="Q105" s="106"/>
      <c r="R105" s="106">
        <f t="shared" si="16"/>
        <v>0</v>
      </c>
      <c r="S105" s="110"/>
      <c r="V105" s="326"/>
      <c r="Y105" s="304"/>
      <c r="AA105" s="330">
        <v>10.4</v>
      </c>
      <c r="AC105" s="192">
        <f t="shared" si="12"/>
        <v>124.80000000000001</v>
      </c>
      <c r="AO105" s="269"/>
    </row>
    <row r="106" spans="1:45" x14ac:dyDescent="0.3">
      <c r="A106" s="268">
        <v>67</v>
      </c>
      <c r="C106" s="116" t="s">
        <v>833</v>
      </c>
      <c r="F106" s="172">
        <v>0</v>
      </c>
      <c r="G106" s="1"/>
      <c r="H106" s="172">
        <f t="shared" si="9"/>
        <v>0</v>
      </c>
      <c r="I106" s="147"/>
      <c r="J106" s="228">
        <v>3.18</v>
      </c>
      <c r="K106" s="228">
        <f t="shared" si="17"/>
        <v>3.3135690000000002</v>
      </c>
      <c r="L106" s="106">
        <f>ROUND((F106*(J106+K106)),0)</f>
        <v>0</v>
      </c>
      <c r="M106" s="106"/>
      <c r="N106" s="175">
        <f t="shared" si="13"/>
        <v>0</v>
      </c>
      <c r="O106" s="175"/>
      <c r="P106" s="106">
        <f t="shared" si="14"/>
        <v>0</v>
      </c>
      <c r="Q106" s="106"/>
      <c r="R106" s="106">
        <f>L106+P106</f>
        <v>0</v>
      </c>
      <c r="S106" s="110"/>
      <c r="V106" s="326"/>
      <c r="Y106" s="304"/>
      <c r="AA106" s="330">
        <v>13.9</v>
      </c>
      <c r="AC106" s="192">
        <f t="shared" si="12"/>
        <v>166.8</v>
      </c>
      <c r="AO106" s="269"/>
    </row>
    <row r="107" spans="1:45" x14ac:dyDescent="0.3">
      <c r="A107" s="268">
        <v>68</v>
      </c>
      <c r="C107" s="116" t="s">
        <v>849</v>
      </c>
      <c r="F107" s="172">
        <v>0</v>
      </c>
      <c r="G107" s="1"/>
      <c r="H107" s="172">
        <f t="shared" si="9"/>
        <v>0</v>
      </c>
      <c r="I107" s="147"/>
      <c r="J107" s="228">
        <v>3.06</v>
      </c>
      <c r="K107" s="228">
        <f t="shared" si="17"/>
        <v>3.3135690000000002</v>
      </c>
      <c r="L107" s="106">
        <f>ROUND((F107*(J107+K107)),0)</f>
        <v>0</v>
      </c>
      <c r="M107" s="106"/>
      <c r="N107" s="175">
        <f t="shared" si="13"/>
        <v>0</v>
      </c>
      <c r="O107" s="175"/>
      <c r="P107" s="106">
        <f t="shared" si="14"/>
        <v>0</v>
      </c>
      <c r="Q107" s="106"/>
      <c r="R107" s="106">
        <f>L107+P107</f>
        <v>0</v>
      </c>
      <c r="S107" s="110"/>
      <c r="V107" s="326"/>
      <c r="Y107" s="304"/>
      <c r="AA107" s="330">
        <v>10.4</v>
      </c>
      <c r="AC107" s="192">
        <f t="shared" si="12"/>
        <v>124.80000000000001</v>
      </c>
      <c r="AO107" s="269"/>
    </row>
    <row r="108" spans="1:45" x14ac:dyDescent="0.3">
      <c r="A108" s="268">
        <v>69</v>
      </c>
      <c r="C108" s="169" t="s">
        <v>561</v>
      </c>
      <c r="F108" s="112">
        <f>SUM(F20:F107)</f>
        <v>1928</v>
      </c>
      <c r="G108" s="1"/>
      <c r="H108" s="112">
        <f>SUM(H20:H107)</f>
        <v>42161</v>
      </c>
      <c r="I108" s="106"/>
      <c r="J108" s="3"/>
      <c r="K108" s="3"/>
      <c r="L108" s="112">
        <f>SUM(L20:L107)</f>
        <v>18271</v>
      </c>
      <c r="M108" s="106"/>
      <c r="N108" s="193">
        <f t="shared" si="13"/>
        <v>80.400000000000006</v>
      </c>
      <c r="O108" s="138"/>
      <c r="P108" s="112">
        <f>ROUND(H108*PRO_FAC,0)</f>
        <v>147</v>
      </c>
      <c r="Q108" s="106"/>
      <c r="R108" s="112">
        <f>SUM(R20:R107)</f>
        <v>18271</v>
      </c>
    </row>
    <row r="109" spans="1:45" x14ac:dyDescent="0.3">
      <c r="B109" s="279"/>
      <c r="C109" s="279"/>
      <c r="D109" s="279"/>
      <c r="E109" s="279"/>
      <c r="F109" s="279"/>
      <c r="G109" s="279"/>
      <c r="H109" s="279"/>
      <c r="I109" s="279"/>
      <c r="J109" s="248"/>
      <c r="K109" s="279"/>
      <c r="L109" s="280"/>
      <c r="M109" s="279"/>
      <c r="N109" s="279"/>
      <c r="O109" s="279"/>
      <c r="P109" s="248"/>
      <c r="Q109" s="134"/>
      <c r="R109" s="134"/>
      <c r="V109" s="99"/>
      <c r="AA109" s="110"/>
      <c r="AC109" s="110"/>
      <c r="AD109" s="110"/>
      <c r="AE109" s="198"/>
      <c r="AF109" s="198"/>
      <c r="AH109" s="110"/>
      <c r="AI109" s="141"/>
      <c r="AJ109" s="141"/>
      <c r="AL109" s="110"/>
      <c r="AM109" s="207"/>
      <c r="AN109" s="207"/>
      <c r="AO109" s="110"/>
      <c r="AP109" s="110"/>
      <c r="AR109" s="110"/>
      <c r="AS109" s="141"/>
    </row>
    <row r="110" spans="1:45" x14ac:dyDescent="0.3">
      <c r="A110" s="98">
        <v>70</v>
      </c>
      <c r="B110" s="279"/>
      <c r="C110" s="169" t="s">
        <v>562</v>
      </c>
      <c r="D110" s="279"/>
      <c r="E110" s="279"/>
      <c r="F110" s="281"/>
      <c r="G110" s="279"/>
      <c r="H110" s="117">
        <f>H108</f>
        <v>42161</v>
      </c>
      <c r="I110" s="279"/>
      <c r="J110" s="184">
        <f>ROUND(AC462+(AC462*AG1),6)</f>
        <v>7.9088000000000006E-2</v>
      </c>
      <c r="K110" s="279"/>
      <c r="L110" s="117">
        <f>H110*J110</f>
        <v>3334.4291680000001</v>
      </c>
      <c r="M110" s="279"/>
      <c r="N110" s="236">
        <f>ROUND((L110/L$340)*100,1)</f>
        <v>14.7</v>
      </c>
      <c r="O110" s="279"/>
      <c r="P110" s="248"/>
      <c r="Q110" s="134"/>
      <c r="R110" s="117">
        <f>L110+P110</f>
        <v>3334.4291680000001</v>
      </c>
      <c r="V110" s="99"/>
      <c r="AA110" s="110"/>
      <c r="AC110" s="110"/>
      <c r="AD110" s="110"/>
      <c r="AE110" s="198"/>
      <c r="AF110" s="198"/>
      <c r="AH110" s="110"/>
      <c r="AI110" s="141"/>
      <c r="AJ110" s="141"/>
      <c r="AL110" s="110"/>
      <c r="AM110" s="207"/>
      <c r="AN110" s="207"/>
      <c r="AO110" s="110"/>
      <c r="AP110" s="110"/>
      <c r="AR110" s="110"/>
      <c r="AS110" s="141"/>
    </row>
    <row r="111" spans="1:45" x14ac:dyDescent="0.3">
      <c r="B111" s="279"/>
      <c r="C111" s="169"/>
      <c r="D111" s="279"/>
      <c r="E111" s="279"/>
      <c r="F111" s="281"/>
      <c r="G111" s="279"/>
      <c r="H111" s="106"/>
      <c r="I111" s="279"/>
      <c r="J111" s="184"/>
      <c r="K111" s="279"/>
      <c r="L111" s="106"/>
      <c r="M111" s="279"/>
      <c r="N111" s="279"/>
      <c r="O111" s="279"/>
      <c r="P111" s="248"/>
      <c r="Q111" s="134"/>
      <c r="R111" s="106"/>
      <c r="V111" s="99"/>
      <c r="AA111" s="110"/>
      <c r="AC111" s="110"/>
      <c r="AD111" s="110"/>
      <c r="AE111" s="198"/>
      <c r="AF111" s="198"/>
      <c r="AH111" s="110"/>
      <c r="AI111" s="141"/>
      <c r="AJ111" s="141"/>
      <c r="AL111" s="110"/>
      <c r="AM111" s="207"/>
      <c r="AN111" s="207"/>
      <c r="AO111" s="110"/>
      <c r="AP111" s="110"/>
      <c r="AR111" s="110"/>
      <c r="AS111" s="141"/>
    </row>
    <row r="112" spans="1:45" x14ac:dyDescent="0.3">
      <c r="A112" s="282">
        <v>71</v>
      </c>
      <c r="C112" s="169" t="s">
        <v>571</v>
      </c>
      <c r="D112" s="116"/>
      <c r="E112" s="99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U112" s="99"/>
    </row>
    <row r="113" spans="1:49" x14ac:dyDescent="0.3">
      <c r="A113" s="282">
        <v>72</v>
      </c>
      <c r="C113" s="116" t="s">
        <v>627</v>
      </c>
      <c r="F113" s="172">
        <v>0</v>
      </c>
      <c r="G113" s="1"/>
      <c r="H113" s="172"/>
      <c r="I113" s="147"/>
      <c r="J113" s="228">
        <f>ROUND(AC465+(AC465*'Rate SL'!$AG$1),6)</f>
        <v>10.671977</v>
      </c>
      <c r="K113" s="242"/>
      <c r="L113" s="106">
        <f t="shared" ref="L113:L120" si="18">ROUND((F113*J113),0)</f>
        <v>0</v>
      </c>
      <c r="M113" s="106"/>
      <c r="N113" s="175">
        <v>0</v>
      </c>
      <c r="O113" s="175"/>
      <c r="P113" s="106"/>
      <c r="Q113" s="106"/>
      <c r="R113" s="106">
        <f t="shared" ref="R113:R120" si="19">L113+P113</f>
        <v>0</v>
      </c>
      <c r="U113" s="99"/>
    </row>
    <row r="114" spans="1:49" x14ac:dyDescent="0.3">
      <c r="A114" s="282">
        <v>73</v>
      </c>
      <c r="C114" s="116" t="s">
        <v>628</v>
      </c>
      <c r="F114" s="172">
        <v>0</v>
      </c>
      <c r="G114" s="1"/>
      <c r="H114" s="172"/>
      <c r="I114" s="147"/>
      <c r="J114" s="228">
        <f>ROUND(AC466+(AC466*'Rate SL'!$AG$1),6)</f>
        <v>9.9292809999999996</v>
      </c>
      <c r="K114" s="242"/>
      <c r="L114" s="106">
        <f t="shared" si="18"/>
        <v>0</v>
      </c>
      <c r="M114" s="106"/>
      <c r="N114" s="175">
        <v>0</v>
      </c>
      <c r="O114" s="175"/>
      <c r="P114" s="106"/>
      <c r="Q114" s="106"/>
      <c r="R114" s="106">
        <f t="shared" si="19"/>
        <v>0</v>
      </c>
      <c r="U114" s="99"/>
    </row>
    <row r="115" spans="1:49" x14ac:dyDescent="0.3">
      <c r="A115" s="282">
        <v>74</v>
      </c>
      <c r="C115" s="116" t="s">
        <v>629</v>
      </c>
      <c r="F115" s="172">
        <v>0</v>
      </c>
      <c r="G115" s="1"/>
      <c r="H115" s="172"/>
      <c r="I115" s="147"/>
      <c r="J115" s="228">
        <f>ROUND(AC467+(AC467*'Rate SL'!$AG$1),6)</f>
        <v>12.374466</v>
      </c>
      <c r="K115" s="242"/>
      <c r="L115" s="106">
        <f t="shared" si="18"/>
        <v>0</v>
      </c>
      <c r="M115" s="106"/>
      <c r="N115" s="175">
        <v>0</v>
      </c>
      <c r="O115" s="175"/>
      <c r="P115" s="106"/>
      <c r="Q115" s="106"/>
      <c r="R115" s="106">
        <f t="shared" si="19"/>
        <v>0</v>
      </c>
      <c r="U115" s="99"/>
    </row>
    <row r="116" spans="1:49" x14ac:dyDescent="0.3">
      <c r="A116" s="282">
        <v>75</v>
      </c>
      <c r="C116" s="116" t="s">
        <v>630</v>
      </c>
      <c r="F116" s="172">
        <v>0</v>
      </c>
      <c r="G116" s="1"/>
      <c r="H116" s="172"/>
      <c r="I116" s="147"/>
      <c r="J116" s="228">
        <f>ROUND(AC468+(AC468*'Rate SL'!$AG$1),6)</f>
        <v>10.169229</v>
      </c>
      <c r="K116" s="242"/>
      <c r="L116" s="106">
        <f t="shared" si="18"/>
        <v>0</v>
      </c>
      <c r="M116" s="106"/>
      <c r="N116" s="175">
        <v>0</v>
      </c>
      <c r="O116" s="175"/>
      <c r="P116" s="106"/>
      <c r="Q116" s="106"/>
      <c r="R116" s="106">
        <f t="shared" si="19"/>
        <v>0</v>
      </c>
      <c r="U116" s="99"/>
    </row>
    <row r="117" spans="1:49" x14ac:dyDescent="0.3">
      <c r="A117" s="282">
        <v>76</v>
      </c>
      <c r="C117" s="116" t="s">
        <v>631</v>
      </c>
      <c r="F117" s="172">
        <v>0</v>
      </c>
      <c r="G117" s="1"/>
      <c r="H117" s="172"/>
      <c r="I117" s="147"/>
      <c r="J117" s="228">
        <f>ROUND(AC469+(AC469*'Rate SL'!$AG$1),6)</f>
        <v>13.197146</v>
      </c>
      <c r="K117" s="242"/>
      <c r="L117" s="106">
        <f t="shared" si="18"/>
        <v>0</v>
      </c>
      <c r="M117" s="106"/>
      <c r="N117" s="175">
        <v>0</v>
      </c>
      <c r="O117" s="175"/>
      <c r="P117" s="106"/>
      <c r="Q117" s="106"/>
      <c r="R117" s="106">
        <f t="shared" si="19"/>
        <v>0</v>
      </c>
      <c r="U117" s="99"/>
    </row>
    <row r="118" spans="1:49" x14ac:dyDescent="0.3">
      <c r="A118" s="282">
        <v>77</v>
      </c>
      <c r="C118" s="116" t="s">
        <v>632</v>
      </c>
      <c r="F118" s="172">
        <v>0</v>
      </c>
      <c r="G118" s="1"/>
      <c r="H118" s="172"/>
      <c r="I118" s="147"/>
      <c r="J118" s="228">
        <f>ROUND(AC470+(AC470*'Rate SL'!$AG$1),6)</f>
        <v>13.425668</v>
      </c>
      <c r="K118" s="242"/>
      <c r="L118" s="106">
        <f t="shared" si="18"/>
        <v>0</v>
      </c>
      <c r="M118" s="106"/>
      <c r="N118" s="175">
        <v>0</v>
      </c>
      <c r="O118" s="175"/>
      <c r="P118" s="106"/>
      <c r="Q118" s="106"/>
      <c r="R118" s="106">
        <f t="shared" si="19"/>
        <v>0</v>
      </c>
      <c r="U118" s="99"/>
    </row>
    <row r="119" spans="1:49" x14ac:dyDescent="0.3">
      <c r="A119" s="282">
        <v>78</v>
      </c>
      <c r="C119" s="116" t="s">
        <v>633</v>
      </c>
      <c r="F119" s="172">
        <v>0</v>
      </c>
      <c r="G119" s="1"/>
      <c r="H119" s="172"/>
      <c r="I119" s="147"/>
      <c r="J119" s="228">
        <f>ROUND(AC471+(AC471*'Rate SL'!$AG$1),6)</f>
        <v>16.647828000000001</v>
      </c>
      <c r="K119" s="242"/>
      <c r="L119" s="106">
        <f t="shared" si="18"/>
        <v>0</v>
      </c>
      <c r="M119" s="106"/>
      <c r="N119" s="175">
        <v>0</v>
      </c>
      <c r="O119" s="175"/>
      <c r="P119" s="106"/>
      <c r="Q119" s="106"/>
      <c r="R119" s="106">
        <f t="shared" si="19"/>
        <v>0</v>
      </c>
      <c r="U119" s="99"/>
    </row>
    <row r="120" spans="1:49" x14ac:dyDescent="0.3">
      <c r="A120" s="282">
        <v>79</v>
      </c>
      <c r="C120" s="116" t="s">
        <v>634</v>
      </c>
      <c r="F120" s="172">
        <v>0</v>
      </c>
      <c r="G120" s="1"/>
      <c r="H120" s="172"/>
      <c r="I120" s="147"/>
      <c r="J120" s="228">
        <f>ROUND(AC472+(AC472*'Rate SL'!$AG$1),6)</f>
        <v>15.253844000000001</v>
      </c>
      <c r="K120" s="242"/>
      <c r="L120" s="106">
        <f t="shared" si="18"/>
        <v>0</v>
      </c>
      <c r="M120" s="106"/>
      <c r="N120" s="175">
        <v>0</v>
      </c>
      <c r="O120" s="175"/>
      <c r="P120" s="106"/>
      <c r="Q120" s="106"/>
      <c r="R120" s="106">
        <f t="shared" si="19"/>
        <v>0</v>
      </c>
      <c r="U120" s="99"/>
    </row>
    <row r="121" spans="1:49" ht="20.100000000000001" customHeight="1" x14ac:dyDescent="0.3">
      <c r="A121" s="282">
        <v>80</v>
      </c>
      <c r="C121" s="116" t="s">
        <v>635</v>
      </c>
      <c r="F121" s="172">
        <v>0</v>
      </c>
      <c r="G121" s="1"/>
      <c r="H121" s="172"/>
      <c r="I121" s="106"/>
      <c r="J121" s="228">
        <f>ROUND(AC473+(AC473*'Rate SL'!$AG$1),6)</f>
        <v>22.258043000000001</v>
      </c>
      <c r="K121" s="3"/>
      <c r="L121" s="106">
        <f t="shared" ref="L121:L227" si="20">ROUND((F121*J121),0)</f>
        <v>0</v>
      </c>
      <c r="M121" s="106"/>
      <c r="N121" s="175">
        <v>0</v>
      </c>
      <c r="O121" s="138"/>
      <c r="P121" s="106"/>
      <c r="Q121" s="106"/>
      <c r="R121" s="106">
        <f t="shared" ref="R121:R227" si="21">L121+P121</f>
        <v>0</v>
      </c>
      <c r="AE121" s="102"/>
      <c r="AF121" s="102"/>
      <c r="AG121" s="151"/>
      <c r="AH121" s="102"/>
      <c r="AI121" s="102"/>
      <c r="AJ121" s="102"/>
      <c r="AK121" s="151"/>
      <c r="AL121" s="102"/>
      <c r="AM121" s="102"/>
      <c r="AN121" s="102"/>
      <c r="AR121" s="102"/>
      <c r="AS121" s="102"/>
    </row>
    <row r="122" spans="1:49" x14ac:dyDescent="0.3">
      <c r="A122" s="282">
        <v>81</v>
      </c>
      <c r="C122" s="116" t="s">
        <v>636</v>
      </c>
      <c r="D122" s="116"/>
      <c r="E122" s="99"/>
      <c r="F122" s="172">
        <v>0</v>
      </c>
      <c r="G122" s="1"/>
      <c r="H122" s="172"/>
      <c r="I122" s="1"/>
      <c r="J122" s="228">
        <f>ROUND(AC474+(AC474*'Rate SL'!$AG$1),6)</f>
        <v>17.699028999999999</v>
      </c>
      <c r="K122" s="1"/>
      <c r="L122" s="106">
        <f t="shared" si="20"/>
        <v>0</v>
      </c>
      <c r="M122" s="1"/>
      <c r="N122" s="175">
        <v>0</v>
      </c>
      <c r="O122" s="1"/>
      <c r="P122" s="106"/>
      <c r="Q122" s="1"/>
      <c r="R122" s="106">
        <f t="shared" si="21"/>
        <v>0</v>
      </c>
      <c r="U122" s="99"/>
    </row>
    <row r="123" spans="1:49" x14ac:dyDescent="0.3">
      <c r="A123" s="282">
        <v>82</v>
      </c>
      <c r="C123" s="116" t="s">
        <v>637</v>
      </c>
      <c r="F123" s="172">
        <v>0</v>
      </c>
      <c r="G123" s="1"/>
      <c r="H123" s="172"/>
      <c r="I123" s="1"/>
      <c r="J123" s="228">
        <f>ROUND(AC475+(AC475*'Rate SL'!$AG$1),6)</f>
        <v>22.840774</v>
      </c>
      <c r="K123" s="3"/>
      <c r="L123" s="106">
        <f t="shared" si="20"/>
        <v>0</v>
      </c>
      <c r="M123" s="1"/>
      <c r="N123" s="175">
        <v>0</v>
      </c>
      <c r="O123" s="1"/>
      <c r="P123" s="106"/>
      <c r="Q123" s="1"/>
      <c r="R123" s="106">
        <f t="shared" si="21"/>
        <v>0</v>
      </c>
      <c r="V123" s="102"/>
      <c r="X123" s="102"/>
      <c r="Y123" s="102"/>
      <c r="Z123" s="102"/>
      <c r="AD123" s="102"/>
      <c r="AE123" s="102"/>
      <c r="AF123" s="102"/>
      <c r="AG123" s="151"/>
      <c r="AH123" s="102"/>
      <c r="AI123" s="102"/>
      <c r="AJ123" s="102"/>
      <c r="AK123" s="151"/>
      <c r="AL123" s="102"/>
      <c r="AM123" s="102"/>
      <c r="AN123" s="102"/>
      <c r="AO123" s="102"/>
      <c r="AP123" s="102"/>
      <c r="AR123" s="102"/>
      <c r="AS123" s="102"/>
      <c r="AU123" s="110"/>
      <c r="AV123" s="110"/>
      <c r="AW123" s="141"/>
    </row>
    <row r="124" spans="1:49" x14ac:dyDescent="0.3">
      <c r="A124" s="282">
        <v>83</v>
      </c>
      <c r="C124" s="116" t="s">
        <v>638</v>
      </c>
      <c r="F124" s="172">
        <v>0</v>
      </c>
      <c r="G124" s="1"/>
      <c r="H124" s="172"/>
      <c r="I124" s="1"/>
      <c r="J124" s="228">
        <f>ROUND(AC476+(AC476*'Rate SL'!$AG$1),6)</f>
        <v>21.686737999999998</v>
      </c>
      <c r="K124" s="3"/>
      <c r="L124" s="106">
        <f t="shared" si="20"/>
        <v>0</v>
      </c>
      <c r="M124" s="1"/>
      <c r="N124" s="175">
        <v>0</v>
      </c>
      <c r="O124" s="1"/>
      <c r="P124" s="106"/>
      <c r="Q124" s="1"/>
      <c r="R124" s="106">
        <f t="shared" si="21"/>
        <v>0</v>
      </c>
      <c r="AD124" s="102"/>
      <c r="AE124" s="102"/>
      <c r="AF124" s="102"/>
      <c r="AG124" s="151"/>
      <c r="AH124" s="102"/>
      <c r="AI124" s="102"/>
      <c r="AJ124" s="102"/>
      <c r="AK124" s="151"/>
      <c r="AL124" s="102"/>
      <c r="AM124" s="102"/>
      <c r="AN124" s="102"/>
      <c r="AO124" s="102"/>
      <c r="AP124" s="102"/>
      <c r="AR124" s="102"/>
      <c r="AS124" s="102"/>
      <c r="AU124" s="110"/>
      <c r="AV124" s="110"/>
      <c r="AW124" s="226"/>
    </row>
    <row r="125" spans="1:49" x14ac:dyDescent="0.3">
      <c r="A125" s="282">
        <v>84</v>
      </c>
      <c r="C125" s="116" t="s">
        <v>639</v>
      </c>
      <c r="F125" s="172">
        <v>0</v>
      </c>
      <c r="G125" s="1"/>
      <c r="H125" s="172"/>
      <c r="I125" s="147"/>
      <c r="J125" s="228">
        <f>ROUND(AC477+(AC477*'Rate SL'!$AG$1),6)</f>
        <v>12.123092</v>
      </c>
      <c r="K125" s="242"/>
      <c r="L125" s="106">
        <f t="shared" si="20"/>
        <v>0</v>
      </c>
      <c r="M125" s="106"/>
      <c r="N125" s="175">
        <v>0</v>
      </c>
      <c r="O125" s="175"/>
      <c r="P125" s="106"/>
      <c r="Q125" s="106"/>
      <c r="R125" s="106">
        <f t="shared" si="21"/>
        <v>0</v>
      </c>
      <c r="S125" s="1"/>
      <c r="V125" s="228"/>
      <c r="X125" s="99"/>
      <c r="Y125" s="304"/>
      <c r="Z125" s="99"/>
      <c r="AU125" s="110"/>
      <c r="AV125" s="110"/>
      <c r="AW125" s="141"/>
    </row>
    <row r="126" spans="1:49" x14ac:dyDescent="0.3">
      <c r="A126" s="282">
        <v>85</v>
      </c>
      <c r="C126" s="116" t="s">
        <v>640</v>
      </c>
      <c r="F126" s="172">
        <v>0</v>
      </c>
      <c r="G126" s="1"/>
      <c r="H126" s="172"/>
      <c r="I126" s="147"/>
      <c r="J126" s="228">
        <f>ROUND(AC478+(AC478*'Rate SL'!$AG$1),6)</f>
        <v>14.751094999999999</v>
      </c>
      <c r="K126" s="242"/>
      <c r="L126" s="106">
        <f t="shared" si="20"/>
        <v>0</v>
      </c>
      <c r="M126" s="106"/>
      <c r="N126" s="175">
        <v>0</v>
      </c>
      <c r="O126" s="175"/>
      <c r="P126" s="106"/>
      <c r="Q126" s="106"/>
      <c r="R126" s="106">
        <f t="shared" si="21"/>
        <v>0</v>
      </c>
      <c r="S126" s="1"/>
      <c r="V126" s="228"/>
      <c r="X126" s="99"/>
      <c r="Y126" s="304"/>
      <c r="Z126" s="99"/>
      <c r="AU126" s="110"/>
      <c r="AV126" s="110"/>
      <c r="AW126" s="141"/>
    </row>
    <row r="127" spans="1:49" x14ac:dyDescent="0.3">
      <c r="A127" s="282">
        <v>86</v>
      </c>
      <c r="C127" s="116" t="s">
        <v>641</v>
      </c>
      <c r="F127" s="172">
        <v>0</v>
      </c>
      <c r="G127" s="1"/>
      <c r="H127" s="172"/>
      <c r="I127" s="147"/>
      <c r="J127" s="228">
        <f>ROUND(AC479+(AC479*'Rate SL'!$AG$1),6)</f>
        <v>17.870419999999999</v>
      </c>
      <c r="K127" s="242"/>
      <c r="L127" s="106">
        <f t="shared" si="20"/>
        <v>0</v>
      </c>
      <c r="M127" s="106"/>
      <c r="N127" s="175">
        <v>0</v>
      </c>
      <c r="O127" s="175"/>
      <c r="P127" s="106"/>
      <c r="Q127" s="106"/>
      <c r="R127" s="106">
        <f t="shared" si="21"/>
        <v>0</v>
      </c>
      <c r="S127" s="1"/>
      <c r="V127" s="228"/>
      <c r="X127" s="99"/>
      <c r="Y127" s="304"/>
      <c r="Z127" s="99"/>
      <c r="AU127" s="110"/>
      <c r="AV127" s="110"/>
      <c r="AW127" s="141"/>
    </row>
    <row r="128" spans="1:49" x14ac:dyDescent="0.3">
      <c r="A128" s="282">
        <v>87</v>
      </c>
      <c r="C128" s="116" t="s">
        <v>642</v>
      </c>
      <c r="F128" s="172">
        <v>0</v>
      </c>
      <c r="G128" s="1"/>
      <c r="H128" s="172"/>
      <c r="I128" s="147"/>
      <c r="J128" s="228">
        <f>ROUND(AC480+(AC480*'Rate SL'!$AG$1),6)</f>
        <v>16.853497999999998</v>
      </c>
      <c r="K128" s="242"/>
      <c r="L128" s="106">
        <f t="shared" si="20"/>
        <v>0</v>
      </c>
      <c r="M128" s="106"/>
      <c r="N128" s="175">
        <v>0</v>
      </c>
      <c r="O128" s="175"/>
      <c r="P128" s="106"/>
      <c r="Q128" s="106"/>
      <c r="R128" s="106">
        <f t="shared" si="21"/>
        <v>0</v>
      </c>
      <c r="S128" s="1"/>
      <c r="V128" s="228"/>
      <c r="Y128" s="304"/>
      <c r="AE128" s="209"/>
      <c r="AF128" s="209"/>
      <c r="AH128" s="110"/>
      <c r="AR128" s="110"/>
      <c r="AU128" s="110"/>
      <c r="AV128" s="110"/>
      <c r="AW128" s="141"/>
    </row>
    <row r="129" spans="1:49" x14ac:dyDescent="0.3">
      <c r="A129" s="282">
        <v>88</v>
      </c>
      <c r="C129" s="116" t="s">
        <v>643</v>
      </c>
      <c r="F129" s="172">
        <v>0</v>
      </c>
      <c r="G129" s="1"/>
      <c r="H129" s="172"/>
      <c r="I129" s="147"/>
      <c r="J129" s="228">
        <f>ROUND(AC481+(AC481*'Rate SL'!$AG$1),6)</f>
        <v>37.660426000000001</v>
      </c>
      <c r="K129" s="242"/>
      <c r="L129" s="106">
        <f t="shared" si="20"/>
        <v>0</v>
      </c>
      <c r="M129" s="106"/>
      <c r="N129" s="175">
        <v>0</v>
      </c>
      <c r="O129" s="175"/>
      <c r="P129" s="106"/>
      <c r="Q129" s="106"/>
      <c r="R129" s="106">
        <f t="shared" si="21"/>
        <v>0</v>
      </c>
      <c r="S129" s="1"/>
      <c r="V129" s="228"/>
      <c r="Y129" s="304"/>
      <c r="AD129" s="110"/>
      <c r="AE129" s="181"/>
      <c r="AF129" s="181"/>
      <c r="AH129" s="110"/>
      <c r="AI129" s="141"/>
      <c r="AJ129" s="141"/>
      <c r="AL129" s="110"/>
      <c r="AM129" s="207"/>
      <c r="AN129" s="207"/>
      <c r="AO129" s="110"/>
      <c r="AP129" s="110"/>
      <c r="AR129" s="110"/>
      <c r="AS129" s="141"/>
      <c r="AT129" s="110"/>
      <c r="AU129" s="110"/>
      <c r="AV129" s="110"/>
      <c r="AW129" s="141"/>
    </row>
    <row r="130" spans="1:49" x14ac:dyDescent="0.3">
      <c r="A130" s="282">
        <v>89</v>
      </c>
      <c r="C130" s="116" t="s">
        <v>644</v>
      </c>
      <c r="F130" s="172">
        <v>0</v>
      </c>
      <c r="G130" s="1"/>
      <c r="H130" s="172"/>
      <c r="I130" s="147"/>
      <c r="J130" s="228">
        <f>ROUND(AC482+(AC482*'Rate SL'!$AG$1),6)</f>
        <v>43.727685000000001</v>
      </c>
      <c r="K130" s="242"/>
      <c r="L130" s="106">
        <f t="shared" si="20"/>
        <v>0</v>
      </c>
      <c r="M130" s="106"/>
      <c r="N130" s="175">
        <v>0</v>
      </c>
      <c r="O130" s="175"/>
      <c r="P130" s="106"/>
      <c r="Q130" s="106"/>
      <c r="R130" s="106">
        <f t="shared" si="21"/>
        <v>0</v>
      </c>
      <c r="S130" s="1"/>
      <c r="V130" s="228"/>
      <c r="X130" s="99"/>
      <c r="Y130" s="304"/>
      <c r="Z130" s="99"/>
      <c r="AU130" s="110"/>
      <c r="AV130" s="110"/>
      <c r="AW130" s="141"/>
    </row>
    <row r="131" spans="1:49" x14ac:dyDescent="0.3">
      <c r="A131" s="282">
        <v>90</v>
      </c>
      <c r="C131" s="116" t="s">
        <v>645</v>
      </c>
      <c r="F131" s="172">
        <v>0</v>
      </c>
      <c r="G131" s="1"/>
      <c r="H131" s="172"/>
      <c r="I131" s="147"/>
      <c r="J131" s="228">
        <f>ROUND(AC483+(AC483*'Rate SL'!$AG$1),6)</f>
        <v>14.076955</v>
      </c>
      <c r="K131" s="242"/>
      <c r="L131" s="106">
        <f t="shared" si="20"/>
        <v>0</v>
      </c>
      <c r="M131" s="106"/>
      <c r="N131" s="175">
        <v>0</v>
      </c>
      <c r="O131" s="175"/>
      <c r="P131" s="106"/>
      <c r="Q131" s="106"/>
      <c r="R131" s="106">
        <f t="shared" si="21"/>
        <v>0</v>
      </c>
      <c r="S131" s="1"/>
      <c r="V131" s="228"/>
      <c r="Y131" s="304"/>
      <c r="AR131" s="110"/>
      <c r="AU131" s="110"/>
      <c r="AV131" s="110"/>
      <c r="AW131" s="141"/>
    </row>
    <row r="132" spans="1:49" x14ac:dyDescent="0.3">
      <c r="A132" s="282"/>
      <c r="C132" s="116"/>
      <c r="F132" s="172"/>
      <c r="G132" s="1"/>
      <c r="H132" s="172"/>
      <c r="I132" s="147"/>
      <c r="J132" s="228"/>
      <c r="K132" s="242"/>
      <c r="L132" s="106"/>
      <c r="M132" s="106"/>
      <c r="N132" s="175"/>
      <c r="O132" s="175"/>
      <c r="P132" s="106"/>
      <c r="Q132" s="106"/>
      <c r="R132" s="106"/>
      <c r="S132" s="1"/>
      <c r="V132" s="228"/>
      <c r="Y132" s="304"/>
      <c r="AR132" s="110"/>
      <c r="AU132" s="110"/>
      <c r="AV132" s="110"/>
      <c r="AW132" s="141"/>
    </row>
    <row r="133" spans="1:49" x14ac:dyDescent="0.3">
      <c r="A133" s="178" t="s">
        <v>76</v>
      </c>
      <c r="C133" s="116"/>
      <c r="F133" s="172"/>
      <c r="G133" s="1"/>
      <c r="H133" s="172"/>
      <c r="I133" s="147"/>
      <c r="J133" s="228"/>
      <c r="K133" s="242"/>
      <c r="L133" s="106"/>
      <c r="M133" s="106"/>
      <c r="N133" s="175"/>
      <c r="O133" s="175"/>
      <c r="P133" s="106"/>
      <c r="Q133" s="106"/>
      <c r="R133" s="106"/>
      <c r="S133" s="1"/>
      <c r="V133" s="228"/>
      <c r="Y133" s="304"/>
      <c r="AR133" s="110"/>
      <c r="AU133" s="110"/>
      <c r="AV133" s="110"/>
      <c r="AW133" s="141"/>
    </row>
    <row r="134" spans="1:49" x14ac:dyDescent="0.3">
      <c r="A134" s="178" t="str">
        <f>"(1A) REFLECTS FUEL COST RECOVERY INCLUDED IN BASE RATES OF "&amp;TEXT(CUR_BASE_FUEL,"$0.000000;($0.000000)")&amp;"  PER KWH."</f>
        <v>(1A) REFLECTS FUEL COST RECOVERY INCLUDED IN BASE RATES OF $0.033780  PER KWH.</v>
      </c>
      <c r="C134" s="116"/>
      <c r="F134" s="172"/>
      <c r="G134" s="1"/>
      <c r="H134" s="172"/>
      <c r="I134" s="147"/>
      <c r="J134" s="228"/>
      <c r="K134" s="242"/>
      <c r="L134" s="106"/>
      <c r="M134" s="106"/>
      <c r="N134" s="175"/>
      <c r="O134" s="175"/>
      <c r="P134" s="106"/>
      <c r="Q134" s="106"/>
      <c r="R134" s="106"/>
      <c r="S134" s="1"/>
      <c r="V134" s="228"/>
      <c r="Y134" s="304"/>
      <c r="AR134" s="110"/>
      <c r="AU134" s="110"/>
      <c r="AV134" s="110"/>
      <c r="AW134" s="141"/>
    </row>
    <row r="135" spans="1:49" x14ac:dyDescent="0.3">
      <c r="A135" s="178" t="str">
        <f>"(2) REFLECTS FUEL COMPONENT OF "&amp;TEXT(CUR_FAC,"$0.000000;($0.000000)")&amp;"  PER KWH."</f>
        <v>(2) REFLECTS FUEL COMPONENT OF $0.003487  PER KWH.</v>
      </c>
      <c r="C135" s="116"/>
      <c r="F135" s="172"/>
      <c r="G135" s="1"/>
      <c r="H135" s="172"/>
      <c r="I135" s="147"/>
      <c r="J135" s="228"/>
      <c r="K135" s="242"/>
      <c r="L135" s="106"/>
      <c r="M135" s="106"/>
      <c r="N135" s="175"/>
      <c r="O135" s="175"/>
      <c r="P135" s="106"/>
      <c r="Q135" s="106"/>
      <c r="R135" s="106"/>
      <c r="S135" s="1"/>
      <c r="V135" s="228"/>
      <c r="Y135" s="304"/>
      <c r="AR135" s="110"/>
      <c r="AU135" s="110"/>
      <c r="AV135" s="110"/>
      <c r="AW135" s="141"/>
    </row>
    <row r="136" spans="1:49" x14ac:dyDescent="0.3">
      <c r="A136" s="282"/>
      <c r="C136" s="116"/>
      <c r="F136" s="172"/>
      <c r="G136" s="1"/>
      <c r="H136" s="172"/>
      <c r="I136" s="147"/>
      <c r="J136" s="228"/>
      <c r="K136" s="242"/>
      <c r="L136" s="106"/>
      <c r="M136" s="106"/>
      <c r="N136" s="175"/>
      <c r="O136" s="175"/>
      <c r="P136" s="106"/>
      <c r="Q136" s="106"/>
      <c r="R136" s="106"/>
      <c r="S136" s="1"/>
      <c r="V136" s="228"/>
      <c r="Y136" s="304"/>
      <c r="AR136" s="110"/>
      <c r="AU136" s="110"/>
      <c r="AV136" s="110"/>
      <c r="AW136" s="141"/>
    </row>
    <row r="137" spans="1:49" x14ac:dyDescent="0.3">
      <c r="A137" s="97" t="str">
        <f>NAME</f>
        <v>DUKE ENERGY KENTUCKY, INC.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1"/>
      <c r="V137" s="228"/>
      <c r="Y137" s="304"/>
      <c r="AR137" s="110"/>
      <c r="AU137" s="110"/>
      <c r="AV137" s="110"/>
      <c r="AW137" s="141"/>
    </row>
    <row r="138" spans="1:49" x14ac:dyDescent="0.3">
      <c r="A138" s="97" t="str">
        <f>CASE_NO</f>
        <v>CASE NO.   2024-00354</v>
      </c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1"/>
      <c r="V138" s="228"/>
      <c r="Y138" s="304"/>
      <c r="AR138" s="110"/>
      <c r="AU138" s="110"/>
      <c r="AV138" s="110"/>
      <c r="AW138" s="141"/>
    </row>
    <row r="139" spans="1:49" x14ac:dyDescent="0.3">
      <c r="A139" s="97" t="str">
        <f>TITLE</f>
        <v>ANNUALIZED BASE YEAR REVENUES AT PROPOSED VS. MOST CURRENT RATES</v>
      </c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1"/>
      <c r="V139" s="228"/>
      <c r="Y139" s="304"/>
      <c r="AR139" s="110"/>
      <c r="AU139" s="110"/>
      <c r="AV139" s="110"/>
      <c r="AW139" s="141"/>
    </row>
    <row r="140" spans="1:49" x14ac:dyDescent="0.3">
      <c r="A140" s="97" t="str">
        <f>DATE</f>
        <v>FOR THE TWELVE MONTHS ENDED February 28, 2025</v>
      </c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1"/>
      <c r="V140" s="228"/>
      <c r="Y140" s="304"/>
      <c r="AR140" s="110"/>
      <c r="AU140" s="110"/>
      <c r="AV140" s="110"/>
      <c r="AW140" s="141"/>
    </row>
    <row r="141" spans="1:49" x14ac:dyDescent="0.3">
      <c r="A141" s="97" t="str">
        <f>SERVICE</f>
        <v>(ELECTRIC SERVICE)</v>
      </c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1"/>
      <c r="V141" s="228"/>
      <c r="Y141" s="304"/>
      <c r="AR141" s="110"/>
      <c r="AU141" s="110"/>
      <c r="AV141" s="110"/>
      <c r="AW141" s="141"/>
    </row>
    <row r="142" spans="1:49" x14ac:dyDescent="0.3">
      <c r="A142" s="98" t="str">
        <f>DATA_PERIOD</f>
        <v>DATA: __X__ BASE PERIOD   ____FORECASTED PERIOD</v>
      </c>
      <c r="R142" s="99" t="s">
        <v>156</v>
      </c>
      <c r="S142" s="1"/>
      <c r="V142" s="228"/>
      <c r="Y142" s="304"/>
      <c r="AR142" s="110"/>
      <c r="AU142" s="110"/>
      <c r="AV142" s="110"/>
      <c r="AW142" s="141"/>
    </row>
    <row r="143" spans="1:49" x14ac:dyDescent="0.3">
      <c r="A143" s="98" t="str">
        <f>TYPE</f>
        <v>TYPE OF FILING: _X_ ORIGINAL   ___UPDATED  ___ REVISED</v>
      </c>
      <c r="R143" s="116" t="str">
        <f>"PAGE 22 OF "&amp;TEXT(Page_Num_2.3,"00")</f>
        <v>PAGE 22 OF 24</v>
      </c>
      <c r="S143" s="1"/>
      <c r="V143" s="228"/>
      <c r="Y143" s="304"/>
      <c r="AR143" s="110"/>
      <c r="AU143" s="110"/>
      <c r="AV143" s="110"/>
      <c r="AW143" s="141"/>
    </row>
    <row r="144" spans="1:49" x14ac:dyDescent="0.3">
      <c r="A144" s="99" t="s">
        <v>170</v>
      </c>
      <c r="R144" s="99" t="s">
        <v>3</v>
      </c>
      <c r="S144" s="1"/>
      <c r="V144" s="228"/>
      <c r="Y144" s="304"/>
      <c r="AR144" s="110"/>
      <c r="AU144" s="110"/>
      <c r="AV144" s="110"/>
      <c r="AW144" s="141"/>
    </row>
    <row r="145" spans="1:49" x14ac:dyDescent="0.3">
      <c r="A145" s="134" t="str">
        <f>TIME</f>
        <v>6 Months Actual and 6 Months Projected with Riders</v>
      </c>
      <c r="M145" s="99"/>
      <c r="R145" s="98" t="str">
        <f>WIT</f>
        <v>B. L. Sailers</v>
      </c>
      <c r="S145" s="1"/>
      <c r="V145" s="228"/>
      <c r="Y145" s="304"/>
      <c r="AR145" s="110"/>
      <c r="AU145" s="110"/>
      <c r="AV145" s="110"/>
      <c r="AW145" s="141"/>
    </row>
    <row r="146" spans="1:49" x14ac:dyDescent="0.3">
      <c r="A146" s="97" t="s">
        <v>129</v>
      </c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1"/>
      <c r="V146" s="228"/>
      <c r="Y146" s="304"/>
      <c r="AR146" s="110"/>
      <c r="AU146" s="110"/>
      <c r="AV146" s="110"/>
      <c r="AW146" s="141"/>
    </row>
    <row r="147" spans="1:49" x14ac:dyDescent="0.3">
      <c r="A147" s="101"/>
      <c r="B147" s="101"/>
      <c r="C147" s="101"/>
      <c r="D147" s="101"/>
      <c r="E147" s="101"/>
      <c r="G147" s="101"/>
      <c r="H147" s="101"/>
      <c r="I147" s="101"/>
      <c r="J147" s="101"/>
      <c r="K147" s="101"/>
      <c r="L147" s="100"/>
      <c r="M147" s="100"/>
      <c r="N147" s="100"/>
      <c r="O147" s="100"/>
      <c r="P147" s="100"/>
      <c r="Q147" s="100"/>
      <c r="R147" s="100"/>
      <c r="S147" s="1"/>
      <c r="V147" s="228"/>
      <c r="Y147" s="304"/>
      <c r="AR147" s="110"/>
      <c r="AU147" s="110"/>
      <c r="AV147" s="110"/>
      <c r="AW147" s="141"/>
    </row>
    <row r="148" spans="1:49" x14ac:dyDescent="0.3">
      <c r="A148" s="174"/>
      <c r="B148" s="174"/>
      <c r="C148" s="174"/>
      <c r="D148" s="174"/>
      <c r="E148" s="174"/>
      <c r="F148" s="174"/>
      <c r="G148" s="174"/>
      <c r="H148" s="174"/>
      <c r="I148" s="174"/>
      <c r="J148" s="174"/>
      <c r="K148" s="174"/>
      <c r="L148" s="102" t="s">
        <v>6</v>
      </c>
      <c r="M148" s="102"/>
      <c r="N148" s="102" t="s">
        <v>7</v>
      </c>
      <c r="O148" s="102"/>
      <c r="R148" s="102" t="s">
        <v>6</v>
      </c>
      <c r="S148" s="1"/>
      <c r="V148" s="228"/>
      <c r="Y148" s="304"/>
      <c r="AR148" s="110"/>
      <c r="AU148" s="110"/>
      <c r="AV148" s="110"/>
      <c r="AW148" s="141"/>
    </row>
    <row r="149" spans="1:49" x14ac:dyDescent="0.3">
      <c r="L149" s="102" t="s">
        <v>12</v>
      </c>
      <c r="M149" s="102"/>
      <c r="N149" s="102" t="s">
        <v>13</v>
      </c>
      <c r="O149" s="102"/>
      <c r="R149" s="102" t="s">
        <v>11</v>
      </c>
      <c r="S149" s="1"/>
      <c r="V149" s="228"/>
      <c r="Y149" s="304"/>
      <c r="AR149" s="110"/>
      <c r="AU149" s="110"/>
      <c r="AV149" s="110"/>
      <c r="AW149" s="141"/>
    </row>
    <row r="150" spans="1:49" x14ac:dyDescent="0.3">
      <c r="A150" s="102" t="s">
        <v>17</v>
      </c>
      <c r="C150" s="102" t="s">
        <v>18</v>
      </c>
      <c r="D150" s="102" t="s">
        <v>19</v>
      </c>
      <c r="E150" s="102"/>
      <c r="F150" s="102" t="s">
        <v>20</v>
      </c>
      <c r="J150" s="97" t="s">
        <v>6</v>
      </c>
      <c r="K150" s="97"/>
      <c r="L150" s="102" t="s">
        <v>593</v>
      </c>
      <c r="M150" s="102"/>
      <c r="N150" s="102" t="s">
        <v>593</v>
      </c>
      <c r="O150" s="102"/>
      <c r="P150" s="102" t="s">
        <v>593</v>
      </c>
      <c r="Q150" s="102"/>
      <c r="R150" s="102" t="s">
        <v>9</v>
      </c>
      <c r="S150" s="1"/>
      <c r="V150" s="228"/>
      <c r="Y150" s="304"/>
      <c r="AR150" s="110"/>
      <c r="AU150" s="110"/>
      <c r="AV150" s="110"/>
      <c r="AW150" s="141"/>
    </row>
    <row r="151" spans="1:49" x14ac:dyDescent="0.3">
      <c r="A151" s="102" t="s">
        <v>22</v>
      </c>
      <c r="C151" s="102" t="s">
        <v>23</v>
      </c>
      <c r="D151" s="102" t="s">
        <v>24</v>
      </c>
      <c r="E151" s="102"/>
      <c r="F151" s="102" t="s">
        <v>25</v>
      </c>
      <c r="H151" s="102" t="s">
        <v>26</v>
      </c>
      <c r="I151" s="102"/>
      <c r="J151" s="103" t="s">
        <v>563</v>
      </c>
      <c r="K151" s="103" t="s">
        <v>564</v>
      </c>
      <c r="L151" s="102" t="s">
        <v>9</v>
      </c>
      <c r="M151" s="102"/>
      <c r="N151" s="102" t="s">
        <v>9</v>
      </c>
      <c r="O151" s="102"/>
      <c r="P151" s="102" t="s">
        <v>323</v>
      </c>
      <c r="Q151" s="102"/>
      <c r="R151" s="131" t="s">
        <v>28</v>
      </c>
      <c r="S151" s="1"/>
      <c r="V151" s="228"/>
      <c r="Y151" s="304"/>
      <c r="AR151" s="110"/>
      <c r="AU151" s="110"/>
      <c r="AV151" s="110"/>
      <c r="AW151" s="141"/>
    </row>
    <row r="152" spans="1:49" x14ac:dyDescent="0.3">
      <c r="C152" s="131" t="s">
        <v>33</v>
      </c>
      <c r="D152" s="131" t="s">
        <v>34</v>
      </c>
      <c r="E152" s="131"/>
      <c r="F152" s="131" t="s">
        <v>35</v>
      </c>
      <c r="G152" s="134"/>
      <c r="H152" s="131" t="s">
        <v>36</v>
      </c>
      <c r="I152" s="131"/>
      <c r="J152" s="146" t="s">
        <v>565</v>
      </c>
      <c r="K152" s="146" t="s">
        <v>566</v>
      </c>
      <c r="L152" s="146" t="s">
        <v>38</v>
      </c>
      <c r="M152" s="131"/>
      <c r="N152" s="146" t="s">
        <v>39</v>
      </c>
      <c r="O152" s="131"/>
      <c r="P152" s="146" t="s">
        <v>40</v>
      </c>
      <c r="Q152" s="131"/>
      <c r="R152" s="146" t="s">
        <v>41</v>
      </c>
      <c r="S152" s="1"/>
      <c r="V152" s="228"/>
      <c r="Y152" s="304"/>
      <c r="AR152" s="110"/>
      <c r="AU152" s="110"/>
      <c r="AV152" s="110"/>
      <c r="AW152" s="141"/>
    </row>
    <row r="153" spans="1:49" x14ac:dyDescent="0.3">
      <c r="A153" s="174"/>
      <c r="B153" s="174"/>
      <c r="C153" s="174"/>
      <c r="D153" s="174"/>
      <c r="E153" s="174"/>
      <c r="F153" s="174"/>
      <c r="G153" s="174"/>
      <c r="H153" s="258" t="s">
        <v>49</v>
      </c>
      <c r="I153" s="258"/>
      <c r="J153" s="257" t="s">
        <v>69</v>
      </c>
      <c r="K153" s="258"/>
      <c r="L153" s="258" t="s">
        <v>50</v>
      </c>
      <c r="M153" s="258"/>
      <c r="N153" s="258" t="s">
        <v>51</v>
      </c>
      <c r="O153" s="258"/>
      <c r="P153" s="258" t="s">
        <v>50</v>
      </c>
      <c r="Q153" s="258"/>
      <c r="R153" s="258" t="s">
        <v>50</v>
      </c>
      <c r="S153" s="1"/>
      <c r="V153" s="228"/>
      <c r="Y153" s="304"/>
      <c r="AR153" s="110"/>
      <c r="AU153" s="110"/>
      <c r="AV153" s="110"/>
      <c r="AW153" s="141"/>
    </row>
    <row r="154" spans="1:49" x14ac:dyDescent="0.3">
      <c r="A154" s="268">
        <v>91</v>
      </c>
      <c r="C154" s="124" t="s">
        <v>551</v>
      </c>
      <c r="D154" s="169" t="s">
        <v>570</v>
      </c>
      <c r="F154" s="172"/>
      <c r="G154" s="1"/>
      <c r="H154" s="172"/>
      <c r="I154" s="147"/>
      <c r="J154" s="228"/>
      <c r="K154" s="228"/>
      <c r="L154" s="106"/>
      <c r="M154" s="106"/>
      <c r="N154" s="175"/>
      <c r="O154" s="175"/>
      <c r="P154" s="106"/>
      <c r="Q154" s="106"/>
      <c r="R154" s="106"/>
      <c r="S154" s="1"/>
      <c r="V154" s="228"/>
      <c r="Y154" s="304"/>
      <c r="AR154" s="110"/>
      <c r="AU154" s="110"/>
      <c r="AV154" s="110"/>
      <c r="AW154" s="141"/>
    </row>
    <row r="155" spans="1:49" x14ac:dyDescent="0.3">
      <c r="A155" s="268">
        <v>92</v>
      </c>
      <c r="C155" s="169" t="s">
        <v>851</v>
      </c>
      <c r="F155" s="172"/>
      <c r="G155" s="1"/>
      <c r="H155" s="172"/>
      <c r="I155" s="147"/>
      <c r="J155" s="228"/>
      <c r="K155" s="228"/>
      <c r="L155" s="106"/>
      <c r="M155" s="106"/>
      <c r="N155" s="175"/>
      <c r="O155" s="175"/>
      <c r="P155" s="106"/>
      <c r="Q155" s="106"/>
      <c r="R155" s="106"/>
      <c r="S155" s="1"/>
      <c r="V155" s="228"/>
      <c r="Y155" s="304"/>
      <c r="AR155" s="110"/>
      <c r="AU155" s="110"/>
      <c r="AV155" s="110"/>
      <c r="AW155" s="141"/>
    </row>
    <row r="156" spans="1:49" x14ac:dyDescent="0.3">
      <c r="A156" s="268">
        <v>93</v>
      </c>
      <c r="C156" s="116" t="s">
        <v>646</v>
      </c>
      <c r="F156" s="172">
        <v>0</v>
      </c>
      <c r="G156" s="1"/>
      <c r="H156" s="172"/>
      <c r="I156" s="147"/>
      <c r="J156" s="228">
        <f>ROUND(AC508+(AC508*'Rate SL'!$AG$1),6)</f>
        <v>14.751094999999999</v>
      </c>
      <c r="K156" s="242"/>
      <c r="L156" s="106">
        <f t="shared" si="20"/>
        <v>0</v>
      </c>
      <c r="M156" s="106"/>
      <c r="N156" s="175">
        <v>0</v>
      </c>
      <c r="O156" s="175"/>
      <c r="P156" s="106"/>
      <c r="Q156" s="106"/>
      <c r="R156" s="106">
        <f t="shared" si="21"/>
        <v>0</v>
      </c>
      <c r="S156" s="1"/>
      <c r="U156" s="97"/>
      <c r="V156" s="228"/>
      <c r="X156" s="97"/>
      <c r="Y156" s="304"/>
      <c r="Z156" s="97"/>
      <c r="AD156" s="97"/>
      <c r="AE156" s="97"/>
      <c r="AF156" s="97"/>
      <c r="AG156" s="149"/>
      <c r="AH156" s="97"/>
      <c r="AI156" s="97"/>
      <c r="AJ156" s="97"/>
      <c r="AK156" s="149"/>
      <c r="AL156" s="97"/>
      <c r="AM156" s="97"/>
      <c r="AT156" s="110"/>
      <c r="AU156" s="110"/>
      <c r="AV156" s="110"/>
      <c r="AW156" s="141"/>
    </row>
    <row r="157" spans="1:49" x14ac:dyDescent="0.3">
      <c r="A157" s="268">
        <v>94</v>
      </c>
      <c r="C157" s="116" t="s">
        <v>647</v>
      </c>
      <c r="F157" s="172">
        <v>0</v>
      </c>
      <c r="G157" s="1"/>
      <c r="H157" s="172"/>
      <c r="I157" s="147"/>
      <c r="J157" s="228">
        <f>ROUND(AC509+(AC509*'Rate SL'!$AG$1),6)</f>
        <v>17.984680999999998</v>
      </c>
      <c r="K157" s="242"/>
      <c r="L157" s="106">
        <f t="shared" si="20"/>
        <v>0</v>
      </c>
      <c r="M157" s="106"/>
      <c r="N157" s="175">
        <v>0</v>
      </c>
      <c r="O157" s="175"/>
      <c r="P157" s="106"/>
      <c r="Q157" s="106"/>
      <c r="R157" s="106">
        <f t="shared" si="21"/>
        <v>0</v>
      </c>
      <c r="S157" s="1"/>
      <c r="V157" s="228"/>
      <c r="Y157" s="304"/>
      <c r="AU157" s="110"/>
      <c r="AV157" s="110"/>
      <c r="AW157" s="141"/>
    </row>
    <row r="158" spans="1:49" x14ac:dyDescent="0.3">
      <c r="A158" s="268">
        <v>95</v>
      </c>
      <c r="C158" s="116" t="s">
        <v>648</v>
      </c>
      <c r="F158" s="172">
        <v>0</v>
      </c>
      <c r="G158" s="1"/>
      <c r="H158" s="172"/>
      <c r="I158" s="147"/>
      <c r="J158" s="228">
        <f>ROUND(AC510+(AC510*'Rate SL'!$AG$1),6)</f>
        <v>23.903400999999999</v>
      </c>
      <c r="K158" s="242"/>
      <c r="L158" s="106">
        <f t="shared" si="20"/>
        <v>0</v>
      </c>
      <c r="M158" s="106"/>
      <c r="N158" s="175">
        <v>0</v>
      </c>
      <c r="O158" s="175"/>
      <c r="P158" s="106"/>
      <c r="Q158" s="106"/>
      <c r="R158" s="106">
        <f t="shared" si="21"/>
        <v>0</v>
      </c>
      <c r="S158" s="1"/>
      <c r="V158" s="228"/>
      <c r="Y158" s="304"/>
      <c r="AU158" s="110"/>
      <c r="AV158" s="110"/>
      <c r="AW158" s="141"/>
    </row>
    <row r="159" spans="1:49" x14ac:dyDescent="0.3">
      <c r="A159" s="268">
        <v>96</v>
      </c>
      <c r="C159" s="116" t="s">
        <v>649</v>
      </c>
      <c r="F159" s="172">
        <v>0</v>
      </c>
      <c r="G159" s="1"/>
      <c r="H159" s="172"/>
      <c r="I159" s="147"/>
      <c r="J159" s="228">
        <f>ROUND(AC511+(AC511*'Rate SL'!$AG$1),6)</f>
        <v>23.366375000000001</v>
      </c>
      <c r="K159" s="242"/>
      <c r="L159" s="106">
        <f t="shared" si="20"/>
        <v>0</v>
      </c>
      <c r="M159" s="106"/>
      <c r="N159" s="175">
        <v>0</v>
      </c>
      <c r="O159" s="175"/>
      <c r="P159" s="106"/>
      <c r="Q159" s="106"/>
      <c r="R159" s="106">
        <f t="shared" si="21"/>
        <v>0</v>
      </c>
      <c r="V159" s="286"/>
      <c r="Y159" s="304"/>
      <c r="AU159" s="110"/>
      <c r="AV159" s="110"/>
      <c r="AW159" s="141"/>
    </row>
    <row r="160" spans="1:49" x14ac:dyDescent="0.3">
      <c r="A160" s="268">
        <v>97</v>
      </c>
      <c r="C160" s="116" t="s">
        <v>650</v>
      </c>
      <c r="F160" s="172">
        <v>0</v>
      </c>
      <c r="G160" s="1"/>
      <c r="H160" s="172"/>
      <c r="I160" s="147"/>
      <c r="J160" s="228">
        <f>ROUND(AC512+(AC512*'Rate SL'!$AG$1),6)</f>
        <v>24.429002000000001</v>
      </c>
      <c r="K160" s="242"/>
      <c r="L160" s="106">
        <f t="shared" si="20"/>
        <v>0</v>
      </c>
      <c r="M160" s="106"/>
      <c r="N160" s="175">
        <v>0</v>
      </c>
      <c r="O160" s="175"/>
      <c r="P160" s="106"/>
      <c r="Q160" s="106"/>
      <c r="R160" s="106">
        <f t="shared" si="21"/>
        <v>0</v>
      </c>
      <c r="S160" s="1"/>
      <c r="V160" s="228"/>
      <c r="Y160" s="304"/>
      <c r="AU160" s="110"/>
      <c r="AV160" s="110"/>
      <c r="AW160" s="141"/>
    </row>
    <row r="161" spans="1:49" x14ac:dyDescent="0.3">
      <c r="A161" s="268">
        <v>98</v>
      </c>
      <c r="C161" s="116" t="s">
        <v>651</v>
      </c>
      <c r="F161" s="172">
        <v>0</v>
      </c>
      <c r="G161" s="1"/>
      <c r="H161" s="172"/>
      <c r="I161" s="147"/>
      <c r="J161" s="228">
        <f>ROUND(AC513+(AC513*'Rate SL'!$AG$1),6)</f>
        <v>26.977022000000002</v>
      </c>
      <c r="K161" s="242"/>
      <c r="L161" s="106">
        <f t="shared" si="20"/>
        <v>0</v>
      </c>
      <c r="M161" s="106"/>
      <c r="N161" s="175">
        <v>0</v>
      </c>
      <c r="O161" s="175"/>
      <c r="P161" s="106"/>
      <c r="Q161" s="106"/>
      <c r="R161" s="106">
        <f t="shared" si="21"/>
        <v>0</v>
      </c>
      <c r="S161" s="1"/>
      <c r="V161" s="228"/>
      <c r="Y161" s="304"/>
      <c r="AU161" s="110"/>
      <c r="AV161" s="110"/>
      <c r="AW161" s="141"/>
    </row>
    <row r="162" spans="1:49" x14ac:dyDescent="0.3">
      <c r="A162" s="268">
        <v>99</v>
      </c>
      <c r="C162" s="116" t="s">
        <v>573</v>
      </c>
      <c r="F162" s="172">
        <v>0</v>
      </c>
      <c r="G162" s="1"/>
      <c r="H162" s="172"/>
      <c r="I162" s="147"/>
      <c r="J162" s="228">
        <f>ROUND(AC514+(AC514*'Rate SL'!$AG$1),6)</f>
        <v>7.4041129999999997</v>
      </c>
      <c r="K162" s="242"/>
      <c r="L162" s="106">
        <f t="shared" si="20"/>
        <v>0</v>
      </c>
      <c r="M162" s="106"/>
      <c r="N162" s="175">
        <v>0</v>
      </c>
      <c r="O162" s="175"/>
      <c r="P162" s="106"/>
      <c r="Q162" s="106"/>
      <c r="R162" s="106">
        <f t="shared" si="21"/>
        <v>0</v>
      </c>
      <c r="S162" s="1"/>
      <c r="V162" s="228"/>
      <c r="Y162" s="304"/>
      <c r="AU162" s="110"/>
      <c r="AV162" s="110"/>
      <c r="AW162" s="141"/>
    </row>
    <row r="163" spans="1:49" x14ac:dyDescent="0.3">
      <c r="A163" s="268">
        <v>100</v>
      </c>
      <c r="C163" s="116" t="s">
        <v>574</v>
      </c>
      <c r="F163" s="172">
        <v>9</v>
      </c>
      <c r="G163" s="1"/>
      <c r="H163" s="172"/>
      <c r="I163" s="1"/>
      <c r="J163" s="228">
        <f>ROUND(AC515+(AC515*'Rate SL'!$AG$1),6)</f>
        <v>8.2724960000000003</v>
      </c>
      <c r="K163" s="3"/>
      <c r="L163" s="106">
        <f t="shared" si="20"/>
        <v>74</v>
      </c>
      <c r="M163" s="1"/>
      <c r="N163" s="175">
        <v>0</v>
      </c>
      <c r="O163" s="1"/>
      <c r="P163" s="106"/>
      <c r="Q163" s="1"/>
      <c r="R163" s="106">
        <f t="shared" si="21"/>
        <v>74</v>
      </c>
      <c r="V163" s="286"/>
      <c r="Y163" s="304"/>
    </row>
    <row r="164" spans="1:49" x14ac:dyDescent="0.3">
      <c r="A164" s="268">
        <v>101</v>
      </c>
      <c r="C164" s="116" t="s">
        <v>575</v>
      </c>
      <c r="F164" s="172">
        <v>0</v>
      </c>
      <c r="G164" s="1"/>
      <c r="H164" s="172"/>
      <c r="I164" s="147"/>
      <c r="J164" s="228">
        <f>ROUND(AC516+(AC516*'Rate SL'!$AG$1),6)</f>
        <v>9.3808279999999993</v>
      </c>
      <c r="K164" s="242"/>
      <c r="L164" s="106">
        <f t="shared" si="20"/>
        <v>0</v>
      </c>
      <c r="M164" s="106"/>
      <c r="N164" s="175">
        <v>0</v>
      </c>
      <c r="O164" s="175"/>
      <c r="P164" s="106"/>
      <c r="Q164" s="106"/>
      <c r="R164" s="106">
        <f t="shared" si="21"/>
        <v>0</v>
      </c>
      <c r="S164" s="1"/>
      <c r="V164" s="228"/>
      <c r="Y164" s="304"/>
    </row>
    <row r="165" spans="1:49" x14ac:dyDescent="0.3">
      <c r="A165" s="268">
        <v>102</v>
      </c>
      <c r="B165" s="276"/>
      <c r="C165" s="116" t="s">
        <v>576</v>
      </c>
      <c r="D165" s="276"/>
      <c r="F165" s="172">
        <v>0</v>
      </c>
      <c r="G165" s="1"/>
      <c r="H165" s="172"/>
      <c r="I165" s="147"/>
      <c r="J165" s="228">
        <f>ROUND(AC517+(AC517*'Rate SL'!$AG$1),6)</f>
        <v>9.7693159999999999</v>
      </c>
      <c r="K165" s="242"/>
      <c r="L165" s="106">
        <f t="shared" si="20"/>
        <v>0</v>
      </c>
      <c r="M165" s="106"/>
      <c r="N165" s="175">
        <v>0</v>
      </c>
      <c r="O165" s="175"/>
      <c r="P165" s="106"/>
      <c r="Q165" s="106"/>
      <c r="R165" s="106">
        <f t="shared" si="21"/>
        <v>0</v>
      </c>
      <c r="S165" s="1"/>
      <c r="V165" s="228"/>
      <c r="Y165" s="304"/>
    </row>
    <row r="166" spans="1:49" x14ac:dyDescent="0.3">
      <c r="A166" s="268">
        <v>103</v>
      </c>
      <c r="B166" s="276"/>
      <c r="C166" s="116" t="s">
        <v>652</v>
      </c>
      <c r="D166" s="276"/>
      <c r="F166" s="172">
        <v>0</v>
      </c>
      <c r="G166" s="1"/>
      <c r="H166" s="172"/>
      <c r="I166" s="147"/>
      <c r="J166" s="228">
        <f>ROUND(AC518+(AC518*'Rate SL'!$AG$1),6)</f>
        <v>11.483231</v>
      </c>
      <c r="K166" s="242"/>
      <c r="L166" s="106">
        <f t="shared" si="20"/>
        <v>0</v>
      </c>
      <c r="M166" s="106"/>
      <c r="N166" s="175">
        <v>0</v>
      </c>
      <c r="O166" s="175"/>
      <c r="P166" s="106"/>
      <c r="Q166" s="106"/>
      <c r="R166" s="106">
        <f t="shared" si="21"/>
        <v>0</v>
      </c>
      <c r="S166" s="1"/>
      <c r="V166" s="228"/>
      <c r="Y166" s="304"/>
    </row>
    <row r="167" spans="1:49" x14ac:dyDescent="0.3">
      <c r="A167" s="268">
        <v>104</v>
      </c>
      <c r="B167" s="276"/>
      <c r="C167" s="116" t="s">
        <v>653</v>
      </c>
      <c r="D167" s="276"/>
      <c r="F167" s="172">
        <v>0</v>
      </c>
      <c r="G167" s="1"/>
      <c r="H167" s="172"/>
      <c r="I167" s="147"/>
      <c r="J167" s="228">
        <f>ROUND(AC519+(AC519*'Rate SL'!$AG$1),6)</f>
        <v>12.043108999999999</v>
      </c>
      <c r="K167" s="242"/>
      <c r="L167" s="106">
        <f t="shared" si="20"/>
        <v>0</v>
      </c>
      <c r="M167" s="106"/>
      <c r="N167" s="175">
        <v>0</v>
      </c>
      <c r="O167" s="175"/>
      <c r="P167" s="106"/>
      <c r="Q167" s="106"/>
      <c r="R167" s="106">
        <f t="shared" si="21"/>
        <v>0</v>
      </c>
      <c r="S167" s="1"/>
      <c r="V167" s="228"/>
      <c r="Y167" s="304"/>
    </row>
    <row r="168" spans="1:49" x14ac:dyDescent="0.3">
      <c r="A168" s="268">
        <v>105</v>
      </c>
      <c r="B168" s="276"/>
      <c r="C168" s="116" t="s">
        <v>654</v>
      </c>
      <c r="D168" s="276"/>
      <c r="F168" s="172">
        <v>8</v>
      </c>
      <c r="G168" s="1"/>
      <c r="H168" s="172"/>
      <c r="I168" s="147"/>
      <c r="J168" s="228">
        <f>ROUND(AC520+(AC520*'Rate SL'!$AG$1),6)</f>
        <v>9.9292809999999996</v>
      </c>
      <c r="K168" s="242"/>
      <c r="L168" s="106">
        <f t="shared" si="20"/>
        <v>79</v>
      </c>
      <c r="M168" s="106"/>
      <c r="N168" s="175">
        <v>0</v>
      </c>
      <c r="O168" s="175"/>
      <c r="P168" s="106"/>
      <c r="Q168" s="106"/>
      <c r="R168" s="106">
        <f t="shared" si="21"/>
        <v>79</v>
      </c>
      <c r="S168" s="1"/>
      <c r="V168" s="228"/>
      <c r="Y168" s="304"/>
    </row>
    <row r="169" spans="1:49" x14ac:dyDescent="0.3">
      <c r="A169" s="268">
        <v>106</v>
      </c>
      <c r="B169" s="276"/>
      <c r="C169" s="116" t="s">
        <v>655</v>
      </c>
      <c r="D169" s="276"/>
      <c r="F169" s="172">
        <v>0</v>
      </c>
      <c r="G169" s="1"/>
      <c r="H169" s="172"/>
      <c r="I169" s="147"/>
      <c r="J169" s="228">
        <f>ROUND(AC521+(AC521*'Rate SL'!$AG$1),6)</f>
        <v>11.723179</v>
      </c>
      <c r="K169" s="242"/>
      <c r="L169" s="106">
        <f t="shared" si="20"/>
        <v>0</v>
      </c>
      <c r="M169" s="106"/>
      <c r="N169" s="175">
        <v>0</v>
      </c>
      <c r="O169" s="175"/>
      <c r="P169" s="106"/>
      <c r="Q169" s="106"/>
      <c r="R169" s="106">
        <f t="shared" si="21"/>
        <v>0</v>
      </c>
      <c r="S169" s="1"/>
      <c r="V169" s="228"/>
      <c r="Y169" s="304"/>
    </row>
    <row r="170" spans="1:49" x14ac:dyDescent="0.3">
      <c r="A170" s="268">
        <v>107</v>
      </c>
      <c r="B170" s="276"/>
      <c r="C170" s="116" t="s">
        <v>733</v>
      </c>
      <c r="D170" s="276"/>
      <c r="F170" s="172">
        <v>0</v>
      </c>
      <c r="G170" s="1"/>
      <c r="H170" s="172"/>
      <c r="I170" s="147"/>
      <c r="J170" s="228">
        <f>ROUND(AC522+(AC522*'Rate SL'!$AG$1),6)</f>
        <v>16.419305999999999</v>
      </c>
      <c r="K170" s="242"/>
      <c r="L170" s="106">
        <f t="shared" ref="L170:L186" si="22">ROUND((F170*J170),0)</f>
        <v>0</v>
      </c>
      <c r="M170" s="106"/>
      <c r="N170" s="175">
        <v>0</v>
      </c>
      <c r="O170" s="175"/>
      <c r="P170" s="106"/>
      <c r="Q170" s="106"/>
      <c r="R170" s="106">
        <f t="shared" ref="R170:R186" si="23">L170+P170</f>
        <v>0</v>
      </c>
      <c r="S170" s="1"/>
      <c r="V170" s="228"/>
      <c r="Y170" s="304"/>
    </row>
    <row r="171" spans="1:49" x14ac:dyDescent="0.3">
      <c r="A171" s="268">
        <v>108</v>
      </c>
      <c r="B171" s="276"/>
      <c r="C171" s="116" t="s">
        <v>734</v>
      </c>
      <c r="D171" s="276"/>
      <c r="F171" s="172">
        <v>0</v>
      </c>
      <c r="G171" s="1"/>
      <c r="H171" s="172"/>
      <c r="I171" s="147"/>
      <c r="J171" s="228">
        <f>ROUND(AC523+(AC523*'Rate SL'!$AG$1),6)</f>
        <v>24.886046</v>
      </c>
      <c r="K171" s="242"/>
      <c r="L171" s="106">
        <f t="shared" si="22"/>
        <v>0</v>
      </c>
      <c r="M171" s="106"/>
      <c r="N171" s="175">
        <v>0</v>
      </c>
      <c r="O171" s="175"/>
      <c r="P171" s="106"/>
      <c r="Q171" s="106"/>
      <c r="R171" s="106">
        <f t="shared" si="23"/>
        <v>0</v>
      </c>
      <c r="S171" s="1"/>
      <c r="V171" s="228"/>
      <c r="Y171" s="304"/>
    </row>
    <row r="172" spans="1:49" x14ac:dyDescent="0.3">
      <c r="A172" s="268">
        <v>109</v>
      </c>
      <c r="B172" s="276"/>
      <c r="C172" s="116" t="s">
        <v>735</v>
      </c>
      <c r="D172" s="276"/>
      <c r="F172" s="172">
        <v>0</v>
      </c>
      <c r="G172" s="1"/>
      <c r="H172" s="172"/>
      <c r="I172" s="147"/>
      <c r="J172" s="228">
        <f>ROUND(AC524+(AC524*'Rate SL'!$AG$1),6)</f>
        <v>28.028223000000001</v>
      </c>
      <c r="K172" s="242"/>
      <c r="L172" s="106">
        <f t="shared" si="22"/>
        <v>0</v>
      </c>
      <c r="M172" s="106"/>
      <c r="N172" s="175">
        <v>0</v>
      </c>
      <c r="O172" s="175"/>
      <c r="P172" s="106"/>
      <c r="Q172" s="106"/>
      <c r="R172" s="106">
        <f t="shared" si="23"/>
        <v>0</v>
      </c>
      <c r="S172" s="1"/>
      <c r="V172" s="228"/>
      <c r="Y172" s="304"/>
    </row>
    <row r="173" spans="1:49" x14ac:dyDescent="0.3">
      <c r="A173" s="268">
        <v>110</v>
      </c>
      <c r="B173" s="276"/>
      <c r="C173" s="116" t="s">
        <v>736</v>
      </c>
      <c r="D173" s="276"/>
      <c r="F173" s="172">
        <v>0</v>
      </c>
      <c r="G173" s="1"/>
      <c r="H173" s="172"/>
      <c r="I173" s="147"/>
      <c r="J173" s="228">
        <f>ROUND(AC525+(AC525*'Rate SL'!$AG$1),6)</f>
        <v>22.338025999999999</v>
      </c>
      <c r="K173" s="242"/>
      <c r="L173" s="106">
        <f t="shared" si="22"/>
        <v>0</v>
      </c>
      <c r="M173" s="106"/>
      <c r="N173" s="175">
        <v>0</v>
      </c>
      <c r="O173" s="175"/>
      <c r="P173" s="106"/>
      <c r="Q173" s="106"/>
      <c r="R173" s="106">
        <f t="shared" si="23"/>
        <v>0</v>
      </c>
      <c r="S173" s="1"/>
      <c r="V173" s="228"/>
      <c r="Y173" s="304"/>
    </row>
    <row r="174" spans="1:49" x14ac:dyDescent="0.3">
      <c r="A174" s="268">
        <v>111</v>
      </c>
      <c r="B174" s="276"/>
      <c r="C174" s="116" t="s">
        <v>737</v>
      </c>
      <c r="D174" s="276"/>
      <c r="F174" s="172">
        <v>0</v>
      </c>
      <c r="G174" s="1"/>
      <c r="H174" s="172"/>
      <c r="I174" s="147"/>
      <c r="J174" s="228">
        <f>ROUND(AC526+(AC526*'Rate SL'!$AG$1),6)</f>
        <v>23.640601</v>
      </c>
      <c r="K174" s="242"/>
      <c r="L174" s="106">
        <f t="shared" si="22"/>
        <v>0</v>
      </c>
      <c r="M174" s="106"/>
      <c r="N174" s="175">
        <v>0</v>
      </c>
      <c r="O174" s="175"/>
      <c r="P174" s="106"/>
      <c r="Q174" s="106"/>
      <c r="R174" s="106">
        <f t="shared" si="23"/>
        <v>0</v>
      </c>
      <c r="S174" s="1"/>
      <c r="V174" s="228"/>
      <c r="Y174" s="304"/>
    </row>
    <row r="175" spans="1:49" x14ac:dyDescent="0.3">
      <c r="A175" s="268">
        <v>112</v>
      </c>
      <c r="B175" s="276"/>
      <c r="C175" s="116" t="s">
        <v>738</v>
      </c>
      <c r="D175" s="276"/>
      <c r="F175" s="172">
        <v>0</v>
      </c>
      <c r="G175" s="1"/>
      <c r="H175" s="172"/>
      <c r="I175" s="147"/>
      <c r="J175" s="228">
        <f>ROUND(AC527+(AC527*'Rate SL'!$AG$1),6)</f>
        <v>22.612252000000002</v>
      </c>
      <c r="K175" s="242"/>
      <c r="L175" s="106">
        <f t="shared" si="22"/>
        <v>0</v>
      </c>
      <c r="M175" s="106"/>
      <c r="N175" s="175">
        <v>0</v>
      </c>
      <c r="O175" s="175"/>
      <c r="P175" s="106"/>
      <c r="Q175" s="106"/>
      <c r="R175" s="106">
        <f t="shared" si="23"/>
        <v>0</v>
      </c>
      <c r="S175" s="1"/>
      <c r="V175" s="228"/>
      <c r="Y175" s="304"/>
    </row>
    <row r="176" spans="1:49" x14ac:dyDescent="0.3">
      <c r="A176" s="268">
        <v>113</v>
      </c>
      <c r="B176" s="276"/>
      <c r="C176" s="116" t="s">
        <v>739</v>
      </c>
      <c r="D176" s="276"/>
      <c r="F176" s="172">
        <v>0</v>
      </c>
      <c r="G176" s="1"/>
      <c r="H176" s="172"/>
      <c r="I176" s="147"/>
      <c r="J176" s="228">
        <f>ROUND(AC528+(AC528*'Rate SL'!$AG$1),6)</f>
        <v>23.149279</v>
      </c>
      <c r="K176" s="242"/>
      <c r="L176" s="106">
        <f t="shared" si="22"/>
        <v>0</v>
      </c>
      <c r="M176" s="106"/>
      <c r="N176" s="175">
        <v>0</v>
      </c>
      <c r="O176" s="175"/>
      <c r="P176" s="106"/>
      <c r="Q176" s="106"/>
      <c r="R176" s="106">
        <f t="shared" si="23"/>
        <v>0</v>
      </c>
      <c r="S176" s="1"/>
      <c r="V176" s="228"/>
      <c r="Y176" s="304"/>
    </row>
    <row r="177" spans="1:25" x14ac:dyDescent="0.3">
      <c r="A177" s="268">
        <v>114</v>
      </c>
      <c r="B177" s="276"/>
      <c r="C177" s="116" t="s">
        <v>740</v>
      </c>
      <c r="D177" s="276"/>
      <c r="F177" s="172">
        <v>0</v>
      </c>
      <c r="G177" s="1"/>
      <c r="H177" s="172"/>
      <c r="I177" s="147"/>
      <c r="J177" s="228">
        <f>ROUND(AC529+(AC529*'Rate SL'!$AG$1),6)</f>
        <v>24.634671999999998</v>
      </c>
      <c r="K177" s="242"/>
      <c r="L177" s="106">
        <f t="shared" si="22"/>
        <v>0</v>
      </c>
      <c r="M177" s="106"/>
      <c r="N177" s="175">
        <v>0</v>
      </c>
      <c r="O177" s="175"/>
      <c r="P177" s="106"/>
      <c r="Q177" s="106"/>
      <c r="R177" s="106">
        <f t="shared" si="23"/>
        <v>0</v>
      </c>
      <c r="S177" s="1"/>
      <c r="V177" s="228"/>
      <c r="Y177" s="304"/>
    </row>
    <row r="178" spans="1:25" x14ac:dyDescent="0.3">
      <c r="A178" s="268">
        <v>115</v>
      </c>
      <c r="B178" s="276"/>
      <c r="C178" s="116" t="s">
        <v>741</v>
      </c>
      <c r="D178" s="276"/>
      <c r="F178" s="172">
        <v>0</v>
      </c>
      <c r="G178" s="1"/>
      <c r="H178" s="172"/>
      <c r="I178" s="147"/>
      <c r="J178" s="228">
        <f>ROUND(AC530+(AC530*'Rate SL'!$AG$1),6)</f>
        <v>25.468776999999999</v>
      </c>
      <c r="K178" s="242"/>
      <c r="L178" s="106">
        <f t="shared" si="22"/>
        <v>0</v>
      </c>
      <c r="M178" s="106"/>
      <c r="N178" s="175">
        <v>0</v>
      </c>
      <c r="O178" s="175"/>
      <c r="P178" s="106"/>
      <c r="Q178" s="106"/>
      <c r="R178" s="106">
        <f t="shared" si="23"/>
        <v>0</v>
      </c>
      <c r="S178" s="1"/>
      <c r="V178" s="228"/>
      <c r="Y178" s="304"/>
    </row>
    <row r="179" spans="1:25" x14ac:dyDescent="0.3">
      <c r="A179" s="268">
        <v>116</v>
      </c>
      <c r="B179" s="276"/>
      <c r="C179" s="116" t="s">
        <v>742</v>
      </c>
      <c r="D179" s="276"/>
      <c r="F179" s="172">
        <v>0</v>
      </c>
      <c r="G179" s="1"/>
      <c r="H179" s="172"/>
      <c r="I179" s="147"/>
      <c r="J179" s="228">
        <f>ROUND(AC531+(AC531*'Rate SL'!$AG$1),6)</f>
        <v>17.184854000000001</v>
      </c>
      <c r="K179" s="242"/>
      <c r="L179" s="106">
        <f t="shared" si="22"/>
        <v>0</v>
      </c>
      <c r="M179" s="106"/>
      <c r="N179" s="175">
        <v>0</v>
      </c>
      <c r="O179" s="175"/>
      <c r="P179" s="106"/>
      <c r="Q179" s="106"/>
      <c r="R179" s="106">
        <f t="shared" si="23"/>
        <v>0</v>
      </c>
      <c r="S179" s="1"/>
      <c r="V179" s="228"/>
      <c r="Y179" s="304"/>
    </row>
    <row r="180" spans="1:25" x14ac:dyDescent="0.3">
      <c r="A180" s="268">
        <v>117</v>
      </c>
      <c r="B180" s="276"/>
      <c r="C180" s="116" t="s">
        <v>743</v>
      </c>
      <c r="D180" s="276"/>
      <c r="F180" s="172">
        <v>0</v>
      </c>
      <c r="G180" s="1"/>
      <c r="H180" s="172"/>
      <c r="I180" s="147"/>
      <c r="J180" s="228">
        <f>ROUND(AC532+(AC532*'Rate SL'!$AG$1),6)</f>
        <v>18.533134</v>
      </c>
      <c r="K180" s="242"/>
      <c r="L180" s="106">
        <f t="shared" si="22"/>
        <v>0</v>
      </c>
      <c r="M180" s="106"/>
      <c r="N180" s="175">
        <v>0</v>
      </c>
      <c r="O180" s="175"/>
      <c r="P180" s="106"/>
      <c r="Q180" s="106"/>
      <c r="R180" s="106">
        <f t="shared" si="23"/>
        <v>0</v>
      </c>
      <c r="S180" s="1"/>
      <c r="V180" s="228"/>
      <c r="Y180" s="304"/>
    </row>
    <row r="181" spans="1:25" x14ac:dyDescent="0.3">
      <c r="A181" s="268">
        <v>118</v>
      </c>
      <c r="B181" s="276"/>
      <c r="C181" s="116" t="s">
        <v>744</v>
      </c>
      <c r="D181" s="276"/>
      <c r="F181" s="172">
        <v>0</v>
      </c>
      <c r="G181" s="1"/>
      <c r="H181" s="172"/>
      <c r="I181" s="147"/>
      <c r="J181" s="228">
        <f>ROUND(AC533+(AC533*'Rate SL'!$AG$1),6)</f>
        <v>29.307946999999999</v>
      </c>
      <c r="K181" s="242"/>
      <c r="L181" s="106">
        <f t="shared" si="22"/>
        <v>0</v>
      </c>
      <c r="M181" s="106"/>
      <c r="N181" s="175">
        <v>0</v>
      </c>
      <c r="O181" s="175"/>
      <c r="P181" s="106"/>
      <c r="Q181" s="106"/>
      <c r="R181" s="106">
        <f t="shared" si="23"/>
        <v>0</v>
      </c>
      <c r="S181" s="1"/>
      <c r="V181" s="228"/>
      <c r="Y181" s="304"/>
    </row>
    <row r="182" spans="1:25" x14ac:dyDescent="0.3">
      <c r="A182" s="268">
        <v>119</v>
      </c>
      <c r="B182" s="276"/>
      <c r="C182" s="116" t="s">
        <v>745</v>
      </c>
      <c r="D182" s="276"/>
      <c r="F182" s="172">
        <v>0</v>
      </c>
      <c r="G182" s="1"/>
      <c r="H182" s="172"/>
      <c r="I182" s="147"/>
      <c r="J182" s="228">
        <f>ROUND(AC534+(AC534*'Rate SL'!$AG$1),6)</f>
        <v>28.588101999999999</v>
      </c>
      <c r="K182" s="242"/>
      <c r="L182" s="106">
        <f t="shared" si="22"/>
        <v>0</v>
      </c>
      <c r="M182" s="106"/>
      <c r="N182" s="175">
        <v>0</v>
      </c>
      <c r="O182" s="175"/>
      <c r="P182" s="106"/>
      <c r="Q182" s="106"/>
      <c r="R182" s="106">
        <f t="shared" si="23"/>
        <v>0</v>
      </c>
      <c r="S182" s="1"/>
      <c r="V182" s="228"/>
      <c r="Y182" s="304"/>
    </row>
    <row r="183" spans="1:25" x14ac:dyDescent="0.3">
      <c r="A183" s="268">
        <v>120</v>
      </c>
      <c r="B183" s="276"/>
      <c r="C183" s="116" t="s">
        <v>746</v>
      </c>
      <c r="D183" s="276"/>
      <c r="F183" s="172">
        <v>0</v>
      </c>
      <c r="G183" s="1"/>
      <c r="H183" s="172"/>
      <c r="I183" s="147"/>
      <c r="J183" s="228">
        <f>ROUND(AC535+(AC535*'Rate SL'!$AG$1),6)</f>
        <v>33.329934000000002</v>
      </c>
      <c r="K183" s="242"/>
      <c r="L183" s="106">
        <f t="shared" si="22"/>
        <v>0</v>
      </c>
      <c r="M183" s="106"/>
      <c r="N183" s="175">
        <v>0</v>
      </c>
      <c r="O183" s="175"/>
      <c r="P183" s="106"/>
      <c r="Q183" s="106"/>
      <c r="R183" s="106">
        <f t="shared" si="23"/>
        <v>0</v>
      </c>
      <c r="S183" s="1"/>
      <c r="V183" s="228"/>
      <c r="Y183" s="304"/>
    </row>
    <row r="184" spans="1:25" x14ac:dyDescent="0.3">
      <c r="A184" s="268">
        <v>121</v>
      </c>
      <c r="B184" s="276"/>
      <c r="C184" s="116" t="s">
        <v>747</v>
      </c>
      <c r="D184" s="276"/>
      <c r="F184" s="172">
        <v>0</v>
      </c>
      <c r="G184" s="1"/>
      <c r="H184" s="172"/>
      <c r="I184" s="147"/>
      <c r="J184" s="228">
        <f>ROUND(AC536+(AC536*'Rate SL'!$AG$1),6)</f>
        <v>12.15737</v>
      </c>
      <c r="K184" s="242"/>
      <c r="L184" s="106">
        <f t="shared" si="22"/>
        <v>0</v>
      </c>
      <c r="M184" s="106"/>
      <c r="N184" s="175">
        <v>0</v>
      </c>
      <c r="O184" s="175"/>
      <c r="P184" s="106"/>
      <c r="Q184" s="106"/>
      <c r="R184" s="106">
        <f t="shared" si="23"/>
        <v>0</v>
      </c>
      <c r="S184" s="1"/>
      <c r="V184" s="228"/>
      <c r="Y184" s="304"/>
    </row>
    <row r="185" spans="1:25" x14ac:dyDescent="0.3">
      <c r="A185" s="268">
        <v>122</v>
      </c>
      <c r="B185" s="276"/>
      <c r="C185" s="116" t="s">
        <v>748</v>
      </c>
      <c r="D185" s="276"/>
      <c r="F185" s="172">
        <v>0</v>
      </c>
      <c r="G185" s="1"/>
      <c r="H185" s="172"/>
      <c r="I185" s="147"/>
      <c r="J185" s="228">
        <f>ROUND(AC537+(AC537*'Rate SL'!$AG$1),6)</f>
        <v>12.808657999999999</v>
      </c>
      <c r="K185" s="242"/>
      <c r="L185" s="106">
        <f t="shared" si="22"/>
        <v>0</v>
      </c>
      <c r="M185" s="106"/>
      <c r="N185" s="175">
        <v>0</v>
      </c>
      <c r="O185" s="175"/>
      <c r="P185" s="106"/>
      <c r="Q185" s="106"/>
      <c r="R185" s="106">
        <f t="shared" si="23"/>
        <v>0</v>
      </c>
      <c r="S185" s="1"/>
      <c r="V185" s="228"/>
      <c r="Y185" s="304"/>
    </row>
    <row r="186" spans="1:25" x14ac:dyDescent="0.3">
      <c r="A186" s="268">
        <v>123</v>
      </c>
      <c r="B186" s="276"/>
      <c r="C186" s="116" t="s">
        <v>749</v>
      </c>
      <c r="D186" s="276"/>
      <c r="F186" s="172">
        <v>0</v>
      </c>
      <c r="G186" s="1"/>
      <c r="H186" s="172"/>
      <c r="I186" s="147"/>
      <c r="J186" s="228">
        <f>ROUND(AC538+(AC538*'Rate SL'!$AG$1),6)</f>
        <v>25.34309</v>
      </c>
      <c r="K186" s="242"/>
      <c r="L186" s="106">
        <f t="shared" si="22"/>
        <v>0</v>
      </c>
      <c r="M186" s="106"/>
      <c r="N186" s="175">
        <v>0</v>
      </c>
      <c r="O186" s="175"/>
      <c r="P186" s="106"/>
      <c r="Q186" s="106"/>
      <c r="R186" s="106">
        <f t="shared" si="23"/>
        <v>0</v>
      </c>
      <c r="S186" s="1"/>
      <c r="V186" s="228"/>
      <c r="Y186" s="304"/>
    </row>
    <row r="187" spans="1:25" x14ac:dyDescent="0.3">
      <c r="A187" s="268">
        <v>124</v>
      </c>
      <c r="B187" s="276"/>
      <c r="C187" s="116" t="s">
        <v>838</v>
      </c>
      <c r="D187" s="276"/>
      <c r="F187" s="172">
        <v>0</v>
      </c>
      <c r="G187" s="1"/>
      <c r="H187" s="172"/>
      <c r="I187" s="147"/>
      <c r="J187" s="228">
        <f>ROUND(AC539+(AC539*'Rate SL'!$AG$1),6)</f>
        <v>7.1413130000000002</v>
      </c>
      <c r="K187" s="242"/>
      <c r="L187" s="106">
        <f t="shared" ref="L187:L197" si="24">ROUND((F187*J187),0)</f>
        <v>0</v>
      </c>
      <c r="M187" s="106"/>
      <c r="N187" s="175">
        <v>0</v>
      </c>
      <c r="O187" s="175"/>
      <c r="P187" s="106"/>
      <c r="Q187" s="106"/>
      <c r="R187" s="106">
        <f t="shared" ref="R187:R197" si="25">L187+P187</f>
        <v>0</v>
      </c>
      <c r="S187" s="1"/>
      <c r="V187" s="228"/>
      <c r="Y187" s="304"/>
    </row>
    <row r="188" spans="1:25" x14ac:dyDescent="0.3">
      <c r="A188" s="268">
        <v>125</v>
      </c>
      <c r="B188" s="276"/>
      <c r="C188" s="116" t="s">
        <v>839</v>
      </c>
      <c r="D188" s="276"/>
      <c r="F188" s="172">
        <v>0</v>
      </c>
      <c r="G188" s="1"/>
      <c r="H188" s="172"/>
      <c r="I188" s="147"/>
      <c r="J188" s="228">
        <f>ROUND(AC540+(AC540*'Rate SL'!$AG$1),6)</f>
        <v>19.401517999999999</v>
      </c>
      <c r="K188" s="242"/>
      <c r="L188" s="106">
        <f t="shared" si="24"/>
        <v>0</v>
      </c>
      <c r="M188" s="106"/>
      <c r="N188" s="175">
        <v>0</v>
      </c>
      <c r="O188" s="175"/>
      <c r="P188" s="106"/>
      <c r="Q188" s="106"/>
      <c r="R188" s="106">
        <f t="shared" si="25"/>
        <v>0</v>
      </c>
      <c r="S188" s="1"/>
      <c r="V188" s="228"/>
      <c r="Y188" s="304"/>
    </row>
    <row r="189" spans="1:25" x14ac:dyDescent="0.3">
      <c r="A189" s="268">
        <v>126</v>
      </c>
      <c r="B189" s="276"/>
      <c r="C189" s="116" t="s">
        <v>840</v>
      </c>
      <c r="D189" s="276"/>
      <c r="F189" s="172">
        <v>0</v>
      </c>
      <c r="G189" s="1"/>
      <c r="H189" s="172"/>
      <c r="I189" s="147"/>
      <c r="J189" s="228">
        <f>ROUND(AC541+(AC541*'Rate SL'!$AG$1),6)</f>
        <v>11.243282000000001</v>
      </c>
      <c r="K189" s="242"/>
      <c r="L189" s="106">
        <f t="shared" si="24"/>
        <v>0</v>
      </c>
      <c r="M189" s="106"/>
      <c r="N189" s="175">
        <v>0</v>
      </c>
      <c r="O189" s="175"/>
      <c r="P189" s="106"/>
      <c r="Q189" s="106"/>
      <c r="R189" s="106">
        <f t="shared" si="25"/>
        <v>0</v>
      </c>
      <c r="S189" s="1"/>
      <c r="V189" s="228"/>
      <c r="Y189" s="304"/>
    </row>
    <row r="190" spans="1:25" x14ac:dyDescent="0.3">
      <c r="A190" s="268">
        <v>127</v>
      </c>
      <c r="B190" s="276"/>
      <c r="C190" s="116" t="s">
        <v>841</v>
      </c>
      <c r="D190" s="276"/>
      <c r="F190" s="172">
        <v>0</v>
      </c>
      <c r="G190" s="1"/>
      <c r="H190" s="172"/>
      <c r="I190" s="147"/>
      <c r="J190" s="228">
        <f>ROUND(AC542+(AC542*'Rate SL'!$AG$1),6)</f>
        <v>11.368969999999999</v>
      </c>
      <c r="K190" s="242"/>
      <c r="L190" s="106">
        <f t="shared" si="24"/>
        <v>0</v>
      </c>
      <c r="M190" s="106"/>
      <c r="N190" s="175">
        <v>0</v>
      </c>
      <c r="O190" s="175"/>
      <c r="P190" s="106"/>
      <c r="Q190" s="106"/>
      <c r="R190" s="106">
        <f t="shared" si="25"/>
        <v>0</v>
      </c>
      <c r="S190" s="1"/>
      <c r="V190" s="228"/>
      <c r="Y190" s="304"/>
    </row>
    <row r="191" spans="1:25" x14ac:dyDescent="0.3">
      <c r="A191" s="268">
        <v>128</v>
      </c>
      <c r="B191" s="276"/>
      <c r="C191" s="116" t="s">
        <v>842</v>
      </c>
      <c r="D191" s="276"/>
      <c r="F191" s="172">
        <v>0</v>
      </c>
      <c r="G191" s="1"/>
      <c r="H191" s="172"/>
      <c r="I191" s="147"/>
      <c r="J191" s="228">
        <f>ROUND(AC543+(AC543*'Rate SL'!$AG$1),6)</f>
        <v>22.463712999999998</v>
      </c>
      <c r="K191" s="242"/>
      <c r="L191" s="106">
        <f t="shared" si="24"/>
        <v>0</v>
      </c>
      <c r="M191" s="106"/>
      <c r="N191" s="175">
        <v>0</v>
      </c>
      <c r="O191" s="175"/>
      <c r="P191" s="106"/>
      <c r="Q191" s="106"/>
      <c r="R191" s="106">
        <f t="shared" si="25"/>
        <v>0</v>
      </c>
      <c r="S191" s="1"/>
      <c r="V191" s="228"/>
      <c r="Y191" s="304"/>
    </row>
    <row r="192" spans="1:25" x14ac:dyDescent="0.3">
      <c r="A192" s="268">
        <v>129</v>
      </c>
      <c r="B192" s="276"/>
      <c r="C192" s="116" t="s">
        <v>843</v>
      </c>
      <c r="D192" s="276"/>
      <c r="F192" s="172">
        <v>0</v>
      </c>
      <c r="G192" s="1"/>
      <c r="H192" s="172"/>
      <c r="I192" s="147"/>
      <c r="J192" s="228">
        <f>ROUND(AC544+(AC544*'Rate SL'!$AG$1),6)</f>
        <v>7.1413130000000002</v>
      </c>
      <c r="K192" s="242"/>
      <c r="L192" s="106">
        <f t="shared" si="24"/>
        <v>0</v>
      </c>
      <c r="M192" s="106"/>
      <c r="N192" s="175">
        <v>0</v>
      </c>
      <c r="O192" s="175"/>
      <c r="P192" s="106"/>
      <c r="Q192" s="106"/>
      <c r="R192" s="106">
        <f t="shared" si="25"/>
        <v>0</v>
      </c>
      <c r="S192" s="1"/>
      <c r="V192" s="228"/>
      <c r="Y192" s="304"/>
    </row>
    <row r="193" spans="1:25" x14ac:dyDescent="0.3">
      <c r="A193" s="268">
        <v>130</v>
      </c>
      <c r="B193" s="276"/>
      <c r="C193" s="116" t="s">
        <v>844</v>
      </c>
      <c r="D193" s="276"/>
      <c r="F193" s="172">
        <v>0</v>
      </c>
      <c r="G193" s="1"/>
      <c r="H193" s="172"/>
      <c r="I193" s="147"/>
      <c r="J193" s="228">
        <f>ROUND(AC545+(AC545*'Rate SL'!$AG$1),6)</f>
        <v>20.864059000000001</v>
      </c>
      <c r="K193" s="242"/>
      <c r="L193" s="106">
        <f t="shared" si="24"/>
        <v>0</v>
      </c>
      <c r="M193" s="106"/>
      <c r="N193" s="175">
        <v>0</v>
      </c>
      <c r="O193" s="175"/>
      <c r="P193" s="106"/>
      <c r="Q193" s="106"/>
      <c r="R193" s="106">
        <f t="shared" si="25"/>
        <v>0</v>
      </c>
      <c r="S193" s="1"/>
      <c r="V193" s="228"/>
      <c r="Y193" s="304"/>
    </row>
    <row r="194" spans="1:25" x14ac:dyDescent="0.3">
      <c r="A194" s="268">
        <v>131</v>
      </c>
      <c r="B194" s="276"/>
      <c r="C194" s="116" t="s">
        <v>845</v>
      </c>
      <c r="D194" s="276"/>
      <c r="F194" s="172">
        <v>0</v>
      </c>
      <c r="G194" s="1"/>
      <c r="H194" s="172"/>
      <c r="I194" s="147"/>
      <c r="J194" s="228">
        <f>ROUND(AC546+(AC546*'Rate SL'!$AG$1),6)</f>
        <v>13.574206999999999</v>
      </c>
      <c r="K194" s="242"/>
      <c r="L194" s="106">
        <f t="shared" si="24"/>
        <v>0</v>
      </c>
      <c r="M194" s="106"/>
      <c r="N194" s="175">
        <v>0</v>
      </c>
      <c r="O194" s="175"/>
      <c r="P194" s="106"/>
      <c r="Q194" s="106"/>
      <c r="R194" s="106">
        <f t="shared" si="25"/>
        <v>0</v>
      </c>
      <c r="S194" s="1"/>
      <c r="V194" s="228"/>
      <c r="Y194" s="304"/>
    </row>
    <row r="195" spans="1:25" x14ac:dyDescent="0.3">
      <c r="A195" s="268">
        <v>132</v>
      </c>
      <c r="B195" s="276"/>
      <c r="C195" s="116" t="s">
        <v>846</v>
      </c>
      <c r="D195" s="276"/>
      <c r="F195" s="172">
        <v>0</v>
      </c>
      <c r="G195" s="1"/>
      <c r="H195" s="172"/>
      <c r="I195" s="147"/>
      <c r="J195" s="228">
        <f>ROUND(AC547+(AC547*'Rate SL'!$AG$1),6)</f>
        <v>13.951268000000001</v>
      </c>
      <c r="K195" s="242"/>
      <c r="L195" s="106">
        <f t="shared" si="24"/>
        <v>0</v>
      </c>
      <c r="M195" s="106"/>
      <c r="N195" s="175">
        <v>0</v>
      </c>
      <c r="O195" s="175"/>
      <c r="P195" s="106"/>
      <c r="Q195" s="106"/>
      <c r="R195" s="106">
        <f t="shared" si="25"/>
        <v>0</v>
      </c>
      <c r="S195" s="1"/>
      <c r="V195" s="228"/>
      <c r="Y195" s="304"/>
    </row>
    <row r="196" spans="1:25" x14ac:dyDescent="0.3">
      <c r="A196" s="268">
        <v>133</v>
      </c>
      <c r="B196" s="276"/>
      <c r="C196" s="116" t="s">
        <v>847</v>
      </c>
      <c r="D196" s="276"/>
      <c r="F196" s="172">
        <v>0</v>
      </c>
      <c r="G196" s="1"/>
      <c r="H196" s="172"/>
      <c r="I196" s="147"/>
      <c r="J196" s="228">
        <f>ROUND(AC548+(AC548*'Rate SL'!$AG$1),6)</f>
        <v>18.338891</v>
      </c>
      <c r="K196" s="242"/>
      <c r="L196" s="106">
        <f t="shared" si="24"/>
        <v>0</v>
      </c>
      <c r="M196" s="106"/>
      <c r="N196" s="175">
        <v>0</v>
      </c>
      <c r="O196" s="175"/>
      <c r="P196" s="106"/>
      <c r="Q196" s="106"/>
      <c r="R196" s="106">
        <f t="shared" si="25"/>
        <v>0</v>
      </c>
      <c r="S196" s="1"/>
      <c r="V196" s="228"/>
      <c r="Y196" s="304"/>
    </row>
    <row r="197" spans="1:25" x14ac:dyDescent="0.3">
      <c r="A197" s="268">
        <v>134</v>
      </c>
      <c r="B197" s="276"/>
      <c r="C197" s="116" t="s">
        <v>848</v>
      </c>
      <c r="D197" s="276"/>
      <c r="F197" s="172">
        <v>0</v>
      </c>
      <c r="G197" s="1"/>
      <c r="H197" s="172"/>
      <c r="I197" s="147"/>
      <c r="J197" s="228">
        <f>ROUND(AC549+(AC549*'Rate SL'!$AG$1),6)</f>
        <v>27.068431</v>
      </c>
      <c r="K197" s="242"/>
      <c r="L197" s="106">
        <f t="shared" si="24"/>
        <v>0</v>
      </c>
      <c r="M197" s="106"/>
      <c r="N197" s="175">
        <v>0</v>
      </c>
      <c r="O197" s="175"/>
      <c r="P197" s="106"/>
      <c r="Q197" s="106"/>
      <c r="R197" s="106">
        <f t="shared" si="25"/>
        <v>0</v>
      </c>
      <c r="S197" s="1"/>
      <c r="V197" s="228"/>
      <c r="Y197" s="304"/>
    </row>
    <row r="198" spans="1:25" x14ac:dyDescent="0.3">
      <c r="A198" s="268"/>
      <c r="B198" s="276"/>
      <c r="C198" s="116"/>
      <c r="D198" s="276"/>
      <c r="F198" s="172"/>
      <c r="G198" s="1"/>
      <c r="H198" s="172"/>
      <c r="I198" s="147"/>
      <c r="J198" s="228"/>
      <c r="K198" s="242"/>
      <c r="L198" s="106"/>
      <c r="M198" s="106"/>
      <c r="N198" s="175"/>
      <c r="O198" s="175"/>
      <c r="P198" s="106"/>
      <c r="Q198" s="106"/>
      <c r="R198" s="106"/>
      <c r="S198" s="1"/>
      <c r="V198" s="228"/>
      <c r="Y198" s="304"/>
    </row>
    <row r="199" spans="1:25" x14ac:dyDescent="0.3">
      <c r="A199" s="178" t="s">
        <v>76</v>
      </c>
      <c r="C199" s="116"/>
      <c r="F199" s="172"/>
      <c r="G199" s="1"/>
      <c r="H199" s="172"/>
      <c r="I199" s="147"/>
      <c r="J199" s="228"/>
      <c r="K199" s="242"/>
      <c r="L199" s="106"/>
      <c r="M199" s="106"/>
      <c r="N199" s="175"/>
      <c r="O199" s="175"/>
      <c r="P199" s="106"/>
      <c r="Q199" s="106"/>
      <c r="R199" s="106"/>
      <c r="S199" s="1"/>
      <c r="V199" s="228"/>
      <c r="Y199" s="304"/>
    </row>
    <row r="200" spans="1:25" x14ac:dyDescent="0.3">
      <c r="A200" s="178" t="str">
        <f>"(1A) REFLECTS FUEL COST RECOVERY INCLUDED IN BASE RATES OF "&amp;TEXT(CUR_BASE_FUEL,"$0.000000;($0.000000)")&amp;"  PER KWH."</f>
        <v>(1A) REFLECTS FUEL COST RECOVERY INCLUDED IN BASE RATES OF $0.033780  PER KWH.</v>
      </c>
      <c r="C200" s="116"/>
      <c r="F200" s="172"/>
      <c r="G200" s="1"/>
      <c r="H200" s="172"/>
      <c r="I200" s="147"/>
      <c r="J200" s="228"/>
      <c r="K200" s="242"/>
      <c r="L200" s="106"/>
      <c r="M200" s="106"/>
      <c r="N200" s="175"/>
      <c r="O200" s="175"/>
      <c r="P200" s="106"/>
      <c r="Q200" s="106"/>
      <c r="R200" s="106"/>
      <c r="S200" s="1"/>
      <c r="V200" s="228"/>
      <c r="Y200" s="304"/>
    </row>
    <row r="201" spans="1:25" x14ac:dyDescent="0.3">
      <c r="A201" s="178" t="str">
        <f>"(2) REFLECTS FUEL COMPONENT OF "&amp;TEXT(CUR_FAC,"$0.000000;($0.000000)")&amp;"  PER KWH."</f>
        <v>(2) REFLECTS FUEL COMPONENT OF $0.003487  PER KWH.</v>
      </c>
      <c r="C201" s="116"/>
      <c r="F201" s="172"/>
      <c r="G201" s="1"/>
      <c r="H201" s="172"/>
      <c r="I201" s="147"/>
      <c r="J201" s="228"/>
      <c r="K201" s="242"/>
      <c r="L201" s="106"/>
      <c r="M201" s="106"/>
      <c r="N201" s="175"/>
      <c r="O201" s="175"/>
      <c r="P201" s="106"/>
      <c r="Q201" s="106"/>
      <c r="R201" s="106"/>
      <c r="S201" s="1"/>
      <c r="V201" s="228"/>
      <c r="Y201" s="304"/>
    </row>
    <row r="202" spans="1:25" x14ac:dyDescent="0.3">
      <c r="A202" s="282"/>
      <c r="C202" s="116"/>
      <c r="F202" s="172"/>
      <c r="G202" s="1"/>
      <c r="H202" s="172"/>
      <c r="I202" s="147"/>
      <c r="J202" s="228"/>
      <c r="K202" s="242"/>
      <c r="L202" s="106"/>
      <c r="M202" s="106"/>
      <c r="N202" s="175"/>
      <c r="O202" s="175"/>
      <c r="P202" s="106"/>
      <c r="Q202" s="106"/>
      <c r="R202" s="106"/>
      <c r="S202" s="1"/>
      <c r="V202" s="228"/>
      <c r="Y202" s="304"/>
    </row>
    <row r="203" spans="1:25" x14ac:dyDescent="0.3">
      <c r="A203" s="97" t="str">
        <f>NAME</f>
        <v>DUKE ENERGY KENTUCKY, INC.</v>
      </c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1"/>
      <c r="V203" s="228"/>
      <c r="Y203" s="304"/>
    </row>
    <row r="204" spans="1:25" x14ac:dyDescent="0.3">
      <c r="A204" s="97" t="str">
        <f>CASE_NO</f>
        <v>CASE NO.   2024-00354</v>
      </c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1"/>
      <c r="V204" s="228"/>
      <c r="Y204" s="304"/>
    </row>
    <row r="205" spans="1:25" x14ac:dyDescent="0.3">
      <c r="A205" s="97" t="str">
        <f>TITLE</f>
        <v>ANNUALIZED BASE YEAR REVENUES AT PROPOSED VS. MOST CURRENT RATES</v>
      </c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1"/>
      <c r="V205" s="228"/>
      <c r="Y205" s="304"/>
    </row>
    <row r="206" spans="1:25" x14ac:dyDescent="0.3">
      <c r="A206" s="97" t="str">
        <f>DATE</f>
        <v>FOR THE TWELVE MONTHS ENDED February 28, 2025</v>
      </c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1"/>
      <c r="V206" s="228"/>
      <c r="Y206" s="304"/>
    </row>
    <row r="207" spans="1:25" x14ac:dyDescent="0.3">
      <c r="A207" s="97" t="str">
        <f>SERVICE</f>
        <v>(ELECTRIC SERVICE)</v>
      </c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1"/>
      <c r="V207" s="228"/>
      <c r="Y207" s="304"/>
    </row>
    <row r="208" spans="1:25" x14ac:dyDescent="0.3">
      <c r="A208" s="98" t="str">
        <f>DATA_PERIOD</f>
        <v>DATA: __X__ BASE PERIOD   ____FORECASTED PERIOD</v>
      </c>
      <c r="R208" s="99" t="s">
        <v>156</v>
      </c>
      <c r="S208" s="1"/>
      <c r="V208" s="228"/>
      <c r="Y208" s="304"/>
    </row>
    <row r="209" spans="1:25" x14ac:dyDescent="0.3">
      <c r="A209" s="98" t="str">
        <f>TYPE</f>
        <v>TYPE OF FILING: _X_ ORIGINAL   ___UPDATED  ___ REVISED</v>
      </c>
      <c r="R209" s="116" t="str">
        <f>"PAGE 23 OF "&amp;TEXT(Page_Num_2.3,"00")</f>
        <v>PAGE 23 OF 24</v>
      </c>
      <c r="S209" s="1"/>
      <c r="V209" s="228"/>
      <c r="Y209" s="304"/>
    </row>
    <row r="210" spans="1:25" x14ac:dyDescent="0.3">
      <c r="A210" s="99" t="s">
        <v>170</v>
      </c>
      <c r="R210" s="99" t="s">
        <v>3</v>
      </c>
      <c r="S210" s="1"/>
      <c r="V210" s="228"/>
      <c r="Y210" s="304"/>
    </row>
    <row r="211" spans="1:25" x14ac:dyDescent="0.3">
      <c r="A211" s="134" t="str">
        <f>TIME</f>
        <v>6 Months Actual and 6 Months Projected with Riders</v>
      </c>
      <c r="M211" s="99"/>
      <c r="R211" s="98" t="str">
        <f>WIT</f>
        <v>B. L. Sailers</v>
      </c>
      <c r="S211" s="1"/>
      <c r="V211" s="228"/>
      <c r="Y211" s="304"/>
    </row>
    <row r="212" spans="1:25" x14ac:dyDescent="0.3">
      <c r="A212" s="97" t="s">
        <v>129</v>
      </c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1"/>
      <c r="V212" s="228"/>
      <c r="Y212" s="304"/>
    </row>
    <row r="213" spans="1:25" x14ac:dyDescent="0.3">
      <c r="A213" s="101"/>
      <c r="B213" s="101"/>
      <c r="C213" s="101"/>
      <c r="D213" s="101"/>
      <c r="E213" s="101"/>
      <c r="G213" s="101"/>
      <c r="H213" s="101"/>
      <c r="I213" s="101"/>
      <c r="J213" s="101"/>
      <c r="K213" s="101"/>
      <c r="L213" s="100"/>
      <c r="M213" s="100"/>
      <c r="N213" s="100"/>
      <c r="O213" s="100"/>
      <c r="P213" s="100"/>
      <c r="Q213" s="100"/>
      <c r="R213" s="100"/>
      <c r="S213" s="1"/>
      <c r="V213" s="228"/>
      <c r="Y213" s="304"/>
    </row>
    <row r="214" spans="1:25" x14ac:dyDescent="0.3">
      <c r="A214" s="174"/>
      <c r="B214" s="174"/>
      <c r="C214" s="174"/>
      <c r="D214" s="174"/>
      <c r="E214" s="174"/>
      <c r="F214" s="174"/>
      <c r="G214" s="174"/>
      <c r="H214" s="174"/>
      <c r="I214" s="174"/>
      <c r="J214" s="174"/>
      <c r="K214" s="174"/>
      <c r="L214" s="102" t="s">
        <v>6</v>
      </c>
      <c r="M214" s="102"/>
      <c r="N214" s="102" t="s">
        <v>7</v>
      </c>
      <c r="O214" s="102"/>
      <c r="R214" s="102" t="s">
        <v>6</v>
      </c>
      <c r="S214" s="1"/>
      <c r="V214" s="228"/>
      <c r="Y214" s="304"/>
    </row>
    <row r="215" spans="1:25" x14ac:dyDescent="0.3">
      <c r="L215" s="102" t="s">
        <v>12</v>
      </c>
      <c r="M215" s="102"/>
      <c r="N215" s="102" t="s">
        <v>13</v>
      </c>
      <c r="O215" s="102"/>
      <c r="R215" s="102" t="s">
        <v>11</v>
      </c>
      <c r="S215" s="1"/>
      <c r="V215" s="228"/>
      <c r="Y215" s="304"/>
    </row>
    <row r="216" spans="1:25" x14ac:dyDescent="0.3">
      <c r="A216" s="102" t="s">
        <v>17</v>
      </c>
      <c r="C216" s="102" t="s">
        <v>18</v>
      </c>
      <c r="D216" s="102" t="s">
        <v>19</v>
      </c>
      <c r="E216" s="102"/>
      <c r="F216" s="102" t="s">
        <v>20</v>
      </c>
      <c r="J216" s="97" t="s">
        <v>6</v>
      </c>
      <c r="K216" s="97"/>
      <c r="L216" s="102" t="s">
        <v>593</v>
      </c>
      <c r="M216" s="102"/>
      <c r="N216" s="102" t="s">
        <v>593</v>
      </c>
      <c r="O216" s="102"/>
      <c r="P216" s="102" t="s">
        <v>593</v>
      </c>
      <c r="Q216" s="102"/>
      <c r="R216" s="102" t="s">
        <v>9</v>
      </c>
      <c r="S216" s="1"/>
      <c r="V216" s="228"/>
      <c r="Y216" s="304"/>
    </row>
    <row r="217" spans="1:25" x14ac:dyDescent="0.3">
      <c r="A217" s="102" t="s">
        <v>22</v>
      </c>
      <c r="C217" s="102" t="s">
        <v>23</v>
      </c>
      <c r="D217" s="102" t="s">
        <v>24</v>
      </c>
      <c r="E217" s="102"/>
      <c r="F217" s="102" t="s">
        <v>25</v>
      </c>
      <c r="H217" s="102" t="s">
        <v>26</v>
      </c>
      <c r="I217" s="102"/>
      <c r="J217" s="103" t="s">
        <v>563</v>
      </c>
      <c r="K217" s="103" t="s">
        <v>564</v>
      </c>
      <c r="L217" s="102" t="s">
        <v>9</v>
      </c>
      <c r="M217" s="102"/>
      <c r="N217" s="102" t="s">
        <v>9</v>
      </c>
      <c r="O217" s="102"/>
      <c r="P217" s="102" t="s">
        <v>323</v>
      </c>
      <c r="Q217" s="102"/>
      <c r="R217" s="131" t="s">
        <v>28</v>
      </c>
      <c r="S217" s="1"/>
      <c r="V217" s="228"/>
      <c r="Y217" s="304"/>
    </row>
    <row r="218" spans="1:25" x14ac:dyDescent="0.3">
      <c r="C218" s="131" t="s">
        <v>33</v>
      </c>
      <c r="D218" s="131" t="s">
        <v>34</v>
      </c>
      <c r="E218" s="131"/>
      <c r="F218" s="131" t="s">
        <v>35</v>
      </c>
      <c r="G218" s="134"/>
      <c r="H218" s="131" t="s">
        <v>36</v>
      </c>
      <c r="I218" s="131"/>
      <c r="J218" s="146" t="s">
        <v>565</v>
      </c>
      <c r="K218" s="146" t="s">
        <v>566</v>
      </c>
      <c r="L218" s="146" t="s">
        <v>38</v>
      </c>
      <c r="M218" s="131"/>
      <c r="N218" s="146" t="s">
        <v>39</v>
      </c>
      <c r="O218" s="131"/>
      <c r="P218" s="146" t="s">
        <v>40</v>
      </c>
      <c r="Q218" s="131"/>
      <c r="R218" s="146" t="s">
        <v>41</v>
      </c>
      <c r="S218" s="1"/>
      <c r="V218" s="228"/>
      <c r="Y218" s="304"/>
    </row>
    <row r="219" spans="1:25" x14ac:dyDescent="0.3">
      <c r="A219" s="174"/>
      <c r="B219" s="174"/>
      <c r="C219" s="174"/>
      <c r="D219" s="174"/>
      <c r="E219" s="174"/>
      <c r="F219" s="174"/>
      <c r="G219" s="174"/>
      <c r="H219" s="258" t="s">
        <v>49</v>
      </c>
      <c r="I219" s="258"/>
      <c r="J219" s="257" t="s">
        <v>69</v>
      </c>
      <c r="K219" s="258"/>
      <c r="L219" s="258" t="s">
        <v>50</v>
      </c>
      <c r="M219" s="258"/>
      <c r="N219" s="258" t="s">
        <v>51</v>
      </c>
      <c r="O219" s="258"/>
      <c r="P219" s="258" t="s">
        <v>50</v>
      </c>
      <c r="Q219" s="258"/>
      <c r="R219" s="258" t="s">
        <v>50</v>
      </c>
      <c r="S219" s="1"/>
      <c r="V219" s="228"/>
      <c r="Y219" s="304"/>
    </row>
    <row r="220" spans="1:25" x14ac:dyDescent="0.3">
      <c r="A220" s="268">
        <v>135</v>
      </c>
      <c r="C220" s="124" t="s">
        <v>551</v>
      </c>
      <c r="D220" s="169" t="s">
        <v>570</v>
      </c>
      <c r="F220" s="172"/>
      <c r="G220" s="1"/>
      <c r="H220" s="172"/>
      <c r="I220" s="147"/>
      <c r="J220" s="228"/>
      <c r="K220" s="228"/>
      <c r="L220" s="106"/>
      <c r="M220" s="106"/>
      <c r="N220" s="175"/>
      <c r="O220" s="175"/>
      <c r="P220" s="106"/>
      <c r="Q220" s="106"/>
      <c r="R220" s="106"/>
      <c r="S220" s="1"/>
      <c r="V220" s="228"/>
      <c r="Y220" s="304"/>
    </row>
    <row r="221" spans="1:25" x14ac:dyDescent="0.3">
      <c r="A221" s="268">
        <v>136</v>
      </c>
      <c r="C221" s="169" t="s">
        <v>851</v>
      </c>
      <c r="F221" s="172"/>
      <c r="G221" s="1"/>
      <c r="H221" s="172"/>
      <c r="I221" s="147"/>
      <c r="J221" s="228"/>
      <c r="K221" s="228"/>
      <c r="L221" s="106"/>
      <c r="M221" s="106"/>
      <c r="N221" s="175"/>
      <c r="O221" s="175"/>
      <c r="P221" s="106"/>
      <c r="Q221" s="106"/>
      <c r="R221" s="106"/>
      <c r="S221" s="1"/>
      <c r="V221" s="228"/>
      <c r="Y221" s="304"/>
    </row>
    <row r="222" spans="1:25" x14ac:dyDescent="0.3">
      <c r="A222" s="268">
        <v>137</v>
      </c>
      <c r="B222" s="276"/>
      <c r="C222" s="116"/>
      <c r="D222" s="276"/>
      <c r="F222" s="172"/>
      <c r="G222" s="1"/>
      <c r="H222" s="172"/>
      <c r="I222" s="147"/>
      <c r="J222" s="228"/>
      <c r="K222" s="242"/>
      <c r="L222" s="106"/>
      <c r="M222" s="106"/>
      <c r="N222" s="175"/>
      <c r="O222" s="175"/>
      <c r="P222" s="106"/>
      <c r="Q222" s="106"/>
      <c r="R222" s="106"/>
      <c r="S222" s="1"/>
      <c r="V222" s="228"/>
      <c r="Y222" s="304"/>
    </row>
    <row r="223" spans="1:25" x14ac:dyDescent="0.3">
      <c r="A223" s="268">
        <v>138</v>
      </c>
      <c r="B223" s="276"/>
      <c r="C223" s="116"/>
      <c r="D223" s="276"/>
      <c r="F223" s="172"/>
      <c r="G223" s="1"/>
      <c r="H223" s="172"/>
      <c r="I223" s="147"/>
      <c r="J223" s="228"/>
      <c r="K223" s="242"/>
      <c r="L223" s="106"/>
      <c r="M223" s="106"/>
      <c r="N223" s="175"/>
      <c r="O223" s="175"/>
      <c r="P223" s="106"/>
      <c r="Q223" s="106"/>
      <c r="R223" s="106"/>
      <c r="S223" s="1"/>
      <c r="V223" s="228"/>
      <c r="Y223" s="304"/>
    </row>
    <row r="224" spans="1:25" x14ac:dyDescent="0.3">
      <c r="A224" s="268">
        <v>139</v>
      </c>
      <c r="B224" s="276"/>
      <c r="C224" s="116" t="s">
        <v>656</v>
      </c>
      <c r="D224" s="276"/>
      <c r="F224" s="172">
        <v>0</v>
      </c>
      <c r="G224" s="1"/>
      <c r="H224" s="172"/>
      <c r="I224" s="147"/>
      <c r="J224" s="228">
        <f>ROUND(AC576+(AC576*'Rate SL'!$AG$1),6)</f>
        <v>3.096473</v>
      </c>
      <c r="K224" s="242"/>
      <c r="L224" s="106">
        <f t="shared" si="20"/>
        <v>0</v>
      </c>
      <c r="M224" s="106"/>
      <c r="N224" s="175">
        <v>0</v>
      </c>
      <c r="O224" s="175"/>
      <c r="P224" s="106"/>
      <c r="Q224" s="106"/>
      <c r="R224" s="106">
        <f t="shared" si="21"/>
        <v>0</v>
      </c>
      <c r="S224" s="1"/>
      <c r="V224" s="228"/>
      <c r="Y224" s="304"/>
    </row>
    <row r="225" spans="1:46" x14ac:dyDescent="0.3">
      <c r="A225" s="268">
        <v>140</v>
      </c>
      <c r="B225" s="276"/>
      <c r="C225" s="116" t="s">
        <v>657</v>
      </c>
      <c r="D225" s="276"/>
      <c r="F225" s="172">
        <v>0</v>
      </c>
      <c r="G225" s="1"/>
      <c r="H225" s="172"/>
      <c r="I225" s="147"/>
      <c r="J225" s="228">
        <f>ROUND(AC577+(AC577*'Rate SL'!$AG$1),6)</f>
        <v>7.3584079999999998</v>
      </c>
      <c r="K225" s="242"/>
      <c r="L225" s="106">
        <f t="shared" si="20"/>
        <v>0</v>
      </c>
      <c r="M225" s="106"/>
      <c r="N225" s="175">
        <v>0</v>
      </c>
      <c r="O225" s="175"/>
      <c r="P225" s="106"/>
      <c r="Q225" s="106"/>
      <c r="R225" s="106">
        <f t="shared" si="21"/>
        <v>0</v>
      </c>
      <c r="S225" s="1"/>
      <c r="V225" s="228"/>
      <c r="Y225" s="304"/>
    </row>
    <row r="226" spans="1:46" x14ac:dyDescent="0.3">
      <c r="A226" s="268">
        <v>141</v>
      </c>
      <c r="C226" s="116" t="s">
        <v>658</v>
      </c>
      <c r="F226" s="172">
        <v>0</v>
      </c>
      <c r="G226" s="1"/>
      <c r="H226" s="172"/>
      <c r="I226" s="147"/>
      <c r="J226" s="228">
        <f>ROUND(AC578+(AC578*'Rate SL'!$AG$1),6)</f>
        <v>9.1980109999999993</v>
      </c>
      <c r="K226" s="242"/>
      <c r="L226" s="106">
        <f t="shared" si="20"/>
        <v>0</v>
      </c>
      <c r="M226" s="106"/>
      <c r="N226" s="175">
        <v>0</v>
      </c>
      <c r="O226" s="175"/>
      <c r="P226" s="106"/>
      <c r="Q226" s="106"/>
      <c r="R226" s="106">
        <f t="shared" si="21"/>
        <v>0</v>
      </c>
      <c r="S226" s="1"/>
      <c r="V226" s="228"/>
      <c r="Y226" s="304"/>
    </row>
    <row r="227" spans="1:46" x14ac:dyDescent="0.3">
      <c r="A227" s="268">
        <v>142</v>
      </c>
      <c r="C227" s="116" t="s">
        <v>659</v>
      </c>
      <c r="F227" s="172">
        <v>0</v>
      </c>
      <c r="G227" s="1"/>
      <c r="H227" s="172"/>
      <c r="I227" s="147"/>
      <c r="J227" s="228">
        <f>ROUND(AC579+(AC579*'Rate SL'!$AG$1),6)</f>
        <v>11.346117</v>
      </c>
      <c r="K227" s="242"/>
      <c r="L227" s="106">
        <f t="shared" si="20"/>
        <v>0</v>
      </c>
      <c r="M227" s="106"/>
      <c r="N227" s="175">
        <v>0</v>
      </c>
      <c r="O227" s="175"/>
      <c r="P227" s="106"/>
      <c r="Q227" s="106"/>
      <c r="R227" s="106">
        <f t="shared" si="21"/>
        <v>0</v>
      </c>
      <c r="S227" s="1"/>
      <c r="V227" s="228"/>
      <c r="Y227" s="304"/>
    </row>
    <row r="228" spans="1:46" x14ac:dyDescent="0.3">
      <c r="A228" s="268">
        <v>143</v>
      </c>
      <c r="C228" s="116" t="s">
        <v>762</v>
      </c>
      <c r="F228" s="172">
        <v>0</v>
      </c>
      <c r="G228" s="1"/>
      <c r="H228" s="172"/>
      <c r="I228" s="147"/>
      <c r="J228" s="228">
        <f>ROUND(AC580+(AC580*'Rate SL'!$AG$1),6)</f>
        <v>9.6207759999999993</v>
      </c>
      <c r="K228" s="242"/>
      <c r="L228" s="106">
        <f>ROUND((F228*J228),0)</f>
        <v>0</v>
      </c>
      <c r="M228" s="106"/>
      <c r="N228" s="175">
        <v>0</v>
      </c>
      <c r="O228" s="175"/>
      <c r="P228" s="106"/>
      <c r="Q228" s="106"/>
      <c r="R228" s="106">
        <f>L228+P228</f>
        <v>0</v>
      </c>
      <c r="S228" s="1"/>
      <c r="V228" s="228"/>
      <c r="Y228" s="304"/>
    </row>
    <row r="229" spans="1:46" x14ac:dyDescent="0.3">
      <c r="A229" s="268">
        <v>144</v>
      </c>
      <c r="C229" s="116" t="s">
        <v>763</v>
      </c>
      <c r="F229" s="172">
        <v>0</v>
      </c>
      <c r="G229" s="1"/>
      <c r="H229" s="172"/>
      <c r="I229" s="147"/>
      <c r="J229" s="228">
        <f>ROUND(AC581+(AC581*'Rate SL'!$AG$1),6)</f>
        <v>11.300413000000001</v>
      </c>
      <c r="K229" s="242"/>
      <c r="L229" s="106">
        <f>ROUND((F229*J229),0)</f>
        <v>0</v>
      </c>
      <c r="M229" s="106"/>
      <c r="N229" s="175">
        <v>0</v>
      </c>
      <c r="O229" s="175"/>
      <c r="P229" s="106"/>
      <c r="Q229" s="106"/>
      <c r="R229" s="106">
        <f>L229+P229</f>
        <v>0</v>
      </c>
      <c r="S229" s="1"/>
      <c r="V229" s="228"/>
      <c r="Y229" s="304"/>
    </row>
    <row r="230" spans="1:46" x14ac:dyDescent="0.3">
      <c r="A230" s="268">
        <v>145</v>
      </c>
      <c r="C230" s="116" t="s">
        <v>764</v>
      </c>
      <c r="F230" s="172">
        <v>0</v>
      </c>
      <c r="G230" s="1"/>
      <c r="H230" s="172"/>
      <c r="I230" s="147"/>
      <c r="J230" s="228">
        <f>ROUND(AC582+(AC582*'Rate SL'!$AG$1),6)</f>
        <v>13.779877000000001</v>
      </c>
      <c r="K230" s="242"/>
      <c r="L230" s="106">
        <f>ROUND((F230*J230),0)</f>
        <v>0</v>
      </c>
      <c r="M230" s="106"/>
      <c r="N230" s="175">
        <v>0</v>
      </c>
      <c r="O230" s="175"/>
      <c r="P230" s="106"/>
      <c r="Q230" s="106"/>
      <c r="R230" s="106">
        <f>L230+P230</f>
        <v>0</v>
      </c>
      <c r="S230" s="1"/>
      <c r="V230" s="228"/>
      <c r="Y230" s="304"/>
    </row>
    <row r="231" spans="1:46" x14ac:dyDescent="0.3">
      <c r="A231" s="268">
        <v>146</v>
      </c>
      <c r="C231" s="116" t="s">
        <v>766</v>
      </c>
      <c r="F231" s="172">
        <v>0</v>
      </c>
      <c r="G231" s="1"/>
      <c r="H231" s="172"/>
      <c r="I231" s="147"/>
      <c r="J231" s="228">
        <f>ROUND(AC583+(AC583*'Rate SL'!$AG$1),6)</f>
        <v>5.3816930000000003</v>
      </c>
      <c r="K231" s="242"/>
      <c r="L231" s="106">
        <f>ROUND((F231*J231),0)</f>
        <v>0</v>
      </c>
      <c r="M231" s="106"/>
      <c r="N231" s="175">
        <v>0</v>
      </c>
      <c r="O231" s="175"/>
      <c r="P231" s="106"/>
      <c r="Q231" s="106"/>
      <c r="R231" s="106">
        <f>L231+P231</f>
        <v>0</v>
      </c>
      <c r="S231" s="1"/>
      <c r="V231" s="228"/>
      <c r="Y231" s="304"/>
    </row>
    <row r="232" spans="1:46" x14ac:dyDescent="0.3">
      <c r="A232" s="268">
        <v>147</v>
      </c>
      <c r="C232" s="116" t="s">
        <v>765</v>
      </c>
      <c r="F232" s="172">
        <v>0</v>
      </c>
      <c r="G232" s="1"/>
      <c r="H232" s="172"/>
      <c r="I232" s="147"/>
      <c r="J232" s="228">
        <f>ROUND(AC584+(AC584*'Rate SL'!$AG$1),6)</f>
        <v>5.8501630000000002</v>
      </c>
      <c r="K232" s="242"/>
      <c r="L232" s="106">
        <f>ROUND((F232*J232),0)</f>
        <v>0</v>
      </c>
      <c r="M232" s="106"/>
      <c r="N232" s="175">
        <v>0</v>
      </c>
      <c r="O232" s="175"/>
      <c r="P232" s="106"/>
      <c r="Q232" s="106"/>
      <c r="R232" s="106">
        <f>L232+P232</f>
        <v>0</v>
      </c>
      <c r="S232" s="1"/>
      <c r="V232" s="228"/>
      <c r="Y232" s="304"/>
    </row>
    <row r="233" spans="1:46" x14ac:dyDescent="0.3">
      <c r="A233" s="268">
        <v>148</v>
      </c>
      <c r="C233" s="169" t="s">
        <v>577</v>
      </c>
      <c r="F233" s="112">
        <f>SUM(F113:F232)</f>
        <v>17</v>
      </c>
      <c r="G233" s="1"/>
      <c r="H233" s="172"/>
      <c r="I233" s="147"/>
      <c r="J233" s="228"/>
      <c r="K233" s="242"/>
      <c r="L233" s="112">
        <f>SUM(L113:L232)</f>
        <v>153</v>
      </c>
      <c r="M233" s="106"/>
      <c r="N233" s="193">
        <f>ROUND((L233/L$340)*100,1)</f>
        <v>0.7</v>
      </c>
      <c r="O233" s="175"/>
      <c r="P233" s="106"/>
      <c r="Q233" s="106"/>
      <c r="R233" s="112">
        <f>SUM(R113:R232)</f>
        <v>153</v>
      </c>
      <c r="S233" s="1"/>
      <c r="V233" s="228"/>
      <c r="Y233" s="304"/>
    </row>
    <row r="234" spans="1:46" x14ac:dyDescent="0.3">
      <c r="A234" s="282"/>
      <c r="B234" s="278"/>
      <c r="C234" s="116"/>
      <c r="D234" s="278"/>
      <c r="F234" s="172"/>
      <c r="G234" s="1"/>
      <c r="H234" s="172"/>
      <c r="I234" s="147"/>
      <c r="J234" s="228"/>
      <c r="K234" s="242"/>
      <c r="L234" s="106"/>
      <c r="M234" s="106"/>
      <c r="N234" s="175"/>
      <c r="O234" s="175"/>
      <c r="P234" s="106"/>
      <c r="Q234" s="106"/>
      <c r="R234" s="106"/>
      <c r="S234" s="1"/>
      <c r="V234" s="228"/>
      <c r="Y234" s="304"/>
    </row>
    <row r="235" spans="1:46" x14ac:dyDescent="0.3">
      <c r="A235" s="282">
        <f>A233+1</f>
        <v>149</v>
      </c>
      <c r="B235" s="278"/>
      <c r="C235" s="124" t="s">
        <v>660</v>
      </c>
      <c r="D235" s="278"/>
      <c r="F235" s="172"/>
      <c r="G235" s="1"/>
      <c r="H235" s="172"/>
      <c r="I235" s="147"/>
      <c r="J235" s="228"/>
      <c r="K235" s="242"/>
      <c r="L235" s="106"/>
      <c r="M235" s="106"/>
      <c r="N235" s="175"/>
      <c r="O235" s="175"/>
      <c r="P235" s="106"/>
      <c r="Q235" s="106"/>
      <c r="R235" s="106"/>
      <c r="S235" s="1"/>
      <c r="V235" s="228"/>
      <c r="Y235" s="304"/>
    </row>
    <row r="236" spans="1:46" x14ac:dyDescent="0.3">
      <c r="A236" s="282">
        <f>A235+1</f>
        <v>150</v>
      </c>
      <c r="C236" s="116" t="s">
        <v>662</v>
      </c>
      <c r="F236" s="172">
        <v>0</v>
      </c>
      <c r="G236" s="1"/>
      <c r="H236" s="172"/>
      <c r="I236" s="147"/>
      <c r="J236" s="228">
        <f>ROUND(AC588+(AC588*'Rate SL'!$AG$1),6)</f>
        <v>15.196713000000001</v>
      </c>
      <c r="K236" s="242"/>
      <c r="L236" s="106">
        <f>ROUND((F236*J236),0)</f>
        <v>0</v>
      </c>
      <c r="M236" s="106"/>
      <c r="N236" s="175">
        <v>0</v>
      </c>
      <c r="O236" s="175"/>
      <c r="P236" s="106"/>
      <c r="Q236" s="106"/>
      <c r="R236" s="106">
        <f t="shared" ref="R236:R248" si="26">L236+P236</f>
        <v>0</v>
      </c>
      <c r="S236" s="1"/>
      <c r="V236" s="228"/>
      <c r="Y236" s="304"/>
    </row>
    <row r="237" spans="1:46" x14ac:dyDescent="0.3">
      <c r="A237" s="282">
        <f t="shared" ref="A237:A249" si="27">A236+1</f>
        <v>151</v>
      </c>
      <c r="C237" s="116" t="s">
        <v>663</v>
      </c>
      <c r="F237" s="172">
        <v>0</v>
      </c>
      <c r="G237" s="1"/>
      <c r="H237" s="172"/>
      <c r="I237" s="147"/>
      <c r="J237" s="228">
        <f>ROUND(AC589+(AC589*'Rate SL'!$AG$1),6)</f>
        <v>14.031250999999999</v>
      </c>
      <c r="K237" s="242"/>
      <c r="L237" s="106">
        <f t="shared" ref="L237:L248" si="28">ROUND((F237*J237),0)</f>
        <v>0</v>
      </c>
      <c r="M237" s="106"/>
      <c r="N237" s="175">
        <v>0</v>
      </c>
      <c r="O237" s="175"/>
      <c r="P237" s="106"/>
      <c r="Q237" s="106"/>
      <c r="R237" s="106">
        <f t="shared" si="26"/>
        <v>0</v>
      </c>
      <c r="S237" s="1"/>
      <c r="V237" s="228"/>
      <c r="Y237" s="304"/>
    </row>
    <row r="238" spans="1:46" x14ac:dyDescent="0.3">
      <c r="A238" s="282">
        <f t="shared" si="27"/>
        <v>152</v>
      </c>
      <c r="C238" s="116" t="s">
        <v>664</v>
      </c>
      <c r="F238" s="172">
        <v>0</v>
      </c>
      <c r="G238" s="1"/>
      <c r="H238" s="172"/>
      <c r="I238" s="147"/>
      <c r="J238" s="228">
        <f>ROUND(AC590+(AC590*'Rate SL'!$AG$1),6)</f>
        <v>15.048173999999999</v>
      </c>
      <c r="K238" s="242"/>
      <c r="L238" s="106">
        <f t="shared" si="28"/>
        <v>0</v>
      </c>
      <c r="M238" s="106"/>
      <c r="N238" s="175">
        <v>0</v>
      </c>
      <c r="O238" s="175"/>
      <c r="P238" s="106"/>
      <c r="Q238" s="106"/>
      <c r="R238" s="106">
        <f t="shared" si="26"/>
        <v>0</v>
      </c>
      <c r="S238" s="1"/>
      <c r="V238" s="228"/>
      <c r="Y238" s="304"/>
    </row>
    <row r="239" spans="1:46" x14ac:dyDescent="0.3">
      <c r="A239" s="282">
        <f t="shared" si="27"/>
        <v>153</v>
      </c>
      <c r="C239" s="116" t="s">
        <v>665</v>
      </c>
      <c r="F239" s="172">
        <v>0</v>
      </c>
      <c r="G239" s="1"/>
      <c r="H239" s="172"/>
      <c r="I239" s="1"/>
      <c r="J239" s="228">
        <f>ROUND(AC591+(AC591*'Rate SL'!$AG$1),6)</f>
        <v>14.031250999999999</v>
      </c>
      <c r="K239" s="3"/>
      <c r="L239" s="106">
        <f t="shared" si="28"/>
        <v>0</v>
      </c>
      <c r="M239" s="1"/>
      <c r="N239" s="175">
        <v>0</v>
      </c>
      <c r="O239" s="1"/>
      <c r="P239" s="106"/>
      <c r="Q239" s="1"/>
      <c r="R239" s="106">
        <f t="shared" si="26"/>
        <v>0</v>
      </c>
      <c r="U239" s="97"/>
      <c r="V239" s="286"/>
      <c r="X239" s="97"/>
      <c r="Y239" s="304"/>
      <c r="Z239" s="97"/>
      <c r="AD239" s="97"/>
      <c r="AE239" s="97"/>
      <c r="AF239" s="97"/>
      <c r="AG239" s="149"/>
      <c r="AH239" s="97"/>
      <c r="AI239" s="97"/>
      <c r="AJ239" s="97"/>
      <c r="AK239" s="149"/>
      <c r="AL239" s="97"/>
      <c r="AM239" s="97"/>
      <c r="AT239" s="110"/>
    </row>
    <row r="240" spans="1:46" x14ac:dyDescent="0.3">
      <c r="A240" s="282">
        <f t="shared" si="27"/>
        <v>154</v>
      </c>
      <c r="C240" s="116" t="s">
        <v>666</v>
      </c>
      <c r="F240" s="172">
        <v>0</v>
      </c>
      <c r="G240" s="1"/>
      <c r="H240" s="172"/>
      <c r="I240" s="147"/>
      <c r="J240" s="228">
        <f>ROUND(AC592+(AC592*'Rate SL'!$AG$1),6)</f>
        <v>14.031250999999999</v>
      </c>
      <c r="K240" s="242"/>
      <c r="L240" s="106">
        <f t="shared" si="28"/>
        <v>0</v>
      </c>
      <c r="M240" s="106"/>
      <c r="N240" s="175">
        <v>0</v>
      </c>
      <c r="O240" s="175"/>
      <c r="P240" s="106"/>
      <c r="Q240" s="106"/>
      <c r="R240" s="106">
        <f t="shared" si="26"/>
        <v>0</v>
      </c>
      <c r="S240" s="1"/>
      <c r="U240" s="97"/>
      <c r="V240" s="228"/>
      <c r="X240" s="97"/>
      <c r="Y240" s="304"/>
      <c r="Z240" s="97"/>
      <c r="AD240" s="97"/>
      <c r="AE240" s="97"/>
      <c r="AF240" s="97"/>
      <c r="AG240" s="149"/>
      <c r="AH240" s="97"/>
      <c r="AI240" s="97"/>
      <c r="AJ240" s="97"/>
      <c r="AK240" s="149"/>
      <c r="AL240" s="97"/>
      <c r="AM240" s="97"/>
      <c r="AT240" s="172"/>
    </row>
    <row r="241" spans="1:46" x14ac:dyDescent="0.3">
      <c r="A241" s="282">
        <f t="shared" si="27"/>
        <v>155</v>
      </c>
      <c r="C241" s="116" t="s">
        <v>667</v>
      </c>
      <c r="F241" s="172">
        <v>0</v>
      </c>
      <c r="G241" s="1"/>
      <c r="H241" s="172"/>
      <c r="I241" s="147"/>
      <c r="J241" s="228">
        <f>ROUND(AC593+(AC593*'Rate SL'!$AG$1),6)</f>
        <v>14.031250999999999</v>
      </c>
      <c r="K241" s="242"/>
      <c r="L241" s="106">
        <f t="shared" si="28"/>
        <v>0</v>
      </c>
      <c r="M241" s="106"/>
      <c r="N241" s="175">
        <v>0</v>
      </c>
      <c r="O241" s="175"/>
      <c r="P241" s="106"/>
      <c r="Q241" s="106"/>
      <c r="R241" s="106">
        <f t="shared" si="26"/>
        <v>0</v>
      </c>
      <c r="S241" s="1"/>
      <c r="U241" s="97"/>
      <c r="V241" s="228"/>
      <c r="X241" s="97"/>
      <c r="Y241" s="304"/>
      <c r="Z241" s="97"/>
      <c r="AD241" s="97"/>
      <c r="AE241" s="97"/>
      <c r="AF241" s="97"/>
      <c r="AG241" s="149"/>
      <c r="AH241" s="97"/>
      <c r="AI241" s="97"/>
      <c r="AJ241" s="97"/>
      <c r="AK241" s="149"/>
      <c r="AL241" s="97"/>
      <c r="AM241" s="97"/>
      <c r="AT241" s="172"/>
    </row>
    <row r="242" spans="1:46" x14ac:dyDescent="0.3">
      <c r="A242" s="282">
        <f t="shared" si="27"/>
        <v>156</v>
      </c>
      <c r="C242" s="116" t="s">
        <v>668</v>
      </c>
      <c r="F242" s="172">
        <v>0</v>
      </c>
      <c r="G242" s="1"/>
      <c r="H242" s="172"/>
      <c r="I242" s="147"/>
      <c r="J242" s="228">
        <f>ROUND(AC594+(AC594*'Rate SL'!$AG$1),6)</f>
        <v>21.401084999999998</v>
      </c>
      <c r="K242" s="242"/>
      <c r="L242" s="106">
        <f t="shared" si="28"/>
        <v>0</v>
      </c>
      <c r="M242" s="106"/>
      <c r="N242" s="175">
        <v>0</v>
      </c>
      <c r="O242" s="175"/>
      <c r="P242" s="106"/>
      <c r="Q242" s="106"/>
      <c r="R242" s="106">
        <f t="shared" si="26"/>
        <v>0</v>
      </c>
      <c r="S242" s="1"/>
      <c r="U242" s="97"/>
      <c r="V242" s="228"/>
      <c r="W242" s="97"/>
      <c r="X242" s="97"/>
      <c r="Y242" s="304"/>
      <c r="Z242" s="97"/>
      <c r="AD242" s="97"/>
      <c r="AE242" s="97"/>
      <c r="AF242" s="97"/>
      <c r="AG242" s="149"/>
      <c r="AH242" s="97"/>
      <c r="AI242" s="97"/>
      <c r="AJ242" s="97"/>
      <c r="AK242" s="149"/>
      <c r="AL242" s="97"/>
      <c r="AM242" s="97"/>
      <c r="AT242" s="172"/>
    </row>
    <row r="243" spans="1:46" x14ac:dyDescent="0.3">
      <c r="A243" s="282">
        <f t="shared" si="27"/>
        <v>157</v>
      </c>
      <c r="C243" s="116" t="s">
        <v>669</v>
      </c>
      <c r="F243" s="172">
        <v>0</v>
      </c>
      <c r="G243" s="1"/>
      <c r="H243" s="172"/>
      <c r="I243" s="147"/>
      <c r="J243" s="228">
        <f>ROUND(AC595+(AC595*'Rate SL'!$AG$1),6)</f>
        <v>17.024889000000002</v>
      </c>
      <c r="K243" s="242"/>
      <c r="L243" s="106">
        <f t="shared" si="28"/>
        <v>0</v>
      </c>
      <c r="M243" s="106"/>
      <c r="N243" s="175">
        <v>0</v>
      </c>
      <c r="O243" s="175"/>
      <c r="P243" s="106"/>
      <c r="Q243" s="106"/>
      <c r="R243" s="106">
        <f t="shared" si="26"/>
        <v>0</v>
      </c>
      <c r="S243" s="1"/>
      <c r="U243" s="97"/>
      <c r="V243" s="228"/>
      <c r="W243" s="97"/>
      <c r="X243" s="97"/>
      <c r="Y243" s="304"/>
      <c r="Z243" s="97"/>
      <c r="AA243" s="172"/>
      <c r="AB243" s="97"/>
      <c r="AD243" s="97"/>
      <c r="AE243" s="97"/>
      <c r="AF243" s="97"/>
      <c r="AG243" s="149"/>
      <c r="AH243" s="97"/>
      <c r="AI243" s="97"/>
      <c r="AJ243" s="97"/>
      <c r="AK243" s="149"/>
      <c r="AL243" s="97"/>
      <c r="AM243" s="97"/>
      <c r="AT243" s="172"/>
    </row>
    <row r="244" spans="1:46" x14ac:dyDescent="0.3">
      <c r="A244" s="282">
        <f t="shared" si="27"/>
        <v>158</v>
      </c>
      <c r="C244" s="99" t="s">
        <v>670</v>
      </c>
      <c r="F244" s="172">
        <v>0</v>
      </c>
      <c r="G244" s="1"/>
      <c r="H244" s="106"/>
      <c r="I244" s="106"/>
      <c r="J244" s="228">
        <f>ROUND(AC596+(AC596*'Rate SL'!$AG$1),6)</f>
        <v>17.664750999999999</v>
      </c>
      <c r="K244" s="1"/>
      <c r="L244" s="106">
        <f t="shared" si="28"/>
        <v>0</v>
      </c>
      <c r="M244" s="106"/>
      <c r="N244" s="175">
        <v>0</v>
      </c>
      <c r="O244" s="138"/>
      <c r="P244" s="110"/>
      <c r="Q244" s="106"/>
      <c r="R244" s="106">
        <f t="shared" si="26"/>
        <v>0</v>
      </c>
      <c r="V244" s="102"/>
      <c r="W244" s="102"/>
      <c r="X244" s="102"/>
      <c r="Y244" s="102"/>
      <c r="Z244" s="102"/>
      <c r="AA244" s="106"/>
      <c r="AC244" s="102"/>
      <c r="AD244" s="102"/>
      <c r="AE244" s="102"/>
      <c r="AF244" s="102"/>
      <c r="AG244" s="151"/>
      <c r="AH244" s="102"/>
      <c r="AI244" s="102"/>
      <c r="AJ244" s="102"/>
      <c r="AK244" s="151"/>
      <c r="AL244" s="102"/>
      <c r="AM244" s="102"/>
      <c r="AN244" s="102"/>
      <c r="AO244" s="102"/>
      <c r="AP244" s="102"/>
      <c r="AR244" s="102"/>
      <c r="AS244" s="102"/>
    </row>
    <row r="245" spans="1:46" x14ac:dyDescent="0.3">
      <c r="A245" s="282">
        <f t="shared" si="27"/>
        <v>159</v>
      </c>
      <c r="C245" s="98" t="s">
        <v>671</v>
      </c>
      <c r="F245" s="172">
        <v>0</v>
      </c>
      <c r="G245" s="1"/>
      <c r="H245" s="106"/>
      <c r="I245" s="106"/>
      <c r="J245" s="228">
        <f>ROUND(AC597+(AC597*'Rate SL'!$AG$1),6)</f>
        <v>17.664750999999999</v>
      </c>
      <c r="K245" s="1"/>
      <c r="L245" s="106">
        <f t="shared" si="28"/>
        <v>0</v>
      </c>
      <c r="M245" s="106"/>
      <c r="N245" s="175">
        <v>0</v>
      </c>
      <c r="O245" s="138"/>
      <c r="P245" s="110"/>
      <c r="Q245" s="106"/>
      <c r="R245" s="106">
        <f t="shared" si="26"/>
        <v>0</v>
      </c>
      <c r="V245" s="102"/>
      <c r="W245" s="102"/>
      <c r="X245" s="102"/>
      <c r="Y245" s="102"/>
      <c r="Z245" s="102"/>
      <c r="AA245" s="106"/>
      <c r="AC245" s="102"/>
      <c r="AD245" s="102"/>
      <c r="AE245" s="102"/>
      <c r="AF245" s="102"/>
      <c r="AG245" s="151"/>
      <c r="AH245" s="102"/>
      <c r="AI245" s="102"/>
      <c r="AJ245" s="102"/>
      <c r="AK245" s="151"/>
      <c r="AL245" s="102"/>
      <c r="AM245" s="102"/>
      <c r="AN245" s="102"/>
      <c r="AO245" s="102"/>
      <c r="AP245" s="102"/>
      <c r="AR245" s="102"/>
      <c r="AS245" s="102"/>
    </row>
    <row r="246" spans="1:46" x14ac:dyDescent="0.3">
      <c r="A246" s="282">
        <f t="shared" si="27"/>
        <v>160</v>
      </c>
      <c r="C246" s="98" t="s">
        <v>672</v>
      </c>
      <c r="F246" s="172">
        <v>0</v>
      </c>
      <c r="G246" s="1"/>
      <c r="H246" s="106"/>
      <c r="I246" s="106"/>
      <c r="J246" s="228">
        <f>ROUND(AC598+(AC598*'Rate SL'!$AG$1),6)</f>
        <v>17.664750999999999</v>
      </c>
      <c r="K246" s="1"/>
      <c r="L246" s="106">
        <f t="shared" si="28"/>
        <v>0</v>
      </c>
      <c r="M246" s="106"/>
      <c r="N246" s="175">
        <v>0</v>
      </c>
      <c r="O246" s="138"/>
      <c r="P246" s="106"/>
      <c r="Q246" s="106"/>
      <c r="R246" s="106">
        <f t="shared" si="26"/>
        <v>0</v>
      </c>
      <c r="V246" s="102"/>
      <c r="W246" s="102"/>
      <c r="X246" s="102"/>
      <c r="Y246" s="102"/>
      <c r="Z246" s="102"/>
      <c r="AA246" s="106"/>
      <c r="AC246" s="102"/>
      <c r="AD246" s="102"/>
      <c r="AE246" s="102"/>
      <c r="AF246" s="102"/>
      <c r="AG246" s="151"/>
      <c r="AH246" s="102"/>
      <c r="AI246" s="102"/>
      <c r="AJ246" s="102"/>
      <c r="AK246" s="151"/>
      <c r="AL246" s="102"/>
      <c r="AM246" s="102"/>
      <c r="AN246" s="102"/>
      <c r="AO246" s="102"/>
      <c r="AP246" s="102"/>
      <c r="AR246" s="102"/>
      <c r="AS246" s="102"/>
    </row>
    <row r="247" spans="1:46" x14ac:dyDescent="0.3">
      <c r="A247" s="282">
        <f t="shared" si="27"/>
        <v>161</v>
      </c>
      <c r="C247" s="98" t="s">
        <v>673</v>
      </c>
      <c r="F247" s="172">
        <v>0</v>
      </c>
      <c r="G247" s="1"/>
      <c r="H247" s="106"/>
      <c r="I247" s="106"/>
      <c r="J247" s="228">
        <f>ROUND(AC599+(AC599*'Rate SL'!$AG$1),6)</f>
        <v>17.664750999999999</v>
      </c>
      <c r="K247" s="1"/>
      <c r="L247" s="106">
        <f t="shared" si="28"/>
        <v>0</v>
      </c>
      <c r="M247" s="106"/>
      <c r="N247" s="175">
        <v>0</v>
      </c>
      <c r="O247" s="138"/>
      <c r="P247" s="110"/>
      <c r="Q247" s="106"/>
      <c r="R247" s="106">
        <f t="shared" si="26"/>
        <v>0</v>
      </c>
      <c r="V247" s="102"/>
      <c r="W247" s="102"/>
      <c r="X247" s="102"/>
      <c r="Y247" s="102"/>
      <c r="Z247" s="102"/>
      <c r="AA247" s="106"/>
      <c r="AC247" s="102"/>
      <c r="AD247" s="102"/>
      <c r="AE247" s="102"/>
      <c r="AF247" s="102"/>
      <c r="AG247" s="151"/>
      <c r="AH247" s="102"/>
      <c r="AI247" s="102"/>
      <c r="AJ247" s="102"/>
      <c r="AK247" s="151"/>
      <c r="AL247" s="102"/>
      <c r="AM247" s="102"/>
      <c r="AN247" s="102"/>
      <c r="AO247" s="102"/>
      <c r="AP247" s="102"/>
      <c r="AR247" s="102"/>
      <c r="AS247" s="102"/>
    </row>
    <row r="248" spans="1:46" x14ac:dyDescent="0.3">
      <c r="A248" s="282">
        <f t="shared" si="27"/>
        <v>162</v>
      </c>
      <c r="C248" s="99" t="s">
        <v>674</v>
      </c>
      <c r="F248" s="172">
        <v>0</v>
      </c>
      <c r="G248" s="1"/>
      <c r="H248" s="106"/>
      <c r="I248" s="106"/>
      <c r="J248" s="228">
        <f>ROUND(AC600+(AC600*'Rate SL'!$AG$1),6)</f>
        <v>9.0951760000000004</v>
      </c>
      <c r="K248" s="1"/>
      <c r="L248" s="106">
        <f t="shared" si="28"/>
        <v>0</v>
      </c>
      <c r="M248" s="106"/>
      <c r="N248" s="175">
        <v>0</v>
      </c>
      <c r="O248" s="138"/>
      <c r="P248" s="110"/>
      <c r="Q248" s="106"/>
      <c r="R248" s="106">
        <f t="shared" si="26"/>
        <v>0</v>
      </c>
      <c r="V248" s="102"/>
      <c r="W248" s="102"/>
      <c r="X248" s="102"/>
      <c r="Y248" s="102"/>
      <c r="Z248" s="102"/>
      <c r="AA248" s="106"/>
      <c r="AC248" s="102"/>
      <c r="AD248" s="102"/>
      <c r="AE248" s="102"/>
      <c r="AF248" s="102"/>
      <c r="AG248" s="151"/>
      <c r="AH248" s="102"/>
      <c r="AI248" s="102"/>
      <c r="AJ248" s="102"/>
      <c r="AK248" s="151"/>
      <c r="AL248" s="102"/>
      <c r="AM248" s="102"/>
      <c r="AN248" s="102"/>
      <c r="AO248" s="102"/>
      <c r="AP248" s="102"/>
      <c r="AR248" s="102"/>
      <c r="AS248" s="102"/>
    </row>
    <row r="249" spans="1:46" ht="15.75" customHeight="1" x14ac:dyDescent="0.3">
      <c r="A249" s="282">
        <f t="shared" si="27"/>
        <v>163</v>
      </c>
      <c r="C249" s="169" t="s">
        <v>661</v>
      </c>
      <c r="F249" s="112">
        <f>SUM(F236:F248)</f>
        <v>0</v>
      </c>
      <c r="G249" s="1"/>
      <c r="H249" s="172"/>
      <c r="I249" s="147"/>
      <c r="J249" s="228"/>
      <c r="K249" s="242"/>
      <c r="L249" s="112">
        <f>SUM(L236:L248)</f>
        <v>0</v>
      </c>
      <c r="M249" s="106"/>
      <c r="N249" s="193">
        <f>ROUND((L249/L$340)*100,1)</f>
        <v>0</v>
      </c>
      <c r="O249" s="175"/>
      <c r="P249" s="106"/>
      <c r="Q249" s="106"/>
      <c r="R249" s="112">
        <f>SUM(R236:R248)</f>
        <v>0</v>
      </c>
      <c r="V249" s="99"/>
      <c r="Y249" s="265"/>
      <c r="AA249" s="106"/>
      <c r="AC249" s="110"/>
      <c r="AD249" s="110"/>
      <c r="AE249" s="181"/>
      <c r="AF249" s="181"/>
      <c r="AH249" s="110"/>
      <c r="AI249" s="141"/>
      <c r="AJ249" s="141"/>
      <c r="AL249" s="110"/>
      <c r="AM249" s="207"/>
      <c r="AN249" s="207"/>
      <c r="AO249" s="110"/>
      <c r="AP249" s="110"/>
      <c r="AR249" s="110"/>
      <c r="AS249" s="141"/>
    </row>
    <row r="250" spans="1:46" x14ac:dyDescent="0.3">
      <c r="C250" s="99"/>
      <c r="F250" s="106"/>
      <c r="G250" s="1"/>
      <c r="H250" s="106"/>
      <c r="I250" s="106"/>
      <c r="J250" s="1"/>
      <c r="K250" s="1"/>
      <c r="L250" s="106"/>
      <c r="M250" s="106"/>
      <c r="N250" s="175"/>
      <c r="O250" s="175"/>
      <c r="P250" s="106"/>
      <c r="Q250" s="106"/>
      <c r="R250" s="106"/>
      <c r="V250" s="99"/>
      <c r="AA250" s="106"/>
      <c r="AC250" s="110"/>
      <c r="AD250" s="110"/>
      <c r="AE250" s="181"/>
      <c r="AF250" s="181"/>
      <c r="AH250" s="110"/>
      <c r="AI250" s="141"/>
      <c r="AJ250" s="141"/>
      <c r="AL250" s="110"/>
      <c r="AM250" s="207"/>
      <c r="AN250" s="207"/>
      <c r="AO250" s="110"/>
      <c r="AP250" s="110"/>
      <c r="AR250" s="110"/>
      <c r="AS250" s="141"/>
    </row>
    <row r="251" spans="1:46" x14ac:dyDescent="0.3">
      <c r="A251" s="98">
        <v>164</v>
      </c>
      <c r="C251" s="124" t="s">
        <v>675</v>
      </c>
      <c r="AA251" s="106"/>
      <c r="AC251" s="110"/>
      <c r="AD251" s="110"/>
      <c r="AE251" s="198"/>
      <c r="AF251" s="198"/>
      <c r="AH251" s="110"/>
      <c r="AI251" s="141"/>
      <c r="AJ251" s="141"/>
      <c r="AL251" s="110"/>
      <c r="AM251" s="207"/>
      <c r="AN251" s="207"/>
      <c r="AO251" s="110"/>
      <c r="AP251" s="110"/>
      <c r="AR251" s="110"/>
      <c r="AS251" s="141"/>
    </row>
    <row r="252" spans="1:46" x14ac:dyDescent="0.3">
      <c r="A252" s="282">
        <v>165</v>
      </c>
      <c r="C252" s="116" t="s">
        <v>677</v>
      </c>
      <c r="F252" s="172">
        <v>0</v>
      </c>
      <c r="G252" s="1"/>
      <c r="H252" s="172"/>
      <c r="I252" s="147"/>
      <c r="J252" s="228">
        <f>ROUND(AC604+(AC604*'Rate SL'!$AG$1),6)</f>
        <v>2.2052369999999999</v>
      </c>
      <c r="K252" s="242"/>
      <c r="L252" s="106">
        <f>ROUND((F252*J252),0)</f>
        <v>0</v>
      </c>
      <c r="M252" s="106"/>
      <c r="N252" s="175">
        <v>0</v>
      </c>
      <c r="O252" s="175"/>
      <c r="P252" s="106"/>
      <c r="Q252" s="106"/>
      <c r="R252" s="106">
        <f>L252+P252</f>
        <v>0</v>
      </c>
      <c r="AA252" s="110"/>
      <c r="AC252" s="110"/>
      <c r="AD252" s="110"/>
      <c r="AE252" s="216"/>
      <c r="AF252" s="216"/>
      <c r="AH252" s="110"/>
      <c r="AI252" s="141"/>
      <c r="AJ252" s="141"/>
      <c r="AL252" s="110"/>
      <c r="AM252" s="207"/>
      <c r="AN252" s="207"/>
      <c r="AO252" s="110"/>
      <c r="AP252" s="110"/>
      <c r="AR252" s="110"/>
      <c r="AS252" s="141"/>
    </row>
    <row r="253" spans="1:46" x14ac:dyDescent="0.3">
      <c r="A253" s="282">
        <f t="shared" ref="A253:A264" si="29">A252+1</f>
        <v>166</v>
      </c>
      <c r="C253" s="116" t="s">
        <v>678</v>
      </c>
      <c r="F253" s="172">
        <v>8</v>
      </c>
      <c r="G253" s="1"/>
      <c r="H253" s="172"/>
      <c r="I253" s="147"/>
      <c r="J253" s="228">
        <f>ROUND(AC605+(AC605*'Rate SL'!$AG$1),6)</f>
        <v>2.468038</v>
      </c>
      <c r="K253" s="242"/>
      <c r="L253" s="106">
        <f t="shared" ref="L253:L313" si="30">ROUND((F253*J253),0)</f>
        <v>20</v>
      </c>
      <c r="M253" s="106"/>
      <c r="N253" s="175">
        <v>0</v>
      </c>
      <c r="O253" s="175"/>
      <c r="P253" s="106"/>
      <c r="Q253" s="106"/>
      <c r="R253" s="106">
        <f t="shared" ref="R253:R313" si="31">L253+P253</f>
        <v>20</v>
      </c>
      <c r="AA253" s="110"/>
      <c r="AC253" s="110"/>
      <c r="AD253" s="110"/>
      <c r="AE253" s="216"/>
      <c r="AF253" s="216"/>
      <c r="AH253" s="110"/>
      <c r="AI253" s="141"/>
      <c r="AJ253" s="141"/>
      <c r="AL253" s="110"/>
      <c r="AM253" s="207"/>
      <c r="AN253" s="207"/>
      <c r="AO253" s="110"/>
      <c r="AP253" s="110"/>
      <c r="AR253" s="110"/>
      <c r="AS253" s="141"/>
    </row>
    <row r="254" spans="1:46" x14ac:dyDescent="0.3">
      <c r="A254" s="282">
        <f t="shared" si="29"/>
        <v>167</v>
      </c>
      <c r="C254" s="116" t="s">
        <v>679</v>
      </c>
      <c r="F254" s="172">
        <v>0</v>
      </c>
      <c r="G254" s="1"/>
      <c r="H254" s="172"/>
      <c r="I254" s="147"/>
      <c r="J254" s="228">
        <f>ROUND(AC606+(AC606*'Rate SL'!$AG$1),6)</f>
        <v>2.4337589999999998</v>
      </c>
      <c r="K254" s="242"/>
      <c r="L254" s="106">
        <f t="shared" si="30"/>
        <v>0</v>
      </c>
      <c r="M254" s="106"/>
      <c r="N254" s="175">
        <v>0</v>
      </c>
      <c r="O254" s="175"/>
      <c r="P254" s="106"/>
      <c r="Q254" s="106"/>
      <c r="R254" s="106">
        <f t="shared" si="31"/>
        <v>0</v>
      </c>
      <c r="AA254" s="110"/>
      <c r="AC254" s="110"/>
      <c r="AD254" s="110"/>
      <c r="AE254" s="216"/>
      <c r="AF254" s="216"/>
      <c r="AH254" s="110"/>
      <c r="AI254" s="141"/>
      <c r="AJ254" s="141"/>
      <c r="AL254" s="110"/>
      <c r="AM254" s="207"/>
      <c r="AN254" s="207"/>
      <c r="AO254" s="110"/>
      <c r="AP254" s="110"/>
      <c r="AR254" s="110"/>
      <c r="AS254" s="141"/>
    </row>
    <row r="255" spans="1:46" x14ac:dyDescent="0.3">
      <c r="A255" s="282">
        <f t="shared" si="29"/>
        <v>168</v>
      </c>
      <c r="C255" s="116" t="s">
        <v>680</v>
      </c>
      <c r="F255" s="172">
        <v>5</v>
      </c>
      <c r="G255" s="1"/>
      <c r="H255" s="172"/>
      <c r="I255" s="147"/>
      <c r="J255" s="228">
        <f>ROUND(AC607+(AC607*'Rate SL'!$AG$1),6)</f>
        <v>3.3021430000000001</v>
      </c>
      <c r="K255" s="242"/>
      <c r="L255" s="106">
        <f t="shared" si="30"/>
        <v>17</v>
      </c>
      <c r="M255" s="106"/>
      <c r="N255" s="175">
        <v>0</v>
      </c>
      <c r="O255" s="175"/>
      <c r="P255" s="106"/>
      <c r="Q255" s="106"/>
      <c r="R255" s="106">
        <f t="shared" si="31"/>
        <v>17</v>
      </c>
      <c r="AA255" s="110"/>
      <c r="AC255" s="110"/>
      <c r="AD255" s="110"/>
      <c r="AE255" s="216"/>
      <c r="AF255" s="216"/>
      <c r="AH255" s="110"/>
      <c r="AI255" s="141"/>
      <c r="AJ255" s="141"/>
      <c r="AL255" s="110"/>
      <c r="AM255" s="207"/>
      <c r="AN255" s="207"/>
      <c r="AO255" s="110"/>
      <c r="AP255" s="110"/>
      <c r="AR255" s="110"/>
      <c r="AS255" s="141"/>
    </row>
    <row r="256" spans="1:46" x14ac:dyDescent="0.3">
      <c r="A256" s="282">
        <f t="shared" si="29"/>
        <v>169</v>
      </c>
      <c r="C256" s="116" t="s">
        <v>681</v>
      </c>
      <c r="F256" s="172">
        <v>0</v>
      </c>
      <c r="G256" s="1"/>
      <c r="H256" s="172"/>
      <c r="I256" s="147"/>
      <c r="J256" s="228">
        <f>ROUND(AC608+(AC608*'Rate SL'!$AG$1),6)</f>
        <v>5.4502499999999996</v>
      </c>
      <c r="K256" s="242"/>
      <c r="L256" s="106">
        <f t="shared" si="30"/>
        <v>0</v>
      </c>
      <c r="M256" s="106"/>
      <c r="N256" s="175">
        <v>0</v>
      </c>
      <c r="O256" s="175"/>
      <c r="P256" s="106"/>
      <c r="Q256" s="106"/>
      <c r="R256" s="106">
        <f t="shared" si="31"/>
        <v>0</v>
      </c>
      <c r="AA256" s="110"/>
      <c r="AC256" s="110"/>
      <c r="AD256" s="110"/>
      <c r="AE256" s="216"/>
      <c r="AF256" s="216"/>
      <c r="AH256" s="110"/>
      <c r="AI256" s="141"/>
      <c r="AJ256" s="141"/>
      <c r="AL256" s="110"/>
      <c r="AM256" s="207"/>
      <c r="AN256" s="207"/>
      <c r="AO256" s="110"/>
      <c r="AP256" s="110"/>
      <c r="AR256" s="110"/>
      <c r="AS256" s="141"/>
    </row>
    <row r="257" spans="1:45" x14ac:dyDescent="0.3">
      <c r="A257" s="282">
        <f t="shared" si="29"/>
        <v>170</v>
      </c>
      <c r="C257" s="116" t="s">
        <v>682</v>
      </c>
      <c r="F257" s="172">
        <v>0</v>
      </c>
      <c r="G257" s="1"/>
      <c r="H257" s="172"/>
      <c r="I257" s="147"/>
      <c r="J257" s="228">
        <f>ROUND(AC609+(AC609*'Rate SL'!$AG$1),6)</f>
        <v>4.9589270000000001</v>
      </c>
      <c r="K257" s="242"/>
      <c r="L257" s="106">
        <f t="shared" si="30"/>
        <v>0</v>
      </c>
      <c r="M257" s="106"/>
      <c r="N257" s="175">
        <v>0</v>
      </c>
      <c r="O257" s="175"/>
      <c r="P257" s="106"/>
      <c r="Q257" s="106"/>
      <c r="R257" s="106">
        <f t="shared" si="31"/>
        <v>0</v>
      </c>
      <c r="AA257" s="110"/>
      <c r="AC257" s="110"/>
      <c r="AD257" s="110"/>
      <c r="AE257" s="216"/>
      <c r="AF257" s="216"/>
      <c r="AH257" s="110"/>
      <c r="AI257" s="141"/>
      <c r="AJ257" s="141"/>
      <c r="AL257" s="110"/>
      <c r="AM257" s="207"/>
      <c r="AN257" s="207"/>
      <c r="AO257" s="110"/>
      <c r="AP257" s="110"/>
      <c r="AR257" s="110"/>
      <c r="AS257" s="141"/>
    </row>
    <row r="258" spans="1:45" x14ac:dyDescent="0.3">
      <c r="A258" s="282">
        <f t="shared" si="29"/>
        <v>171</v>
      </c>
      <c r="C258" s="116" t="s">
        <v>683</v>
      </c>
      <c r="F258" s="172">
        <v>5</v>
      </c>
      <c r="G258" s="1"/>
      <c r="H258" s="172"/>
      <c r="I258" s="147"/>
      <c r="J258" s="228">
        <f>ROUND(AC610+(AC610*'Rate SL'!$AG$1),6)</f>
        <v>5.7930330000000003</v>
      </c>
      <c r="K258" s="242"/>
      <c r="L258" s="106">
        <f t="shared" si="30"/>
        <v>29</v>
      </c>
      <c r="M258" s="106"/>
      <c r="N258" s="175">
        <v>0</v>
      </c>
      <c r="O258" s="175"/>
      <c r="P258" s="106"/>
      <c r="Q258" s="106"/>
      <c r="R258" s="106">
        <f t="shared" si="31"/>
        <v>29</v>
      </c>
      <c r="AA258" s="110"/>
      <c r="AC258" s="110"/>
      <c r="AD258" s="110"/>
      <c r="AE258" s="216"/>
      <c r="AF258" s="216"/>
      <c r="AH258" s="110"/>
      <c r="AI258" s="141"/>
      <c r="AJ258" s="141"/>
      <c r="AL258" s="110"/>
      <c r="AM258" s="207"/>
      <c r="AN258" s="207"/>
      <c r="AO258" s="110"/>
      <c r="AP258" s="110"/>
      <c r="AR258" s="110"/>
      <c r="AS258" s="141"/>
    </row>
    <row r="259" spans="1:45" x14ac:dyDescent="0.3">
      <c r="A259" s="282">
        <f t="shared" si="29"/>
        <v>172</v>
      </c>
      <c r="C259" s="116" t="s">
        <v>684</v>
      </c>
      <c r="F259" s="172">
        <v>0</v>
      </c>
      <c r="G259" s="1"/>
      <c r="H259" s="172"/>
      <c r="I259" s="147"/>
      <c r="J259" s="228">
        <f>ROUND(AC611+(AC611*'Rate SL'!$AG$1),6)</f>
        <v>5.8730149999999997</v>
      </c>
      <c r="K259" s="242"/>
      <c r="L259" s="106">
        <f t="shared" si="30"/>
        <v>0</v>
      </c>
      <c r="M259" s="106"/>
      <c r="N259" s="175">
        <v>0</v>
      </c>
      <c r="O259" s="175"/>
      <c r="P259" s="106"/>
      <c r="Q259" s="106"/>
      <c r="R259" s="106">
        <f t="shared" si="31"/>
        <v>0</v>
      </c>
      <c r="AA259" s="110"/>
      <c r="AC259" s="110"/>
      <c r="AD259" s="110"/>
      <c r="AE259" s="216"/>
      <c r="AF259" s="216"/>
      <c r="AH259" s="110"/>
      <c r="AI259" s="141"/>
      <c r="AJ259" s="141"/>
      <c r="AL259" s="110"/>
      <c r="AM259" s="207"/>
      <c r="AN259" s="207"/>
      <c r="AO259" s="110"/>
      <c r="AP259" s="110"/>
      <c r="AR259" s="110"/>
      <c r="AS259" s="141"/>
    </row>
    <row r="260" spans="1:45" x14ac:dyDescent="0.3">
      <c r="A260" s="282">
        <f t="shared" si="29"/>
        <v>173</v>
      </c>
      <c r="C260" s="116" t="s">
        <v>685</v>
      </c>
      <c r="F260" s="172">
        <v>0</v>
      </c>
      <c r="G260" s="1"/>
      <c r="H260" s="172"/>
      <c r="I260" s="106"/>
      <c r="J260" s="228">
        <f>ROUND(AC612+(AC612*'Rate SL'!$AG$1),6)</f>
        <v>5.952998</v>
      </c>
      <c r="K260" s="242"/>
      <c r="L260" s="106">
        <f t="shared" si="30"/>
        <v>0</v>
      </c>
      <c r="M260" s="106"/>
      <c r="N260" s="175">
        <v>0</v>
      </c>
      <c r="O260" s="175"/>
      <c r="P260" s="106"/>
      <c r="Q260" s="106"/>
      <c r="R260" s="106">
        <f t="shared" si="31"/>
        <v>0</v>
      </c>
      <c r="AA260" s="110"/>
      <c r="AC260" s="110"/>
      <c r="AD260" s="110"/>
      <c r="AE260" s="216"/>
      <c r="AF260" s="216"/>
      <c r="AH260" s="110"/>
      <c r="AI260" s="141"/>
      <c r="AJ260" s="141"/>
      <c r="AL260" s="110"/>
      <c r="AM260" s="207"/>
      <c r="AN260" s="207"/>
      <c r="AO260" s="110"/>
      <c r="AP260" s="110"/>
      <c r="AR260" s="110"/>
      <c r="AS260" s="141"/>
    </row>
    <row r="261" spans="1:45" x14ac:dyDescent="0.3">
      <c r="A261" s="282">
        <f t="shared" si="29"/>
        <v>174</v>
      </c>
      <c r="C261" s="116" t="s">
        <v>686</v>
      </c>
      <c r="D261" s="116"/>
      <c r="E261" s="99"/>
      <c r="F261" s="172">
        <v>0</v>
      </c>
      <c r="G261" s="1"/>
      <c r="H261" s="172"/>
      <c r="I261" s="1"/>
      <c r="J261" s="228">
        <f>ROUND(AC613+(AC613*'Rate SL'!$AG$1),6)</f>
        <v>7.3926869999999996</v>
      </c>
      <c r="K261" s="242"/>
      <c r="L261" s="106">
        <f t="shared" si="30"/>
        <v>0</v>
      </c>
      <c r="M261" s="106"/>
      <c r="N261" s="175">
        <v>0</v>
      </c>
      <c r="O261" s="175"/>
      <c r="P261" s="106"/>
      <c r="Q261" s="106"/>
      <c r="R261" s="106">
        <f t="shared" si="31"/>
        <v>0</v>
      </c>
      <c r="AA261" s="110"/>
      <c r="AC261" s="110"/>
      <c r="AD261" s="110"/>
      <c r="AE261" s="216"/>
      <c r="AF261" s="216"/>
      <c r="AH261" s="110"/>
      <c r="AI261" s="141"/>
      <c r="AJ261" s="141"/>
      <c r="AL261" s="110"/>
      <c r="AM261" s="207"/>
      <c r="AN261" s="207"/>
      <c r="AO261" s="110"/>
      <c r="AP261" s="110"/>
      <c r="AR261" s="110"/>
      <c r="AS261" s="141"/>
    </row>
    <row r="262" spans="1:45" x14ac:dyDescent="0.3">
      <c r="A262" s="282">
        <f t="shared" si="29"/>
        <v>175</v>
      </c>
      <c r="C262" s="116" t="s">
        <v>687</v>
      </c>
      <c r="F262" s="172">
        <v>0</v>
      </c>
      <c r="G262" s="1"/>
      <c r="H262" s="172"/>
      <c r="I262" s="1"/>
      <c r="J262" s="228">
        <f>ROUND(AC614+(AC614*'Rate SL'!$AG$1),6)</f>
        <v>7.7926000000000002</v>
      </c>
      <c r="K262" s="242"/>
      <c r="L262" s="106">
        <f t="shared" si="30"/>
        <v>0</v>
      </c>
      <c r="M262" s="106"/>
      <c r="N262" s="175">
        <v>0</v>
      </c>
      <c r="O262" s="175"/>
      <c r="P262" s="106"/>
      <c r="Q262" s="106"/>
      <c r="R262" s="106">
        <f t="shared" si="31"/>
        <v>0</v>
      </c>
      <c r="AA262" s="110"/>
      <c r="AC262" s="110"/>
      <c r="AD262" s="110"/>
      <c r="AE262" s="216"/>
      <c r="AF262" s="216"/>
      <c r="AH262" s="110"/>
      <c r="AI262" s="141"/>
      <c r="AJ262" s="141"/>
      <c r="AL262" s="110"/>
      <c r="AM262" s="207"/>
      <c r="AN262" s="207"/>
      <c r="AO262" s="110"/>
      <c r="AP262" s="110"/>
      <c r="AR262" s="110"/>
      <c r="AS262" s="141"/>
    </row>
    <row r="263" spans="1:45" x14ac:dyDescent="0.3">
      <c r="A263" s="282">
        <f t="shared" si="29"/>
        <v>176</v>
      </c>
      <c r="C263" s="116" t="s">
        <v>688</v>
      </c>
      <c r="F263" s="172">
        <v>0</v>
      </c>
      <c r="G263" s="1"/>
      <c r="H263" s="172"/>
      <c r="I263" s="1"/>
      <c r="J263" s="228">
        <f>ROUND(AC615+(AC615*'Rate SL'!$AG$1),6)</f>
        <v>7.1184599999999998</v>
      </c>
      <c r="K263" s="242"/>
      <c r="L263" s="106">
        <f t="shared" si="30"/>
        <v>0</v>
      </c>
      <c r="M263" s="106"/>
      <c r="N263" s="175">
        <v>0</v>
      </c>
      <c r="O263" s="175"/>
      <c r="P263" s="106"/>
      <c r="Q263" s="106"/>
      <c r="R263" s="106">
        <f t="shared" si="31"/>
        <v>0</v>
      </c>
      <c r="AA263" s="110"/>
      <c r="AC263" s="110"/>
      <c r="AD263" s="110"/>
      <c r="AE263" s="216"/>
      <c r="AF263" s="216"/>
      <c r="AH263" s="110"/>
      <c r="AI263" s="141"/>
      <c r="AJ263" s="141"/>
      <c r="AL263" s="110"/>
      <c r="AM263" s="207"/>
      <c r="AN263" s="207"/>
      <c r="AO263" s="110"/>
      <c r="AP263" s="110"/>
      <c r="AR263" s="110"/>
      <c r="AS263" s="141"/>
    </row>
    <row r="264" spans="1:45" x14ac:dyDescent="0.3">
      <c r="A264" s="282">
        <f t="shared" si="29"/>
        <v>177</v>
      </c>
      <c r="C264" s="116" t="s">
        <v>689</v>
      </c>
      <c r="F264" s="172">
        <v>0</v>
      </c>
      <c r="G264" s="1"/>
      <c r="H264" s="172"/>
      <c r="I264" s="147"/>
      <c r="J264" s="228">
        <f>ROUND(AC616+(AC616*'Rate SL'!$AG$1),6)</f>
        <v>8.5010180000000002</v>
      </c>
      <c r="K264" s="242"/>
      <c r="L264" s="106">
        <f t="shared" si="30"/>
        <v>0</v>
      </c>
      <c r="M264" s="106"/>
      <c r="N264" s="175">
        <v>0</v>
      </c>
      <c r="O264" s="175"/>
      <c r="P264" s="106"/>
      <c r="Q264" s="106"/>
      <c r="R264" s="106">
        <f t="shared" si="31"/>
        <v>0</v>
      </c>
      <c r="AA264" s="110"/>
      <c r="AC264" s="110"/>
      <c r="AD264" s="110"/>
      <c r="AE264" s="216"/>
      <c r="AF264" s="216"/>
      <c r="AH264" s="110"/>
      <c r="AI264" s="141"/>
      <c r="AJ264" s="141"/>
      <c r="AL264" s="110"/>
      <c r="AM264" s="207"/>
      <c r="AN264" s="207"/>
      <c r="AO264" s="110"/>
      <c r="AP264" s="110"/>
      <c r="AR264" s="110"/>
      <c r="AS264" s="141"/>
    </row>
    <row r="265" spans="1:45" x14ac:dyDescent="0.3">
      <c r="A265" s="282"/>
      <c r="C265" s="116"/>
      <c r="F265" s="172"/>
      <c r="G265" s="1"/>
      <c r="H265" s="172"/>
      <c r="I265" s="147"/>
      <c r="J265" s="228"/>
      <c r="K265" s="242"/>
      <c r="L265" s="106"/>
      <c r="M265" s="106"/>
      <c r="N265" s="175"/>
      <c r="O265" s="175"/>
      <c r="P265" s="106"/>
      <c r="Q265" s="106"/>
      <c r="R265" s="106"/>
      <c r="AA265" s="110"/>
      <c r="AC265" s="110"/>
      <c r="AD265" s="110"/>
      <c r="AE265" s="216"/>
      <c r="AF265" s="216"/>
      <c r="AH265" s="110"/>
      <c r="AI265" s="141"/>
      <c r="AJ265" s="141"/>
      <c r="AL265" s="110"/>
      <c r="AM265" s="207"/>
      <c r="AN265" s="207"/>
      <c r="AO265" s="110"/>
      <c r="AP265" s="110"/>
      <c r="AR265" s="110"/>
      <c r="AS265" s="141"/>
    </row>
    <row r="266" spans="1:45" x14ac:dyDescent="0.3">
      <c r="A266" s="178" t="s">
        <v>76</v>
      </c>
      <c r="B266" s="279"/>
      <c r="C266" s="279"/>
      <c r="D266" s="279"/>
      <c r="E266" s="279"/>
      <c r="F266" s="279"/>
      <c r="G266" s="279"/>
      <c r="H266" s="279"/>
      <c r="I266" s="279"/>
      <c r="J266" s="248"/>
      <c r="K266" s="279"/>
      <c r="L266" s="280"/>
      <c r="M266" s="279"/>
      <c r="N266" s="279"/>
      <c r="O266" s="279"/>
      <c r="P266" s="248"/>
      <c r="Q266" s="134"/>
      <c r="R266" s="134"/>
      <c r="AA266" s="110"/>
      <c r="AC266" s="110"/>
      <c r="AD266" s="110"/>
      <c r="AE266" s="216"/>
      <c r="AF266" s="216"/>
      <c r="AH266" s="110"/>
      <c r="AI266" s="141"/>
      <c r="AJ266" s="141"/>
      <c r="AL266" s="110"/>
      <c r="AM266" s="207"/>
      <c r="AN266" s="207"/>
      <c r="AO266" s="110"/>
      <c r="AP266" s="110"/>
      <c r="AR266" s="110"/>
      <c r="AS266" s="141"/>
    </row>
    <row r="267" spans="1:45" x14ac:dyDescent="0.3">
      <c r="A267" s="178" t="str">
        <f>"(1A) REFLECTS FUEL COST RECOVERY INCLUDED IN BASE RATES OF "&amp;TEXT(CUR_BASE_FUEL,"$0.000000;($0.000000)")&amp;"  PER KWH."</f>
        <v>(1A) REFLECTS FUEL COST RECOVERY INCLUDED IN BASE RATES OF $0.033780  PER KWH.</v>
      </c>
      <c r="B267" s="279"/>
      <c r="C267" s="279"/>
      <c r="D267" s="279"/>
      <c r="E267" s="279"/>
      <c r="F267" s="281"/>
      <c r="G267" s="279"/>
      <c r="H267" s="279"/>
      <c r="I267" s="279"/>
      <c r="J267" s="248"/>
      <c r="K267" s="279"/>
      <c r="L267" s="280"/>
      <c r="M267" s="279"/>
      <c r="N267" s="279"/>
      <c r="O267" s="279"/>
      <c r="P267" s="248"/>
      <c r="Q267" s="134"/>
      <c r="R267" s="134"/>
      <c r="AA267" s="110"/>
      <c r="AC267" s="110"/>
      <c r="AD267" s="110"/>
      <c r="AE267" s="216"/>
      <c r="AF267" s="216"/>
      <c r="AH267" s="110"/>
      <c r="AI267" s="141"/>
      <c r="AJ267" s="141"/>
      <c r="AL267" s="110"/>
      <c r="AM267" s="207"/>
      <c r="AN267" s="207"/>
      <c r="AO267" s="110"/>
      <c r="AP267" s="110"/>
      <c r="AR267" s="110"/>
      <c r="AS267" s="141"/>
    </row>
    <row r="268" spans="1:45" x14ac:dyDescent="0.3">
      <c r="A268" s="178" t="str">
        <f>"(2) REFLECTS FUEL COMPONENT OF "&amp;TEXT(CUR_FAC,"$0.000000;($0.000000)")&amp;"  PER KWH."</f>
        <v>(2) REFLECTS FUEL COMPONENT OF $0.003487  PER KWH.</v>
      </c>
      <c r="B268" s="279"/>
      <c r="C268" s="279"/>
      <c r="D268" s="279"/>
      <c r="E268" s="279"/>
      <c r="F268" s="281"/>
      <c r="G268" s="279"/>
      <c r="H268" s="279"/>
      <c r="I268" s="279"/>
      <c r="J268" s="248"/>
      <c r="K268" s="279"/>
      <c r="L268" s="280"/>
      <c r="M268" s="279"/>
      <c r="N268" s="279"/>
      <c r="O268" s="279"/>
      <c r="P268" s="248"/>
      <c r="Q268" s="134"/>
      <c r="R268" s="134"/>
      <c r="AA268" s="110"/>
      <c r="AC268" s="110"/>
      <c r="AD268" s="110"/>
      <c r="AE268" s="216"/>
      <c r="AF268" s="216"/>
      <c r="AH268" s="110"/>
      <c r="AI268" s="141"/>
      <c r="AJ268" s="141"/>
      <c r="AL268" s="110"/>
      <c r="AM268" s="207"/>
      <c r="AN268" s="207"/>
      <c r="AO268" s="110"/>
      <c r="AP268" s="110"/>
      <c r="AR268" s="110"/>
      <c r="AS268" s="141"/>
    </row>
    <row r="269" spans="1:45" x14ac:dyDescent="0.3">
      <c r="A269" s="248"/>
      <c r="B269" s="279"/>
      <c r="C269" s="279"/>
      <c r="D269" s="279"/>
      <c r="E269" s="279"/>
      <c r="F269" s="281"/>
      <c r="G269" s="279"/>
      <c r="H269" s="279"/>
      <c r="I269" s="279"/>
      <c r="J269" s="248"/>
      <c r="K269" s="279"/>
      <c r="L269" s="280"/>
      <c r="M269" s="279"/>
      <c r="N269" s="279"/>
      <c r="O269" s="279"/>
      <c r="P269" s="248"/>
      <c r="Q269" s="134"/>
      <c r="R269" s="134"/>
      <c r="AA269" s="110"/>
      <c r="AC269" s="110"/>
      <c r="AD269" s="110"/>
      <c r="AE269" s="216"/>
      <c r="AF269" s="216"/>
      <c r="AH269" s="110"/>
      <c r="AI269" s="141"/>
      <c r="AJ269" s="141"/>
      <c r="AL269" s="110"/>
      <c r="AM269" s="207"/>
      <c r="AN269" s="207"/>
      <c r="AO269" s="110"/>
      <c r="AP269" s="110"/>
      <c r="AR269" s="110"/>
      <c r="AS269" s="141"/>
    </row>
    <row r="270" spans="1:45" x14ac:dyDescent="0.3">
      <c r="A270" s="97" t="str">
        <f>NAME</f>
        <v>DUKE ENERGY KENTUCKY, INC.</v>
      </c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AA270" s="110"/>
      <c r="AC270" s="110"/>
      <c r="AD270" s="110"/>
      <c r="AE270" s="216"/>
      <c r="AF270" s="216"/>
      <c r="AH270" s="110"/>
      <c r="AI270" s="141"/>
      <c r="AJ270" s="141"/>
      <c r="AL270" s="110"/>
      <c r="AM270" s="207"/>
      <c r="AN270" s="207"/>
      <c r="AO270" s="110"/>
      <c r="AP270" s="110"/>
      <c r="AR270" s="110"/>
      <c r="AS270" s="141"/>
    </row>
    <row r="271" spans="1:45" x14ac:dyDescent="0.3">
      <c r="A271" s="97" t="str">
        <f>CASE_NO</f>
        <v>CASE NO.   2024-00354</v>
      </c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AA271" s="110"/>
      <c r="AC271" s="110"/>
      <c r="AD271" s="110"/>
      <c r="AE271" s="216"/>
      <c r="AF271" s="216"/>
      <c r="AH271" s="110"/>
      <c r="AI271" s="141"/>
      <c r="AJ271" s="141"/>
      <c r="AL271" s="110"/>
      <c r="AM271" s="207"/>
      <c r="AN271" s="207"/>
      <c r="AO271" s="110"/>
      <c r="AP271" s="110"/>
      <c r="AR271" s="110"/>
      <c r="AS271" s="141"/>
    </row>
    <row r="272" spans="1:45" x14ac:dyDescent="0.3">
      <c r="A272" s="97" t="str">
        <f>TITLE</f>
        <v>ANNUALIZED BASE YEAR REVENUES AT PROPOSED VS. MOST CURRENT RATES</v>
      </c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AA272" s="110"/>
      <c r="AC272" s="110"/>
      <c r="AD272" s="110"/>
      <c r="AE272" s="216"/>
      <c r="AF272" s="216"/>
      <c r="AH272" s="110"/>
      <c r="AI272" s="141"/>
      <c r="AJ272" s="141"/>
      <c r="AL272" s="110"/>
      <c r="AM272" s="207"/>
      <c r="AN272" s="207"/>
      <c r="AO272" s="110"/>
      <c r="AP272" s="110"/>
      <c r="AR272" s="110"/>
      <c r="AS272" s="141"/>
    </row>
    <row r="273" spans="1:45" x14ac:dyDescent="0.3">
      <c r="A273" s="97" t="str">
        <f>DATE</f>
        <v>FOR THE TWELVE MONTHS ENDED February 28, 2025</v>
      </c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AA273" s="110"/>
      <c r="AC273" s="110"/>
      <c r="AD273" s="110"/>
      <c r="AE273" s="216"/>
      <c r="AF273" s="216"/>
      <c r="AH273" s="110"/>
      <c r="AI273" s="141"/>
      <c r="AJ273" s="141"/>
      <c r="AL273" s="110"/>
      <c r="AM273" s="207"/>
      <c r="AN273" s="207"/>
      <c r="AO273" s="110"/>
      <c r="AP273" s="110"/>
      <c r="AR273" s="110"/>
      <c r="AS273" s="141"/>
    </row>
    <row r="274" spans="1:45" x14ac:dyDescent="0.3">
      <c r="A274" s="97" t="str">
        <f>SERVICE</f>
        <v>(ELECTRIC SERVICE)</v>
      </c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AA274" s="110"/>
      <c r="AC274" s="110"/>
      <c r="AD274" s="110"/>
      <c r="AE274" s="216"/>
      <c r="AF274" s="216"/>
      <c r="AH274" s="110"/>
      <c r="AI274" s="141"/>
      <c r="AJ274" s="141"/>
      <c r="AL274" s="110"/>
      <c r="AM274" s="207"/>
      <c r="AN274" s="207"/>
      <c r="AO274" s="110"/>
      <c r="AP274" s="110"/>
      <c r="AR274" s="110"/>
      <c r="AS274" s="141"/>
    </row>
    <row r="275" spans="1:45" x14ac:dyDescent="0.3">
      <c r="A275" s="98" t="str">
        <f>DATA_PERIOD</f>
        <v>DATA: __X__ BASE PERIOD   ____FORECASTED PERIOD</v>
      </c>
      <c r="R275" s="99" t="s">
        <v>156</v>
      </c>
      <c r="AA275" s="110"/>
      <c r="AC275" s="110"/>
      <c r="AD275" s="110"/>
      <c r="AE275" s="216"/>
      <c r="AF275" s="216"/>
      <c r="AH275" s="110"/>
      <c r="AI275" s="141"/>
      <c r="AJ275" s="141"/>
      <c r="AL275" s="110"/>
      <c r="AM275" s="207"/>
      <c r="AN275" s="207"/>
      <c r="AO275" s="110"/>
      <c r="AP275" s="110"/>
      <c r="AR275" s="110"/>
      <c r="AS275" s="141"/>
    </row>
    <row r="276" spans="1:45" x14ac:dyDescent="0.3">
      <c r="A276" s="98" t="str">
        <f>TYPE</f>
        <v>TYPE OF FILING: _X_ ORIGINAL   ___UPDATED  ___ REVISED</v>
      </c>
      <c r="R276" s="116" t="str">
        <f>"PAGE 24 OF "&amp;TEXT(Page_Num_2.3,"00")</f>
        <v>PAGE 24 OF 24</v>
      </c>
      <c r="AA276" s="110"/>
      <c r="AC276" s="110"/>
      <c r="AD276" s="110"/>
      <c r="AE276" s="216"/>
      <c r="AF276" s="216"/>
      <c r="AH276" s="110"/>
      <c r="AI276" s="141"/>
      <c r="AJ276" s="141"/>
      <c r="AL276" s="110"/>
      <c r="AM276" s="207"/>
      <c r="AN276" s="207"/>
      <c r="AO276" s="110"/>
      <c r="AP276" s="110"/>
      <c r="AR276" s="110"/>
      <c r="AS276" s="141"/>
    </row>
    <row r="277" spans="1:45" x14ac:dyDescent="0.3">
      <c r="A277" s="99" t="s">
        <v>170</v>
      </c>
      <c r="R277" s="99" t="s">
        <v>3</v>
      </c>
      <c r="AA277" s="110"/>
      <c r="AC277" s="110"/>
      <c r="AD277" s="110"/>
      <c r="AE277" s="216"/>
      <c r="AF277" s="216"/>
      <c r="AH277" s="110"/>
      <c r="AI277" s="141"/>
      <c r="AJ277" s="141"/>
      <c r="AL277" s="110"/>
      <c r="AM277" s="207"/>
      <c r="AN277" s="207"/>
      <c r="AO277" s="110"/>
      <c r="AP277" s="110"/>
      <c r="AR277" s="110"/>
      <c r="AS277" s="141"/>
    </row>
    <row r="278" spans="1:45" x14ac:dyDescent="0.3">
      <c r="A278" s="134" t="str">
        <f>TIME</f>
        <v>6 Months Actual and 6 Months Projected with Riders</v>
      </c>
      <c r="M278" s="99"/>
      <c r="R278" s="98" t="str">
        <f>WIT</f>
        <v>B. L. Sailers</v>
      </c>
      <c r="AA278" s="110"/>
      <c r="AC278" s="110"/>
      <c r="AD278" s="110"/>
      <c r="AE278" s="216"/>
      <c r="AF278" s="216"/>
      <c r="AH278" s="110"/>
      <c r="AI278" s="141"/>
      <c r="AJ278" s="141"/>
      <c r="AL278" s="110"/>
      <c r="AM278" s="207"/>
      <c r="AN278" s="207"/>
      <c r="AO278" s="110"/>
      <c r="AP278" s="110"/>
      <c r="AR278" s="110"/>
      <c r="AS278" s="141"/>
    </row>
    <row r="279" spans="1:45" x14ac:dyDescent="0.3">
      <c r="A279" s="97" t="s">
        <v>129</v>
      </c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AA279" s="110"/>
      <c r="AC279" s="110"/>
      <c r="AD279" s="110"/>
      <c r="AE279" s="216"/>
      <c r="AF279" s="216"/>
      <c r="AH279" s="110"/>
      <c r="AI279" s="141"/>
      <c r="AJ279" s="141"/>
      <c r="AL279" s="110"/>
      <c r="AM279" s="207"/>
      <c r="AN279" s="207"/>
      <c r="AO279" s="110"/>
      <c r="AP279" s="110"/>
      <c r="AR279" s="110"/>
      <c r="AS279" s="141"/>
    </row>
    <row r="280" spans="1:45" x14ac:dyDescent="0.3">
      <c r="A280" s="101"/>
      <c r="B280" s="101"/>
      <c r="C280" s="101"/>
      <c r="D280" s="101"/>
      <c r="E280" s="101"/>
      <c r="G280" s="101"/>
      <c r="H280" s="101"/>
      <c r="I280" s="101"/>
      <c r="J280" s="101"/>
      <c r="K280" s="101"/>
      <c r="L280" s="100"/>
      <c r="M280" s="100"/>
      <c r="N280" s="100"/>
      <c r="O280" s="100"/>
      <c r="P280" s="100"/>
      <c r="Q280" s="100"/>
      <c r="R280" s="100"/>
      <c r="AA280" s="110"/>
      <c r="AC280" s="110"/>
      <c r="AD280" s="110"/>
      <c r="AE280" s="216"/>
      <c r="AF280" s="216"/>
      <c r="AH280" s="110"/>
      <c r="AI280" s="141"/>
      <c r="AJ280" s="141"/>
      <c r="AL280" s="110"/>
      <c r="AM280" s="207"/>
      <c r="AN280" s="207"/>
      <c r="AO280" s="110"/>
      <c r="AP280" s="110"/>
      <c r="AR280" s="110"/>
      <c r="AS280" s="141"/>
    </row>
    <row r="281" spans="1:45" x14ac:dyDescent="0.3">
      <c r="A281" s="174"/>
      <c r="B281" s="174"/>
      <c r="C281" s="174"/>
      <c r="D281" s="174"/>
      <c r="E281" s="174"/>
      <c r="F281" s="174"/>
      <c r="G281" s="174"/>
      <c r="H281" s="174"/>
      <c r="I281" s="174"/>
      <c r="J281" s="174"/>
      <c r="K281" s="174"/>
      <c r="L281" s="102" t="s">
        <v>6</v>
      </c>
      <c r="M281" s="102"/>
      <c r="N281" s="102" t="s">
        <v>7</v>
      </c>
      <c r="O281" s="102"/>
      <c r="R281" s="102" t="s">
        <v>6</v>
      </c>
      <c r="AA281" s="110"/>
      <c r="AC281" s="110"/>
      <c r="AD281" s="110"/>
      <c r="AE281" s="216"/>
      <c r="AF281" s="216"/>
      <c r="AH281" s="110"/>
      <c r="AI281" s="141"/>
      <c r="AJ281" s="141"/>
      <c r="AL281" s="110"/>
      <c r="AM281" s="207"/>
      <c r="AN281" s="207"/>
      <c r="AO281" s="110"/>
      <c r="AP281" s="110"/>
      <c r="AR281" s="110"/>
      <c r="AS281" s="141"/>
    </row>
    <row r="282" spans="1:45" x14ac:dyDescent="0.3">
      <c r="L282" s="102" t="s">
        <v>12</v>
      </c>
      <c r="M282" s="102"/>
      <c r="N282" s="102" t="s">
        <v>13</v>
      </c>
      <c r="O282" s="102"/>
      <c r="R282" s="102" t="s">
        <v>11</v>
      </c>
      <c r="AA282" s="110"/>
      <c r="AC282" s="110"/>
      <c r="AD282" s="110"/>
      <c r="AE282" s="216"/>
      <c r="AF282" s="216"/>
      <c r="AH282" s="110"/>
      <c r="AI282" s="141"/>
      <c r="AJ282" s="141"/>
      <c r="AL282" s="110"/>
      <c r="AM282" s="207"/>
      <c r="AN282" s="207"/>
      <c r="AO282" s="110"/>
      <c r="AP282" s="110"/>
      <c r="AR282" s="110"/>
      <c r="AS282" s="141"/>
    </row>
    <row r="283" spans="1:45" x14ac:dyDescent="0.3">
      <c r="A283" s="102" t="s">
        <v>17</v>
      </c>
      <c r="C283" s="102" t="s">
        <v>18</v>
      </c>
      <c r="D283" s="102" t="s">
        <v>19</v>
      </c>
      <c r="E283" s="102"/>
      <c r="F283" s="102" t="s">
        <v>20</v>
      </c>
      <c r="J283" s="102" t="s">
        <v>6</v>
      </c>
      <c r="K283" s="102"/>
      <c r="L283" s="102" t="s">
        <v>593</v>
      </c>
      <c r="M283" s="102"/>
      <c r="N283" s="102" t="s">
        <v>593</v>
      </c>
      <c r="O283" s="102"/>
      <c r="P283" s="102" t="s">
        <v>593</v>
      </c>
      <c r="Q283" s="102"/>
      <c r="R283" s="102" t="s">
        <v>9</v>
      </c>
      <c r="AA283" s="110"/>
      <c r="AC283" s="110"/>
      <c r="AD283" s="110"/>
      <c r="AE283" s="216"/>
      <c r="AF283" s="216"/>
      <c r="AH283" s="110"/>
      <c r="AI283" s="141"/>
      <c r="AJ283" s="141"/>
      <c r="AL283" s="110"/>
      <c r="AM283" s="207"/>
      <c r="AN283" s="207"/>
      <c r="AO283" s="110"/>
      <c r="AP283" s="110"/>
      <c r="AR283" s="110"/>
      <c r="AS283" s="141"/>
    </row>
    <row r="284" spans="1:45" x14ac:dyDescent="0.3">
      <c r="A284" s="102" t="s">
        <v>22</v>
      </c>
      <c r="C284" s="102" t="s">
        <v>23</v>
      </c>
      <c r="D284" s="102" t="s">
        <v>24</v>
      </c>
      <c r="E284" s="102"/>
      <c r="F284" s="102" t="s">
        <v>25</v>
      </c>
      <c r="H284" s="102" t="s">
        <v>26</v>
      </c>
      <c r="I284" s="102"/>
      <c r="J284" s="103" t="s">
        <v>325</v>
      </c>
      <c r="K284" s="102"/>
      <c r="L284" s="102" t="s">
        <v>9</v>
      </c>
      <c r="M284" s="102"/>
      <c r="N284" s="102" t="s">
        <v>9</v>
      </c>
      <c r="O284" s="102"/>
      <c r="P284" s="102" t="s">
        <v>323</v>
      </c>
      <c r="Q284" s="102"/>
      <c r="R284" s="131" t="s">
        <v>28</v>
      </c>
      <c r="AA284" s="110"/>
      <c r="AC284" s="110"/>
      <c r="AD284" s="110"/>
      <c r="AE284" s="216"/>
      <c r="AF284" s="216"/>
      <c r="AH284" s="110"/>
      <c r="AI284" s="141"/>
      <c r="AJ284" s="141"/>
      <c r="AL284" s="110"/>
      <c r="AM284" s="207"/>
      <c r="AN284" s="207"/>
      <c r="AO284" s="110"/>
      <c r="AP284" s="110"/>
      <c r="AR284" s="110"/>
      <c r="AS284" s="141"/>
    </row>
    <row r="285" spans="1:45" x14ac:dyDescent="0.3">
      <c r="C285" s="131" t="s">
        <v>33</v>
      </c>
      <c r="D285" s="131" t="s">
        <v>34</v>
      </c>
      <c r="E285" s="131"/>
      <c r="F285" s="131" t="s">
        <v>35</v>
      </c>
      <c r="G285" s="134"/>
      <c r="H285" s="131" t="s">
        <v>36</v>
      </c>
      <c r="I285" s="131"/>
      <c r="J285" s="131" t="s">
        <v>37</v>
      </c>
      <c r="K285" s="131"/>
      <c r="L285" s="131" t="s">
        <v>38</v>
      </c>
      <c r="M285" s="131"/>
      <c r="N285" s="131" t="s">
        <v>39</v>
      </c>
      <c r="O285" s="131"/>
      <c r="P285" s="131" t="s">
        <v>40</v>
      </c>
      <c r="Q285" s="131"/>
      <c r="R285" s="131" t="s">
        <v>41</v>
      </c>
      <c r="AA285" s="110"/>
      <c r="AC285" s="110"/>
      <c r="AD285" s="110"/>
      <c r="AE285" s="216"/>
      <c r="AF285" s="216"/>
      <c r="AH285" s="110"/>
      <c r="AI285" s="141"/>
      <c r="AJ285" s="141"/>
      <c r="AL285" s="110"/>
      <c r="AM285" s="207"/>
      <c r="AN285" s="207"/>
      <c r="AO285" s="110"/>
      <c r="AP285" s="110"/>
      <c r="AR285" s="110"/>
      <c r="AS285" s="141"/>
    </row>
    <row r="286" spans="1:45" x14ac:dyDescent="0.3">
      <c r="A286" s="174"/>
      <c r="B286" s="174"/>
      <c r="C286" s="174"/>
      <c r="D286" s="174"/>
      <c r="E286" s="174"/>
      <c r="F286" s="174"/>
      <c r="G286" s="174"/>
      <c r="H286" s="258" t="s">
        <v>49</v>
      </c>
      <c r="I286" s="258"/>
      <c r="J286" s="257" t="s">
        <v>69</v>
      </c>
      <c r="K286" s="258"/>
      <c r="L286" s="258" t="s">
        <v>50</v>
      </c>
      <c r="M286" s="258"/>
      <c r="N286" s="258" t="s">
        <v>51</v>
      </c>
      <c r="O286" s="258"/>
      <c r="P286" s="258" t="s">
        <v>50</v>
      </c>
      <c r="Q286" s="258"/>
      <c r="R286" s="258" t="s">
        <v>50</v>
      </c>
      <c r="AA286" s="110"/>
      <c r="AC286" s="110"/>
      <c r="AD286" s="110"/>
      <c r="AE286" s="216"/>
      <c r="AF286" s="216"/>
      <c r="AH286" s="110"/>
      <c r="AI286" s="141"/>
      <c r="AJ286" s="141"/>
      <c r="AL286" s="110"/>
      <c r="AM286" s="207"/>
      <c r="AN286" s="207"/>
      <c r="AO286" s="110"/>
      <c r="AP286" s="110"/>
      <c r="AR286" s="110"/>
      <c r="AS286" s="141"/>
    </row>
    <row r="287" spans="1:45" x14ac:dyDescent="0.3">
      <c r="A287" s="282">
        <v>178</v>
      </c>
      <c r="C287" s="124" t="s">
        <v>551</v>
      </c>
      <c r="D287" s="169" t="s">
        <v>570</v>
      </c>
      <c r="E287" s="99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AA287" s="110"/>
      <c r="AC287" s="110"/>
      <c r="AD287" s="110"/>
      <c r="AE287" s="216"/>
      <c r="AF287" s="216"/>
      <c r="AH287" s="110"/>
      <c r="AI287" s="141"/>
      <c r="AJ287" s="141"/>
      <c r="AL287" s="110"/>
      <c r="AM287" s="207"/>
      <c r="AN287" s="207"/>
      <c r="AO287" s="110"/>
      <c r="AP287" s="110"/>
      <c r="AR287" s="110"/>
      <c r="AS287" s="141"/>
    </row>
    <row r="288" spans="1:45" x14ac:dyDescent="0.3">
      <c r="A288" s="282">
        <f>A287+1</f>
        <v>179</v>
      </c>
      <c r="C288" s="169" t="s">
        <v>852</v>
      </c>
      <c r="D288" s="116"/>
      <c r="E288" s="99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AA288" s="110"/>
      <c r="AC288" s="110"/>
      <c r="AD288" s="110"/>
      <c r="AE288" s="216"/>
      <c r="AF288" s="216"/>
      <c r="AH288" s="110"/>
      <c r="AI288" s="141"/>
      <c r="AJ288" s="141"/>
      <c r="AL288" s="110"/>
      <c r="AM288" s="207"/>
      <c r="AN288" s="207"/>
      <c r="AO288" s="110"/>
      <c r="AP288" s="110"/>
      <c r="AR288" s="110"/>
      <c r="AS288" s="141"/>
    </row>
    <row r="289" spans="1:45" x14ac:dyDescent="0.3">
      <c r="A289" s="282">
        <f t="shared" ref="A289:A314" si="32">A288+1</f>
        <v>180</v>
      </c>
      <c r="C289" s="116" t="s">
        <v>690</v>
      </c>
      <c r="F289" s="172">
        <v>0</v>
      </c>
      <c r="G289" s="1"/>
      <c r="H289" s="172"/>
      <c r="I289" s="147"/>
      <c r="J289" s="228">
        <f>ROUND(AC641+(AC641*'Rate SL'!$AG$1),6)</f>
        <v>2.3652030000000002</v>
      </c>
      <c r="K289" s="242"/>
      <c r="L289" s="106">
        <f t="shared" si="30"/>
        <v>0</v>
      </c>
      <c r="M289" s="106"/>
      <c r="N289" s="175">
        <v>0</v>
      </c>
      <c r="O289" s="175"/>
      <c r="P289" s="106"/>
      <c r="Q289" s="106"/>
      <c r="R289" s="106">
        <f t="shared" si="31"/>
        <v>0</v>
      </c>
      <c r="AA289" s="110"/>
      <c r="AC289" s="110"/>
      <c r="AD289" s="110"/>
      <c r="AE289" s="216"/>
      <c r="AF289" s="216"/>
      <c r="AH289" s="110"/>
      <c r="AI289" s="141"/>
      <c r="AJ289" s="141"/>
      <c r="AL289" s="110"/>
      <c r="AM289" s="207"/>
      <c r="AN289" s="207"/>
      <c r="AO289" s="110"/>
      <c r="AP289" s="110"/>
      <c r="AR289" s="110"/>
      <c r="AS289" s="141"/>
    </row>
    <row r="290" spans="1:45" x14ac:dyDescent="0.3">
      <c r="A290" s="282">
        <f t="shared" si="32"/>
        <v>181</v>
      </c>
      <c r="C290" s="116" t="s">
        <v>691</v>
      </c>
      <c r="F290" s="172">
        <v>0</v>
      </c>
      <c r="G290" s="1"/>
      <c r="H290" s="172"/>
      <c r="I290" s="147"/>
      <c r="J290" s="228">
        <f>ROUND(AC642+(AC642*'Rate SL'!$AG$1),6)</f>
        <v>2.502316</v>
      </c>
      <c r="K290" s="242"/>
      <c r="L290" s="106">
        <f t="shared" si="30"/>
        <v>0</v>
      </c>
      <c r="M290" s="106"/>
      <c r="N290" s="175">
        <v>0</v>
      </c>
      <c r="O290" s="175"/>
      <c r="P290" s="106"/>
      <c r="Q290" s="106"/>
      <c r="R290" s="106">
        <f t="shared" si="31"/>
        <v>0</v>
      </c>
      <c r="AA290" s="110"/>
      <c r="AC290" s="110"/>
      <c r="AD290" s="110"/>
      <c r="AE290" s="216"/>
      <c r="AF290" s="216"/>
      <c r="AH290" s="110"/>
      <c r="AI290" s="141"/>
      <c r="AJ290" s="141"/>
      <c r="AL290" s="110"/>
      <c r="AM290" s="207"/>
      <c r="AN290" s="207"/>
      <c r="AO290" s="110"/>
      <c r="AP290" s="110"/>
      <c r="AR290" s="110"/>
      <c r="AS290" s="141"/>
    </row>
    <row r="291" spans="1:45" x14ac:dyDescent="0.3">
      <c r="A291" s="282">
        <f t="shared" si="32"/>
        <v>182</v>
      </c>
      <c r="C291" s="116" t="s">
        <v>692</v>
      </c>
      <c r="F291" s="172">
        <v>0</v>
      </c>
      <c r="G291" s="1"/>
      <c r="H291" s="172"/>
      <c r="I291" s="147"/>
      <c r="J291" s="228">
        <f>ROUND(AC643+(AC643*'Rate SL'!$AG$1),6)</f>
        <v>2.707986</v>
      </c>
      <c r="K291" s="242"/>
      <c r="L291" s="106">
        <f t="shared" si="30"/>
        <v>0</v>
      </c>
      <c r="M291" s="106"/>
      <c r="N291" s="175">
        <v>0</v>
      </c>
      <c r="O291" s="175"/>
      <c r="P291" s="106"/>
      <c r="Q291" s="106"/>
      <c r="R291" s="106">
        <f t="shared" si="31"/>
        <v>0</v>
      </c>
      <c r="AA291" s="110"/>
      <c r="AC291" s="110"/>
      <c r="AD291" s="110"/>
      <c r="AE291" s="216"/>
      <c r="AF291" s="216"/>
      <c r="AH291" s="110"/>
      <c r="AI291" s="141"/>
      <c r="AJ291" s="141"/>
      <c r="AL291" s="110"/>
      <c r="AM291" s="207"/>
      <c r="AN291" s="207"/>
      <c r="AO291" s="110"/>
      <c r="AP291" s="110"/>
      <c r="AR291" s="110"/>
      <c r="AS291" s="141"/>
    </row>
    <row r="292" spans="1:45" x14ac:dyDescent="0.3">
      <c r="A292" s="282">
        <f t="shared" si="32"/>
        <v>183</v>
      </c>
      <c r="C292" s="116" t="s">
        <v>693</v>
      </c>
      <c r="F292" s="172">
        <v>0</v>
      </c>
      <c r="G292" s="1"/>
      <c r="H292" s="172"/>
      <c r="I292" s="147"/>
      <c r="J292" s="228">
        <f>ROUND(AC644+(AC644*'Rate SL'!$AG$1),6)</f>
        <v>2.8793769999999999</v>
      </c>
      <c r="K292" s="242"/>
      <c r="L292" s="106">
        <f t="shared" si="30"/>
        <v>0</v>
      </c>
      <c r="M292" s="106"/>
      <c r="N292" s="175">
        <v>0</v>
      </c>
      <c r="O292" s="175"/>
      <c r="P292" s="106"/>
      <c r="Q292" s="106"/>
      <c r="R292" s="106">
        <f t="shared" si="31"/>
        <v>0</v>
      </c>
      <c r="AA292" s="110"/>
      <c r="AC292" s="110"/>
      <c r="AD292" s="110"/>
      <c r="AE292" s="216"/>
      <c r="AF292" s="216"/>
      <c r="AH292" s="110"/>
      <c r="AI292" s="141"/>
      <c r="AJ292" s="141"/>
      <c r="AL292" s="110"/>
      <c r="AM292" s="207"/>
      <c r="AN292" s="207"/>
      <c r="AO292" s="110"/>
      <c r="AP292" s="110"/>
      <c r="AR292" s="110"/>
      <c r="AS292" s="141"/>
    </row>
    <row r="293" spans="1:45" x14ac:dyDescent="0.3">
      <c r="A293" s="282">
        <f t="shared" si="32"/>
        <v>184</v>
      </c>
      <c r="C293" s="116" t="s">
        <v>694</v>
      </c>
      <c r="F293" s="172">
        <v>0</v>
      </c>
      <c r="G293" s="1"/>
      <c r="H293" s="172"/>
      <c r="I293" s="147"/>
      <c r="J293" s="228">
        <f>ROUND(AC645+(AC645*'Rate SL'!$AG$1),6)</f>
        <v>3.005064</v>
      </c>
      <c r="K293" s="242"/>
      <c r="L293" s="106">
        <f t="shared" si="30"/>
        <v>0</v>
      </c>
      <c r="M293" s="106"/>
      <c r="N293" s="175">
        <v>0</v>
      </c>
      <c r="O293" s="175"/>
      <c r="P293" s="106"/>
      <c r="Q293" s="106"/>
      <c r="R293" s="106">
        <f t="shared" si="31"/>
        <v>0</v>
      </c>
      <c r="AA293" s="110"/>
      <c r="AC293" s="110"/>
      <c r="AD293" s="110"/>
      <c r="AE293" s="216"/>
      <c r="AF293" s="216"/>
      <c r="AH293" s="110"/>
      <c r="AI293" s="141"/>
      <c r="AJ293" s="141"/>
      <c r="AL293" s="110"/>
      <c r="AM293" s="207"/>
      <c r="AN293" s="207"/>
      <c r="AO293" s="110"/>
      <c r="AP293" s="110"/>
      <c r="AR293" s="110"/>
      <c r="AS293" s="141"/>
    </row>
    <row r="294" spans="1:45" x14ac:dyDescent="0.3">
      <c r="A294" s="282">
        <f t="shared" si="32"/>
        <v>185</v>
      </c>
      <c r="C294" s="116" t="s">
        <v>695</v>
      </c>
      <c r="F294" s="172">
        <v>0</v>
      </c>
      <c r="G294" s="1"/>
      <c r="H294" s="172"/>
      <c r="I294" s="147"/>
      <c r="J294" s="228">
        <f>ROUND(AC646+(AC646*'Rate SL'!$AG$1),6)</f>
        <v>5.5645110000000004</v>
      </c>
      <c r="K294" s="242"/>
      <c r="L294" s="106">
        <f t="shared" si="30"/>
        <v>0</v>
      </c>
      <c r="M294" s="106"/>
      <c r="N294" s="175">
        <v>0</v>
      </c>
      <c r="O294" s="175"/>
      <c r="P294" s="106"/>
      <c r="Q294" s="106"/>
      <c r="R294" s="106">
        <f t="shared" si="31"/>
        <v>0</v>
      </c>
      <c r="AA294" s="110"/>
      <c r="AC294" s="110"/>
      <c r="AD294" s="110"/>
      <c r="AE294" s="216"/>
      <c r="AF294" s="216"/>
      <c r="AH294" s="110"/>
      <c r="AI294" s="141"/>
      <c r="AJ294" s="141"/>
      <c r="AL294" s="110"/>
      <c r="AM294" s="207"/>
      <c r="AN294" s="207"/>
      <c r="AO294" s="110"/>
      <c r="AP294" s="110"/>
      <c r="AR294" s="110"/>
      <c r="AS294" s="141"/>
    </row>
    <row r="295" spans="1:45" x14ac:dyDescent="0.3">
      <c r="A295" s="282">
        <f t="shared" si="32"/>
        <v>186</v>
      </c>
      <c r="C295" s="116" t="s">
        <v>696</v>
      </c>
      <c r="F295" s="172">
        <v>0</v>
      </c>
      <c r="G295" s="1"/>
      <c r="H295" s="172"/>
      <c r="I295" s="147"/>
      <c r="J295" s="228">
        <f>ROUND(AC647+(AC647*'Rate SL'!$AG$1),6)</f>
        <v>7.0499039999999997</v>
      </c>
      <c r="K295" s="242"/>
      <c r="L295" s="106">
        <f t="shared" si="30"/>
        <v>0</v>
      </c>
      <c r="M295" s="106"/>
      <c r="N295" s="175">
        <v>0</v>
      </c>
      <c r="O295" s="175"/>
      <c r="P295" s="106"/>
      <c r="Q295" s="106"/>
      <c r="R295" s="106">
        <f t="shared" si="31"/>
        <v>0</v>
      </c>
      <c r="AA295" s="110"/>
      <c r="AC295" s="110"/>
      <c r="AD295" s="110"/>
      <c r="AE295" s="216"/>
      <c r="AF295" s="216"/>
      <c r="AH295" s="110"/>
      <c r="AI295" s="141"/>
      <c r="AJ295" s="141"/>
      <c r="AL295" s="110"/>
      <c r="AM295" s="207"/>
      <c r="AN295" s="207"/>
      <c r="AO295" s="110"/>
      <c r="AP295" s="110"/>
      <c r="AR295" s="110"/>
      <c r="AS295" s="141"/>
    </row>
    <row r="296" spans="1:45" x14ac:dyDescent="0.3">
      <c r="A296" s="282">
        <f t="shared" si="32"/>
        <v>187</v>
      </c>
      <c r="C296" s="116" t="s">
        <v>697</v>
      </c>
      <c r="F296" s="172">
        <v>0</v>
      </c>
      <c r="G296" s="1"/>
      <c r="H296" s="172"/>
      <c r="I296" s="147"/>
      <c r="J296" s="228">
        <f>ROUND(AC648+(AC648*'Rate SL'!$AG$1),6)</f>
        <v>8.066827</v>
      </c>
      <c r="K296" s="242"/>
      <c r="L296" s="106">
        <f t="shared" si="30"/>
        <v>0</v>
      </c>
      <c r="M296" s="106"/>
      <c r="N296" s="175">
        <v>0</v>
      </c>
      <c r="O296" s="175"/>
      <c r="P296" s="106"/>
      <c r="Q296" s="106"/>
      <c r="R296" s="106">
        <f t="shared" si="31"/>
        <v>0</v>
      </c>
      <c r="AA296" s="110"/>
      <c r="AC296" s="110"/>
      <c r="AD296" s="110"/>
      <c r="AE296" s="216"/>
      <c r="AF296" s="216"/>
      <c r="AH296" s="110"/>
      <c r="AI296" s="141"/>
      <c r="AJ296" s="141"/>
      <c r="AL296" s="110"/>
      <c r="AM296" s="207"/>
      <c r="AN296" s="207"/>
      <c r="AO296" s="110"/>
      <c r="AP296" s="110"/>
      <c r="AR296" s="110"/>
      <c r="AS296" s="141"/>
    </row>
    <row r="297" spans="1:45" x14ac:dyDescent="0.3">
      <c r="A297" s="282">
        <f t="shared" si="32"/>
        <v>188</v>
      </c>
      <c r="C297" s="116" t="s">
        <v>698</v>
      </c>
      <c r="F297" s="172">
        <v>0</v>
      </c>
      <c r="G297" s="1"/>
      <c r="H297" s="172"/>
      <c r="I297" s="147"/>
      <c r="J297" s="228">
        <f>ROUND(AC649+(AC649*'Rate SL'!$AG$1),6)</f>
        <v>8.489592</v>
      </c>
      <c r="K297" s="242"/>
      <c r="L297" s="106">
        <f t="shared" si="30"/>
        <v>0</v>
      </c>
      <c r="M297" s="106"/>
      <c r="N297" s="175">
        <v>0</v>
      </c>
      <c r="O297" s="175"/>
      <c r="P297" s="106"/>
      <c r="Q297" s="106"/>
      <c r="R297" s="106">
        <f t="shared" si="31"/>
        <v>0</v>
      </c>
      <c r="AA297" s="110"/>
      <c r="AC297" s="110"/>
      <c r="AD297" s="110"/>
      <c r="AE297" s="216"/>
      <c r="AF297" s="216"/>
      <c r="AH297" s="110"/>
      <c r="AI297" s="141"/>
      <c r="AJ297" s="141"/>
      <c r="AL297" s="110"/>
      <c r="AM297" s="207"/>
      <c r="AN297" s="207"/>
      <c r="AO297" s="110"/>
      <c r="AP297" s="110"/>
      <c r="AR297" s="110"/>
      <c r="AS297" s="141"/>
    </row>
    <row r="298" spans="1:45" x14ac:dyDescent="0.3">
      <c r="A298" s="282">
        <f t="shared" si="32"/>
        <v>189</v>
      </c>
      <c r="C298" s="116" t="s">
        <v>699</v>
      </c>
      <c r="F298" s="172">
        <v>0</v>
      </c>
      <c r="G298" s="1"/>
      <c r="H298" s="172"/>
      <c r="I298" s="147"/>
      <c r="J298" s="228">
        <f>ROUND(AC650+(AC650*'Rate SL'!$AG$1),6)</f>
        <v>14.522573</v>
      </c>
      <c r="K298" s="242"/>
      <c r="L298" s="106">
        <f t="shared" si="30"/>
        <v>0</v>
      </c>
      <c r="M298" s="106"/>
      <c r="N298" s="175">
        <v>0</v>
      </c>
      <c r="O298" s="175"/>
      <c r="P298" s="106"/>
      <c r="Q298" s="106"/>
      <c r="R298" s="106">
        <f t="shared" si="31"/>
        <v>0</v>
      </c>
      <c r="AA298" s="110"/>
      <c r="AC298" s="110"/>
      <c r="AD298" s="110"/>
      <c r="AE298" s="216"/>
      <c r="AF298" s="216"/>
      <c r="AH298" s="110"/>
      <c r="AI298" s="141"/>
      <c r="AJ298" s="141"/>
      <c r="AL298" s="110"/>
      <c r="AM298" s="207"/>
      <c r="AN298" s="207"/>
      <c r="AO298" s="110"/>
      <c r="AP298" s="110"/>
      <c r="AR298" s="110"/>
      <c r="AS298" s="141"/>
    </row>
    <row r="299" spans="1:45" x14ac:dyDescent="0.3">
      <c r="A299" s="282">
        <f t="shared" si="32"/>
        <v>190</v>
      </c>
      <c r="C299" s="116" t="s">
        <v>700</v>
      </c>
      <c r="F299" s="172">
        <v>0</v>
      </c>
      <c r="G299" s="1"/>
      <c r="H299" s="172"/>
      <c r="I299" s="147"/>
      <c r="J299" s="228">
        <f>ROUND(AC651+(AC651*'Rate SL'!$AG$1),6)</f>
        <v>7.3584079999999998</v>
      </c>
      <c r="K299" s="242"/>
      <c r="L299" s="106">
        <f t="shared" si="30"/>
        <v>0</v>
      </c>
      <c r="M299" s="106"/>
      <c r="N299" s="175">
        <v>0</v>
      </c>
      <c r="O299" s="175"/>
      <c r="P299" s="106"/>
      <c r="Q299" s="106"/>
      <c r="R299" s="106">
        <f t="shared" si="31"/>
        <v>0</v>
      </c>
      <c r="AA299" s="110"/>
      <c r="AC299" s="110"/>
      <c r="AD299" s="110"/>
      <c r="AE299" s="216"/>
      <c r="AF299" s="216"/>
      <c r="AH299" s="110"/>
      <c r="AI299" s="141"/>
      <c r="AJ299" s="141"/>
      <c r="AL299" s="110"/>
      <c r="AM299" s="207"/>
      <c r="AN299" s="207"/>
      <c r="AO299" s="110"/>
      <c r="AP299" s="110"/>
      <c r="AR299" s="110"/>
      <c r="AS299" s="141"/>
    </row>
    <row r="300" spans="1:45" x14ac:dyDescent="0.3">
      <c r="A300" s="282">
        <f t="shared" si="32"/>
        <v>191</v>
      </c>
      <c r="C300" s="116" t="s">
        <v>701</v>
      </c>
      <c r="F300" s="172">
        <v>287</v>
      </c>
      <c r="G300" s="1"/>
      <c r="H300" s="172"/>
      <c r="I300" s="147"/>
      <c r="J300" s="228">
        <f>ROUND(AC652+(AC652*'Rate SL'!$AG$1),6)</f>
        <v>2.0795499999999998</v>
      </c>
      <c r="K300" s="242"/>
      <c r="L300" s="106">
        <f t="shared" si="30"/>
        <v>597</v>
      </c>
      <c r="M300" s="106"/>
      <c r="N300" s="175">
        <v>0</v>
      </c>
      <c r="O300" s="175"/>
      <c r="P300" s="106"/>
      <c r="Q300" s="106"/>
      <c r="R300" s="106">
        <f t="shared" si="31"/>
        <v>597</v>
      </c>
      <c r="AA300" s="110"/>
      <c r="AC300" s="110"/>
      <c r="AD300" s="110"/>
      <c r="AE300" s="216"/>
      <c r="AF300" s="216"/>
      <c r="AH300" s="110"/>
      <c r="AI300" s="141"/>
      <c r="AJ300" s="141"/>
      <c r="AL300" s="110"/>
      <c r="AM300" s="207"/>
      <c r="AN300" s="207"/>
      <c r="AO300" s="110"/>
      <c r="AP300" s="110"/>
      <c r="AR300" s="110"/>
      <c r="AS300" s="141"/>
    </row>
    <row r="301" spans="1:45" x14ac:dyDescent="0.3">
      <c r="A301" s="282">
        <f t="shared" si="32"/>
        <v>192</v>
      </c>
      <c r="C301" s="116" t="s">
        <v>702</v>
      </c>
      <c r="F301" s="172">
        <v>18</v>
      </c>
      <c r="G301" s="1"/>
      <c r="H301" s="172"/>
      <c r="I301" s="147"/>
      <c r="J301" s="228">
        <f>ROUND(AC653+(AC653*'Rate SL'!$AG$1),6)</f>
        <v>2.296646</v>
      </c>
      <c r="K301" s="242"/>
      <c r="L301" s="106">
        <f t="shared" si="30"/>
        <v>41</v>
      </c>
      <c r="M301" s="106"/>
      <c r="N301" s="175">
        <v>0</v>
      </c>
      <c r="O301" s="175"/>
      <c r="P301" s="106"/>
      <c r="Q301" s="106"/>
      <c r="R301" s="106">
        <f t="shared" si="31"/>
        <v>41</v>
      </c>
      <c r="AA301" s="110"/>
      <c r="AC301" s="110"/>
      <c r="AD301" s="110"/>
      <c r="AE301" s="216"/>
      <c r="AF301" s="216"/>
      <c r="AH301" s="110"/>
      <c r="AI301" s="141"/>
      <c r="AJ301" s="141"/>
      <c r="AL301" s="110"/>
      <c r="AM301" s="207"/>
      <c r="AN301" s="207"/>
      <c r="AO301" s="110"/>
      <c r="AP301" s="110"/>
      <c r="AR301" s="110"/>
      <c r="AS301" s="141"/>
    </row>
    <row r="302" spans="1:45" x14ac:dyDescent="0.3">
      <c r="A302" s="282">
        <f t="shared" si="32"/>
        <v>193</v>
      </c>
      <c r="C302" s="116" t="s">
        <v>750</v>
      </c>
      <c r="F302" s="172">
        <v>0</v>
      </c>
      <c r="G302" s="1"/>
      <c r="H302" s="172"/>
      <c r="I302" s="147"/>
      <c r="J302" s="228">
        <f>ROUND(AC654+(AC654*'Rate SL'!$AG$1),6)</f>
        <v>2.8336730000000001</v>
      </c>
      <c r="K302" s="242"/>
      <c r="L302" s="106">
        <f t="shared" si="30"/>
        <v>0</v>
      </c>
      <c r="M302" s="106"/>
      <c r="N302" s="175">
        <v>0</v>
      </c>
      <c r="O302" s="175"/>
      <c r="P302" s="106"/>
      <c r="Q302" s="106"/>
      <c r="R302" s="106">
        <f t="shared" si="31"/>
        <v>0</v>
      </c>
      <c r="AA302" s="110"/>
      <c r="AC302" s="110"/>
      <c r="AD302" s="110"/>
      <c r="AE302" s="216"/>
      <c r="AF302" s="216"/>
      <c r="AH302" s="110"/>
      <c r="AI302" s="141"/>
      <c r="AJ302" s="141"/>
      <c r="AL302" s="110"/>
      <c r="AM302" s="207"/>
      <c r="AN302" s="207"/>
      <c r="AO302" s="110"/>
      <c r="AP302" s="110"/>
      <c r="AR302" s="110"/>
      <c r="AS302" s="141"/>
    </row>
    <row r="303" spans="1:45" x14ac:dyDescent="0.3">
      <c r="A303" s="282">
        <f t="shared" si="32"/>
        <v>194</v>
      </c>
      <c r="C303" s="116" t="s">
        <v>751</v>
      </c>
      <c r="F303" s="172">
        <v>0</v>
      </c>
      <c r="G303" s="1"/>
      <c r="H303" s="172"/>
      <c r="I303" s="147"/>
      <c r="J303" s="228">
        <f>ROUND(AC655+(AC655*'Rate SL'!$AG$1),6)</f>
        <v>10.420603</v>
      </c>
      <c r="K303" s="242"/>
      <c r="L303" s="106">
        <f t="shared" si="30"/>
        <v>0</v>
      </c>
      <c r="M303" s="106"/>
      <c r="N303" s="175">
        <v>0</v>
      </c>
      <c r="O303" s="175"/>
      <c r="P303" s="106"/>
      <c r="Q303" s="106"/>
      <c r="R303" s="106">
        <f t="shared" si="31"/>
        <v>0</v>
      </c>
      <c r="AA303" s="110"/>
      <c r="AC303" s="110"/>
      <c r="AD303" s="110"/>
      <c r="AE303" s="216"/>
      <c r="AF303" s="216"/>
      <c r="AH303" s="110"/>
      <c r="AI303" s="141"/>
      <c r="AJ303" s="141"/>
      <c r="AL303" s="110"/>
      <c r="AM303" s="207"/>
      <c r="AN303" s="207"/>
      <c r="AO303" s="110"/>
      <c r="AP303" s="110"/>
      <c r="AR303" s="110"/>
      <c r="AS303" s="141"/>
    </row>
    <row r="304" spans="1:45" x14ac:dyDescent="0.3">
      <c r="A304" s="282">
        <f t="shared" si="32"/>
        <v>195</v>
      </c>
      <c r="C304" s="116" t="s">
        <v>752</v>
      </c>
      <c r="F304" s="172">
        <v>0</v>
      </c>
      <c r="G304" s="1"/>
      <c r="H304" s="172"/>
      <c r="I304" s="147"/>
      <c r="J304" s="228">
        <f>ROUND(AC656+(AC656*'Rate SL'!$AG$1),6)</f>
        <v>12.008831000000001</v>
      </c>
      <c r="K304" s="242"/>
      <c r="L304" s="106">
        <f t="shared" si="30"/>
        <v>0</v>
      </c>
      <c r="M304" s="106"/>
      <c r="N304" s="175">
        <v>0</v>
      </c>
      <c r="O304" s="175"/>
      <c r="P304" s="106"/>
      <c r="Q304" s="106"/>
      <c r="R304" s="106">
        <f t="shared" si="31"/>
        <v>0</v>
      </c>
      <c r="AA304" s="110"/>
      <c r="AC304" s="110"/>
      <c r="AD304" s="110"/>
      <c r="AE304" s="216"/>
      <c r="AF304" s="216"/>
      <c r="AH304" s="110"/>
      <c r="AI304" s="141"/>
      <c r="AJ304" s="141"/>
      <c r="AL304" s="110"/>
      <c r="AM304" s="207"/>
      <c r="AN304" s="207"/>
      <c r="AO304" s="110"/>
      <c r="AP304" s="110"/>
      <c r="AR304" s="110"/>
      <c r="AS304" s="141"/>
    </row>
    <row r="305" spans="1:45" x14ac:dyDescent="0.3">
      <c r="A305" s="282">
        <f t="shared" si="32"/>
        <v>196</v>
      </c>
      <c r="C305" s="116" t="s">
        <v>753</v>
      </c>
      <c r="F305" s="172">
        <v>0</v>
      </c>
      <c r="G305" s="1"/>
      <c r="H305" s="172"/>
      <c r="I305" s="147"/>
      <c r="J305" s="228">
        <f>ROUND(AC657+(AC657*'Rate SL'!$AG$1),6)</f>
        <v>13.208572</v>
      </c>
      <c r="K305" s="242"/>
      <c r="L305" s="106">
        <f t="shared" si="30"/>
        <v>0</v>
      </c>
      <c r="M305" s="106"/>
      <c r="N305" s="175">
        <v>0</v>
      </c>
      <c r="O305" s="175"/>
      <c r="P305" s="106"/>
      <c r="Q305" s="106"/>
      <c r="R305" s="106">
        <f t="shared" si="31"/>
        <v>0</v>
      </c>
      <c r="AA305" s="110"/>
      <c r="AC305" s="110"/>
      <c r="AD305" s="110"/>
      <c r="AE305" s="216"/>
      <c r="AF305" s="216"/>
      <c r="AH305" s="110"/>
      <c r="AI305" s="141"/>
      <c r="AJ305" s="141"/>
      <c r="AL305" s="110"/>
      <c r="AM305" s="207"/>
      <c r="AN305" s="207"/>
      <c r="AO305" s="110"/>
      <c r="AP305" s="110"/>
      <c r="AR305" s="110"/>
      <c r="AS305" s="141"/>
    </row>
    <row r="306" spans="1:45" x14ac:dyDescent="0.3">
      <c r="A306" s="282">
        <f t="shared" si="32"/>
        <v>197</v>
      </c>
      <c r="C306" s="116" t="s">
        <v>754</v>
      </c>
      <c r="F306" s="172">
        <v>0</v>
      </c>
      <c r="G306" s="1"/>
      <c r="H306" s="172"/>
      <c r="I306" s="147"/>
      <c r="J306" s="228">
        <f>ROUND(AC658+(AC658*'Rate SL'!$AG$1),6)</f>
        <v>5.5530850000000003</v>
      </c>
      <c r="K306" s="242"/>
      <c r="L306" s="106">
        <f t="shared" si="30"/>
        <v>0</v>
      </c>
      <c r="M306" s="106"/>
      <c r="N306" s="175">
        <v>0</v>
      </c>
      <c r="O306" s="175"/>
      <c r="P306" s="106"/>
      <c r="Q306" s="106"/>
      <c r="R306" s="106">
        <f t="shared" si="31"/>
        <v>0</v>
      </c>
      <c r="AA306" s="110"/>
      <c r="AC306" s="110"/>
      <c r="AD306" s="110"/>
      <c r="AE306" s="216"/>
      <c r="AF306" s="216"/>
      <c r="AH306" s="110"/>
      <c r="AI306" s="141"/>
      <c r="AJ306" s="141"/>
      <c r="AL306" s="110"/>
      <c r="AM306" s="207"/>
      <c r="AN306" s="207"/>
      <c r="AO306" s="110"/>
      <c r="AP306" s="110"/>
      <c r="AR306" s="110"/>
      <c r="AS306" s="141"/>
    </row>
    <row r="307" spans="1:45" x14ac:dyDescent="0.3">
      <c r="A307" s="282">
        <f t="shared" si="32"/>
        <v>198</v>
      </c>
      <c r="C307" s="116" t="s">
        <v>755</v>
      </c>
      <c r="F307" s="172">
        <v>0</v>
      </c>
      <c r="G307" s="1"/>
      <c r="H307" s="172"/>
      <c r="I307" s="147"/>
      <c r="J307" s="228">
        <f>ROUND(AC659+(AC659*'Rate SL'!$AG$1),6)</f>
        <v>5.2674320000000003</v>
      </c>
      <c r="K307" s="242"/>
      <c r="L307" s="106">
        <f t="shared" si="30"/>
        <v>0</v>
      </c>
      <c r="M307" s="106"/>
      <c r="N307" s="175">
        <v>0</v>
      </c>
      <c r="O307" s="175"/>
      <c r="P307" s="106"/>
      <c r="Q307" s="106"/>
      <c r="R307" s="106">
        <f t="shared" si="31"/>
        <v>0</v>
      </c>
      <c r="AA307" s="110"/>
      <c r="AC307" s="110"/>
      <c r="AD307" s="110"/>
      <c r="AE307" s="216"/>
      <c r="AF307" s="216"/>
      <c r="AH307" s="110"/>
      <c r="AI307" s="141"/>
      <c r="AJ307" s="141"/>
      <c r="AL307" s="110"/>
      <c r="AM307" s="207"/>
      <c r="AN307" s="207"/>
      <c r="AO307" s="110"/>
      <c r="AP307" s="110"/>
      <c r="AR307" s="110"/>
      <c r="AS307" s="141"/>
    </row>
    <row r="308" spans="1:45" x14ac:dyDescent="0.3">
      <c r="A308" s="282">
        <f t="shared" si="32"/>
        <v>199</v>
      </c>
      <c r="C308" s="116" t="s">
        <v>756</v>
      </c>
      <c r="F308" s="172">
        <v>0</v>
      </c>
      <c r="G308" s="1"/>
      <c r="H308" s="172"/>
      <c r="I308" s="147"/>
      <c r="J308" s="228">
        <f>ROUND(AC660+(AC660*'Rate SL'!$AG$1),6)</f>
        <v>5.8387370000000001</v>
      </c>
      <c r="K308" s="242"/>
      <c r="L308" s="106">
        <f t="shared" si="30"/>
        <v>0</v>
      </c>
      <c r="M308" s="106"/>
      <c r="N308" s="175">
        <v>0</v>
      </c>
      <c r="O308" s="175"/>
      <c r="P308" s="106"/>
      <c r="Q308" s="106"/>
      <c r="R308" s="106">
        <f t="shared" si="31"/>
        <v>0</v>
      </c>
      <c r="AA308" s="110"/>
      <c r="AC308" s="110"/>
      <c r="AD308" s="110"/>
      <c r="AE308" s="216"/>
      <c r="AF308" s="216"/>
      <c r="AH308" s="110"/>
      <c r="AI308" s="141"/>
      <c r="AJ308" s="141"/>
      <c r="AL308" s="110"/>
      <c r="AM308" s="207"/>
      <c r="AN308" s="207"/>
      <c r="AO308" s="110"/>
      <c r="AP308" s="110"/>
      <c r="AR308" s="110"/>
      <c r="AS308" s="141"/>
    </row>
    <row r="309" spans="1:45" x14ac:dyDescent="0.3">
      <c r="A309" s="282">
        <f t="shared" si="32"/>
        <v>200</v>
      </c>
      <c r="C309" s="116" t="s">
        <v>757</v>
      </c>
      <c r="F309" s="172">
        <v>0</v>
      </c>
      <c r="G309" s="1"/>
      <c r="H309" s="172"/>
      <c r="I309" s="147"/>
      <c r="J309" s="228">
        <f>ROUND(AC661+(AC661*'Rate SL'!$AG$1),6)</f>
        <v>7.4498170000000004</v>
      </c>
      <c r="K309" s="242"/>
      <c r="L309" s="106">
        <f t="shared" si="30"/>
        <v>0</v>
      </c>
      <c r="M309" s="106"/>
      <c r="N309" s="175">
        <v>0</v>
      </c>
      <c r="O309" s="175"/>
      <c r="P309" s="106"/>
      <c r="Q309" s="106"/>
      <c r="R309" s="106">
        <f t="shared" si="31"/>
        <v>0</v>
      </c>
      <c r="AA309" s="110"/>
      <c r="AC309" s="110"/>
      <c r="AD309" s="110"/>
      <c r="AE309" s="216"/>
      <c r="AF309" s="216"/>
      <c r="AH309" s="110"/>
      <c r="AI309" s="141"/>
      <c r="AJ309" s="141"/>
      <c r="AL309" s="110"/>
      <c r="AM309" s="207"/>
      <c r="AN309" s="207"/>
      <c r="AO309" s="110"/>
      <c r="AP309" s="110"/>
      <c r="AR309" s="110"/>
      <c r="AS309" s="141"/>
    </row>
    <row r="310" spans="1:45" x14ac:dyDescent="0.3">
      <c r="A310" s="282">
        <f t="shared" si="32"/>
        <v>201</v>
      </c>
      <c r="C310" s="116" t="s">
        <v>758</v>
      </c>
      <c r="F310" s="172">
        <v>0</v>
      </c>
      <c r="G310" s="1"/>
      <c r="H310" s="172"/>
      <c r="I310" s="147"/>
      <c r="J310" s="228">
        <f>ROUND(AC662+(AC662*'Rate SL'!$AG$1),6)</f>
        <v>8.3753309999999992</v>
      </c>
      <c r="K310" s="242"/>
      <c r="L310" s="106">
        <f t="shared" si="30"/>
        <v>0</v>
      </c>
      <c r="M310" s="106"/>
      <c r="N310" s="175">
        <v>0</v>
      </c>
      <c r="O310" s="175"/>
      <c r="P310" s="106"/>
      <c r="Q310" s="106"/>
      <c r="R310" s="106">
        <f t="shared" si="31"/>
        <v>0</v>
      </c>
      <c r="AA310" s="110"/>
      <c r="AC310" s="110"/>
      <c r="AD310" s="110"/>
      <c r="AE310" s="216"/>
      <c r="AF310" s="216"/>
      <c r="AH310" s="110"/>
      <c r="AI310" s="141"/>
      <c r="AJ310" s="141"/>
      <c r="AL310" s="110"/>
      <c r="AM310" s="207"/>
      <c r="AN310" s="207"/>
      <c r="AO310" s="110"/>
      <c r="AP310" s="110"/>
      <c r="AR310" s="110"/>
      <c r="AS310" s="141"/>
    </row>
    <row r="311" spans="1:45" x14ac:dyDescent="0.3">
      <c r="A311" s="282">
        <f t="shared" si="32"/>
        <v>202</v>
      </c>
      <c r="C311" s="116" t="s">
        <v>759</v>
      </c>
      <c r="F311" s="172">
        <v>0</v>
      </c>
      <c r="G311" s="1"/>
      <c r="H311" s="172"/>
      <c r="I311" s="147"/>
      <c r="J311" s="228">
        <f>ROUND(AC663+(AC663*'Rate SL'!$AG$1),6)</f>
        <v>6.1129639999999998</v>
      </c>
      <c r="K311" s="242"/>
      <c r="L311" s="106">
        <f t="shared" si="30"/>
        <v>0</v>
      </c>
      <c r="M311" s="106"/>
      <c r="N311" s="175">
        <v>0</v>
      </c>
      <c r="O311" s="175"/>
      <c r="P311" s="106"/>
      <c r="Q311" s="106"/>
      <c r="R311" s="106">
        <f t="shared" si="31"/>
        <v>0</v>
      </c>
      <c r="AA311" s="110"/>
      <c r="AC311" s="110"/>
      <c r="AD311" s="110"/>
      <c r="AE311" s="216"/>
      <c r="AF311" s="216"/>
      <c r="AH311" s="110"/>
      <c r="AI311" s="141"/>
      <c r="AJ311" s="141"/>
      <c r="AL311" s="110"/>
      <c r="AM311" s="207"/>
      <c r="AN311" s="207"/>
      <c r="AO311" s="110"/>
      <c r="AP311" s="110"/>
      <c r="AR311" s="110"/>
      <c r="AS311" s="141"/>
    </row>
    <row r="312" spans="1:45" x14ac:dyDescent="0.3">
      <c r="A312" s="282">
        <f t="shared" si="32"/>
        <v>203</v>
      </c>
      <c r="C312" s="116" t="s">
        <v>760</v>
      </c>
      <c r="F312" s="172">
        <v>0</v>
      </c>
      <c r="G312" s="1"/>
      <c r="H312" s="172"/>
      <c r="I312" s="147"/>
      <c r="J312" s="228">
        <f>ROUND(AC664+(AC664*'Rate SL'!$AG$1),6)</f>
        <v>7.2898519999999998</v>
      </c>
      <c r="K312" s="242"/>
      <c r="L312" s="106">
        <f t="shared" si="30"/>
        <v>0</v>
      </c>
      <c r="M312" s="106"/>
      <c r="N312" s="175">
        <v>0</v>
      </c>
      <c r="O312" s="175"/>
      <c r="P312" s="106"/>
      <c r="Q312" s="106"/>
      <c r="R312" s="106">
        <f t="shared" si="31"/>
        <v>0</v>
      </c>
      <c r="AA312" s="110"/>
      <c r="AC312" s="110"/>
      <c r="AD312" s="110"/>
      <c r="AE312" s="216"/>
      <c r="AF312" s="216"/>
      <c r="AH312" s="110"/>
      <c r="AI312" s="141"/>
      <c r="AJ312" s="141"/>
      <c r="AL312" s="110"/>
      <c r="AM312" s="207"/>
      <c r="AN312" s="207"/>
      <c r="AO312" s="110"/>
      <c r="AP312" s="110"/>
      <c r="AR312" s="110"/>
      <c r="AS312" s="141"/>
    </row>
    <row r="313" spans="1:45" x14ac:dyDescent="0.3">
      <c r="A313" s="282">
        <f t="shared" si="32"/>
        <v>204</v>
      </c>
      <c r="C313" s="116" t="s">
        <v>761</v>
      </c>
      <c r="F313" s="172">
        <v>0</v>
      </c>
      <c r="G313" s="1"/>
      <c r="H313" s="172"/>
      <c r="I313" s="147"/>
      <c r="J313" s="228">
        <f>ROUND(AC665+(AC665*'Rate SL'!$AG$1),6)</f>
        <v>5.8158849999999997</v>
      </c>
      <c r="K313" s="242"/>
      <c r="L313" s="106">
        <f t="shared" si="30"/>
        <v>0</v>
      </c>
      <c r="M313" s="106"/>
      <c r="N313" s="175">
        <v>0</v>
      </c>
      <c r="O313" s="175"/>
      <c r="P313" s="106"/>
      <c r="Q313" s="106"/>
      <c r="R313" s="106">
        <f t="shared" si="31"/>
        <v>0</v>
      </c>
      <c r="AA313" s="110"/>
      <c r="AC313" s="110"/>
      <c r="AD313" s="110"/>
      <c r="AE313" s="216"/>
      <c r="AF313" s="216"/>
      <c r="AH313" s="110"/>
      <c r="AI313" s="141"/>
      <c r="AJ313" s="141"/>
      <c r="AL313" s="110"/>
      <c r="AM313" s="207"/>
      <c r="AN313" s="207"/>
      <c r="AO313" s="110"/>
      <c r="AP313" s="110"/>
      <c r="AR313" s="110"/>
      <c r="AS313" s="141"/>
    </row>
    <row r="314" spans="1:45" x14ac:dyDescent="0.3">
      <c r="A314" s="282">
        <f t="shared" si="32"/>
        <v>205</v>
      </c>
      <c r="C314" s="169" t="s">
        <v>676</v>
      </c>
      <c r="F314" s="112">
        <f>SUM(F252:F313)</f>
        <v>323</v>
      </c>
      <c r="G314" s="1"/>
      <c r="H314" s="172"/>
      <c r="I314" s="147"/>
      <c r="J314" s="228"/>
      <c r="K314" s="242"/>
      <c r="L314" s="112">
        <f>SUM(L252:L313)</f>
        <v>704</v>
      </c>
      <c r="M314" s="106"/>
      <c r="N314" s="193">
        <f>ROUND((L314/L$340)*100,1)</f>
        <v>3.1</v>
      </c>
      <c r="O314" s="175"/>
      <c r="P314" s="106"/>
      <c r="Q314" s="106"/>
      <c r="R314" s="112">
        <f>SUM(R252:R313)</f>
        <v>704</v>
      </c>
      <c r="AA314" s="110"/>
      <c r="AC314" s="110"/>
      <c r="AD314" s="110"/>
      <c r="AE314" s="216"/>
      <c r="AF314" s="216"/>
      <c r="AH314" s="110"/>
      <c r="AI314" s="141"/>
      <c r="AJ314" s="141"/>
      <c r="AL314" s="110"/>
      <c r="AM314" s="207"/>
      <c r="AN314" s="207"/>
      <c r="AO314" s="110"/>
      <c r="AP314" s="110"/>
      <c r="AR314" s="110"/>
      <c r="AS314" s="141"/>
    </row>
    <row r="315" spans="1:45" x14ac:dyDescent="0.3">
      <c r="A315" s="282"/>
      <c r="B315" s="276"/>
      <c r="C315" s="116"/>
      <c r="D315" s="276"/>
      <c r="F315" s="172"/>
      <c r="G315" s="1"/>
      <c r="H315" s="172"/>
      <c r="I315" s="147"/>
      <c r="J315" s="228"/>
      <c r="K315" s="242"/>
      <c r="L315" s="106"/>
      <c r="M315" s="106"/>
      <c r="N315" s="175"/>
      <c r="O315" s="175"/>
      <c r="P315" s="106"/>
      <c r="Q315" s="106"/>
      <c r="R315" s="106"/>
      <c r="AA315" s="110"/>
      <c r="AC315" s="110"/>
      <c r="AD315" s="110"/>
      <c r="AE315" s="216"/>
      <c r="AF315" s="216"/>
      <c r="AH315" s="110"/>
      <c r="AI315" s="141"/>
      <c r="AJ315" s="141"/>
      <c r="AL315" s="110"/>
      <c r="AM315" s="207"/>
      <c r="AN315" s="207"/>
      <c r="AO315" s="110"/>
      <c r="AP315" s="110"/>
      <c r="AR315" s="110"/>
      <c r="AS315" s="141"/>
    </row>
    <row r="316" spans="1:45" x14ac:dyDescent="0.3">
      <c r="A316" s="282">
        <f>A314+1</f>
        <v>206</v>
      </c>
      <c r="B316" s="276"/>
      <c r="C316" s="124" t="s">
        <v>703</v>
      </c>
      <c r="D316" s="276"/>
      <c r="F316" s="172"/>
      <c r="G316" s="1"/>
      <c r="H316" s="172"/>
      <c r="I316" s="147"/>
      <c r="J316" s="228"/>
      <c r="K316" s="242"/>
      <c r="L316" s="106"/>
      <c r="M316" s="106"/>
      <c r="N316" s="175"/>
      <c r="O316" s="175"/>
      <c r="P316" s="106"/>
      <c r="Q316" s="106"/>
      <c r="R316" s="106"/>
      <c r="AA316" s="110"/>
      <c r="AC316" s="110"/>
      <c r="AD316" s="110"/>
      <c r="AE316" s="216"/>
      <c r="AF316" s="216"/>
      <c r="AH316" s="110"/>
      <c r="AI316" s="141"/>
      <c r="AJ316" s="141"/>
      <c r="AL316" s="110"/>
      <c r="AM316" s="207"/>
      <c r="AN316" s="207"/>
      <c r="AO316" s="110"/>
      <c r="AP316" s="110"/>
      <c r="AR316" s="110"/>
      <c r="AS316" s="141"/>
    </row>
    <row r="317" spans="1:45" x14ac:dyDescent="0.3">
      <c r="A317" s="282">
        <f>A316+1</f>
        <v>207</v>
      </c>
      <c r="B317" s="276"/>
      <c r="C317" s="116" t="s">
        <v>705</v>
      </c>
      <c r="D317" s="276"/>
      <c r="F317" s="172">
        <v>0</v>
      </c>
      <c r="G317" s="1"/>
      <c r="H317" s="172"/>
      <c r="I317" s="147"/>
      <c r="J317" s="228">
        <f>ROUND(AC669+(AC669*'Rate SL'!$AG$1),6)</f>
        <v>2.822247</v>
      </c>
      <c r="K317" s="242"/>
      <c r="L317" s="106">
        <f t="shared" ref="L317:L324" si="33">ROUND((F317*J317),0)</f>
        <v>0</v>
      </c>
      <c r="M317" s="106"/>
      <c r="N317" s="175">
        <v>0</v>
      </c>
      <c r="O317" s="175"/>
      <c r="P317" s="106"/>
      <c r="Q317" s="106"/>
      <c r="R317" s="106">
        <f t="shared" ref="R317:R324" si="34">L317+P317</f>
        <v>0</v>
      </c>
      <c r="AA317" s="110"/>
      <c r="AC317" s="110"/>
      <c r="AD317" s="110"/>
      <c r="AE317" s="216"/>
      <c r="AF317" s="216"/>
      <c r="AH317" s="110"/>
      <c r="AI317" s="141"/>
      <c r="AJ317" s="141"/>
      <c r="AL317" s="110"/>
      <c r="AM317" s="207"/>
      <c r="AN317" s="207"/>
      <c r="AO317" s="110"/>
      <c r="AP317" s="110"/>
      <c r="AR317" s="110"/>
      <c r="AS317" s="141"/>
    </row>
    <row r="318" spans="1:45" x14ac:dyDescent="0.3">
      <c r="A318" s="282">
        <f t="shared" ref="A318:A325" si="35">A317+1</f>
        <v>208</v>
      </c>
      <c r="B318" s="276"/>
      <c r="C318" s="116" t="s">
        <v>706</v>
      </c>
      <c r="D318" s="276"/>
      <c r="F318" s="172">
        <v>0</v>
      </c>
      <c r="G318" s="1"/>
      <c r="H318" s="172"/>
      <c r="I318" s="147"/>
      <c r="J318" s="228">
        <f>ROUND(AC670+(AC670*'Rate SL'!$AG$1),6)</f>
        <v>4.0448389999999996</v>
      </c>
      <c r="K318" s="242"/>
      <c r="L318" s="106">
        <f t="shared" si="33"/>
        <v>0</v>
      </c>
      <c r="M318" s="106"/>
      <c r="N318" s="175">
        <v>0</v>
      </c>
      <c r="O318" s="175"/>
      <c r="P318" s="106"/>
      <c r="Q318" s="106"/>
      <c r="R318" s="106">
        <f t="shared" si="34"/>
        <v>0</v>
      </c>
      <c r="AA318" s="110"/>
      <c r="AC318" s="110"/>
      <c r="AD318" s="110"/>
      <c r="AE318" s="216"/>
      <c r="AF318" s="216"/>
      <c r="AH318" s="110"/>
      <c r="AI318" s="141"/>
      <c r="AJ318" s="141"/>
      <c r="AL318" s="110"/>
      <c r="AM318" s="207"/>
      <c r="AN318" s="207"/>
      <c r="AO318" s="110"/>
      <c r="AP318" s="110"/>
      <c r="AR318" s="110"/>
      <c r="AS318" s="141"/>
    </row>
    <row r="319" spans="1:45" x14ac:dyDescent="0.3">
      <c r="A319" s="282">
        <f t="shared" si="35"/>
        <v>209</v>
      </c>
      <c r="B319" s="276"/>
      <c r="C319" s="116" t="s">
        <v>767</v>
      </c>
      <c r="D319" s="276"/>
      <c r="F319" s="172">
        <v>0</v>
      </c>
      <c r="G319" s="1"/>
      <c r="H319" s="172"/>
      <c r="I319" s="147"/>
      <c r="J319" s="228">
        <f>ROUND(AC671+(AC671*'Rate SL'!$AG$1),6)</f>
        <v>10.260638</v>
      </c>
      <c r="K319" s="242"/>
      <c r="L319" s="106">
        <f t="shared" si="33"/>
        <v>0</v>
      </c>
      <c r="M319" s="106"/>
      <c r="N319" s="175">
        <v>0</v>
      </c>
      <c r="O319" s="175"/>
      <c r="P319" s="106"/>
      <c r="Q319" s="106"/>
      <c r="R319" s="106">
        <f t="shared" si="34"/>
        <v>0</v>
      </c>
      <c r="AA319" s="110"/>
      <c r="AC319" s="110"/>
      <c r="AD319" s="110"/>
      <c r="AE319" s="216"/>
      <c r="AF319" s="216"/>
      <c r="AH319" s="110"/>
      <c r="AI319" s="141"/>
      <c r="AJ319" s="141"/>
      <c r="AL319" s="110"/>
      <c r="AM319" s="207"/>
      <c r="AN319" s="207"/>
      <c r="AO319" s="110"/>
      <c r="AP319" s="110"/>
      <c r="AR319" s="110"/>
      <c r="AS319" s="141"/>
    </row>
    <row r="320" spans="1:45" x14ac:dyDescent="0.3">
      <c r="A320" s="282">
        <f t="shared" si="35"/>
        <v>210</v>
      </c>
      <c r="B320" s="276"/>
      <c r="C320" s="116" t="s">
        <v>768</v>
      </c>
      <c r="D320" s="276"/>
      <c r="F320" s="172">
        <v>0</v>
      </c>
      <c r="G320" s="1"/>
      <c r="H320" s="172"/>
      <c r="I320" s="147"/>
      <c r="J320" s="228">
        <f>ROUND(AC672+(AC672*'Rate SL'!$AG$1),6)</f>
        <v>1.2797229999999999</v>
      </c>
      <c r="K320" s="242"/>
      <c r="L320" s="106">
        <f t="shared" si="33"/>
        <v>0</v>
      </c>
      <c r="M320" s="106"/>
      <c r="N320" s="175">
        <v>0</v>
      </c>
      <c r="O320" s="175"/>
      <c r="P320" s="106"/>
      <c r="Q320" s="106"/>
      <c r="R320" s="106">
        <f t="shared" si="34"/>
        <v>0</v>
      </c>
      <c r="AA320" s="110"/>
      <c r="AC320" s="110"/>
      <c r="AD320" s="110"/>
      <c r="AE320" s="216"/>
      <c r="AF320" s="216"/>
      <c r="AH320" s="110"/>
      <c r="AI320" s="141"/>
      <c r="AJ320" s="141"/>
      <c r="AL320" s="110"/>
      <c r="AM320" s="207"/>
      <c r="AN320" s="207"/>
      <c r="AO320" s="110"/>
      <c r="AP320" s="110"/>
      <c r="AR320" s="110"/>
      <c r="AS320" s="141"/>
    </row>
    <row r="321" spans="1:45" x14ac:dyDescent="0.3">
      <c r="A321" s="282">
        <f t="shared" si="35"/>
        <v>211</v>
      </c>
      <c r="B321" s="276"/>
      <c r="C321" s="116" t="s">
        <v>769</v>
      </c>
      <c r="D321" s="276"/>
      <c r="F321" s="172">
        <v>0</v>
      </c>
      <c r="G321" s="1"/>
      <c r="H321" s="172"/>
      <c r="I321" s="147"/>
      <c r="J321" s="228">
        <f>ROUND(AC673+(AC673*'Rate SL'!$AG$1),6)</f>
        <v>1.485393</v>
      </c>
      <c r="K321" s="242"/>
      <c r="L321" s="106">
        <f t="shared" si="33"/>
        <v>0</v>
      </c>
      <c r="M321" s="106"/>
      <c r="N321" s="175">
        <v>0</v>
      </c>
      <c r="O321" s="175"/>
      <c r="P321" s="106"/>
      <c r="Q321" s="106"/>
      <c r="R321" s="106">
        <f t="shared" si="34"/>
        <v>0</v>
      </c>
      <c r="AA321" s="110"/>
      <c r="AC321" s="110"/>
      <c r="AD321" s="110"/>
      <c r="AE321" s="216"/>
      <c r="AF321" s="216"/>
      <c r="AH321" s="110"/>
      <c r="AI321" s="141"/>
      <c r="AJ321" s="141"/>
      <c r="AL321" s="110"/>
      <c r="AM321" s="207"/>
      <c r="AN321" s="207"/>
      <c r="AO321" s="110"/>
      <c r="AP321" s="110"/>
      <c r="AR321" s="110"/>
      <c r="AS321" s="141"/>
    </row>
    <row r="322" spans="1:45" x14ac:dyDescent="0.3">
      <c r="A322" s="282">
        <f t="shared" si="35"/>
        <v>212</v>
      </c>
      <c r="B322" s="276"/>
      <c r="C322" s="116" t="s">
        <v>770</v>
      </c>
      <c r="D322" s="276"/>
      <c r="F322" s="172">
        <v>0</v>
      </c>
      <c r="G322" s="1"/>
      <c r="H322" s="172"/>
      <c r="I322" s="147"/>
      <c r="J322" s="228">
        <f>ROUND(AC674+(AC674*'Rate SL'!$AG$1),6)</f>
        <v>0.93694</v>
      </c>
      <c r="K322" s="242"/>
      <c r="L322" s="106">
        <f t="shared" si="33"/>
        <v>0</v>
      </c>
      <c r="M322" s="106"/>
      <c r="N322" s="175">
        <v>0</v>
      </c>
      <c r="O322" s="175"/>
      <c r="P322" s="106"/>
      <c r="Q322" s="106"/>
      <c r="R322" s="106">
        <f t="shared" si="34"/>
        <v>0</v>
      </c>
      <c r="AA322" s="110"/>
      <c r="AC322" s="110"/>
      <c r="AD322" s="110"/>
      <c r="AE322" s="216"/>
      <c r="AF322" s="216"/>
      <c r="AH322" s="110"/>
      <c r="AI322" s="141"/>
      <c r="AJ322" s="141"/>
      <c r="AL322" s="110"/>
      <c r="AM322" s="207"/>
      <c r="AN322" s="207"/>
      <c r="AO322" s="110"/>
      <c r="AP322" s="110"/>
      <c r="AR322" s="110"/>
      <c r="AS322" s="141"/>
    </row>
    <row r="323" spans="1:45" x14ac:dyDescent="0.3">
      <c r="A323" s="282">
        <f t="shared" si="35"/>
        <v>213</v>
      </c>
      <c r="C323" s="116" t="s">
        <v>771</v>
      </c>
      <c r="F323" s="172">
        <v>0</v>
      </c>
      <c r="G323" s="1"/>
      <c r="H323" s="172"/>
      <c r="I323" s="147"/>
      <c r="J323" s="228">
        <f>ROUND(AC675+(AC675*'Rate SL'!$AG$1),6)</f>
        <v>3.1878820000000001</v>
      </c>
      <c r="K323" s="242"/>
      <c r="L323" s="106">
        <f t="shared" si="33"/>
        <v>0</v>
      </c>
      <c r="M323" s="106"/>
      <c r="N323" s="175">
        <v>0</v>
      </c>
      <c r="O323" s="175"/>
      <c r="P323" s="106"/>
      <c r="Q323" s="106"/>
      <c r="R323" s="106">
        <f t="shared" si="34"/>
        <v>0</v>
      </c>
      <c r="AA323" s="110"/>
      <c r="AC323" s="110"/>
      <c r="AD323" s="110"/>
      <c r="AE323" s="216"/>
      <c r="AF323" s="216"/>
      <c r="AH323" s="110"/>
      <c r="AI323" s="141"/>
      <c r="AJ323" s="141"/>
      <c r="AL323" s="110"/>
      <c r="AM323" s="207"/>
      <c r="AN323" s="207"/>
      <c r="AO323" s="110"/>
      <c r="AP323" s="110"/>
      <c r="AR323" s="110"/>
      <c r="AS323" s="141"/>
    </row>
    <row r="324" spans="1:45" x14ac:dyDescent="0.3">
      <c r="A324" s="282">
        <f t="shared" si="35"/>
        <v>214</v>
      </c>
      <c r="C324" s="116" t="s">
        <v>859</v>
      </c>
      <c r="F324" s="172">
        <v>15</v>
      </c>
      <c r="G324" s="1"/>
      <c r="H324" s="172"/>
      <c r="I324" s="147"/>
      <c r="J324" s="228">
        <f>ROUND(AC676+(AC676*'Rate SL'!$AG$1),6)</f>
        <v>2.9936379999999998</v>
      </c>
      <c r="K324" s="242"/>
      <c r="L324" s="106">
        <f t="shared" si="33"/>
        <v>45</v>
      </c>
      <c r="M324" s="106"/>
      <c r="N324" s="175">
        <v>0</v>
      </c>
      <c r="O324" s="175"/>
      <c r="P324" s="106"/>
      <c r="Q324" s="106"/>
      <c r="R324" s="106">
        <f t="shared" si="34"/>
        <v>45</v>
      </c>
      <c r="AA324" s="110"/>
      <c r="AC324" s="110"/>
      <c r="AD324" s="110"/>
      <c r="AE324" s="216"/>
      <c r="AF324" s="216"/>
      <c r="AH324" s="110"/>
      <c r="AI324" s="141"/>
      <c r="AJ324" s="141"/>
      <c r="AL324" s="110"/>
      <c r="AM324" s="207"/>
      <c r="AN324" s="207"/>
      <c r="AO324" s="110"/>
      <c r="AP324" s="110"/>
      <c r="AR324" s="110"/>
      <c r="AS324" s="141"/>
    </row>
    <row r="325" spans="1:45" x14ac:dyDescent="0.3">
      <c r="A325" s="282">
        <f t="shared" si="35"/>
        <v>215</v>
      </c>
      <c r="C325" s="169" t="s">
        <v>704</v>
      </c>
      <c r="F325" s="112">
        <f>SUM(F317:F324)</f>
        <v>15</v>
      </c>
      <c r="G325" s="1"/>
      <c r="H325" s="172"/>
      <c r="I325" s="147"/>
      <c r="J325" s="228"/>
      <c r="K325" s="242"/>
      <c r="L325" s="112">
        <f>SUM(L317:L324)</f>
        <v>45</v>
      </c>
      <c r="M325" s="106"/>
      <c r="N325" s="193">
        <f>ROUND((L325/L$340)*100,1)</f>
        <v>0.2</v>
      </c>
      <c r="O325" s="175"/>
      <c r="P325" s="106"/>
      <c r="Q325" s="106"/>
      <c r="R325" s="112">
        <f>SUM(R317:R324)</f>
        <v>45</v>
      </c>
      <c r="AA325" s="110"/>
      <c r="AC325" s="110"/>
      <c r="AD325" s="110"/>
      <c r="AE325" s="216"/>
      <c r="AF325" s="216"/>
      <c r="AH325" s="110"/>
      <c r="AI325" s="141"/>
      <c r="AJ325" s="141"/>
      <c r="AL325" s="110"/>
      <c r="AM325" s="207"/>
      <c r="AN325" s="207"/>
      <c r="AO325" s="110"/>
      <c r="AP325" s="110"/>
      <c r="AR325" s="110"/>
      <c r="AS325" s="141"/>
    </row>
    <row r="326" spans="1:45" x14ac:dyDescent="0.3">
      <c r="A326" s="282"/>
      <c r="C326" s="116"/>
      <c r="F326" s="172"/>
      <c r="G326" s="1"/>
      <c r="H326" s="172"/>
      <c r="I326" s="147"/>
      <c r="J326" s="228"/>
      <c r="K326" s="242"/>
      <c r="L326" s="106"/>
      <c r="M326" s="106"/>
      <c r="N326" s="175"/>
      <c r="O326" s="175"/>
      <c r="P326" s="106"/>
      <c r="Q326" s="106"/>
      <c r="R326" s="106"/>
      <c r="AA326" s="110"/>
      <c r="AC326" s="110"/>
      <c r="AD326" s="110"/>
      <c r="AE326" s="216"/>
      <c r="AF326" s="216"/>
      <c r="AH326" s="110"/>
      <c r="AI326" s="141"/>
      <c r="AJ326" s="141"/>
      <c r="AL326" s="110"/>
      <c r="AM326" s="207"/>
      <c r="AN326" s="207"/>
      <c r="AO326" s="110"/>
      <c r="AP326" s="110"/>
      <c r="AR326" s="110"/>
      <c r="AS326" s="141"/>
    </row>
    <row r="327" spans="1:45" x14ac:dyDescent="0.3">
      <c r="A327" s="282">
        <f>A325+1</f>
        <v>216</v>
      </c>
      <c r="B327" s="276"/>
      <c r="C327" s="124" t="s">
        <v>834</v>
      </c>
      <c r="F327" s="172"/>
      <c r="G327" s="1"/>
      <c r="H327" s="172"/>
      <c r="I327" s="147"/>
      <c r="J327" s="228"/>
      <c r="K327" s="242"/>
      <c r="L327" s="106"/>
      <c r="M327" s="106"/>
      <c r="N327" s="175"/>
      <c r="O327" s="175"/>
      <c r="P327" s="106"/>
      <c r="Q327" s="106"/>
      <c r="R327" s="106"/>
      <c r="AA327" s="110"/>
      <c r="AC327" s="110"/>
      <c r="AD327" s="110"/>
      <c r="AE327" s="216"/>
      <c r="AF327" s="216"/>
      <c r="AH327" s="110"/>
      <c r="AI327" s="141"/>
      <c r="AJ327" s="141"/>
      <c r="AL327" s="110"/>
      <c r="AM327" s="207"/>
      <c r="AN327" s="207"/>
      <c r="AO327" s="110"/>
      <c r="AP327" s="110"/>
      <c r="AR327" s="110"/>
      <c r="AS327" s="141"/>
    </row>
    <row r="328" spans="1:45" x14ac:dyDescent="0.3">
      <c r="A328" s="282">
        <f>A327+1</f>
        <v>217</v>
      </c>
      <c r="B328" s="276"/>
      <c r="C328" s="116" t="s">
        <v>836</v>
      </c>
      <c r="F328" s="172">
        <v>0</v>
      </c>
      <c r="G328" s="1"/>
      <c r="H328" s="172"/>
      <c r="I328" s="147"/>
      <c r="J328" s="228">
        <v>1.83</v>
      </c>
      <c r="K328" s="242"/>
      <c r="L328" s="106">
        <f>ROUND((F328*J328),0)</f>
        <v>0</v>
      </c>
      <c r="M328" s="106"/>
      <c r="N328" s="175">
        <v>0</v>
      </c>
      <c r="O328" s="175"/>
      <c r="P328" s="106"/>
      <c r="Q328" s="106"/>
      <c r="R328" s="106">
        <f>L328+P328</f>
        <v>0</v>
      </c>
      <c r="AA328" s="110"/>
      <c r="AC328" s="110"/>
      <c r="AD328" s="110"/>
      <c r="AE328" s="216"/>
      <c r="AF328" s="216"/>
      <c r="AH328" s="110"/>
      <c r="AI328" s="141"/>
      <c r="AJ328" s="141"/>
      <c r="AL328" s="110"/>
      <c r="AM328" s="207"/>
      <c r="AN328" s="207"/>
      <c r="AO328" s="110"/>
      <c r="AP328" s="110"/>
      <c r="AR328" s="110"/>
      <c r="AS328" s="141"/>
    </row>
    <row r="329" spans="1:45" x14ac:dyDescent="0.3">
      <c r="A329" s="282">
        <f>A328+1</f>
        <v>218</v>
      </c>
      <c r="B329" s="276"/>
      <c r="C329" s="116" t="s">
        <v>837</v>
      </c>
      <c r="F329" s="172">
        <v>0</v>
      </c>
      <c r="G329" s="1"/>
      <c r="H329" s="172"/>
      <c r="I329" s="147"/>
      <c r="J329" s="228">
        <v>1.71</v>
      </c>
      <c r="K329" s="242"/>
      <c r="L329" s="106">
        <f>ROUND((F329*J329),0)</f>
        <v>0</v>
      </c>
      <c r="M329" s="106"/>
      <c r="N329" s="175">
        <v>0</v>
      </c>
      <c r="O329" s="175"/>
      <c r="P329" s="106"/>
      <c r="Q329" s="106"/>
      <c r="R329" s="106">
        <f>L329+P329</f>
        <v>0</v>
      </c>
      <c r="AA329" s="110"/>
      <c r="AC329" s="110"/>
      <c r="AD329" s="110"/>
      <c r="AE329" s="216"/>
      <c r="AF329" s="216"/>
      <c r="AH329" s="110"/>
      <c r="AI329" s="141"/>
      <c r="AJ329" s="141"/>
      <c r="AL329" s="110"/>
      <c r="AM329" s="207"/>
      <c r="AN329" s="207"/>
      <c r="AO329" s="110"/>
      <c r="AP329" s="110"/>
      <c r="AR329" s="110"/>
      <c r="AS329" s="141"/>
    </row>
    <row r="330" spans="1:45" x14ac:dyDescent="0.3">
      <c r="A330" s="282">
        <f>A329+1</f>
        <v>219</v>
      </c>
      <c r="C330" s="169" t="s">
        <v>835</v>
      </c>
      <c r="F330" s="112">
        <f>SUM(F328:F329)</f>
        <v>0</v>
      </c>
      <c r="G330" s="1"/>
      <c r="H330" s="172"/>
      <c r="I330" s="147"/>
      <c r="J330" s="228"/>
      <c r="K330" s="242"/>
      <c r="L330" s="112">
        <f>SUM(L328:L329)</f>
        <v>0</v>
      </c>
      <c r="M330" s="106"/>
      <c r="N330" s="193">
        <f>ROUND((L330/L$340)*100,1)</f>
        <v>0</v>
      </c>
      <c r="O330" s="175"/>
      <c r="P330" s="106"/>
      <c r="Q330" s="106"/>
      <c r="R330" s="112">
        <f>SUM(R328:R329)</f>
        <v>0</v>
      </c>
      <c r="AA330" s="110"/>
      <c r="AC330" s="110"/>
      <c r="AD330" s="110"/>
      <c r="AE330" s="216"/>
      <c r="AF330" s="216"/>
      <c r="AH330" s="110"/>
      <c r="AI330" s="141"/>
      <c r="AJ330" s="141"/>
      <c r="AL330" s="110"/>
      <c r="AM330" s="207"/>
      <c r="AN330" s="207"/>
      <c r="AO330" s="110"/>
      <c r="AP330" s="110"/>
      <c r="AR330" s="110"/>
      <c r="AS330" s="141"/>
    </row>
    <row r="331" spans="1:45" x14ac:dyDescent="0.3">
      <c r="A331" s="282"/>
      <c r="C331" s="116"/>
      <c r="F331" s="172"/>
      <c r="G331" s="1"/>
      <c r="H331" s="172"/>
      <c r="I331" s="147"/>
      <c r="J331" s="228"/>
      <c r="K331" s="242"/>
      <c r="L331" s="106"/>
      <c r="M331" s="106"/>
      <c r="N331" s="175"/>
      <c r="O331" s="175"/>
      <c r="P331" s="106"/>
      <c r="Q331" s="106"/>
      <c r="R331" s="106"/>
      <c r="AA331" s="110"/>
      <c r="AC331" s="110"/>
      <c r="AD331" s="110"/>
      <c r="AE331" s="216"/>
      <c r="AF331" s="216"/>
      <c r="AH331" s="110"/>
      <c r="AI331" s="141"/>
      <c r="AJ331" s="141"/>
      <c r="AL331" s="110"/>
      <c r="AM331" s="207"/>
      <c r="AN331" s="207"/>
      <c r="AO331" s="110"/>
      <c r="AP331" s="110"/>
      <c r="AR331" s="110"/>
      <c r="AS331" s="141"/>
    </row>
    <row r="332" spans="1:45" x14ac:dyDescent="0.3">
      <c r="A332" s="98">
        <f>A325+1</f>
        <v>216</v>
      </c>
      <c r="C332" s="169" t="s">
        <v>715</v>
      </c>
      <c r="F332" s="112">
        <f>F325+F314+F249+F233+F108+F330</f>
        <v>2283</v>
      </c>
      <c r="G332" s="1"/>
      <c r="H332" s="112">
        <f>H108</f>
        <v>42161</v>
      </c>
      <c r="I332" s="147"/>
      <c r="J332" s="228"/>
      <c r="K332" s="242"/>
      <c r="L332" s="112">
        <f>L325+L314+L249+L233+L108+L110+L330</f>
        <v>22507.429167999999</v>
      </c>
      <c r="M332" s="106"/>
      <c r="N332" s="193">
        <f>ROUND((L332/L$340)*100,1)</f>
        <v>99</v>
      </c>
      <c r="O332" s="175"/>
      <c r="P332" s="106"/>
      <c r="Q332" s="106"/>
      <c r="R332" s="112">
        <f>R325+R314+R249+R233+R108+R110+R330</f>
        <v>22507.429167999999</v>
      </c>
      <c r="AA332" s="110"/>
      <c r="AC332" s="110"/>
      <c r="AD332" s="110"/>
      <c r="AE332" s="216"/>
      <c r="AF332" s="216"/>
      <c r="AH332" s="110"/>
      <c r="AI332" s="141"/>
      <c r="AJ332" s="141"/>
      <c r="AL332" s="110"/>
      <c r="AM332" s="207"/>
      <c r="AN332" s="207"/>
      <c r="AO332" s="110"/>
      <c r="AP332" s="110"/>
      <c r="AR332" s="110"/>
      <c r="AS332" s="141"/>
    </row>
    <row r="333" spans="1:45" x14ac:dyDescent="0.3">
      <c r="A333" s="282"/>
      <c r="C333" s="116"/>
      <c r="F333" s="172"/>
      <c r="G333" s="1"/>
      <c r="H333" s="172"/>
      <c r="I333" s="147"/>
      <c r="J333" s="228"/>
      <c r="K333" s="242"/>
      <c r="L333" s="106"/>
      <c r="M333" s="106"/>
      <c r="N333" s="175"/>
      <c r="O333" s="175"/>
      <c r="P333" s="106"/>
      <c r="Q333" s="106"/>
      <c r="R333" s="106"/>
      <c r="AA333" s="110"/>
      <c r="AC333" s="110"/>
      <c r="AD333" s="110"/>
      <c r="AE333" s="216"/>
      <c r="AF333" s="216"/>
      <c r="AH333" s="110"/>
      <c r="AI333" s="141"/>
      <c r="AJ333" s="141"/>
      <c r="AL333" s="110"/>
      <c r="AM333" s="207"/>
      <c r="AN333" s="207"/>
      <c r="AO333" s="110"/>
      <c r="AP333" s="110"/>
      <c r="AR333" s="110"/>
      <c r="AS333" s="141"/>
    </row>
    <row r="334" spans="1:45" x14ac:dyDescent="0.3">
      <c r="A334" s="331">
        <f>A332+1</f>
        <v>217</v>
      </c>
      <c r="C334" s="124" t="s">
        <v>872</v>
      </c>
      <c r="F334" s="106"/>
      <c r="G334" s="1"/>
      <c r="H334" s="106"/>
      <c r="I334" s="106"/>
      <c r="J334" s="1"/>
      <c r="K334" s="1"/>
      <c r="L334" s="106"/>
      <c r="M334" s="106"/>
      <c r="N334" s="175"/>
      <c r="O334" s="138"/>
      <c r="P334" s="110"/>
      <c r="Q334" s="106"/>
      <c r="R334" s="106"/>
      <c r="AA334" s="110"/>
      <c r="AC334" s="110"/>
      <c r="AD334" s="110"/>
      <c r="AE334" s="216"/>
      <c r="AF334" s="216"/>
      <c r="AH334" s="110"/>
      <c r="AI334" s="141"/>
      <c r="AJ334" s="141"/>
      <c r="AL334" s="110"/>
      <c r="AM334" s="207"/>
      <c r="AN334" s="207"/>
      <c r="AO334" s="110"/>
      <c r="AP334" s="110"/>
      <c r="AR334" s="110"/>
      <c r="AS334" s="141"/>
    </row>
    <row r="335" spans="1:45" x14ac:dyDescent="0.3">
      <c r="A335" s="331">
        <f>A334+1</f>
        <v>218</v>
      </c>
      <c r="C335" s="176" t="str">
        <f>ESM_Name</f>
        <v>ENVIRONMENTAL SURCHARGE MECHANISM RIDER (ESM)</v>
      </c>
      <c r="F335" s="106"/>
      <c r="G335" s="1"/>
      <c r="H335" s="106"/>
      <c r="I335" s="106"/>
      <c r="J335" s="337">
        <f>PRO_ESM_NONRES</f>
        <v>5.3681872802409589E-3</v>
      </c>
      <c r="K335" s="1"/>
      <c r="L335" s="106">
        <f>ROUND((R332-(PRO_BASE_FUEL*H332)+R337)*J335,0)</f>
        <v>114</v>
      </c>
      <c r="M335" s="106"/>
      <c r="N335" s="175">
        <v>0</v>
      </c>
      <c r="O335" s="138"/>
      <c r="P335" s="110"/>
      <c r="Q335" s="106"/>
      <c r="R335" s="106">
        <f>L335+P335</f>
        <v>114</v>
      </c>
      <c r="AA335" s="110"/>
      <c r="AC335" s="110"/>
      <c r="AD335" s="110"/>
      <c r="AE335" s="216"/>
      <c r="AF335" s="216"/>
      <c r="AH335" s="110"/>
      <c r="AI335" s="141"/>
      <c r="AJ335" s="141"/>
      <c r="AL335" s="110"/>
      <c r="AM335" s="207"/>
      <c r="AN335" s="207"/>
      <c r="AO335" s="110"/>
      <c r="AP335" s="110"/>
      <c r="AR335" s="110"/>
      <c r="AS335" s="141"/>
    </row>
    <row r="336" spans="1:45" x14ac:dyDescent="0.3">
      <c r="A336" s="331">
        <f>A335+1</f>
        <v>219</v>
      </c>
      <c r="C336" s="176" t="str">
        <f>FAC_Name</f>
        <v>FUEL ADJUSTMENT CLAUSE (FAC)</v>
      </c>
      <c r="F336" s="106"/>
      <c r="G336" s="1"/>
      <c r="H336" s="106"/>
      <c r="I336" s="106"/>
      <c r="J336" s="307">
        <f>PRO_FAC</f>
        <v>3.4872127999999998E-3</v>
      </c>
      <c r="K336" s="1"/>
      <c r="L336" s="106"/>
      <c r="M336" s="106"/>
      <c r="N336" s="175">
        <v>0</v>
      </c>
      <c r="O336" s="138"/>
      <c r="P336" s="106">
        <f>ROUND($J336*$H110,0)</f>
        <v>147</v>
      </c>
      <c r="Q336" s="106"/>
      <c r="R336" s="106">
        <f>L336+P336</f>
        <v>147</v>
      </c>
      <c r="AA336" s="110"/>
      <c r="AC336" s="110"/>
      <c r="AD336" s="110"/>
      <c r="AE336" s="216"/>
      <c r="AF336" s="216"/>
      <c r="AH336" s="110"/>
      <c r="AI336" s="141"/>
      <c r="AJ336" s="141"/>
      <c r="AL336" s="110"/>
      <c r="AM336" s="207"/>
      <c r="AN336" s="207"/>
      <c r="AO336" s="110"/>
      <c r="AP336" s="110"/>
      <c r="AR336" s="110"/>
      <c r="AS336" s="141"/>
    </row>
    <row r="337" spans="1:53" x14ac:dyDescent="0.3">
      <c r="A337" s="331">
        <f>A336+1</f>
        <v>220</v>
      </c>
      <c r="C337" s="176" t="str">
        <f>PSM_Name</f>
        <v>PROFIT SHARING MECHANISM (PSM)</v>
      </c>
      <c r="F337" s="106"/>
      <c r="G337" s="1"/>
      <c r="H337" s="106"/>
      <c r="I337" s="106"/>
      <c r="J337" s="307">
        <f>PRO_PSM</f>
        <v>2.4750000000000002E-3</v>
      </c>
      <c r="K337" s="1"/>
      <c r="L337" s="117">
        <f>ROUND((+$H$110)*J337,0)</f>
        <v>104</v>
      </c>
      <c r="M337" s="106"/>
      <c r="N337" s="156">
        <v>0</v>
      </c>
      <c r="O337" s="138"/>
      <c r="P337" s="243"/>
      <c r="Q337" s="106"/>
      <c r="R337" s="117">
        <f>L337+P337</f>
        <v>104</v>
      </c>
      <c r="AA337" s="110"/>
      <c r="AC337" s="110"/>
      <c r="AD337" s="110"/>
      <c r="AE337" s="216"/>
      <c r="AF337" s="216"/>
      <c r="AH337" s="110"/>
      <c r="AI337" s="141"/>
      <c r="AJ337" s="141"/>
      <c r="AL337" s="110"/>
      <c r="AM337" s="207"/>
      <c r="AN337" s="207"/>
      <c r="AO337" s="110"/>
      <c r="AP337" s="110"/>
      <c r="AR337" s="110"/>
      <c r="AS337" s="141"/>
    </row>
    <row r="338" spans="1:53" x14ac:dyDescent="0.3">
      <c r="A338" s="331">
        <f>A337+1</f>
        <v>221</v>
      </c>
      <c r="C338" s="124" t="s">
        <v>461</v>
      </c>
      <c r="F338" s="106"/>
      <c r="G338" s="1"/>
      <c r="H338" s="106"/>
      <c r="I338" s="106"/>
      <c r="J338" s="1"/>
      <c r="K338" s="1"/>
      <c r="L338" s="112">
        <f>SUM(L335:L337)</f>
        <v>218</v>
      </c>
      <c r="M338" s="106"/>
      <c r="N338" s="193">
        <f>ROUND((L338/L$340)*100,1)</f>
        <v>1</v>
      </c>
      <c r="O338" s="138"/>
      <c r="P338" s="261"/>
      <c r="Q338" s="106"/>
      <c r="R338" s="112">
        <f>SUM(R335:R337)</f>
        <v>365</v>
      </c>
      <c r="AA338" s="110"/>
      <c r="AC338" s="110"/>
      <c r="AD338" s="110"/>
      <c r="AE338" s="216"/>
      <c r="AF338" s="216"/>
      <c r="AH338" s="110"/>
      <c r="AI338" s="141"/>
      <c r="AJ338" s="141"/>
      <c r="AL338" s="110"/>
      <c r="AM338" s="207"/>
      <c r="AN338" s="207"/>
      <c r="AO338" s="110"/>
      <c r="AP338" s="110"/>
      <c r="AR338" s="110"/>
      <c r="AS338" s="141"/>
    </row>
    <row r="339" spans="1:53" x14ac:dyDescent="0.3">
      <c r="A339" s="331"/>
      <c r="C339" s="124"/>
      <c r="F339" s="106"/>
      <c r="G339" s="1"/>
      <c r="H339" s="106"/>
      <c r="I339" s="106"/>
      <c r="J339" s="1"/>
      <c r="K339" s="1"/>
      <c r="L339" s="106"/>
      <c r="M339" s="106"/>
      <c r="N339" s="175"/>
      <c r="O339" s="138"/>
      <c r="P339" s="110"/>
      <c r="Q339" s="106"/>
      <c r="R339" s="106"/>
      <c r="AA339" s="110"/>
      <c r="AC339" s="110"/>
      <c r="AD339" s="110"/>
      <c r="AE339" s="216"/>
      <c r="AF339" s="216"/>
      <c r="AH339" s="110"/>
      <c r="AI339" s="141"/>
      <c r="AJ339" s="141"/>
      <c r="AL339" s="110"/>
      <c r="AM339" s="207"/>
      <c r="AN339" s="207"/>
      <c r="AO339" s="110"/>
      <c r="AP339" s="110"/>
      <c r="AR339" s="110"/>
      <c r="AS339" s="141"/>
    </row>
    <row r="340" spans="1:53" ht="16.2" thickBot="1" x14ac:dyDescent="0.35">
      <c r="A340" s="98">
        <f>A338+1</f>
        <v>222</v>
      </c>
      <c r="C340" s="169" t="s">
        <v>578</v>
      </c>
      <c r="F340" s="143">
        <f>F325+F314+F249+F233+F108</f>
        <v>2283</v>
      </c>
      <c r="G340" s="1"/>
      <c r="H340" s="143">
        <f>H108</f>
        <v>42161</v>
      </c>
      <c r="I340" s="106"/>
      <c r="J340" s="1"/>
      <c r="K340" s="1"/>
      <c r="L340" s="143">
        <f>L325+L314+L249+L233+L108+L110+L338+L330</f>
        <v>22725.429167999999</v>
      </c>
      <c r="M340" s="106"/>
      <c r="N340" s="193">
        <f>ROUND((L340/L$340)*100,1)</f>
        <v>100</v>
      </c>
      <c r="O340" s="175"/>
      <c r="P340" s="120">
        <f>ROUND(H340*CUR_FAC,0)</f>
        <v>147</v>
      </c>
      <c r="Q340" s="106"/>
      <c r="R340" s="143">
        <f>R325+R314+R249+R233+R108+R110+R338+R330</f>
        <v>22872.429167999999</v>
      </c>
      <c r="AA340" s="110"/>
      <c r="AC340" s="110"/>
      <c r="AD340" s="110"/>
      <c r="AE340" s="216"/>
      <c r="AF340" s="216"/>
      <c r="AH340" s="110"/>
      <c r="AI340" s="141"/>
      <c r="AJ340" s="141"/>
      <c r="AL340" s="110"/>
      <c r="AM340" s="207"/>
      <c r="AN340" s="207"/>
      <c r="AO340" s="110"/>
      <c r="AP340" s="110"/>
      <c r="AR340" s="110"/>
      <c r="AS340" s="141"/>
    </row>
    <row r="341" spans="1:53" ht="16.2" thickTop="1" x14ac:dyDescent="0.3">
      <c r="C341" s="99"/>
      <c r="F341" s="106"/>
      <c r="G341" s="1"/>
      <c r="H341" s="106"/>
      <c r="I341" s="106"/>
      <c r="J341" s="1"/>
      <c r="K341" s="1"/>
      <c r="L341" s="106"/>
      <c r="M341" s="106"/>
      <c r="N341" s="175"/>
      <c r="O341" s="175"/>
      <c r="P341" s="106"/>
      <c r="Q341" s="106"/>
      <c r="R341" s="106"/>
      <c r="AA341" s="110"/>
      <c r="AC341" s="110"/>
      <c r="AD341" s="110"/>
      <c r="AE341" s="216"/>
      <c r="AF341" s="216"/>
      <c r="AH341" s="110"/>
      <c r="AI341" s="141"/>
      <c r="AJ341" s="141"/>
      <c r="AL341" s="110"/>
      <c r="AM341" s="207"/>
      <c r="AN341" s="207"/>
      <c r="AO341" s="110"/>
      <c r="AP341" s="110"/>
      <c r="AR341" s="110"/>
      <c r="AS341" s="141"/>
    </row>
    <row r="342" spans="1:53" x14ac:dyDescent="0.3">
      <c r="A342" s="178" t="s">
        <v>76</v>
      </c>
      <c r="B342" s="279"/>
      <c r="C342" s="279"/>
      <c r="D342" s="279"/>
      <c r="E342" s="279"/>
      <c r="F342" s="279"/>
      <c r="G342" s="279"/>
      <c r="H342" s="279"/>
      <c r="I342" s="279"/>
      <c r="J342" s="248"/>
      <c r="K342" s="279"/>
      <c r="L342" s="280"/>
      <c r="M342" s="279"/>
      <c r="N342" s="279"/>
      <c r="O342" s="279"/>
      <c r="P342" s="248"/>
      <c r="Q342" s="134"/>
      <c r="R342" s="134"/>
      <c r="AA342" s="110"/>
      <c r="AC342" s="110"/>
      <c r="AD342" s="110"/>
      <c r="AE342" s="216"/>
      <c r="AF342" s="216"/>
      <c r="AH342" s="110"/>
      <c r="AI342" s="141"/>
      <c r="AJ342" s="141"/>
      <c r="AL342" s="110"/>
      <c r="AM342" s="207"/>
      <c r="AN342" s="207"/>
      <c r="AO342" s="110"/>
      <c r="AP342" s="110"/>
      <c r="AR342" s="110"/>
      <c r="AS342" s="141"/>
    </row>
    <row r="343" spans="1:53" x14ac:dyDescent="0.3">
      <c r="A343" s="178" t="str">
        <f>"(1A) REFLECTS FUEL COST RECOVERY INCLUDED IN BASE RATES OF "&amp;TEXT(CUR_BASE_FUEL,"$0.000000;($0.000000)")&amp;"  PER KWH."</f>
        <v>(1A) REFLECTS FUEL COST RECOVERY INCLUDED IN BASE RATES OF $0.033780  PER KWH.</v>
      </c>
      <c r="B343" s="279"/>
      <c r="C343" s="279"/>
      <c r="D343" s="279"/>
      <c r="E343" s="279"/>
      <c r="F343" s="281"/>
      <c r="G343" s="279"/>
      <c r="H343" s="279"/>
      <c r="I343" s="279"/>
      <c r="J343" s="248"/>
      <c r="K343" s="279"/>
      <c r="L343" s="280"/>
      <c r="M343" s="279"/>
      <c r="N343" s="279"/>
      <c r="O343" s="279"/>
      <c r="P343" s="248"/>
      <c r="Q343" s="134"/>
      <c r="R343" s="134"/>
      <c r="AA343" s="110"/>
      <c r="AC343" s="110"/>
      <c r="AD343" s="110"/>
      <c r="AE343" s="216"/>
      <c r="AF343" s="216"/>
      <c r="AH343" s="110"/>
      <c r="AI343" s="141"/>
      <c r="AJ343" s="141"/>
      <c r="AL343" s="110"/>
      <c r="AM343" s="207"/>
      <c r="AN343" s="207"/>
      <c r="AO343" s="110"/>
      <c r="AP343" s="110"/>
      <c r="AR343" s="110"/>
      <c r="AS343" s="141"/>
    </row>
    <row r="344" spans="1:53" x14ac:dyDescent="0.3">
      <c r="A344" s="178" t="str">
        <f>"(2) REFLECTS FUEL COMPONENT OF "&amp;TEXT(CUR_FAC,"$0.000000;($0.000000)")&amp;"  PER KWH."</f>
        <v>(2) REFLECTS FUEL COMPONENT OF $0.003487  PER KWH.</v>
      </c>
      <c r="B344" s="279"/>
      <c r="C344" s="279"/>
      <c r="D344" s="279"/>
      <c r="E344" s="279"/>
      <c r="F344" s="281"/>
      <c r="G344" s="279"/>
      <c r="H344" s="279"/>
      <c r="I344" s="279"/>
      <c r="J344" s="248"/>
      <c r="K344" s="279"/>
      <c r="L344" s="280"/>
      <c r="M344" s="279"/>
      <c r="N344" s="279"/>
      <c r="O344" s="279"/>
      <c r="P344" s="248"/>
      <c r="Q344" s="134"/>
      <c r="R344" s="134"/>
      <c r="AA344" s="110"/>
      <c r="AC344" s="110"/>
      <c r="AD344" s="110"/>
      <c r="AE344" s="216"/>
      <c r="AF344" s="216"/>
      <c r="AH344" s="110"/>
      <c r="AI344" s="141"/>
      <c r="AJ344" s="141"/>
      <c r="AL344" s="110"/>
      <c r="AM344" s="207"/>
      <c r="AN344" s="207"/>
      <c r="AO344" s="110"/>
      <c r="AP344" s="110"/>
      <c r="AR344" s="110"/>
      <c r="AS344" s="141"/>
    </row>
    <row r="345" spans="1:53" x14ac:dyDescent="0.3">
      <c r="A345" s="248"/>
      <c r="B345" s="279"/>
      <c r="C345" s="279"/>
      <c r="D345" s="279"/>
      <c r="E345" s="279"/>
      <c r="F345" s="281"/>
      <c r="G345" s="279"/>
      <c r="H345" s="279"/>
      <c r="I345" s="279"/>
      <c r="J345" s="248"/>
      <c r="K345" s="279"/>
      <c r="L345" s="280"/>
      <c r="M345" s="279"/>
      <c r="N345" s="279"/>
      <c r="O345" s="279"/>
      <c r="P345" s="248"/>
      <c r="Q345" s="134"/>
      <c r="R345" s="134"/>
      <c r="AA345" s="110"/>
      <c r="AC345" s="110"/>
      <c r="AD345" s="110"/>
      <c r="AE345" s="216"/>
      <c r="AF345" s="216"/>
      <c r="AH345" s="110"/>
      <c r="AI345" s="141"/>
      <c r="AJ345" s="141"/>
      <c r="AL345" s="110"/>
      <c r="AM345" s="207"/>
      <c r="AN345" s="207"/>
      <c r="AO345" s="110"/>
      <c r="AP345" s="110"/>
      <c r="AR345" s="110"/>
      <c r="AS345" s="141"/>
    </row>
    <row r="346" spans="1:53" x14ac:dyDescent="0.3">
      <c r="A346" s="248"/>
      <c r="B346" s="279"/>
      <c r="C346" s="279"/>
      <c r="D346" s="279"/>
      <c r="E346" s="279"/>
      <c r="F346" s="281"/>
      <c r="G346" s="279"/>
      <c r="H346" s="279"/>
      <c r="I346" s="279"/>
      <c r="J346" s="248"/>
      <c r="K346" s="279"/>
      <c r="L346" s="280"/>
      <c r="M346" s="279"/>
      <c r="N346" s="279"/>
      <c r="O346" s="279"/>
      <c r="P346" s="248"/>
      <c r="Q346" s="134"/>
      <c r="R346" s="134"/>
    </row>
    <row r="347" spans="1:53" ht="18" customHeight="1" x14ac:dyDescent="0.3">
      <c r="A347" s="116"/>
      <c r="F347" s="163"/>
      <c r="J347" s="116"/>
      <c r="V347" s="99"/>
      <c r="AA347" s="110"/>
      <c r="AC347" s="110"/>
      <c r="AD347" s="110"/>
      <c r="AE347" s="217"/>
      <c r="AF347" s="217"/>
      <c r="AH347" s="110"/>
      <c r="AI347" s="141"/>
      <c r="AJ347" s="141"/>
      <c r="AL347" s="110"/>
      <c r="AM347" s="141"/>
      <c r="AN347" s="141"/>
      <c r="AO347" s="110"/>
      <c r="AP347" s="110"/>
      <c r="AR347" s="110"/>
      <c r="AS347" s="141"/>
    </row>
    <row r="348" spans="1:53" ht="15" customHeight="1" x14ac:dyDescent="0.3">
      <c r="A348" s="116"/>
      <c r="F348" s="110"/>
      <c r="H348" s="110"/>
      <c r="J348" s="116"/>
      <c r="N348" s="163"/>
      <c r="P348" s="116"/>
      <c r="V348" s="99"/>
      <c r="AA348" s="172"/>
      <c r="AC348" s="172"/>
      <c r="AD348" s="172"/>
      <c r="AE348" s="217"/>
      <c r="AF348" s="217"/>
      <c r="AH348" s="110"/>
      <c r="AI348" s="141"/>
      <c r="AJ348" s="141"/>
      <c r="AL348" s="110"/>
      <c r="AO348" s="110"/>
      <c r="AP348" s="110"/>
      <c r="AR348" s="110"/>
      <c r="AS348" s="141"/>
    </row>
    <row r="350" spans="1:53" x14ac:dyDescent="0.3">
      <c r="V350" s="99"/>
      <c r="AA350" s="110"/>
      <c r="AC350" s="172"/>
      <c r="AD350" s="172"/>
      <c r="AE350" s="181"/>
      <c r="AF350" s="181"/>
      <c r="AH350" s="110"/>
      <c r="AI350" s="141"/>
      <c r="AJ350" s="141"/>
      <c r="AL350" s="110"/>
      <c r="AM350" s="207"/>
      <c r="AN350" s="207"/>
      <c r="AR350" s="110"/>
      <c r="AS350" s="141"/>
    </row>
    <row r="351" spans="1:53" x14ac:dyDescent="0.3">
      <c r="C351" s="99"/>
      <c r="F351" s="106"/>
      <c r="G351" s="1"/>
      <c r="H351" s="110"/>
      <c r="I351" s="106"/>
      <c r="J351" s="1"/>
      <c r="K351" s="1"/>
      <c r="L351" s="1"/>
      <c r="M351" s="1"/>
      <c r="N351" s="1"/>
      <c r="O351" s="1"/>
      <c r="P351" s="106"/>
      <c r="Q351" s="106"/>
      <c r="R351" s="175"/>
      <c r="S351" s="138"/>
      <c r="T351" s="106"/>
      <c r="U351" s="106"/>
      <c r="V351" s="106"/>
      <c r="Z351" s="102"/>
      <c r="AA351" s="102"/>
      <c r="AB351" s="102"/>
      <c r="AC351" s="102"/>
      <c r="AD351" s="102"/>
      <c r="AE351" s="102"/>
      <c r="AG351" s="151"/>
      <c r="AH351" s="102"/>
      <c r="AI351" s="102"/>
      <c r="AJ351" s="102"/>
      <c r="AK351" s="151"/>
      <c r="AL351" s="102"/>
      <c r="AM351" s="102"/>
      <c r="AN351" s="102"/>
      <c r="AO351" s="102"/>
      <c r="AP351" s="102"/>
      <c r="AQ351" s="151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</row>
    <row r="352" spans="1:53" x14ac:dyDescent="0.3">
      <c r="C352" s="99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75"/>
      <c r="T352" s="353" t="str">
        <f>NAME</f>
        <v>DUKE ENERGY KENTUCKY, INC.</v>
      </c>
      <c r="U352" s="353"/>
      <c r="V352" s="353"/>
      <c r="W352" s="353"/>
      <c r="X352" s="353"/>
      <c r="Y352" s="353"/>
      <c r="Z352" s="353"/>
      <c r="AA352" s="353"/>
      <c r="AB352" s="353"/>
      <c r="AC352" s="353"/>
      <c r="AD352" s="353"/>
      <c r="AE352" s="353"/>
      <c r="AF352" s="353"/>
      <c r="AG352" s="353"/>
      <c r="AH352" s="353"/>
      <c r="AI352" s="353"/>
      <c r="AJ352" s="353"/>
      <c r="AK352" s="353"/>
      <c r="AL352" s="353"/>
      <c r="AM352" s="353"/>
      <c r="AN352" s="353"/>
      <c r="AO352" s="353"/>
      <c r="AP352" s="353"/>
      <c r="AQ352" s="353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</row>
    <row r="353" spans="3:53" x14ac:dyDescent="0.3">
      <c r="C353" s="99"/>
      <c r="F353" s="147"/>
      <c r="G353" s="106"/>
      <c r="H353" s="147"/>
      <c r="I353" s="147"/>
      <c r="J353" s="147"/>
      <c r="K353" s="147"/>
      <c r="L353" s="242"/>
      <c r="M353" s="147"/>
      <c r="N353" s="147"/>
      <c r="O353" s="147"/>
      <c r="P353" s="106"/>
      <c r="Q353" s="106"/>
      <c r="R353" s="106"/>
      <c r="S353" s="175"/>
      <c r="T353" s="97" t="str">
        <f>CASE_NO</f>
        <v>CASE NO.   2024-00354</v>
      </c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</row>
    <row r="354" spans="3:53" x14ac:dyDescent="0.3">
      <c r="C354" s="99"/>
      <c r="F354" s="147"/>
      <c r="G354" s="106"/>
      <c r="H354" s="147"/>
      <c r="I354" s="147"/>
      <c r="J354" s="147"/>
      <c r="K354" s="147"/>
      <c r="L354" s="147"/>
      <c r="M354" s="147"/>
      <c r="N354" s="147"/>
      <c r="O354" s="147"/>
      <c r="P354" s="147"/>
      <c r="Q354" s="106"/>
      <c r="R354" s="147"/>
      <c r="S354" s="175"/>
      <c r="T354" s="97" t="str">
        <f>TITLE</f>
        <v>ANNUALIZED BASE YEAR REVENUES AT PROPOSED VS. MOST CURRENT RATES</v>
      </c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</row>
    <row r="355" spans="3:53" x14ac:dyDescent="0.3">
      <c r="C355" s="99"/>
      <c r="F355" s="172"/>
      <c r="G355" s="110"/>
      <c r="H355" s="172"/>
      <c r="I355" s="172"/>
      <c r="J355" s="172"/>
      <c r="K355" s="172"/>
      <c r="L355" s="110"/>
      <c r="M355" s="110"/>
      <c r="N355" s="110"/>
      <c r="O355" s="110"/>
      <c r="P355" s="110"/>
      <c r="Q355" s="110"/>
      <c r="R355" s="110"/>
      <c r="T355" s="97" t="str">
        <f>DATE</f>
        <v>FOR THE TWELVE MONTHS ENDED February 28, 2025</v>
      </c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110"/>
      <c r="AS355" s="141"/>
    </row>
    <row r="356" spans="3:53" x14ac:dyDescent="0.3">
      <c r="F356" s="192"/>
      <c r="H356" s="110"/>
      <c r="I356" s="110"/>
      <c r="J356" s="217"/>
      <c r="K356" s="217"/>
      <c r="L356" s="192"/>
      <c r="M356" s="192"/>
      <c r="N356" s="192"/>
      <c r="O356" s="192"/>
      <c r="P356" s="192"/>
      <c r="Q356" s="192"/>
      <c r="R356" s="192"/>
      <c r="T356" s="97" t="str">
        <f>SERVICE</f>
        <v>(ELECTRIC SERVICE)</v>
      </c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110"/>
      <c r="AS356" s="141"/>
    </row>
    <row r="357" spans="3:53" x14ac:dyDescent="0.3">
      <c r="F357" s="192"/>
      <c r="H357" s="110"/>
      <c r="I357" s="110"/>
      <c r="J357" s="217"/>
      <c r="K357" s="217"/>
      <c r="L357" s="192"/>
      <c r="M357" s="192"/>
      <c r="N357" s="192"/>
      <c r="O357" s="192"/>
      <c r="P357" s="192"/>
      <c r="Q357" s="192"/>
      <c r="R357" s="192"/>
      <c r="T357" s="98" t="str">
        <f>DATA_PERIOD</f>
        <v>DATA: __X__ BASE PERIOD   ____FORECASTED PERIOD</v>
      </c>
      <c r="AG357" s="98"/>
      <c r="AK357" s="98"/>
      <c r="AO357" s="99" t="s">
        <v>157</v>
      </c>
      <c r="AQ357" s="98"/>
    </row>
    <row r="358" spans="3:53" x14ac:dyDescent="0.3">
      <c r="C358" s="99"/>
      <c r="F358" s="172"/>
      <c r="H358" s="172"/>
      <c r="I358" s="172"/>
      <c r="J358" s="227"/>
      <c r="K358" s="227"/>
      <c r="L358" s="110"/>
      <c r="M358" s="110"/>
      <c r="N358" s="141"/>
      <c r="O358" s="141"/>
      <c r="P358" s="110"/>
      <c r="Q358" s="110"/>
      <c r="R358" s="110"/>
      <c r="S358" s="110"/>
      <c r="T358" s="98" t="str">
        <f>TYPE</f>
        <v>TYPE OF FILING: _X_ ORIGINAL   ___UPDATED  ___ REVISED</v>
      </c>
      <c r="AG358" s="98"/>
      <c r="AK358" s="98"/>
      <c r="AO358" s="116" t="str">
        <f>"PAGE 20 OF "&amp;TEXT(Page_Num_2.2,"00")</f>
        <v>PAGE 20 OF 24</v>
      </c>
      <c r="AQ358" s="98"/>
      <c r="AR358" s="110"/>
      <c r="AS358" s="141"/>
    </row>
    <row r="359" spans="3:53" x14ac:dyDescent="0.3">
      <c r="C359" s="99"/>
      <c r="F359" s="172"/>
      <c r="H359" s="172"/>
      <c r="I359" s="172"/>
      <c r="J359" s="181"/>
      <c r="K359" s="181"/>
      <c r="L359" s="110"/>
      <c r="M359" s="110"/>
      <c r="N359" s="141"/>
      <c r="O359" s="141"/>
      <c r="P359" s="110"/>
      <c r="Q359" s="110"/>
      <c r="R359" s="110"/>
      <c r="T359" s="99" t="s">
        <v>170</v>
      </c>
      <c r="AO359" s="99" t="s">
        <v>4</v>
      </c>
      <c r="AP359" s="99"/>
    </row>
    <row r="360" spans="3:53" x14ac:dyDescent="0.3">
      <c r="F360" s="110"/>
      <c r="H360" s="192"/>
      <c r="I360" s="192"/>
      <c r="J360" s="217"/>
      <c r="K360" s="217"/>
      <c r="L360" s="192"/>
      <c r="M360" s="192"/>
      <c r="N360" s="192"/>
      <c r="O360" s="192"/>
      <c r="P360" s="192"/>
      <c r="Q360" s="192"/>
      <c r="R360" s="192"/>
      <c r="T360" s="134" t="str">
        <f>TIME</f>
        <v>6 Months Actual and 6 Months Projected with Riders</v>
      </c>
      <c r="AF360" s="99"/>
      <c r="AO360" s="110" t="str">
        <f>WIT</f>
        <v>B. L. Sailers</v>
      </c>
      <c r="AR360" s="110"/>
      <c r="AS360" s="141"/>
    </row>
    <row r="361" spans="3:53" x14ac:dyDescent="0.3">
      <c r="F361" s="110"/>
      <c r="H361" s="192"/>
      <c r="I361" s="192"/>
      <c r="J361" s="217"/>
      <c r="K361" s="217"/>
      <c r="L361" s="192"/>
      <c r="M361" s="192"/>
      <c r="N361" s="192"/>
      <c r="O361" s="192"/>
      <c r="P361" s="192"/>
      <c r="Q361" s="192"/>
      <c r="R361" s="192"/>
      <c r="T361" s="97" t="s">
        <v>130</v>
      </c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149"/>
      <c r="AH361" s="97"/>
      <c r="AI361" s="97"/>
      <c r="AJ361" s="97"/>
      <c r="AK361" s="149"/>
      <c r="AL361" s="97"/>
      <c r="AM361" s="97"/>
      <c r="AN361" s="97"/>
      <c r="AO361" s="97"/>
      <c r="AP361" s="97"/>
      <c r="AR361" s="110"/>
      <c r="AS361" s="141"/>
    </row>
    <row r="362" spans="3:53" x14ac:dyDescent="0.3">
      <c r="F362" s="110"/>
      <c r="H362" s="192"/>
      <c r="I362" s="192"/>
      <c r="J362" s="217"/>
      <c r="K362" s="217"/>
      <c r="L362" s="192"/>
      <c r="M362" s="192"/>
      <c r="N362" s="192"/>
      <c r="O362" s="192"/>
      <c r="P362" s="192"/>
      <c r="Q362" s="192"/>
      <c r="R362" s="192"/>
      <c r="T362" s="101"/>
      <c r="U362" s="101"/>
      <c r="V362" s="101"/>
      <c r="W362" s="101"/>
      <c r="X362" s="101"/>
      <c r="Y362" s="101"/>
      <c r="Z362" s="101"/>
      <c r="AA362" s="101"/>
      <c r="AB362" s="101"/>
      <c r="AC362" s="101"/>
      <c r="AD362" s="101"/>
      <c r="AE362" s="100"/>
      <c r="AF362" s="100"/>
      <c r="AG362" s="150"/>
      <c r="AH362" s="100"/>
      <c r="AI362" s="100"/>
      <c r="AJ362" s="100"/>
      <c r="AK362" s="150"/>
      <c r="AL362" s="100"/>
      <c r="AM362" s="100"/>
      <c r="AN362" s="101"/>
      <c r="AO362" s="101"/>
      <c r="AP362" s="101"/>
    </row>
    <row r="363" spans="3:53" ht="18" customHeight="1" x14ac:dyDescent="0.3">
      <c r="C363" s="99"/>
      <c r="F363" s="110"/>
      <c r="H363" s="110"/>
      <c r="I363" s="110"/>
      <c r="J363" s="217"/>
      <c r="K363" s="217"/>
      <c r="L363" s="110"/>
      <c r="M363" s="110"/>
      <c r="N363" s="110"/>
      <c r="O363" s="110"/>
      <c r="P363" s="110"/>
      <c r="Q363" s="110"/>
      <c r="R363" s="110"/>
      <c r="T363" s="174"/>
      <c r="U363" s="174"/>
      <c r="V363" s="174"/>
      <c r="W363" s="174"/>
      <c r="X363" s="174"/>
      <c r="Y363" s="174"/>
      <c r="Z363" s="174"/>
      <c r="AA363" s="174"/>
      <c r="AB363" s="174"/>
      <c r="AC363" s="174"/>
      <c r="AD363" s="174"/>
      <c r="AE363" s="102" t="s">
        <v>8</v>
      </c>
      <c r="AF363" s="102"/>
      <c r="AG363" s="151" t="s">
        <v>7</v>
      </c>
      <c r="AH363" s="102"/>
      <c r="AI363" s="102" t="s">
        <v>9</v>
      </c>
      <c r="AJ363" s="102"/>
      <c r="AK363" s="151" t="s">
        <v>10</v>
      </c>
      <c r="AL363" s="102"/>
      <c r="AN363" s="174"/>
      <c r="AO363" s="254" t="s">
        <v>8</v>
      </c>
      <c r="AP363" s="254"/>
      <c r="AQ363" s="255" t="s">
        <v>11</v>
      </c>
      <c r="AR363" s="110"/>
      <c r="AW363" s="172"/>
    </row>
    <row r="364" spans="3:53" x14ac:dyDescent="0.3">
      <c r="C364" s="99"/>
      <c r="F364" s="110"/>
      <c r="H364" s="172"/>
      <c r="I364" s="172"/>
      <c r="J364" s="228"/>
      <c r="K364" s="228"/>
      <c r="L364" s="110"/>
      <c r="M364" s="110"/>
      <c r="N364" s="141"/>
      <c r="O364" s="141"/>
      <c r="P364" s="110"/>
      <c r="Q364" s="110"/>
      <c r="R364" s="110"/>
      <c r="AC364" s="332" t="s">
        <v>567</v>
      </c>
      <c r="AD364" s="97"/>
      <c r="AE364" s="102" t="s">
        <v>12</v>
      </c>
      <c r="AF364" s="102"/>
      <c r="AG364" s="151" t="s">
        <v>13</v>
      </c>
      <c r="AH364" s="102"/>
      <c r="AI364" s="102" t="s">
        <v>15</v>
      </c>
      <c r="AJ364" s="102"/>
      <c r="AK364" s="151" t="s">
        <v>16</v>
      </c>
      <c r="AL364" s="102"/>
      <c r="AO364" s="102" t="s">
        <v>11</v>
      </c>
      <c r="AP364" s="102"/>
      <c r="AQ364" s="151" t="s">
        <v>9</v>
      </c>
      <c r="AW364" s="172"/>
    </row>
    <row r="365" spans="3:53" x14ac:dyDescent="0.3">
      <c r="C365" s="99"/>
      <c r="H365" s="172"/>
      <c r="I365" s="172"/>
      <c r="J365" s="228"/>
      <c r="K365" s="228"/>
      <c r="L365" s="110"/>
      <c r="M365" s="110"/>
      <c r="N365" s="141"/>
      <c r="O365" s="141"/>
      <c r="P365" s="110"/>
      <c r="Q365" s="110"/>
      <c r="R365" s="110"/>
      <c r="T365" s="102" t="s">
        <v>17</v>
      </c>
      <c r="V365" s="102" t="s">
        <v>18</v>
      </c>
      <c r="W365" s="102" t="s">
        <v>19</v>
      </c>
      <c r="X365" s="102"/>
      <c r="Y365" s="102" t="s">
        <v>20</v>
      </c>
      <c r="AC365" s="102" t="s">
        <v>563</v>
      </c>
      <c r="AD365" s="102" t="s">
        <v>564</v>
      </c>
      <c r="AE365" s="102" t="s">
        <v>593</v>
      </c>
      <c r="AF365" s="102"/>
      <c r="AG365" s="151" t="s">
        <v>593</v>
      </c>
      <c r="AH365" s="102"/>
      <c r="AI365" s="103" t="s">
        <v>708</v>
      </c>
      <c r="AJ365" s="102"/>
      <c r="AK365" s="152" t="s">
        <v>708</v>
      </c>
      <c r="AL365" s="102"/>
      <c r="AM365" s="102" t="s">
        <v>593</v>
      </c>
      <c r="AN365" s="102"/>
      <c r="AO365" s="102" t="s">
        <v>9</v>
      </c>
      <c r="AP365" s="102"/>
      <c r="AQ365" s="151" t="s">
        <v>21</v>
      </c>
      <c r="AW365" s="172"/>
    </row>
    <row r="366" spans="3:53" x14ac:dyDescent="0.3">
      <c r="F366" s="110"/>
      <c r="H366" s="110"/>
      <c r="I366" s="110"/>
      <c r="J366" s="217"/>
      <c r="K366" s="217"/>
      <c r="L366" s="192"/>
      <c r="M366" s="192"/>
      <c r="N366" s="192"/>
      <c r="O366" s="192"/>
      <c r="P366" s="192"/>
      <c r="Q366" s="192"/>
      <c r="R366" s="192"/>
      <c r="T366" s="102" t="s">
        <v>22</v>
      </c>
      <c r="V366" s="102" t="s">
        <v>23</v>
      </c>
      <c r="W366" s="102" t="s">
        <v>24</v>
      </c>
      <c r="X366" s="102"/>
      <c r="Y366" s="102" t="s">
        <v>25</v>
      </c>
      <c r="AA366" s="102" t="s">
        <v>26</v>
      </c>
      <c r="AB366" s="102"/>
      <c r="AC366" s="103" t="s">
        <v>27</v>
      </c>
      <c r="AD366" s="103" t="s">
        <v>27</v>
      </c>
      <c r="AE366" s="102" t="s">
        <v>9</v>
      </c>
      <c r="AF366" s="102"/>
      <c r="AG366" s="151" t="s">
        <v>9</v>
      </c>
      <c r="AH366" s="102"/>
      <c r="AI366" s="131" t="s">
        <v>29</v>
      </c>
      <c r="AJ366" s="131"/>
      <c r="AK366" s="165" t="s">
        <v>30</v>
      </c>
      <c r="AL366" s="102"/>
      <c r="AM366" s="102" t="s">
        <v>323</v>
      </c>
      <c r="AN366" s="102"/>
      <c r="AO366" s="131" t="s">
        <v>31</v>
      </c>
      <c r="AP366" s="131"/>
      <c r="AQ366" s="165" t="s">
        <v>32</v>
      </c>
      <c r="AW366" s="172"/>
    </row>
    <row r="367" spans="3:53" x14ac:dyDescent="0.3">
      <c r="C367" s="99"/>
      <c r="F367" s="110"/>
      <c r="H367" s="110"/>
      <c r="I367" s="110"/>
      <c r="J367" s="198"/>
      <c r="K367" s="198"/>
      <c r="L367" s="110"/>
      <c r="M367" s="110"/>
      <c r="N367" s="141"/>
      <c r="O367" s="141"/>
      <c r="P367" s="110"/>
      <c r="Q367" s="110"/>
      <c r="R367" s="110"/>
      <c r="V367" s="131" t="s">
        <v>33</v>
      </c>
      <c r="W367" s="131" t="s">
        <v>34</v>
      </c>
      <c r="X367" s="131"/>
      <c r="Y367" s="131" t="s">
        <v>35</v>
      </c>
      <c r="Z367" s="134"/>
      <c r="AA367" s="131" t="s">
        <v>36</v>
      </c>
      <c r="AB367" s="131"/>
      <c r="AC367" s="146" t="s">
        <v>569</v>
      </c>
      <c r="AD367" s="146" t="s">
        <v>568</v>
      </c>
      <c r="AE367" s="131" t="s">
        <v>43</v>
      </c>
      <c r="AF367" s="131"/>
      <c r="AG367" s="165" t="s">
        <v>44</v>
      </c>
      <c r="AH367" s="131"/>
      <c r="AI367" s="131" t="s">
        <v>45</v>
      </c>
      <c r="AJ367" s="131"/>
      <c r="AK367" s="165" t="s">
        <v>46</v>
      </c>
      <c r="AL367" s="131"/>
      <c r="AM367" s="131" t="s">
        <v>40</v>
      </c>
      <c r="AN367" s="131"/>
      <c r="AO367" s="131" t="s">
        <v>47</v>
      </c>
      <c r="AP367" s="131"/>
      <c r="AQ367" s="165" t="s">
        <v>48</v>
      </c>
      <c r="AW367" s="172"/>
    </row>
    <row r="368" spans="3:53" ht="17.100000000000001" customHeight="1" x14ac:dyDescent="0.3">
      <c r="F368" s="110"/>
      <c r="H368" s="110"/>
      <c r="I368" s="110"/>
      <c r="J368" s="217"/>
      <c r="K368" s="217"/>
      <c r="L368" s="192"/>
      <c r="M368" s="192"/>
      <c r="N368" s="192"/>
      <c r="O368" s="192"/>
      <c r="P368" s="192"/>
      <c r="Q368" s="192"/>
      <c r="R368" s="192"/>
      <c r="T368" s="174"/>
      <c r="U368" s="174"/>
      <c r="V368" s="174"/>
      <c r="W368" s="174"/>
      <c r="X368" s="174"/>
      <c r="Y368" s="174"/>
      <c r="Z368" s="174"/>
      <c r="AA368" s="258" t="s">
        <v>49</v>
      </c>
      <c r="AB368" s="258"/>
      <c r="AC368" s="257" t="s">
        <v>69</v>
      </c>
      <c r="AD368" s="258"/>
      <c r="AE368" s="258" t="s">
        <v>50</v>
      </c>
      <c r="AF368" s="258"/>
      <c r="AG368" s="259" t="s">
        <v>51</v>
      </c>
      <c r="AH368" s="258"/>
      <c r="AI368" s="258" t="s">
        <v>50</v>
      </c>
      <c r="AJ368" s="258"/>
      <c r="AK368" s="259" t="s">
        <v>51</v>
      </c>
      <c r="AL368" s="258"/>
      <c r="AM368" s="258" t="s">
        <v>50</v>
      </c>
      <c r="AN368" s="258"/>
      <c r="AO368" s="258" t="s">
        <v>50</v>
      </c>
      <c r="AP368" s="258"/>
      <c r="AQ368" s="259" t="s">
        <v>51</v>
      </c>
      <c r="AW368" s="172"/>
    </row>
    <row r="369" spans="1:49" x14ac:dyDescent="0.3">
      <c r="C369" s="99"/>
      <c r="F369" s="172"/>
      <c r="H369" s="172"/>
      <c r="I369" s="172"/>
      <c r="J369" s="222"/>
      <c r="K369" s="222"/>
      <c r="L369" s="110"/>
      <c r="M369" s="110"/>
      <c r="N369" s="141"/>
      <c r="O369" s="141"/>
      <c r="P369" s="110"/>
      <c r="Q369" s="110"/>
      <c r="R369" s="110"/>
      <c r="T369" s="267">
        <f t="shared" ref="T369:T412" si="36">A18</f>
        <v>1</v>
      </c>
      <c r="V369" s="116" t="str">
        <f>C18</f>
        <v>LED</v>
      </c>
      <c r="W369" s="116" t="str">
        <f>D18</f>
        <v>STREET LIGHTING -- LED</v>
      </c>
      <c r="X369" s="99"/>
      <c r="Y369" s="1"/>
      <c r="Z369" s="1"/>
      <c r="AA369" s="1"/>
      <c r="AB369" s="1"/>
      <c r="AC369" s="1"/>
      <c r="AD369" s="1"/>
      <c r="AE369" s="1"/>
      <c r="AF369" s="1"/>
      <c r="AG369" s="154"/>
      <c r="AH369" s="1"/>
      <c r="AI369" s="1"/>
      <c r="AJ369" s="1"/>
      <c r="AK369" s="154"/>
      <c r="AL369" s="1"/>
      <c r="AM369" s="1"/>
      <c r="AN369" s="1"/>
      <c r="AO369" s="1"/>
      <c r="AP369" s="1"/>
      <c r="AQ369" s="159"/>
      <c r="AW369" s="172"/>
    </row>
    <row r="370" spans="1:49" x14ac:dyDescent="0.3">
      <c r="C370" s="99"/>
      <c r="F370" s="110"/>
      <c r="H370" s="110"/>
      <c r="I370" s="110"/>
      <c r="J370" s="217"/>
      <c r="K370" s="217"/>
      <c r="L370" s="110"/>
      <c r="M370" s="110"/>
      <c r="N370" s="141"/>
      <c r="O370" s="141"/>
      <c r="P370" s="110"/>
      <c r="Q370" s="110"/>
      <c r="R370" s="110"/>
      <c r="S370" s="110"/>
      <c r="T370" s="267">
        <f t="shared" si="36"/>
        <v>2</v>
      </c>
      <c r="V370" s="116" t="str">
        <f t="shared" ref="V370:V412" si="37">C19</f>
        <v>FIXTURES</v>
      </c>
      <c r="W370" s="134"/>
      <c r="Y370" s="147"/>
      <c r="Z370" s="1"/>
      <c r="AA370" s="147"/>
      <c r="AB370" s="1"/>
      <c r="AC370" s="1"/>
      <c r="AD370" s="1"/>
      <c r="AE370" s="1"/>
      <c r="AF370" s="1"/>
      <c r="AG370" s="154"/>
      <c r="AH370" s="1"/>
      <c r="AI370" s="1"/>
      <c r="AJ370" s="1"/>
      <c r="AK370" s="154"/>
      <c r="AL370" s="1"/>
      <c r="AM370" s="1"/>
      <c r="AN370" s="1"/>
      <c r="AO370" s="1"/>
      <c r="AP370" s="1"/>
      <c r="AQ370" s="159"/>
      <c r="AW370" s="172"/>
    </row>
    <row r="371" spans="1:49" x14ac:dyDescent="0.3">
      <c r="F371" s="192"/>
      <c r="H371" s="192"/>
      <c r="I371" s="192"/>
      <c r="J371" s="217"/>
      <c r="K371" s="217"/>
      <c r="L371" s="192"/>
      <c r="M371" s="192"/>
      <c r="N371" s="192"/>
      <c r="O371" s="192"/>
      <c r="P371" s="192"/>
      <c r="Q371" s="192"/>
      <c r="R371" s="192"/>
      <c r="S371" s="110"/>
      <c r="T371" s="267">
        <f t="shared" si="36"/>
        <v>3</v>
      </c>
      <c r="V371" s="116" t="str">
        <f t="shared" si="37"/>
        <v xml:space="preserve">   50W Neighborhood</v>
      </c>
      <c r="W371" s="134"/>
      <c r="Y371" s="147">
        <f t="shared" ref="Y371:Y412" si="38">F20</f>
        <v>0</v>
      </c>
      <c r="Z371" s="1"/>
      <c r="AA371" s="147">
        <f t="shared" ref="AA371:AA412" si="39">H20</f>
        <v>0</v>
      </c>
      <c r="AB371" s="147"/>
      <c r="AC371" s="228">
        <v>4.1500000000000004</v>
      </c>
      <c r="AD371" s="228">
        <v>2.9</v>
      </c>
      <c r="AE371" s="106">
        <f>ROUND((Y371*(AC371+AD371)),0)</f>
        <v>0</v>
      </c>
      <c r="AF371" s="106"/>
      <c r="AG371" s="154">
        <f t="shared" ref="AG371:AG412" si="40">ROUND((AE371/AE$692)*100,1)</f>
        <v>0</v>
      </c>
      <c r="AH371" s="175"/>
      <c r="AI371" s="106">
        <f t="shared" ref="AI371:AI412" si="41">L20-AE371</f>
        <v>0</v>
      </c>
      <c r="AJ371" s="106"/>
      <c r="AK371" s="159" t="str">
        <f t="shared" ref="AK371:AK401" si="42">IF(AE371=0,"0.0 ",ROUND((AI371/AE371)*100,1))</f>
        <v xml:space="preserve">0.0 </v>
      </c>
      <c r="AL371" s="138"/>
      <c r="AM371" s="106"/>
      <c r="AN371" s="106"/>
      <c r="AO371" s="106">
        <f>AM371+AE371</f>
        <v>0</v>
      </c>
      <c r="AP371" s="106"/>
      <c r="AQ371" s="159" t="str">
        <f t="shared" ref="AQ371:AQ401" si="43">IF(AO371=0,"0.0 ",ROUND((AI371/AO371)*100,1))</f>
        <v xml:space="preserve">0.0 </v>
      </c>
      <c r="AW371" s="172"/>
    </row>
    <row r="372" spans="1:49" x14ac:dyDescent="0.3">
      <c r="F372" s="192"/>
      <c r="H372" s="192"/>
      <c r="I372" s="192"/>
      <c r="J372" s="217"/>
      <c r="K372" s="217"/>
      <c r="L372" s="192"/>
      <c r="M372" s="192"/>
      <c r="N372" s="192"/>
      <c r="O372" s="192"/>
      <c r="P372" s="192"/>
      <c r="Q372" s="192"/>
      <c r="R372" s="192"/>
      <c r="T372" s="267">
        <f t="shared" si="36"/>
        <v>4</v>
      </c>
      <c r="V372" s="116" t="str">
        <f t="shared" si="37"/>
        <v xml:space="preserve">   50W Neighborhood with Lens</v>
      </c>
      <c r="Y372" s="147">
        <f t="shared" si="38"/>
        <v>0</v>
      </c>
      <c r="Z372" s="1"/>
      <c r="AA372" s="147">
        <f t="shared" si="39"/>
        <v>0</v>
      </c>
      <c r="AB372" s="147"/>
      <c r="AC372" s="228">
        <v>4.2</v>
      </c>
      <c r="AD372" s="228">
        <v>2.9</v>
      </c>
      <c r="AE372" s="106">
        <f t="shared" ref="AE372:AE401" si="44">ROUND((Y372*(AC372+AD372)),0)</f>
        <v>0</v>
      </c>
      <c r="AF372" s="106"/>
      <c r="AG372" s="154">
        <f t="shared" si="40"/>
        <v>0</v>
      </c>
      <c r="AH372" s="175"/>
      <c r="AI372" s="106">
        <f t="shared" si="41"/>
        <v>0</v>
      </c>
      <c r="AJ372" s="106"/>
      <c r="AK372" s="159" t="str">
        <f t="shared" si="42"/>
        <v xml:space="preserve">0.0 </v>
      </c>
      <c r="AL372" s="138"/>
      <c r="AM372" s="106"/>
      <c r="AN372" s="106"/>
      <c r="AO372" s="106">
        <f t="shared" ref="AO372:AO401" si="45">AM372+AE372</f>
        <v>0</v>
      </c>
      <c r="AP372" s="106"/>
      <c r="AQ372" s="159" t="str">
        <f t="shared" si="43"/>
        <v xml:space="preserve">0.0 </v>
      </c>
      <c r="AS372" s="110"/>
      <c r="AW372" s="172"/>
    </row>
    <row r="373" spans="1:49" x14ac:dyDescent="0.3">
      <c r="C373" s="99"/>
      <c r="T373" s="267">
        <f t="shared" si="36"/>
        <v>5</v>
      </c>
      <c r="V373" s="116" t="str">
        <f t="shared" si="37"/>
        <v xml:space="preserve">   50W Standard LED</v>
      </c>
      <c r="Y373" s="147">
        <f t="shared" si="38"/>
        <v>259</v>
      </c>
      <c r="Z373" s="1"/>
      <c r="AA373" s="147">
        <f t="shared" si="39"/>
        <v>4403</v>
      </c>
      <c r="AB373" s="147"/>
      <c r="AC373" s="228">
        <v>3.84</v>
      </c>
      <c r="AD373" s="228">
        <v>2.9</v>
      </c>
      <c r="AE373" s="106">
        <f t="shared" si="44"/>
        <v>1746</v>
      </c>
      <c r="AF373" s="106"/>
      <c r="AG373" s="154">
        <f t="shared" si="40"/>
        <v>8.8000000000000007</v>
      </c>
      <c r="AH373" s="175"/>
      <c r="AI373" s="106">
        <f t="shared" si="41"/>
        <v>249</v>
      </c>
      <c r="AJ373" s="106"/>
      <c r="AK373" s="159">
        <f t="shared" si="42"/>
        <v>14.3</v>
      </c>
      <c r="AL373" s="138"/>
      <c r="AM373" s="106"/>
      <c r="AN373" s="106"/>
      <c r="AO373" s="106">
        <f t="shared" si="45"/>
        <v>1746</v>
      </c>
      <c r="AP373" s="106"/>
      <c r="AQ373" s="159">
        <f t="shared" si="43"/>
        <v>14.3</v>
      </c>
      <c r="AS373" s="110"/>
      <c r="AW373" s="172"/>
    </row>
    <row r="374" spans="1:49" x14ac:dyDescent="0.3">
      <c r="C374" s="99"/>
      <c r="F374" s="110"/>
      <c r="H374" s="110"/>
      <c r="I374" s="110"/>
      <c r="L374" s="110"/>
      <c r="M374" s="110"/>
      <c r="N374" s="141"/>
      <c r="O374" s="141"/>
      <c r="P374" s="172"/>
      <c r="Q374" s="172"/>
      <c r="R374" s="110"/>
      <c r="T374" s="267">
        <f t="shared" si="36"/>
        <v>6</v>
      </c>
      <c r="V374" s="116" t="str">
        <f t="shared" si="37"/>
        <v xml:space="preserve">   70W Standard LED</v>
      </c>
      <c r="Y374" s="147">
        <f t="shared" si="38"/>
        <v>672</v>
      </c>
      <c r="Z374" s="1"/>
      <c r="AA374" s="147">
        <f t="shared" si="39"/>
        <v>11424</v>
      </c>
      <c r="AB374" s="147"/>
      <c r="AC374" s="228">
        <v>4.22</v>
      </c>
      <c r="AD374" s="228">
        <v>2.9</v>
      </c>
      <c r="AE374" s="106">
        <f t="shared" si="44"/>
        <v>4785</v>
      </c>
      <c r="AF374" s="106"/>
      <c r="AG374" s="154">
        <f t="shared" si="40"/>
        <v>24</v>
      </c>
      <c r="AH374" s="175"/>
      <c r="AI374" s="106">
        <f t="shared" si="41"/>
        <v>682</v>
      </c>
      <c r="AJ374" s="106"/>
      <c r="AK374" s="159">
        <f t="shared" si="42"/>
        <v>14.3</v>
      </c>
      <c r="AL374" s="138"/>
      <c r="AM374" s="106"/>
      <c r="AN374" s="106"/>
      <c r="AO374" s="106">
        <f t="shared" si="45"/>
        <v>4785</v>
      </c>
      <c r="AP374" s="106"/>
      <c r="AQ374" s="159">
        <f t="shared" si="43"/>
        <v>14.3</v>
      </c>
      <c r="AS374" s="110"/>
      <c r="AW374" s="172"/>
    </row>
    <row r="375" spans="1:49" x14ac:dyDescent="0.3">
      <c r="F375" s="192"/>
      <c r="H375" s="192"/>
      <c r="I375" s="192"/>
      <c r="J375" s="217"/>
      <c r="K375" s="217"/>
      <c r="L375" s="192"/>
      <c r="M375" s="192"/>
      <c r="N375" s="192"/>
      <c r="O375" s="192"/>
      <c r="P375" s="192"/>
      <c r="Q375" s="192"/>
      <c r="R375" s="192"/>
      <c r="T375" s="267">
        <f t="shared" si="36"/>
        <v>7</v>
      </c>
      <c r="V375" s="116" t="str">
        <f t="shared" si="37"/>
        <v xml:space="preserve">   110W Standard LED</v>
      </c>
      <c r="Y375" s="147">
        <f t="shared" si="38"/>
        <v>22</v>
      </c>
      <c r="Z375" s="1"/>
      <c r="AA375" s="147">
        <f t="shared" si="39"/>
        <v>528</v>
      </c>
      <c r="AB375" s="147"/>
      <c r="AC375" s="228">
        <v>4.7699999999999996</v>
      </c>
      <c r="AD375" s="228">
        <v>2.9</v>
      </c>
      <c r="AE375" s="106">
        <f t="shared" si="44"/>
        <v>169</v>
      </c>
      <c r="AF375" s="106"/>
      <c r="AG375" s="154">
        <f t="shared" si="40"/>
        <v>0.8</v>
      </c>
      <c r="AH375" s="175"/>
      <c r="AI375" s="106">
        <f t="shared" si="41"/>
        <v>24</v>
      </c>
      <c r="AJ375" s="106"/>
      <c r="AK375" s="159">
        <f t="shared" si="42"/>
        <v>14.2</v>
      </c>
      <c r="AL375" s="138"/>
      <c r="AM375" s="106"/>
      <c r="AN375" s="106"/>
      <c r="AO375" s="106">
        <f t="shared" si="45"/>
        <v>169</v>
      </c>
      <c r="AP375" s="106"/>
      <c r="AQ375" s="159">
        <f t="shared" si="43"/>
        <v>14.2</v>
      </c>
      <c r="AS375" s="110"/>
      <c r="AW375" s="172"/>
    </row>
    <row r="376" spans="1:49" x14ac:dyDescent="0.3">
      <c r="T376" s="267">
        <f t="shared" si="36"/>
        <v>8</v>
      </c>
      <c r="V376" s="116" t="str">
        <f t="shared" si="37"/>
        <v xml:space="preserve">   150W Standard LED</v>
      </c>
      <c r="Y376" s="147">
        <f t="shared" si="38"/>
        <v>10</v>
      </c>
      <c r="Z376" s="1"/>
      <c r="AA376" s="147">
        <f t="shared" si="39"/>
        <v>380</v>
      </c>
      <c r="AB376" s="147"/>
      <c r="AC376" s="228">
        <v>4.83</v>
      </c>
      <c r="AD376" s="228">
        <v>2.9</v>
      </c>
      <c r="AE376" s="106">
        <f t="shared" si="44"/>
        <v>77</v>
      </c>
      <c r="AF376" s="106"/>
      <c r="AG376" s="154">
        <f t="shared" si="40"/>
        <v>0.4</v>
      </c>
      <c r="AH376" s="175"/>
      <c r="AI376" s="106">
        <f t="shared" si="41"/>
        <v>11</v>
      </c>
      <c r="AJ376" s="106"/>
      <c r="AK376" s="159">
        <f t="shared" si="42"/>
        <v>14.3</v>
      </c>
      <c r="AL376" s="138"/>
      <c r="AM376" s="106"/>
      <c r="AN376" s="106"/>
      <c r="AO376" s="106">
        <f t="shared" si="45"/>
        <v>77</v>
      </c>
      <c r="AP376" s="106"/>
      <c r="AQ376" s="159">
        <f t="shared" si="43"/>
        <v>14.3</v>
      </c>
      <c r="AS376" s="110"/>
      <c r="AW376" s="172"/>
    </row>
    <row r="377" spans="1:49" x14ac:dyDescent="0.3">
      <c r="C377" s="99"/>
      <c r="L377" s="110"/>
      <c r="M377" s="110"/>
      <c r="N377" s="110"/>
      <c r="O377" s="110"/>
      <c r="P377" s="110"/>
      <c r="Q377" s="110"/>
      <c r="R377" s="110"/>
      <c r="S377" s="110"/>
      <c r="T377" s="267">
        <f t="shared" si="36"/>
        <v>9</v>
      </c>
      <c r="V377" s="116" t="str">
        <f t="shared" si="37"/>
        <v xml:space="preserve">   220W Standard LED</v>
      </c>
      <c r="Y377" s="147">
        <f t="shared" si="38"/>
        <v>19</v>
      </c>
      <c r="Z377" s="1"/>
      <c r="AA377" s="147">
        <f t="shared" si="39"/>
        <v>988</v>
      </c>
      <c r="AB377" s="147"/>
      <c r="AC377" s="228">
        <v>6.31</v>
      </c>
      <c r="AD377" s="228">
        <v>3.54</v>
      </c>
      <c r="AE377" s="106">
        <f t="shared" si="44"/>
        <v>187</v>
      </c>
      <c r="AF377" s="106"/>
      <c r="AG377" s="154">
        <f t="shared" si="40"/>
        <v>0.9</v>
      </c>
      <c r="AH377" s="175"/>
      <c r="AI377" s="106">
        <f t="shared" si="41"/>
        <v>27</v>
      </c>
      <c r="AJ377" s="106"/>
      <c r="AK377" s="159">
        <f t="shared" si="42"/>
        <v>14.4</v>
      </c>
      <c r="AL377" s="138"/>
      <c r="AM377" s="106"/>
      <c r="AN377" s="106"/>
      <c r="AO377" s="106">
        <f t="shared" si="45"/>
        <v>187</v>
      </c>
      <c r="AP377" s="106"/>
      <c r="AQ377" s="159">
        <f t="shared" si="43"/>
        <v>14.4</v>
      </c>
      <c r="AS377" s="110"/>
      <c r="AW377" s="172"/>
    </row>
    <row r="378" spans="1:49" x14ac:dyDescent="0.3">
      <c r="C378" s="99"/>
      <c r="L378" s="110"/>
      <c r="M378" s="110"/>
      <c r="N378" s="110"/>
      <c r="O378" s="110"/>
      <c r="P378" s="110"/>
      <c r="Q378" s="110"/>
      <c r="R378" s="110"/>
      <c r="S378" s="110"/>
      <c r="T378" s="267">
        <f t="shared" si="36"/>
        <v>10</v>
      </c>
      <c r="V378" s="116" t="str">
        <f t="shared" si="37"/>
        <v xml:space="preserve">   280W Standard LED</v>
      </c>
      <c r="Y378" s="147">
        <f t="shared" si="38"/>
        <v>4</v>
      </c>
      <c r="Z378" s="1"/>
      <c r="AA378" s="147">
        <f t="shared" si="39"/>
        <v>304</v>
      </c>
      <c r="AB378" s="147"/>
      <c r="AC378" s="228">
        <v>6.36</v>
      </c>
      <c r="AD378" s="228">
        <v>3.54</v>
      </c>
      <c r="AE378" s="106">
        <f t="shared" si="44"/>
        <v>40</v>
      </c>
      <c r="AF378" s="106"/>
      <c r="AG378" s="154">
        <f t="shared" si="40"/>
        <v>0.2</v>
      </c>
      <c r="AH378" s="175"/>
      <c r="AI378" s="106">
        <f t="shared" si="41"/>
        <v>5</v>
      </c>
      <c r="AJ378" s="106"/>
      <c r="AK378" s="159">
        <f t="shared" si="42"/>
        <v>12.5</v>
      </c>
      <c r="AL378" s="138"/>
      <c r="AM378" s="106"/>
      <c r="AN378" s="106"/>
      <c r="AO378" s="106">
        <f t="shared" si="45"/>
        <v>40</v>
      </c>
      <c r="AP378" s="106"/>
      <c r="AQ378" s="159">
        <f t="shared" si="43"/>
        <v>12.5</v>
      </c>
      <c r="AS378" s="110"/>
      <c r="AW378" s="172"/>
    </row>
    <row r="379" spans="1:49" x14ac:dyDescent="0.3">
      <c r="C379" s="99"/>
      <c r="L379" s="110"/>
      <c r="M379" s="110"/>
      <c r="N379" s="110"/>
      <c r="O379" s="110"/>
      <c r="P379" s="110"/>
      <c r="Q379" s="110"/>
      <c r="R379" s="110"/>
      <c r="S379" s="110"/>
      <c r="T379" s="267">
        <f t="shared" si="36"/>
        <v>11</v>
      </c>
      <c r="V379" s="116" t="str">
        <f t="shared" si="37"/>
        <v xml:space="preserve">   50W Acorn LED</v>
      </c>
      <c r="Y379" s="147">
        <f t="shared" si="38"/>
        <v>0</v>
      </c>
      <c r="Z379" s="1"/>
      <c r="AA379" s="147">
        <f t="shared" si="39"/>
        <v>0</v>
      </c>
      <c r="AB379" s="147"/>
      <c r="AC379" s="228">
        <v>11.71</v>
      </c>
      <c r="AD379" s="228">
        <v>2.9</v>
      </c>
      <c r="AE379" s="106">
        <f t="shared" si="44"/>
        <v>0</v>
      </c>
      <c r="AF379" s="106"/>
      <c r="AG379" s="154">
        <f t="shared" si="40"/>
        <v>0</v>
      </c>
      <c r="AH379" s="175"/>
      <c r="AI379" s="106">
        <f t="shared" si="41"/>
        <v>0</v>
      </c>
      <c r="AJ379" s="106"/>
      <c r="AK379" s="159" t="str">
        <f t="shared" si="42"/>
        <v xml:space="preserve">0.0 </v>
      </c>
      <c r="AL379" s="138"/>
      <c r="AM379" s="106"/>
      <c r="AN379" s="106"/>
      <c r="AO379" s="106">
        <f t="shared" si="45"/>
        <v>0</v>
      </c>
      <c r="AP379" s="106"/>
      <c r="AQ379" s="159" t="str">
        <f t="shared" si="43"/>
        <v xml:space="preserve">0.0 </v>
      </c>
      <c r="AS379" s="110"/>
      <c r="AW379" s="172"/>
    </row>
    <row r="380" spans="1:49" x14ac:dyDescent="0.3">
      <c r="C380" s="99"/>
      <c r="L380" s="110"/>
      <c r="M380" s="110"/>
      <c r="N380" s="110"/>
      <c r="O380" s="110"/>
      <c r="P380" s="110"/>
      <c r="Q380" s="110"/>
      <c r="R380" s="110"/>
      <c r="S380" s="110"/>
      <c r="T380" s="267">
        <f t="shared" si="36"/>
        <v>12</v>
      </c>
      <c r="V380" s="116" t="str">
        <f t="shared" si="37"/>
        <v xml:space="preserve">   50W Deluxe Acorn LED</v>
      </c>
      <c r="Y380" s="147">
        <f t="shared" si="38"/>
        <v>0</v>
      </c>
      <c r="Z380" s="1"/>
      <c r="AA380" s="147">
        <f t="shared" si="39"/>
        <v>0</v>
      </c>
      <c r="AB380" s="147"/>
      <c r="AC380" s="228">
        <v>13.05</v>
      </c>
      <c r="AD380" s="228">
        <v>2.9</v>
      </c>
      <c r="AE380" s="106">
        <f t="shared" si="44"/>
        <v>0</v>
      </c>
      <c r="AF380" s="106"/>
      <c r="AG380" s="154">
        <f t="shared" si="40"/>
        <v>0</v>
      </c>
      <c r="AH380" s="175"/>
      <c r="AI380" s="106">
        <f t="shared" si="41"/>
        <v>0</v>
      </c>
      <c r="AJ380" s="106"/>
      <c r="AK380" s="159" t="str">
        <f t="shared" si="42"/>
        <v xml:space="preserve">0.0 </v>
      </c>
      <c r="AL380" s="138"/>
      <c r="AM380" s="106"/>
      <c r="AN380" s="106"/>
      <c r="AO380" s="106">
        <f t="shared" si="45"/>
        <v>0</v>
      </c>
      <c r="AP380" s="106"/>
      <c r="AQ380" s="159" t="str">
        <f t="shared" si="43"/>
        <v xml:space="preserve">0.0 </v>
      </c>
      <c r="AS380" s="110"/>
      <c r="AW380" s="172"/>
    </row>
    <row r="381" spans="1:49" x14ac:dyDescent="0.3">
      <c r="A381" s="99"/>
      <c r="T381" s="267">
        <f t="shared" si="36"/>
        <v>13</v>
      </c>
      <c r="V381" s="116" t="str">
        <f t="shared" si="37"/>
        <v xml:space="preserve">   70W LED Open Deluxe Acorn</v>
      </c>
      <c r="Y381" s="147">
        <f t="shared" si="38"/>
        <v>0</v>
      </c>
      <c r="Z381" s="1"/>
      <c r="AA381" s="147">
        <f t="shared" si="39"/>
        <v>0</v>
      </c>
      <c r="AB381" s="147"/>
      <c r="AC381" s="228">
        <v>13.44</v>
      </c>
      <c r="AD381" s="228">
        <v>2.9</v>
      </c>
      <c r="AE381" s="106">
        <f t="shared" si="44"/>
        <v>0</v>
      </c>
      <c r="AF381" s="106"/>
      <c r="AG381" s="154">
        <f t="shared" si="40"/>
        <v>0</v>
      </c>
      <c r="AH381" s="175"/>
      <c r="AI381" s="106">
        <f t="shared" si="41"/>
        <v>0</v>
      </c>
      <c r="AJ381" s="106"/>
      <c r="AK381" s="159" t="str">
        <f t="shared" si="42"/>
        <v xml:space="preserve">0.0 </v>
      </c>
      <c r="AL381" s="138"/>
      <c r="AM381" s="106"/>
      <c r="AN381" s="106"/>
      <c r="AO381" s="106">
        <f t="shared" si="45"/>
        <v>0</v>
      </c>
      <c r="AP381" s="106"/>
      <c r="AQ381" s="159" t="str">
        <f t="shared" si="43"/>
        <v xml:space="preserve">0.0 </v>
      </c>
      <c r="AS381" s="110"/>
      <c r="AW381" s="172"/>
    </row>
    <row r="382" spans="1:49" x14ac:dyDescent="0.3">
      <c r="A382" s="99"/>
      <c r="T382" s="267">
        <f t="shared" si="36"/>
        <v>14</v>
      </c>
      <c r="V382" s="116" t="str">
        <f t="shared" si="37"/>
        <v xml:space="preserve">   50W Traditional LED</v>
      </c>
      <c r="Y382" s="147">
        <f t="shared" si="38"/>
        <v>858</v>
      </c>
      <c r="Z382" s="1"/>
      <c r="AA382" s="147">
        <f t="shared" si="39"/>
        <v>20592</v>
      </c>
      <c r="AB382" s="147"/>
      <c r="AC382" s="228">
        <v>6.31</v>
      </c>
      <c r="AD382" s="228">
        <v>2.9</v>
      </c>
      <c r="AE382" s="106">
        <f t="shared" si="44"/>
        <v>7902</v>
      </c>
      <c r="AF382" s="106"/>
      <c r="AG382" s="154">
        <f t="shared" si="40"/>
        <v>39.700000000000003</v>
      </c>
      <c r="AH382" s="175"/>
      <c r="AI382" s="106">
        <f t="shared" si="41"/>
        <v>1127</v>
      </c>
      <c r="AJ382" s="106"/>
      <c r="AK382" s="159">
        <f t="shared" si="42"/>
        <v>14.3</v>
      </c>
      <c r="AL382" s="138"/>
      <c r="AM382" s="106"/>
      <c r="AN382" s="106"/>
      <c r="AO382" s="106">
        <f t="shared" si="45"/>
        <v>7902</v>
      </c>
      <c r="AP382" s="106"/>
      <c r="AQ382" s="159">
        <f t="shared" si="43"/>
        <v>14.3</v>
      </c>
      <c r="AS382" s="110"/>
      <c r="AW382" s="172"/>
    </row>
    <row r="383" spans="1:49" x14ac:dyDescent="0.3">
      <c r="A383" s="99"/>
      <c r="T383" s="267">
        <f t="shared" si="36"/>
        <v>15</v>
      </c>
      <c r="V383" s="116" t="str">
        <f t="shared" si="37"/>
        <v xml:space="preserve">   50W Open Traditional LED</v>
      </c>
      <c r="Y383" s="147">
        <f t="shared" si="38"/>
        <v>0</v>
      </c>
      <c r="Z383" s="1"/>
      <c r="AA383" s="147">
        <f t="shared" si="39"/>
        <v>0</v>
      </c>
      <c r="AB383" s="147"/>
      <c r="AC383" s="228">
        <v>6.56</v>
      </c>
      <c r="AD383" s="228">
        <v>2.9</v>
      </c>
      <c r="AE383" s="106">
        <f t="shared" si="44"/>
        <v>0</v>
      </c>
      <c r="AF383" s="106"/>
      <c r="AG383" s="154">
        <f t="shared" si="40"/>
        <v>0</v>
      </c>
      <c r="AH383" s="175"/>
      <c r="AI383" s="106">
        <f t="shared" si="41"/>
        <v>0</v>
      </c>
      <c r="AJ383" s="106"/>
      <c r="AK383" s="159" t="str">
        <f t="shared" si="42"/>
        <v xml:space="preserve">0.0 </v>
      </c>
      <c r="AL383" s="138"/>
      <c r="AM383" s="106"/>
      <c r="AN383" s="106"/>
      <c r="AO383" s="106">
        <f t="shared" si="45"/>
        <v>0</v>
      </c>
      <c r="AP383" s="106"/>
      <c r="AQ383" s="159" t="str">
        <f t="shared" si="43"/>
        <v xml:space="preserve">0.0 </v>
      </c>
      <c r="AS383" s="110"/>
      <c r="AW383" s="172"/>
    </row>
    <row r="384" spans="1:49" x14ac:dyDescent="0.3">
      <c r="A384" s="99"/>
      <c r="T384" s="267">
        <f t="shared" si="36"/>
        <v>16</v>
      </c>
      <c r="V384" s="116" t="str">
        <f t="shared" si="37"/>
        <v xml:space="preserve">   50W Mini Bell LED</v>
      </c>
      <c r="Y384" s="147">
        <f t="shared" si="38"/>
        <v>0</v>
      </c>
      <c r="Z384" s="1"/>
      <c r="AA384" s="147">
        <f t="shared" si="39"/>
        <v>0</v>
      </c>
      <c r="AB384" s="147"/>
      <c r="AC384" s="228">
        <v>12.01</v>
      </c>
      <c r="AD384" s="228">
        <v>2.9</v>
      </c>
      <c r="AE384" s="106">
        <f t="shared" si="44"/>
        <v>0</v>
      </c>
      <c r="AF384" s="106"/>
      <c r="AG384" s="154">
        <f t="shared" si="40"/>
        <v>0</v>
      </c>
      <c r="AH384" s="175"/>
      <c r="AI384" s="106">
        <f t="shared" si="41"/>
        <v>0</v>
      </c>
      <c r="AJ384" s="106"/>
      <c r="AK384" s="159" t="str">
        <f t="shared" si="42"/>
        <v xml:space="preserve">0.0 </v>
      </c>
      <c r="AL384" s="138"/>
      <c r="AM384" s="106"/>
      <c r="AN384" s="106"/>
      <c r="AO384" s="106">
        <f t="shared" si="45"/>
        <v>0</v>
      </c>
      <c r="AP384" s="106"/>
      <c r="AQ384" s="159" t="str">
        <f t="shared" si="43"/>
        <v xml:space="preserve">0.0 </v>
      </c>
      <c r="AS384" s="110"/>
      <c r="AW384" s="172"/>
    </row>
    <row r="385" spans="1:49" x14ac:dyDescent="0.3">
      <c r="A385" s="99"/>
      <c r="T385" s="267">
        <f t="shared" si="36"/>
        <v>17</v>
      </c>
      <c r="U385" s="289"/>
      <c r="V385" s="116" t="str">
        <f t="shared" si="37"/>
        <v xml:space="preserve">   50W Enterprise LED</v>
      </c>
      <c r="W385" s="289"/>
      <c r="Y385" s="147">
        <f t="shared" si="38"/>
        <v>0</v>
      </c>
      <c r="Z385" s="1"/>
      <c r="AA385" s="147">
        <f t="shared" si="39"/>
        <v>0</v>
      </c>
      <c r="AB385" s="147"/>
      <c r="AC385" s="228">
        <v>11.53</v>
      </c>
      <c r="AD385" s="228">
        <v>2.9</v>
      </c>
      <c r="AE385" s="106">
        <f t="shared" si="44"/>
        <v>0</v>
      </c>
      <c r="AF385" s="106"/>
      <c r="AG385" s="154">
        <f t="shared" si="40"/>
        <v>0</v>
      </c>
      <c r="AH385" s="175"/>
      <c r="AI385" s="106">
        <f t="shared" si="41"/>
        <v>0</v>
      </c>
      <c r="AJ385" s="106"/>
      <c r="AK385" s="159" t="str">
        <f t="shared" si="42"/>
        <v xml:space="preserve">0.0 </v>
      </c>
      <c r="AL385" s="138"/>
      <c r="AM385" s="106"/>
      <c r="AN385" s="106"/>
      <c r="AO385" s="106">
        <f t="shared" si="45"/>
        <v>0</v>
      </c>
      <c r="AP385" s="106"/>
      <c r="AQ385" s="159" t="str">
        <f t="shared" si="43"/>
        <v xml:space="preserve">0.0 </v>
      </c>
      <c r="AS385" s="110"/>
      <c r="AW385" s="172"/>
    </row>
    <row r="386" spans="1:49" x14ac:dyDescent="0.3">
      <c r="A386" s="99"/>
      <c r="T386" s="267">
        <f t="shared" si="36"/>
        <v>18</v>
      </c>
      <c r="U386" s="289"/>
      <c r="V386" s="116" t="str">
        <f t="shared" si="37"/>
        <v xml:space="preserve">   70W Sanibel LED</v>
      </c>
      <c r="W386" s="289"/>
      <c r="Y386" s="147">
        <f t="shared" si="38"/>
        <v>0</v>
      </c>
      <c r="Z386" s="1"/>
      <c r="AA386" s="147">
        <f t="shared" si="39"/>
        <v>0</v>
      </c>
      <c r="AB386" s="147"/>
      <c r="AC386" s="228">
        <v>14.66</v>
      </c>
      <c r="AD386" s="228">
        <v>2.9</v>
      </c>
      <c r="AE386" s="106">
        <f t="shared" si="44"/>
        <v>0</v>
      </c>
      <c r="AF386" s="106"/>
      <c r="AG386" s="154">
        <f t="shared" si="40"/>
        <v>0</v>
      </c>
      <c r="AH386" s="175"/>
      <c r="AI386" s="106">
        <f t="shared" si="41"/>
        <v>0</v>
      </c>
      <c r="AJ386" s="106"/>
      <c r="AK386" s="159" t="str">
        <f t="shared" si="42"/>
        <v xml:space="preserve">0.0 </v>
      </c>
      <c r="AL386" s="138"/>
      <c r="AM386" s="106"/>
      <c r="AN386" s="106"/>
      <c r="AO386" s="106">
        <f t="shared" si="45"/>
        <v>0</v>
      </c>
      <c r="AP386" s="106"/>
      <c r="AQ386" s="159" t="str">
        <f t="shared" si="43"/>
        <v xml:space="preserve">0.0 </v>
      </c>
      <c r="AS386" s="110"/>
      <c r="AW386" s="172"/>
    </row>
    <row r="387" spans="1:49" x14ac:dyDescent="0.3">
      <c r="A387" s="99"/>
      <c r="T387" s="267">
        <f t="shared" si="36"/>
        <v>19</v>
      </c>
      <c r="U387" s="289"/>
      <c r="V387" s="116" t="str">
        <f t="shared" si="37"/>
        <v xml:space="preserve">   150W Sanibel LED</v>
      </c>
      <c r="W387" s="289"/>
      <c r="Y387" s="147">
        <f t="shared" si="38"/>
        <v>0</v>
      </c>
      <c r="Z387" s="1"/>
      <c r="AA387" s="147">
        <f t="shared" si="39"/>
        <v>0</v>
      </c>
      <c r="AB387" s="147"/>
      <c r="AC387" s="228">
        <v>15.28</v>
      </c>
      <c r="AD387" s="228">
        <v>2.9</v>
      </c>
      <c r="AE387" s="106">
        <f t="shared" si="44"/>
        <v>0</v>
      </c>
      <c r="AF387" s="106"/>
      <c r="AG387" s="154">
        <f t="shared" si="40"/>
        <v>0</v>
      </c>
      <c r="AH387" s="175"/>
      <c r="AI387" s="106">
        <f t="shared" si="41"/>
        <v>0</v>
      </c>
      <c r="AJ387" s="106"/>
      <c r="AK387" s="159" t="str">
        <f t="shared" si="42"/>
        <v xml:space="preserve">0.0 </v>
      </c>
      <c r="AL387" s="138"/>
      <c r="AM387" s="106"/>
      <c r="AN387" s="106"/>
      <c r="AO387" s="106">
        <f t="shared" si="45"/>
        <v>0</v>
      </c>
      <c r="AP387" s="106"/>
      <c r="AQ387" s="159" t="str">
        <f t="shared" si="43"/>
        <v xml:space="preserve">0.0 </v>
      </c>
      <c r="AS387" s="110"/>
      <c r="AW387" s="172"/>
    </row>
    <row r="388" spans="1:49" x14ac:dyDescent="0.3">
      <c r="A388" s="99"/>
      <c r="T388" s="267">
        <f t="shared" si="36"/>
        <v>20</v>
      </c>
      <c r="V388" s="116" t="str">
        <f t="shared" si="37"/>
        <v xml:space="preserve">   150W LED Teardrop</v>
      </c>
      <c r="Y388" s="147">
        <f t="shared" si="38"/>
        <v>0</v>
      </c>
      <c r="Z388" s="1"/>
      <c r="AA388" s="147">
        <f t="shared" si="39"/>
        <v>0</v>
      </c>
      <c r="AB388" s="147"/>
      <c r="AC388" s="228">
        <v>18.36</v>
      </c>
      <c r="AD388" s="228">
        <v>2.9</v>
      </c>
      <c r="AE388" s="106">
        <f t="shared" si="44"/>
        <v>0</v>
      </c>
      <c r="AF388" s="106"/>
      <c r="AG388" s="154">
        <f t="shared" si="40"/>
        <v>0</v>
      </c>
      <c r="AH388" s="175"/>
      <c r="AI388" s="106">
        <f t="shared" si="41"/>
        <v>0</v>
      </c>
      <c r="AJ388" s="106"/>
      <c r="AK388" s="159" t="str">
        <f t="shared" si="42"/>
        <v xml:space="preserve">0.0 </v>
      </c>
      <c r="AL388" s="138"/>
      <c r="AM388" s="106"/>
      <c r="AN388" s="106"/>
      <c r="AO388" s="106">
        <f t="shared" si="45"/>
        <v>0</v>
      </c>
      <c r="AP388" s="106"/>
      <c r="AQ388" s="159" t="str">
        <f t="shared" si="43"/>
        <v xml:space="preserve">0.0 </v>
      </c>
      <c r="AS388" s="110"/>
      <c r="AW388" s="172"/>
    </row>
    <row r="389" spans="1:49" x14ac:dyDescent="0.3">
      <c r="A389" s="99"/>
      <c r="T389" s="267">
        <f t="shared" si="36"/>
        <v>21</v>
      </c>
      <c r="U389" s="290"/>
      <c r="V389" s="116" t="str">
        <f t="shared" si="37"/>
        <v xml:space="preserve">   50W LED Teardrop Pedestrian</v>
      </c>
      <c r="W389" s="290"/>
      <c r="Y389" s="147">
        <f t="shared" si="38"/>
        <v>0</v>
      </c>
      <c r="Z389" s="1"/>
      <c r="AA389" s="147">
        <f t="shared" si="39"/>
        <v>0</v>
      </c>
      <c r="AB389" s="147"/>
      <c r="AC389" s="228">
        <v>15.01</v>
      </c>
      <c r="AD389" s="228">
        <v>2.9</v>
      </c>
      <c r="AE389" s="106">
        <f t="shared" si="44"/>
        <v>0</v>
      </c>
      <c r="AF389" s="106"/>
      <c r="AG389" s="154">
        <f t="shared" si="40"/>
        <v>0</v>
      </c>
      <c r="AH389" s="175"/>
      <c r="AI389" s="106">
        <f t="shared" si="41"/>
        <v>0</v>
      </c>
      <c r="AJ389" s="106"/>
      <c r="AK389" s="159" t="str">
        <f t="shared" si="42"/>
        <v xml:space="preserve">0.0 </v>
      </c>
      <c r="AL389" s="138"/>
      <c r="AM389" s="106"/>
      <c r="AN389" s="106"/>
      <c r="AO389" s="106">
        <f t="shared" si="45"/>
        <v>0</v>
      </c>
      <c r="AP389" s="106"/>
      <c r="AQ389" s="159" t="str">
        <f t="shared" si="43"/>
        <v xml:space="preserve">0.0 </v>
      </c>
      <c r="AS389" s="110"/>
      <c r="AW389" s="172"/>
    </row>
    <row r="390" spans="1:49" x14ac:dyDescent="0.3">
      <c r="A390" s="99"/>
      <c r="T390" s="267">
        <f t="shared" si="36"/>
        <v>22</v>
      </c>
      <c r="V390" s="116" t="str">
        <f t="shared" si="37"/>
        <v xml:space="preserve">   220W LED Shoebox</v>
      </c>
      <c r="Y390" s="147">
        <f t="shared" si="38"/>
        <v>0</v>
      </c>
      <c r="Z390" s="1"/>
      <c r="AA390" s="147">
        <f t="shared" si="39"/>
        <v>0</v>
      </c>
      <c r="AB390" s="147"/>
      <c r="AC390" s="228">
        <v>11.39</v>
      </c>
      <c r="AD390" s="228">
        <v>3.54</v>
      </c>
      <c r="AE390" s="106">
        <f t="shared" si="44"/>
        <v>0</v>
      </c>
      <c r="AF390" s="106"/>
      <c r="AG390" s="154">
        <f t="shared" si="40"/>
        <v>0</v>
      </c>
      <c r="AH390" s="175"/>
      <c r="AI390" s="106">
        <f t="shared" si="41"/>
        <v>0</v>
      </c>
      <c r="AJ390" s="106"/>
      <c r="AK390" s="159" t="str">
        <f t="shared" si="42"/>
        <v xml:space="preserve">0.0 </v>
      </c>
      <c r="AL390" s="138"/>
      <c r="AM390" s="106"/>
      <c r="AN390" s="106"/>
      <c r="AO390" s="106">
        <f t="shared" si="45"/>
        <v>0</v>
      </c>
      <c r="AP390" s="106"/>
      <c r="AQ390" s="159" t="str">
        <f t="shared" si="43"/>
        <v xml:space="preserve">0.0 </v>
      </c>
      <c r="AS390" s="110"/>
      <c r="AW390" s="172"/>
    </row>
    <row r="391" spans="1:49" x14ac:dyDescent="0.3">
      <c r="T391" s="267">
        <f t="shared" si="36"/>
        <v>23</v>
      </c>
      <c r="V391" s="116" t="str">
        <f t="shared" si="37"/>
        <v xml:space="preserve">   420W LED Shoebox</v>
      </c>
      <c r="Y391" s="147">
        <f t="shared" si="38"/>
        <v>0</v>
      </c>
      <c r="Z391" s="1"/>
      <c r="AA391" s="147">
        <f t="shared" si="39"/>
        <v>0</v>
      </c>
      <c r="AB391" s="1"/>
      <c r="AC391" s="228">
        <v>16.920000000000002</v>
      </c>
      <c r="AD391" s="228">
        <v>3.54</v>
      </c>
      <c r="AE391" s="106">
        <f t="shared" si="44"/>
        <v>0</v>
      </c>
      <c r="AF391" s="106"/>
      <c r="AG391" s="154">
        <f t="shared" si="40"/>
        <v>0</v>
      </c>
      <c r="AH391" s="175"/>
      <c r="AI391" s="106">
        <f t="shared" si="41"/>
        <v>0</v>
      </c>
      <c r="AJ391" s="106"/>
      <c r="AK391" s="159" t="str">
        <f t="shared" si="42"/>
        <v xml:space="preserve">0.0 </v>
      </c>
      <c r="AL391" s="138"/>
      <c r="AM391" s="106"/>
      <c r="AN391" s="106"/>
      <c r="AO391" s="106">
        <f t="shared" si="45"/>
        <v>0</v>
      </c>
      <c r="AP391" s="106"/>
      <c r="AQ391" s="159" t="str">
        <f t="shared" si="43"/>
        <v xml:space="preserve">0.0 </v>
      </c>
      <c r="AS391" s="110"/>
      <c r="AW391" s="172"/>
    </row>
    <row r="392" spans="1:49" x14ac:dyDescent="0.3">
      <c r="T392" s="267">
        <f t="shared" si="36"/>
        <v>24</v>
      </c>
      <c r="V392" s="116" t="str">
        <f t="shared" si="37"/>
        <v xml:space="preserve">   530W LED Shoebox</v>
      </c>
      <c r="Y392" s="147">
        <f t="shared" si="38"/>
        <v>0</v>
      </c>
      <c r="Z392" s="1"/>
      <c r="AA392" s="147">
        <f t="shared" si="39"/>
        <v>0</v>
      </c>
      <c r="AB392" s="147"/>
      <c r="AC392" s="228">
        <v>19.489999999999998</v>
      </c>
      <c r="AD392" s="228">
        <v>3.54</v>
      </c>
      <c r="AE392" s="106">
        <f t="shared" si="44"/>
        <v>0</v>
      </c>
      <c r="AF392" s="106"/>
      <c r="AG392" s="154">
        <f t="shared" si="40"/>
        <v>0</v>
      </c>
      <c r="AH392" s="175"/>
      <c r="AI392" s="106">
        <f t="shared" si="41"/>
        <v>0</v>
      </c>
      <c r="AJ392" s="106"/>
      <c r="AK392" s="159" t="str">
        <f t="shared" si="42"/>
        <v xml:space="preserve">0.0 </v>
      </c>
      <c r="AL392" s="138"/>
      <c r="AM392" s="106"/>
      <c r="AN392" s="106"/>
      <c r="AO392" s="106">
        <f t="shared" si="45"/>
        <v>0</v>
      </c>
      <c r="AP392" s="106"/>
      <c r="AQ392" s="159" t="str">
        <f t="shared" si="43"/>
        <v xml:space="preserve">0.0 </v>
      </c>
      <c r="AS392" s="110"/>
      <c r="AW392" s="172"/>
    </row>
    <row r="393" spans="1:49" x14ac:dyDescent="0.3">
      <c r="T393" s="267">
        <f t="shared" si="36"/>
        <v>25</v>
      </c>
      <c r="V393" s="116" t="str">
        <f t="shared" si="37"/>
        <v xml:space="preserve">   150W Clermont LED</v>
      </c>
      <c r="Y393" s="147">
        <f t="shared" si="38"/>
        <v>0</v>
      </c>
      <c r="Z393" s="1"/>
      <c r="AA393" s="147">
        <f t="shared" si="39"/>
        <v>0</v>
      </c>
      <c r="AB393" s="147"/>
      <c r="AC393" s="228">
        <v>20.04</v>
      </c>
      <c r="AD393" s="228">
        <v>2.9</v>
      </c>
      <c r="AE393" s="106">
        <f t="shared" si="44"/>
        <v>0</v>
      </c>
      <c r="AF393" s="106"/>
      <c r="AG393" s="154">
        <f t="shared" si="40"/>
        <v>0</v>
      </c>
      <c r="AH393" s="175"/>
      <c r="AI393" s="106">
        <f t="shared" si="41"/>
        <v>0</v>
      </c>
      <c r="AJ393" s="106"/>
      <c r="AK393" s="159" t="str">
        <f t="shared" si="42"/>
        <v xml:space="preserve">0.0 </v>
      </c>
      <c r="AL393" s="138"/>
      <c r="AM393" s="106"/>
      <c r="AN393" s="106"/>
      <c r="AO393" s="106">
        <f t="shared" si="45"/>
        <v>0</v>
      </c>
      <c r="AP393" s="106"/>
      <c r="AQ393" s="159" t="str">
        <f t="shared" si="43"/>
        <v xml:space="preserve">0.0 </v>
      </c>
      <c r="AS393" s="110"/>
      <c r="AW393" s="172"/>
    </row>
    <row r="394" spans="1:49" x14ac:dyDescent="0.3">
      <c r="H394" s="99"/>
      <c r="I394" s="99"/>
      <c r="T394" s="267">
        <f t="shared" si="36"/>
        <v>26</v>
      </c>
      <c r="V394" s="116" t="str">
        <f t="shared" si="37"/>
        <v xml:space="preserve">   130W Flood LED</v>
      </c>
      <c r="Y394" s="147">
        <f t="shared" si="38"/>
        <v>14</v>
      </c>
      <c r="Z394" s="1"/>
      <c r="AA394" s="147">
        <f t="shared" si="39"/>
        <v>728</v>
      </c>
      <c r="AB394" s="147"/>
      <c r="AC394" s="228">
        <v>7.2</v>
      </c>
      <c r="AD394" s="228">
        <v>2.9</v>
      </c>
      <c r="AE394" s="106">
        <f t="shared" si="44"/>
        <v>141</v>
      </c>
      <c r="AF394" s="106"/>
      <c r="AG394" s="154">
        <f t="shared" si="40"/>
        <v>0.7</v>
      </c>
      <c r="AH394" s="175"/>
      <c r="AI394" s="106">
        <f t="shared" si="41"/>
        <v>21</v>
      </c>
      <c r="AJ394" s="106"/>
      <c r="AK394" s="159">
        <f t="shared" si="42"/>
        <v>14.9</v>
      </c>
      <c r="AL394" s="138"/>
      <c r="AM394" s="106"/>
      <c r="AN394" s="106"/>
      <c r="AO394" s="106">
        <f t="shared" si="45"/>
        <v>141</v>
      </c>
      <c r="AP394" s="106"/>
      <c r="AQ394" s="159">
        <f t="shared" si="43"/>
        <v>14.9</v>
      </c>
      <c r="AS394" s="110"/>
      <c r="AW394" s="172"/>
    </row>
    <row r="395" spans="1:49" x14ac:dyDescent="0.3">
      <c r="H395" s="99"/>
      <c r="I395" s="99"/>
      <c r="T395" s="267">
        <f t="shared" si="36"/>
        <v>27</v>
      </c>
      <c r="V395" s="116" t="str">
        <f t="shared" si="37"/>
        <v xml:space="preserve">   260W Flood LED</v>
      </c>
      <c r="Y395" s="147">
        <f t="shared" si="38"/>
        <v>58</v>
      </c>
      <c r="Z395" s="1"/>
      <c r="AA395" s="147">
        <f t="shared" si="39"/>
        <v>2610</v>
      </c>
      <c r="AB395" s="147"/>
      <c r="AC395" s="228">
        <v>11.24</v>
      </c>
      <c r="AD395" s="228">
        <v>3.54</v>
      </c>
      <c r="AE395" s="106">
        <f t="shared" si="44"/>
        <v>857</v>
      </c>
      <c r="AF395" s="106"/>
      <c r="AG395" s="154">
        <f t="shared" si="40"/>
        <v>4.3</v>
      </c>
      <c r="AH395" s="175"/>
      <c r="AI395" s="106">
        <f t="shared" si="41"/>
        <v>122</v>
      </c>
      <c r="AJ395" s="106"/>
      <c r="AK395" s="159">
        <f t="shared" si="42"/>
        <v>14.2</v>
      </c>
      <c r="AL395" s="138"/>
      <c r="AM395" s="106"/>
      <c r="AN395" s="106"/>
      <c r="AO395" s="106">
        <f t="shared" si="45"/>
        <v>857</v>
      </c>
      <c r="AP395" s="106"/>
      <c r="AQ395" s="159">
        <f t="shared" si="43"/>
        <v>14.2</v>
      </c>
      <c r="AS395" s="110"/>
      <c r="AW395" s="172"/>
    </row>
    <row r="396" spans="1:49" x14ac:dyDescent="0.3">
      <c r="T396" s="267">
        <f t="shared" si="36"/>
        <v>28</v>
      </c>
      <c r="V396" s="116" t="str">
        <f t="shared" si="37"/>
        <v xml:space="preserve">   50W Monticello LED</v>
      </c>
      <c r="Y396" s="147">
        <f t="shared" si="38"/>
        <v>0</v>
      </c>
      <c r="Z396" s="1"/>
      <c r="AA396" s="147">
        <f t="shared" si="39"/>
        <v>0</v>
      </c>
      <c r="AB396" s="147"/>
      <c r="AC396" s="228">
        <v>13.49</v>
      </c>
      <c r="AD396" s="228">
        <v>2.9</v>
      </c>
      <c r="AE396" s="106">
        <f t="shared" si="44"/>
        <v>0</v>
      </c>
      <c r="AF396" s="106"/>
      <c r="AG396" s="154">
        <f t="shared" si="40"/>
        <v>0</v>
      </c>
      <c r="AH396" s="175"/>
      <c r="AI396" s="106">
        <f t="shared" si="41"/>
        <v>0</v>
      </c>
      <c r="AJ396" s="106"/>
      <c r="AK396" s="159" t="str">
        <f t="shared" si="42"/>
        <v xml:space="preserve">0.0 </v>
      </c>
      <c r="AL396" s="138"/>
      <c r="AM396" s="106"/>
      <c r="AN396" s="106"/>
      <c r="AO396" s="106">
        <f t="shared" si="45"/>
        <v>0</v>
      </c>
      <c r="AP396" s="106"/>
      <c r="AQ396" s="159" t="str">
        <f t="shared" si="43"/>
        <v xml:space="preserve">0.0 </v>
      </c>
      <c r="AS396" s="110"/>
      <c r="AW396" s="172"/>
    </row>
    <row r="397" spans="1:49" x14ac:dyDescent="0.3">
      <c r="T397" s="267">
        <f t="shared" si="36"/>
        <v>29</v>
      </c>
      <c r="V397" s="116" t="str">
        <f t="shared" si="37"/>
        <v xml:space="preserve">   50W Mitchell Finial</v>
      </c>
      <c r="Y397" s="147">
        <f t="shared" si="38"/>
        <v>0</v>
      </c>
      <c r="Z397" s="1"/>
      <c r="AA397" s="147">
        <f t="shared" si="39"/>
        <v>0</v>
      </c>
      <c r="AB397" s="147"/>
      <c r="AC397" s="228">
        <v>12.85</v>
      </c>
      <c r="AD397" s="228">
        <v>2.9</v>
      </c>
      <c r="AE397" s="106">
        <f t="shared" si="44"/>
        <v>0</v>
      </c>
      <c r="AF397" s="106"/>
      <c r="AG397" s="154">
        <f t="shared" si="40"/>
        <v>0</v>
      </c>
      <c r="AH397" s="175"/>
      <c r="AI397" s="106">
        <f t="shared" si="41"/>
        <v>0</v>
      </c>
      <c r="AJ397" s="106"/>
      <c r="AK397" s="159" t="str">
        <f t="shared" si="42"/>
        <v xml:space="preserve">0.0 </v>
      </c>
      <c r="AL397" s="138"/>
      <c r="AM397" s="106"/>
      <c r="AN397" s="106"/>
      <c r="AO397" s="106">
        <f t="shared" si="45"/>
        <v>0</v>
      </c>
      <c r="AP397" s="106"/>
      <c r="AQ397" s="159" t="str">
        <f t="shared" si="43"/>
        <v xml:space="preserve">0.0 </v>
      </c>
      <c r="AS397" s="110"/>
      <c r="AW397" s="172"/>
    </row>
    <row r="398" spans="1:49" x14ac:dyDescent="0.3">
      <c r="T398" s="267">
        <f t="shared" si="36"/>
        <v>30</v>
      </c>
      <c r="V398" s="116" t="str">
        <f t="shared" si="37"/>
        <v xml:space="preserve">   50W Mitchell Ribs, Bands, and Medallions LED</v>
      </c>
      <c r="Y398" s="147">
        <f t="shared" si="38"/>
        <v>0</v>
      </c>
      <c r="Z398" s="1"/>
      <c r="AA398" s="147">
        <f t="shared" si="39"/>
        <v>0</v>
      </c>
      <c r="AB398" s="147"/>
      <c r="AC398" s="228">
        <v>14.04</v>
      </c>
      <c r="AD398" s="228">
        <v>2.9</v>
      </c>
      <c r="AE398" s="106">
        <f t="shared" si="44"/>
        <v>0</v>
      </c>
      <c r="AF398" s="106"/>
      <c r="AG398" s="154">
        <f t="shared" si="40"/>
        <v>0</v>
      </c>
      <c r="AH398" s="175"/>
      <c r="AI398" s="106">
        <f t="shared" si="41"/>
        <v>0</v>
      </c>
      <c r="AJ398" s="106"/>
      <c r="AK398" s="159" t="str">
        <f t="shared" si="42"/>
        <v xml:space="preserve">0.0 </v>
      </c>
      <c r="AL398" s="138"/>
      <c r="AM398" s="106"/>
      <c r="AN398" s="106"/>
      <c r="AO398" s="106">
        <f t="shared" si="45"/>
        <v>0</v>
      </c>
      <c r="AP398" s="106"/>
      <c r="AQ398" s="159" t="str">
        <f t="shared" si="43"/>
        <v xml:space="preserve">0.0 </v>
      </c>
      <c r="AS398" s="110"/>
      <c r="AW398" s="172"/>
    </row>
    <row r="399" spans="1:49" x14ac:dyDescent="0.3">
      <c r="T399" s="267">
        <f t="shared" si="36"/>
        <v>31</v>
      </c>
      <c r="U399" s="291"/>
      <c r="V399" s="116" t="str">
        <f t="shared" si="37"/>
        <v xml:space="preserve">   50W Mitchell Top Hat LED</v>
      </c>
      <c r="W399" s="291"/>
      <c r="Y399" s="147">
        <f t="shared" si="38"/>
        <v>0</v>
      </c>
      <c r="Z399" s="1"/>
      <c r="AA399" s="147">
        <f t="shared" si="39"/>
        <v>0</v>
      </c>
      <c r="AB399" s="147"/>
      <c r="AC399" s="228">
        <v>12.85</v>
      </c>
      <c r="AD399" s="228">
        <v>2.9</v>
      </c>
      <c r="AE399" s="106">
        <f t="shared" si="44"/>
        <v>0</v>
      </c>
      <c r="AF399" s="106"/>
      <c r="AG399" s="154">
        <f t="shared" si="40"/>
        <v>0</v>
      </c>
      <c r="AH399" s="175"/>
      <c r="AI399" s="106">
        <f t="shared" si="41"/>
        <v>0</v>
      </c>
      <c r="AJ399" s="106"/>
      <c r="AK399" s="159" t="str">
        <f t="shared" si="42"/>
        <v xml:space="preserve">0.0 </v>
      </c>
      <c r="AL399" s="138"/>
      <c r="AM399" s="106"/>
      <c r="AN399" s="106"/>
      <c r="AO399" s="106">
        <f t="shared" si="45"/>
        <v>0</v>
      </c>
      <c r="AP399" s="106"/>
      <c r="AQ399" s="159" t="str">
        <f t="shared" si="43"/>
        <v xml:space="preserve">0.0 </v>
      </c>
      <c r="AS399" s="110"/>
      <c r="AW399" s="172"/>
    </row>
    <row r="400" spans="1:49" x14ac:dyDescent="0.3">
      <c r="L400" s="99"/>
      <c r="M400" s="99"/>
      <c r="T400" s="267">
        <f t="shared" si="36"/>
        <v>32</v>
      </c>
      <c r="V400" s="116" t="str">
        <f t="shared" si="37"/>
        <v xml:space="preserve">   50W Mitchell Top Hat with Ribs, Bands, and Medallions LED</v>
      </c>
      <c r="Y400" s="147">
        <f t="shared" si="38"/>
        <v>0</v>
      </c>
      <c r="Z400" s="1"/>
      <c r="AA400" s="147">
        <f t="shared" si="39"/>
        <v>0</v>
      </c>
      <c r="AB400" s="147"/>
      <c r="AC400" s="228">
        <v>14.04</v>
      </c>
      <c r="AD400" s="228">
        <v>2.9</v>
      </c>
      <c r="AE400" s="106">
        <f t="shared" si="44"/>
        <v>0</v>
      </c>
      <c r="AF400" s="106"/>
      <c r="AG400" s="154">
        <f t="shared" si="40"/>
        <v>0</v>
      </c>
      <c r="AH400" s="175"/>
      <c r="AI400" s="106">
        <f t="shared" si="41"/>
        <v>0</v>
      </c>
      <c r="AJ400" s="106"/>
      <c r="AK400" s="159" t="str">
        <f t="shared" si="42"/>
        <v xml:space="preserve">0.0 </v>
      </c>
      <c r="AL400" s="138"/>
      <c r="AM400" s="106"/>
      <c r="AN400" s="106"/>
      <c r="AO400" s="106">
        <f t="shared" si="45"/>
        <v>0</v>
      </c>
      <c r="AP400" s="106"/>
      <c r="AQ400" s="159" t="str">
        <f t="shared" si="43"/>
        <v xml:space="preserve">0.0 </v>
      </c>
      <c r="AS400" s="110"/>
      <c r="AW400" s="172"/>
    </row>
    <row r="401" spans="12:49" x14ac:dyDescent="0.3">
      <c r="L401" s="99"/>
      <c r="M401" s="99"/>
      <c r="T401" s="267">
        <f t="shared" si="36"/>
        <v>33</v>
      </c>
      <c r="V401" s="116" t="str">
        <f t="shared" si="37"/>
        <v xml:space="preserve">   50W Open Monticello LED</v>
      </c>
      <c r="Y401" s="147">
        <f t="shared" si="38"/>
        <v>0</v>
      </c>
      <c r="Z401" s="1"/>
      <c r="AA401" s="147">
        <f t="shared" si="39"/>
        <v>0</v>
      </c>
      <c r="AB401" s="147"/>
      <c r="AC401" s="228">
        <v>13.44</v>
      </c>
      <c r="AD401" s="228">
        <v>2.9</v>
      </c>
      <c r="AE401" s="106">
        <f t="shared" si="44"/>
        <v>0</v>
      </c>
      <c r="AF401" s="106"/>
      <c r="AG401" s="154">
        <f t="shared" si="40"/>
        <v>0</v>
      </c>
      <c r="AH401" s="175"/>
      <c r="AI401" s="106">
        <f t="shared" si="41"/>
        <v>0</v>
      </c>
      <c r="AJ401" s="106"/>
      <c r="AK401" s="159" t="str">
        <f t="shared" si="42"/>
        <v xml:space="preserve">0.0 </v>
      </c>
      <c r="AL401" s="138"/>
      <c r="AM401" s="106"/>
      <c r="AN401" s="106"/>
      <c r="AO401" s="106">
        <f t="shared" si="45"/>
        <v>0</v>
      </c>
      <c r="AP401" s="106"/>
      <c r="AQ401" s="159" t="str">
        <f t="shared" si="43"/>
        <v xml:space="preserve">0.0 </v>
      </c>
      <c r="AS401" s="110"/>
      <c r="AW401" s="172"/>
    </row>
    <row r="402" spans="12:49" x14ac:dyDescent="0.3">
      <c r="L402" s="99"/>
      <c r="M402" s="99"/>
      <c r="T402" s="267">
        <f t="shared" si="36"/>
        <v>34</v>
      </c>
      <c r="V402" s="116" t="str">
        <f t="shared" si="37"/>
        <v xml:space="preserve">   150W LED Shoebox</v>
      </c>
      <c r="Y402" s="147">
        <f t="shared" si="38"/>
        <v>0</v>
      </c>
      <c r="Z402" s="1"/>
      <c r="AA402" s="147">
        <f t="shared" si="39"/>
        <v>0</v>
      </c>
      <c r="AB402" s="147"/>
      <c r="AC402" s="228">
        <v>10.48</v>
      </c>
      <c r="AD402" s="228">
        <v>2.9</v>
      </c>
      <c r="AE402" s="106">
        <f t="shared" ref="AE402:AE458" si="46">ROUND((Y402*(AC402+AD402)),0)</f>
        <v>0</v>
      </c>
      <c r="AF402" s="106"/>
      <c r="AG402" s="154">
        <f t="shared" si="40"/>
        <v>0</v>
      </c>
      <c r="AH402" s="175"/>
      <c r="AI402" s="106">
        <f t="shared" si="41"/>
        <v>0</v>
      </c>
      <c r="AJ402" s="106"/>
      <c r="AK402" s="159" t="str">
        <f t="shared" ref="AK402:AK458" si="47">IF(AE402=0,"0.0 ",ROUND((AI402/AE402)*100,1))</f>
        <v xml:space="preserve">0.0 </v>
      </c>
      <c r="AL402" s="138"/>
      <c r="AM402" s="106"/>
      <c r="AN402" s="106"/>
      <c r="AO402" s="106">
        <f t="shared" ref="AO402:AO458" si="48">AM402+AE402</f>
        <v>0</v>
      </c>
      <c r="AP402" s="106"/>
      <c r="AQ402" s="159" t="str">
        <f t="shared" ref="AQ402:AQ458" si="49">IF(AO402=0,"0.0 ",ROUND((AI402/AO402)*100,1))</f>
        <v xml:space="preserve">0.0 </v>
      </c>
      <c r="AS402" s="110"/>
      <c r="AW402" s="172"/>
    </row>
    <row r="403" spans="12:49" x14ac:dyDescent="0.3">
      <c r="L403" s="99"/>
      <c r="M403" s="99"/>
      <c r="T403" s="267">
        <f t="shared" si="36"/>
        <v>35</v>
      </c>
      <c r="V403" s="116" t="str">
        <f t="shared" si="37"/>
        <v xml:space="preserve">   50W Sanibel LED</v>
      </c>
      <c r="Y403" s="147">
        <f t="shared" si="38"/>
        <v>0</v>
      </c>
      <c r="Z403" s="1"/>
      <c r="AA403" s="147">
        <f t="shared" si="39"/>
        <v>0</v>
      </c>
      <c r="AB403" s="147"/>
      <c r="AC403" s="228">
        <v>13.9</v>
      </c>
      <c r="AD403" s="228">
        <v>2.9</v>
      </c>
      <c r="AE403" s="106">
        <f t="shared" si="46"/>
        <v>0</v>
      </c>
      <c r="AF403" s="106"/>
      <c r="AG403" s="154">
        <f t="shared" si="40"/>
        <v>0</v>
      </c>
      <c r="AH403" s="175"/>
      <c r="AI403" s="106">
        <f t="shared" si="41"/>
        <v>0</v>
      </c>
      <c r="AJ403" s="106"/>
      <c r="AK403" s="159" t="str">
        <f t="shared" si="47"/>
        <v xml:space="preserve">0.0 </v>
      </c>
      <c r="AL403" s="138"/>
      <c r="AM403" s="106"/>
      <c r="AN403" s="106"/>
      <c r="AO403" s="106">
        <f t="shared" si="48"/>
        <v>0</v>
      </c>
      <c r="AP403" s="106"/>
      <c r="AQ403" s="159" t="str">
        <f t="shared" si="49"/>
        <v xml:space="preserve">0.0 </v>
      </c>
      <c r="AS403" s="110"/>
      <c r="AW403" s="172"/>
    </row>
    <row r="404" spans="12:49" x14ac:dyDescent="0.3">
      <c r="L404" s="99"/>
      <c r="M404" s="99"/>
      <c r="T404" s="267">
        <f t="shared" si="36"/>
        <v>36</v>
      </c>
      <c r="V404" s="116" t="str">
        <f t="shared" si="37"/>
        <v xml:space="preserve">   40W Acorn No Finial LED</v>
      </c>
      <c r="Y404" s="147">
        <f t="shared" si="38"/>
        <v>0</v>
      </c>
      <c r="Z404" s="1"/>
      <c r="AA404" s="147">
        <f t="shared" si="39"/>
        <v>0</v>
      </c>
      <c r="AB404" s="147"/>
      <c r="AC404" s="228">
        <v>11.2</v>
      </c>
      <c r="AD404" s="228">
        <v>2.9</v>
      </c>
      <c r="AE404" s="106">
        <f t="shared" si="46"/>
        <v>0</v>
      </c>
      <c r="AF404" s="106"/>
      <c r="AG404" s="154">
        <f t="shared" si="40"/>
        <v>0</v>
      </c>
      <c r="AH404" s="175"/>
      <c r="AI404" s="106">
        <f t="shared" si="41"/>
        <v>0</v>
      </c>
      <c r="AJ404" s="106"/>
      <c r="AK404" s="159" t="str">
        <f t="shared" si="47"/>
        <v xml:space="preserve">0.0 </v>
      </c>
      <c r="AL404" s="138"/>
      <c r="AM404" s="106"/>
      <c r="AN404" s="106"/>
      <c r="AO404" s="106">
        <f t="shared" si="48"/>
        <v>0</v>
      </c>
      <c r="AP404" s="106"/>
      <c r="AQ404" s="159" t="str">
        <f t="shared" si="49"/>
        <v xml:space="preserve">0.0 </v>
      </c>
      <c r="AS404" s="110"/>
      <c r="AW404" s="172"/>
    </row>
    <row r="405" spans="12:49" x14ac:dyDescent="0.3">
      <c r="L405" s="99"/>
      <c r="M405" s="99"/>
      <c r="T405" s="267">
        <f t="shared" si="36"/>
        <v>37</v>
      </c>
      <c r="V405" s="116" t="str">
        <f t="shared" si="37"/>
        <v xml:space="preserve">   50W Ocala Acorn LED</v>
      </c>
      <c r="Y405" s="147">
        <f t="shared" si="38"/>
        <v>0</v>
      </c>
      <c r="Z405" s="1"/>
      <c r="AA405" s="147">
        <f t="shared" si="39"/>
        <v>0</v>
      </c>
      <c r="AB405" s="147"/>
      <c r="AC405" s="228">
        <v>6.71</v>
      </c>
      <c r="AD405" s="228">
        <v>2.9</v>
      </c>
      <c r="AE405" s="106">
        <f t="shared" si="46"/>
        <v>0</v>
      </c>
      <c r="AF405" s="106"/>
      <c r="AG405" s="154">
        <f t="shared" si="40"/>
        <v>0</v>
      </c>
      <c r="AH405" s="175"/>
      <c r="AI405" s="106">
        <f t="shared" si="41"/>
        <v>0</v>
      </c>
      <c r="AJ405" s="106"/>
      <c r="AK405" s="159" t="str">
        <f t="shared" si="47"/>
        <v xml:space="preserve">0.0 </v>
      </c>
      <c r="AL405" s="138"/>
      <c r="AM405" s="106"/>
      <c r="AN405" s="106"/>
      <c r="AO405" s="106">
        <f t="shared" si="48"/>
        <v>0</v>
      </c>
      <c r="AP405" s="106"/>
      <c r="AQ405" s="159" t="str">
        <f t="shared" si="49"/>
        <v xml:space="preserve">0.0 </v>
      </c>
      <c r="AS405" s="110"/>
      <c r="AW405" s="172"/>
    </row>
    <row r="406" spans="12:49" x14ac:dyDescent="0.3">
      <c r="L406" s="99"/>
      <c r="M406" s="99"/>
      <c r="T406" s="267">
        <f t="shared" si="36"/>
        <v>38</v>
      </c>
      <c r="V406" s="116" t="str">
        <f t="shared" si="37"/>
        <v xml:space="preserve">   50W Deluxe Traditional LED</v>
      </c>
      <c r="Y406" s="147">
        <f t="shared" si="38"/>
        <v>0</v>
      </c>
      <c r="Z406" s="1"/>
      <c r="AA406" s="147">
        <f t="shared" si="39"/>
        <v>0</v>
      </c>
      <c r="AB406" s="147"/>
      <c r="AC406" s="228">
        <v>12.82</v>
      </c>
      <c r="AD406" s="228">
        <v>2.9</v>
      </c>
      <c r="AE406" s="106">
        <f t="shared" si="46"/>
        <v>0</v>
      </c>
      <c r="AF406" s="106"/>
      <c r="AG406" s="154">
        <f t="shared" si="40"/>
        <v>0</v>
      </c>
      <c r="AH406" s="175"/>
      <c r="AI406" s="106">
        <f t="shared" si="41"/>
        <v>0</v>
      </c>
      <c r="AJ406" s="106"/>
      <c r="AK406" s="159" t="str">
        <f t="shared" si="47"/>
        <v xml:space="preserve">0.0 </v>
      </c>
      <c r="AL406" s="138"/>
      <c r="AM406" s="106"/>
      <c r="AN406" s="106"/>
      <c r="AO406" s="106">
        <f t="shared" si="48"/>
        <v>0</v>
      </c>
      <c r="AP406" s="106"/>
      <c r="AQ406" s="159" t="str">
        <f t="shared" si="49"/>
        <v xml:space="preserve">0.0 </v>
      </c>
      <c r="AS406" s="110"/>
      <c r="AW406" s="172"/>
    </row>
    <row r="407" spans="12:49" x14ac:dyDescent="0.3">
      <c r="L407" s="99"/>
      <c r="M407" s="99"/>
      <c r="T407" s="267">
        <f t="shared" si="36"/>
        <v>39</v>
      </c>
      <c r="V407" s="116" t="str">
        <f t="shared" si="37"/>
        <v xml:space="preserve">   30W Town &amp; Country LED</v>
      </c>
      <c r="Y407" s="147">
        <f t="shared" si="38"/>
        <v>0</v>
      </c>
      <c r="Z407" s="1"/>
      <c r="AA407" s="147">
        <f t="shared" si="39"/>
        <v>0</v>
      </c>
      <c r="AB407" s="147"/>
      <c r="AC407" s="228">
        <v>5.35</v>
      </c>
      <c r="AD407" s="228">
        <v>2.9</v>
      </c>
      <c r="AE407" s="106">
        <f t="shared" si="46"/>
        <v>0</v>
      </c>
      <c r="AF407" s="106"/>
      <c r="AG407" s="154">
        <f t="shared" si="40"/>
        <v>0</v>
      </c>
      <c r="AH407" s="175"/>
      <c r="AI407" s="106">
        <f t="shared" si="41"/>
        <v>0</v>
      </c>
      <c r="AJ407" s="106"/>
      <c r="AK407" s="159" t="str">
        <f t="shared" si="47"/>
        <v xml:space="preserve">0.0 </v>
      </c>
      <c r="AL407" s="138"/>
      <c r="AM407" s="106"/>
      <c r="AN407" s="106"/>
      <c r="AO407" s="106">
        <f t="shared" si="48"/>
        <v>0</v>
      </c>
      <c r="AP407" s="106"/>
      <c r="AQ407" s="159" t="str">
        <f t="shared" si="49"/>
        <v xml:space="preserve">0.0 </v>
      </c>
      <c r="AS407" s="110"/>
      <c r="AW407" s="172"/>
    </row>
    <row r="408" spans="12:49" x14ac:dyDescent="0.3">
      <c r="L408" s="99"/>
      <c r="M408" s="99"/>
      <c r="T408" s="267">
        <f t="shared" si="36"/>
        <v>40</v>
      </c>
      <c r="V408" s="116" t="str">
        <f t="shared" si="37"/>
        <v xml:space="preserve">   30W Open Town &amp; Country LED</v>
      </c>
      <c r="Y408" s="147">
        <f t="shared" si="38"/>
        <v>0</v>
      </c>
      <c r="Z408" s="1"/>
      <c r="AA408" s="147">
        <f t="shared" si="39"/>
        <v>0</v>
      </c>
      <c r="AB408" s="147"/>
      <c r="AC408" s="228">
        <v>5.09</v>
      </c>
      <c r="AD408" s="228">
        <v>2.9</v>
      </c>
      <c r="AE408" s="106">
        <f t="shared" si="46"/>
        <v>0</v>
      </c>
      <c r="AF408" s="106"/>
      <c r="AG408" s="154">
        <f t="shared" si="40"/>
        <v>0</v>
      </c>
      <c r="AH408" s="175"/>
      <c r="AI408" s="106">
        <f t="shared" si="41"/>
        <v>0</v>
      </c>
      <c r="AJ408" s="106"/>
      <c r="AK408" s="159" t="str">
        <f t="shared" si="47"/>
        <v xml:space="preserve">0.0 </v>
      </c>
      <c r="AL408" s="138"/>
      <c r="AM408" s="106"/>
      <c r="AN408" s="106"/>
      <c r="AO408" s="106">
        <f t="shared" si="48"/>
        <v>0</v>
      </c>
      <c r="AP408" s="106"/>
      <c r="AQ408" s="159" t="str">
        <f t="shared" si="49"/>
        <v xml:space="preserve">0.0 </v>
      </c>
      <c r="AS408" s="110"/>
      <c r="AW408" s="172"/>
    </row>
    <row r="409" spans="12:49" x14ac:dyDescent="0.3">
      <c r="L409" s="99"/>
      <c r="M409" s="99"/>
      <c r="T409" s="267">
        <f t="shared" si="36"/>
        <v>41</v>
      </c>
      <c r="V409" s="116" t="str">
        <f t="shared" si="37"/>
        <v xml:space="preserve">   150W Enterprise LED</v>
      </c>
      <c r="Y409" s="147">
        <f t="shared" si="38"/>
        <v>0</v>
      </c>
      <c r="Z409" s="1"/>
      <c r="AA409" s="147">
        <f t="shared" si="39"/>
        <v>0</v>
      </c>
      <c r="AB409" s="147"/>
      <c r="AC409" s="228">
        <v>11.45</v>
      </c>
      <c r="AD409" s="228">
        <v>2.9</v>
      </c>
      <c r="AE409" s="106">
        <f t="shared" si="46"/>
        <v>0</v>
      </c>
      <c r="AF409" s="106"/>
      <c r="AG409" s="154">
        <f t="shared" si="40"/>
        <v>0</v>
      </c>
      <c r="AH409" s="175"/>
      <c r="AI409" s="106">
        <f t="shared" si="41"/>
        <v>0</v>
      </c>
      <c r="AJ409" s="106"/>
      <c r="AK409" s="159" t="str">
        <f t="shared" si="47"/>
        <v xml:space="preserve">0.0 </v>
      </c>
      <c r="AL409" s="138"/>
      <c r="AM409" s="106"/>
      <c r="AN409" s="106"/>
      <c r="AO409" s="106">
        <f t="shared" si="48"/>
        <v>0</v>
      </c>
      <c r="AP409" s="106"/>
      <c r="AQ409" s="159" t="str">
        <f t="shared" si="49"/>
        <v xml:space="preserve">0.0 </v>
      </c>
      <c r="AS409" s="110"/>
      <c r="AW409" s="172"/>
    </row>
    <row r="410" spans="12:49" x14ac:dyDescent="0.3">
      <c r="L410" s="99"/>
      <c r="M410" s="99"/>
      <c r="T410" s="267">
        <f t="shared" si="36"/>
        <v>42</v>
      </c>
      <c r="V410" s="116" t="str">
        <f t="shared" si="37"/>
        <v xml:space="preserve">   220W Enterprise LED</v>
      </c>
      <c r="Y410" s="147">
        <f t="shared" si="38"/>
        <v>0</v>
      </c>
      <c r="Z410" s="1"/>
      <c r="AA410" s="147">
        <f t="shared" si="39"/>
        <v>0</v>
      </c>
      <c r="AB410" s="147"/>
      <c r="AC410" s="228">
        <v>11.78</v>
      </c>
      <c r="AD410" s="228">
        <v>3.54</v>
      </c>
      <c r="AE410" s="106">
        <f t="shared" si="46"/>
        <v>0</v>
      </c>
      <c r="AF410" s="106"/>
      <c r="AG410" s="154">
        <f t="shared" si="40"/>
        <v>0</v>
      </c>
      <c r="AH410" s="175"/>
      <c r="AI410" s="106">
        <f t="shared" si="41"/>
        <v>0</v>
      </c>
      <c r="AJ410" s="106"/>
      <c r="AK410" s="159" t="str">
        <f t="shared" si="47"/>
        <v xml:space="preserve">0.0 </v>
      </c>
      <c r="AL410" s="138"/>
      <c r="AM410" s="106"/>
      <c r="AN410" s="106"/>
      <c r="AO410" s="106">
        <f t="shared" si="48"/>
        <v>0</v>
      </c>
      <c r="AP410" s="106"/>
      <c r="AQ410" s="159" t="str">
        <f t="shared" si="49"/>
        <v xml:space="preserve">0.0 </v>
      </c>
      <c r="AS410" s="110"/>
      <c r="AW410" s="172"/>
    </row>
    <row r="411" spans="12:49" x14ac:dyDescent="0.3">
      <c r="L411" s="99"/>
      <c r="M411" s="99"/>
      <c r="T411" s="267">
        <f t="shared" si="36"/>
        <v>43</v>
      </c>
      <c r="V411" s="116" t="str">
        <f t="shared" si="37"/>
        <v xml:space="preserve">   50W Clermont LED</v>
      </c>
      <c r="Y411" s="147">
        <f t="shared" si="38"/>
        <v>0</v>
      </c>
      <c r="Z411" s="1"/>
      <c r="AA411" s="147">
        <f t="shared" si="39"/>
        <v>0</v>
      </c>
      <c r="AB411" s="147"/>
      <c r="AC411" s="228">
        <v>18.68</v>
      </c>
      <c r="AD411" s="228">
        <v>2.9</v>
      </c>
      <c r="AE411" s="106">
        <f t="shared" si="46"/>
        <v>0</v>
      </c>
      <c r="AF411" s="106"/>
      <c r="AG411" s="154">
        <f t="shared" si="40"/>
        <v>0</v>
      </c>
      <c r="AH411" s="175"/>
      <c r="AI411" s="106">
        <f t="shared" si="41"/>
        <v>0</v>
      </c>
      <c r="AJ411" s="106"/>
      <c r="AK411" s="159" t="str">
        <f t="shared" si="47"/>
        <v xml:space="preserve">0.0 </v>
      </c>
      <c r="AL411" s="138"/>
      <c r="AM411" s="106"/>
      <c r="AN411" s="106"/>
      <c r="AO411" s="106">
        <f t="shared" si="48"/>
        <v>0</v>
      </c>
      <c r="AP411" s="106"/>
      <c r="AQ411" s="159" t="str">
        <f t="shared" si="49"/>
        <v xml:space="preserve">0.0 </v>
      </c>
      <c r="AS411" s="110"/>
      <c r="AW411" s="172"/>
    </row>
    <row r="412" spans="12:49" x14ac:dyDescent="0.3">
      <c r="L412" s="99"/>
      <c r="M412" s="99"/>
      <c r="T412" s="267">
        <f t="shared" si="36"/>
        <v>44</v>
      </c>
      <c r="V412" s="116" t="str">
        <f t="shared" si="37"/>
        <v xml:space="preserve">   30W Gaslight Replica LED</v>
      </c>
      <c r="Y412" s="147">
        <f t="shared" si="38"/>
        <v>0</v>
      </c>
      <c r="Z412" s="1"/>
      <c r="AA412" s="147">
        <f t="shared" si="39"/>
        <v>0</v>
      </c>
      <c r="AB412" s="147"/>
      <c r="AC412" s="228">
        <v>21.3</v>
      </c>
      <c r="AD412" s="228">
        <v>2.9</v>
      </c>
      <c r="AE412" s="106">
        <f t="shared" si="46"/>
        <v>0</v>
      </c>
      <c r="AF412" s="106"/>
      <c r="AG412" s="154">
        <f t="shared" si="40"/>
        <v>0</v>
      </c>
      <c r="AH412" s="175"/>
      <c r="AI412" s="106">
        <f t="shared" si="41"/>
        <v>0</v>
      </c>
      <c r="AJ412" s="106"/>
      <c r="AK412" s="159" t="str">
        <f t="shared" si="47"/>
        <v xml:space="preserve">0.0 </v>
      </c>
      <c r="AL412" s="138"/>
      <c r="AM412" s="106"/>
      <c r="AN412" s="106"/>
      <c r="AO412" s="106">
        <f t="shared" si="48"/>
        <v>0</v>
      </c>
      <c r="AP412" s="106"/>
      <c r="AQ412" s="159" t="str">
        <f t="shared" si="49"/>
        <v xml:space="preserve">0.0 </v>
      </c>
      <c r="AS412" s="110"/>
      <c r="AW412" s="172"/>
    </row>
    <row r="413" spans="12:49" x14ac:dyDescent="0.3">
      <c r="L413" s="99"/>
      <c r="M413" s="99"/>
      <c r="T413" s="267"/>
      <c r="V413" s="116"/>
      <c r="Y413" s="147"/>
      <c r="Z413" s="1"/>
      <c r="AA413" s="147"/>
      <c r="AB413" s="147"/>
      <c r="AC413" s="228"/>
      <c r="AD413" s="228"/>
      <c r="AE413" s="106"/>
      <c r="AF413" s="106"/>
      <c r="AG413" s="154"/>
      <c r="AH413" s="175"/>
      <c r="AI413" s="106"/>
      <c r="AJ413" s="106"/>
      <c r="AK413" s="159"/>
      <c r="AL413" s="138"/>
      <c r="AM413" s="106"/>
      <c r="AN413" s="106"/>
      <c r="AO413" s="106"/>
      <c r="AP413" s="106"/>
      <c r="AQ413" s="159"/>
      <c r="AS413" s="110"/>
      <c r="AW413" s="172"/>
    </row>
    <row r="414" spans="12:49" x14ac:dyDescent="0.3">
      <c r="L414" s="99"/>
      <c r="M414" s="99"/>
      <c r="T414" s="178" t="s">
        <v>76</v>
      </c>
      <c r="V414" s="116"/>
      <c r="Y414" s="147"/>
      <c r="Z414" s="1"/>
      <c r="AA414" s="147"/>
      <c r="AB414" s="147"/>
      <c r="AC414" s="228"/>
      <c r="AD414" s="228"/>
      <c r="AE414" s="106"/>
      <c r="AF414" s="106"/>
      <c r="AG414" s="154"/>
      <c r="AH414" s="175"/>
      <c r="AI414" s="106"/>
      <c r="AJ414" s="106"/>
      <c r="AK414" s="159"/>
      <c r="AL414" s="138"/>
      <c r="AM414" s="106"/>
      <c r="AN414" s="106"/>
      <c r="AO414" s="106"/>
      <c r="AP414" s="106"/>
      <c r="AQ414" s="159"/>
      <c r="AS414" s="110"/>
      <c r="AW414" s="172"/>
    </row>
    <row r="415" spans="12:49" x14ac:dyDescent="0.3">
      <c r="L415" s="99"/>
      <c r="M415" s="99"/>
      <c r="T415" s="178" t="str">
        <f>"(1A) REFLECTS FUEL COST RECOVERY INCLUDED IN BASE RATES OF "&amp;TEXT(CUR_BASE_FUEL,"$0.000000;($0.000000)")&amp;"  PER KWH."</f>
        <v>(1A) REFLECTS FUEL COST RECOVERY INCLUDED IN BASE RATES OF $0.033780  PER KWH.</v>
      </c>
      <c r="V415" s="116"/>
      <c r="Y415" s="147"/>
      <c r="Z415" s="1"/>
      <c r="AA415" s="147"/>
      <c r="AB415" s="147"/>
      <c r="AC415" s="228"/>
      <c r="AD415" s="228"/>
      <c r="AE415" s="106"/>
      <c r="AF415" s="106"/>
      <c r="AG415" s="154"/>
      <c r="AH415" s="175"/>
      <c r="AI415" s="106"/>
      <c r="AJ415" s="106"/>
      <c r="AK415" s="159"/>
      <c r="AL415" s="138"/>
      <c r="AM415" s="106"/>
      <c r="AN415" s="106"/>
      <c r="AO415" s="106"/>
      <c r="AP415" s="106"/>
      <c r="AQ415" s="159"/>
      <c r="AS415" s="110"/>
      <c r="AW415" s="172"/>
    </row>
    <row r="416" spans="12:49" x14ac:dyDescent="0.3">
      <c r="L416" s="99"/>
      <c r="M416" s="99"/>
      <c r="T416" s="178" t="str">
        <f>"(2) REFLECTS FUEL COMPONENT OF "&amp;TEXT(CUR_FAC,"$0.000000;($0.000000)")&amp;"  PER KWH."</f>
        <v>(2) REFLECTS FUEL COMPONENT OF $0.003487  PER KWH.</v>
      </c>
      <c r="V416" s="116"/>
      <c r="Y416" s="147"/>
      <c r="Z416" s="1"/>
      <c r="AA416" s="147"/>
      <c r="AB416" s="147"/>
      <c r="AC416" s="228"/>
      <c r="AD416" s="228"/>
      <c r="AE416" s="106"/>
      <c r="AF416" s="106"/>
      <c r="AG416" s="154"/>
      <c r="AH416" s="175"/>
      <c r="AI416" s="106"/>
      <c r="AJ416" s="106"/>
      <c r="AK416" s="159"/>
      <c r="AL416" s="138"/>
      <c r="AM416" s="106"/>
      <c r="AN416" s="106"/>
      <c r="AO416" s="106"/>
      <c r="AP416" s="106"/>
      <c r="AQ416" s="159"/>
      <c r="AS416" s="110"/>
      <c r="AW416" s="172"/>
    </row>
    <row r="417" spans="12:49" x14ac:dyDescent="0.3">
      <c r="L417" s="99"/>
      <c r="M417" s="99"/>
      <c r="T417" s="267"/>
      <c r="V417" s="116"/>
      <c r="Y417" s="147"/>
      <c r="Z417" s="1"/>
      <c r="AA417" s="147"/>
      <c r="AB417" s="147"/>
      <c r="AC417" s="228"/>
      <c r="AD417" s="228"/>
      <c r="AE417" s="106"/>
      <c r="AF417" s="106"/>
      <c r="AG417" s="154"/>
      <c r="AH417" s="175"/>
      <c r="AI417" s="106"/>
      <c r="AJ417" s="106"/>
      <c r="AK417" s="159"/>
      <c r="AL417" s="138"/>
      <c r="AM417" s="106"/>
      <c r="AN417" s="106"/>
      <c r="AO417" s="106"/>
      <c r="AP417" s="106"/>
      <c r="AQ417" s="159"/>
      <c r="AS417" s="110"/>
      <c r="AW417" s="172"/>
    </row>
    <row r="418" spans="12:49" x14ac:dyDescent="0.3">
      <c r="L418" s="99"/>
      <c r="M418" s="99"/>
      <c r="T418" s="353" t="str">
        <f>NAME</f>
        <v>DUKE ENERGY KENTUCKY, INC.</v>
      </c>
      <c r="U418" s="353"/>
      <c r="V418" s="353"/>
      <c r="W418" s="353"/>
      <c r="X418" s="353"/>
      <c r="Y418" s="353"/>
      <c r="Z418" s="353"/>
      <c r="AA418" s="353"/>
      <c r="AB418" s="353"/>
      <c r="AC418" s="353"/>
      <c r="AD418" s="353"/>
      <c r="AE418" s="353"/>
      <c r="AF418" s="353"/>
      <c r="AG418" s="353"/>
      <c r="AH418" s="353"/>
      <c r="AI418" s="353"/>
      <c r="AJ418" s="353"/>
      <c r="AK418" s="353"/>
      <c r="AL418" s="353"/>
      <c r="AM418" s="353"/>
      <c r="AN418" s="353"/>
      <c r="AO418" s="353"/>
      <c r="AP418" s="353"/>
      <c r="AQ418" s="353"/>
      <c r="AS418" s="110"/>
      <c r="AW418" s="172"/>
    </row>
    <row r="419" spans="12:49" x14ac:dyDescent="0.3">
      <c r="L419" s="99"/>
      <c r="M419" s="99"/>
      <c r="T419" s="97" t="str">
        <f>CASE_NO</f>
        <v>CASE NO.   2024-00354</v>
      </c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S419" s="110"/>
      <c r="AW419" s="172"/>
    </row>
    <row r="420" spans="12:49" x14ac:dyDescent="0.3">
      <c r="L420" s="99"/>
      <c r="M420" s="99"/>
      <c r="T420" s="97" t="str">
        <f>TITLE</f>
        <v>ANNUALIZED BASE YEAR REVENUES AT PROPOSED VS. MOST CURRENT RATES</v>
      </c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S420" s="110"/>
      <c r="AW420" s="172"/>
    </row>
    <row r="421" spans="12:49" x14ac:dyDescent="0.3">
      <c r="L421" s="99"/>
      <c r="M421" s="99"/>
      <c r="T421" s="97" t="str">
        <f>DATE</f>
        <v>FOR THE TWELVE MONTHS ENDED February 28, 2025</v>
      </c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S421" s="110"/>
      <c r="AW421" s="172"/>
    </row>
    <row r="422" spans="12:49" x14ac:dyDescent="0.3">
      <c r="L422" s="99"/>
      <c r="M422" s="99"/>
      <c r="T422" s="97" t="str">
        <f>SERVICE</f>
        <v>(ELECTRIC SERVICE)</v>
      </c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S422" s="110"/>
      <c r="AW422" s="172"/>
    </row>
    <row r="423" spans="12:49" x14ac:dyDescent="0.3">
      <c r="L423" s="99"/>
      <c r="M423" s="99"/>
      <c r="T423" s="98" t="str">
        <f>DATA_PERIOD</f>
        <v>DATA: __X__ BASE PERIOD   ____FORECASTED PERIOD</v>
      </c>
      <c r="AG423" s="98"/>
      <c r="AK423" s="98"/>
      <c r="AO423" s="99" t="s">
        <v>157</v>
      </c>
      <c r="AQ423" s="98"/>
      <c r="AS423" s="110"/>
      <c r="AW423" s="172"/>
    </row>
    <row r="424" spans="12:49" x14ac:dyDescent="0.3">
      <c r="L424" s="99"/>
      <c r="M424" s="99"/>
      <c r="T424" s="98" t="str">
        <f>TYPE</f>
        <v>TYPE OF FILING: _X_ ORIGINAL   ___UPDATED  ___ REVISED</v>
      </c>
      <c r="AG424" s="98"/>
      <c r="AK424" s="98"/>
      <c r="AO424" s="116" t="str">
        <f>"PAGE 21 OF "&amp;TEXT(Page_Num_2.2,"00")</f>
        <v>PAGE 21 OF 24</v>
      </c>
      <c r="AQ424" s="98"/>
      <c r="AS424" s="110"/>
      <c r="AW424" s="172"/>
    </row>
    <row r="425" spans="12:49" x14ac:dyDescent="0.3">
      <c r="L425" s="99"/>
      <c r="M425" s="99"/>
      <c r="T425" s="99" t="s">
        <v>170</v>
      </c>
      <c r="AO425" s="99" t="s">
        <v>4</v>
      </c>
      <c r="AP425" s="99"/>
      <c r="AS425" s="110"/>
      <c r="AW425" s="172"/>
    </row>
    <row r="426" spans="12:49" x14ac:dyDescent="0.3">
      <c r="L426" s="99"/>
      <c r="M426" s="99"/>
      <c r="T426" s="134" t="str">
        <f>TIME</f>
        <v>6 Months Actual and 6 Months Projected with Riders</v>
      </c>
      <c r="AF426" s="99"/>
      <c r="AO426" s="110" t="str">
        <f>WIT</f>
        <v>B. L. Sailers</v>
      </c>
      <c r="AS426" s="110"/>
      <c r="AW426" s="172"/>
    </row>
    <row r="427" spans="12:49" x14ac:dyDescent="0.3">
      <c r="L427" s="99"/>
      <c r="M427" s="99"/>
      <c r="T427" s="97" t="s">
        <v>130</v>
      </c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149"/>
      <c r="AH427" s="97"/>
      <c r="AI427" s="97"/>
      <c r="AJ427" s="97"/>
      <c r="AK427" s="149"/>
      <c r="AL427" s="97"/>
      <c r="AM427" s="97"/>
      <c r="AN427" s="97"/>
      <c r="AO427" s="97"/>
      <c r="AP427" s="97"/>
      <c r="AS427" s="110"/>
      <c r="AW427" s="172"/>
    </row>
    <row r="428" spans="12:49" x14ac:dyDescent="0.3">
      <c r="L428" s="99"/>
      <c r="M428" s="99"/>
      <c r="T428" s="101"/>
      <c r="U428" s="101"/>
      <c r="V428" s="101"/>
      <c r="W428" s="101"/>
      <c r="X428" s="101"/>
      <c r="Y428" s="101"/>
      <c r="Z428" s="101"/>
      <c r="AA428" s="101"/>
      <c r="AB428" s="101"/>
      <c r="AC428" s="101"/>
      <c r="AD428" s="101"/>
      <c r="AE428" s="100"/>
      <c r="AF428" s="100"/>
      <c r="AG428" s="150"/>
      <c r="AH428" s="100"/>
      <c r="AI428" s="100"/>
      <c r="AJ428" s="100"/>
      <c r="AK428" s="150"/>
      <c r="AL428" s="100"/>
      <c r="AM428" s="100"/>
      <c r="AN428" s="101"/>
      <c r="AO428" s="101"/>
      <c r="AP428" s="101"/>
      <c r="AS428" s="110"/>
      <c r="AW428" s="172"/>
    </row>
    <row r="429" spans="12:49" x14ac:dyDescent="0.3">
      <c r="L429" s="99"/>
      <c r="M429" s="99"/>
      <c r="T429" s="174"/>
      <c r="U429" s="174"/>
      <c r="V429" s="174"/>
      <c r="W429" s="174"/>
      <c r="X429" s="174"/>
      <c r="Y429" s="174"/>
      <c r="Z429" s="174"/>
      <c r="AA429" s="174"/>
      <c r="AB429" s="174"/>
      <c r="AC429" s="174"/>
      <c r="AD429" s="174"/>
      <c r="AE429" s="102" t="s">
        <v>8</v>
      </c>
      <c r="AF429" s="102"/>
      <c r="AG429" s="151" t="s">
        <v>7</v>
      </c>
      <c r="AH429" s="102"/>
      <c r="AI429" s="102" t="s">
        <v>9</v>
      </c>
      <c r="AJ429" s="102"/>
      <c r="AK429" s="151" t="s">
        <v>10</v>
      </c>
      <c r="AL429" s="102"/>
      <c r="AN429" s="174"/>
      <c r="AO429" s="254" t="s">
        <v>8</v>
      </c>
      <c r="AP429" s="254"/>
      <c r="AQ429" s="255" t="s">
        <v>11</v>
      </c>
      <c r="AS429" s="110"/>
      <c r="AW429" s="172"/>
    </row>
    <row r="430" spans="12:49" x14ac:dyDescent="0.3">
      <c r="L430" s="99"/>
      <c r="M430" s="99"/>
      <c r="AC430" s="332" t="s">
        <v>567</v>
      </c>
      <c r="AD430" s="97"/>
      <c r="AE430" s="102" t="s">
        <v>12</v>
      </c>
      <c r="AF430" s="102"/>
      <c r="AG430" s="151" t="s">
        <v>13</v>
      </c>
      <c r="AH430" s="102"/>
      <c r="AI430" s="102" t="s">
        <v>15</v>
      </c>
      <c r="AJ430" s="102"/>
      <c r="AK430" s="151" t="s">
        <v>16</v>
      </c>
      <c r="AL430" s="102"/>
      <c r="AO430" s="102" t="s">
        <v>11</v>
      </c>
      <c r="AP430" s="102"/>
      <c r="AQ430" s="151" t="s">
        <v>9</v>
      </c>
      <c r="AS430" s="110"/>
      <c r="AW430" s="172"/>
    </row>
    <row r="431" spans="12:49" x14ac:dyDescent="0.3">
      <c r="L431" s="99"/>
      <c r="M431" s="99"/>
      <c r="T431" s="102" t="s">
        <v>17</v>
      </c>
      <c r="V431" s="102" t="s">
        <v>18</v>
      </c>
      <c r="W431" s="102" t="s">
        <v>19</v>
      </c>
      <c r="X431" s="102"/>
      <c r="Y431" s="102" t="s">
        <v>20</v>
      </c>
      <c r="AC431" s="102" t="s">
        <v>563</v>
      </c>
      <c r="AD431" s="102" t="s">
        <v>564</v>
      </c>
      <c r="AE431" s="102" t="s">
        <v>593</v>
      </c>
      <c r="AF431" s="102"/>
      <c r="AG431" s="151" t="s">
        <v>593</v>
      </c>
      <c r="AH431" s="102"/>
      <c r="AI431" s="103" t="s">
        <v>708</v>
      </c>
      <c r="AJ431" s="102"/>
      <c r="AK431" s="152" t="s">
        <v>708</v>
      </c>
      <c r="AL431" s="102"/>
      <c r="AM431" s="102" t="s">
        <v>593</v>
      </c>
      <c r="AN431" s="102"/>
      <c r="AO431" s="102" t="s">
        <v>9</v>
      </c>
      <c r="AP431" s="102"/>
      <c r="AQ431" s="151" t="s">
        <v>21</v>
      </c>
      <c r="AS431" s="110"/>
      <c r="AW431" s="172"/>
    </row>
    <row r="432" spans="12:49" x14ac:dyDescent="0.3">
      <c r="L432" s="99"/>
      <c r="M432" s="99"/>
      <c r="T432" s="102" t="s">
        <v>22</v>
      </c>
      <c r="V432" s="102" t="s">
        <v>23</v>
      </c>
      <c r="W432" s="102" t="s">
        <v>24</v>
      </c>
      <c r="X432" s="102"/>
      <c r="Y432" s="102" t="s">
        <v>25</v>
      </c>
      <c r="AA432" s="102" t="s">
        <v>26</v>
      </c>
      <c r="AB432" s="102"/>
      <c r="AC432" s="103" t="s">
        <v>27</v>
      </c>
      <c r="AD432" s="103" t="s">
        <v>27</v>
      </c>
      <c r="AE432" s="102" t="s">
        <v>9</v>
      </c>
      <c r="AF432" s="102"/>
      <c r="AG432" s="151" t="s">
        <v>9</v>
      </c>
      <c r="AH432" s="102"/>
      <c r="AI432" s="131" t="s">
        <v>29</v>
      </c>
      <c r="AJ432" s="131"/>
      <c r="AK432" s="165" t="s">
        <v>30</v>
      </c>
      <c r="AL432" s="102"/>
      <c r="AM432" s="102" t="s">
        <v>323</v>
      </c>
      <c r="AN432" s="102"/>
      <c r="AO432" s="131" t="s">
        <v>31</v>
      </c>
      <c r="AP432" s="131"/>
      <c r="AQ432" s="165" t="s">
        <v>32</v>
      </c>
      <c r="AS432" s="110"/>
      <c r="AW432" s="172"/>
    </row>
    <row r="433" spans="12:49" x14ac:dyDescent="0.3">
      <c r="L433" s="99"/>
      <c r="M433" s="99"/>
      <c r="V433" s="131" t="s">
        <v>33</v>
      </c>
      <c r="W433" s="131" t="s">
        <v>34</v>
      </c>
      <c r="X433" s="131"/>
      <c r="Y433" s="131" t="s">
        <v>35</v>
      </c>
      <c r="Z433" s="134"/>
      <c r="AA433" s="131" t="s">
        <v>36</v>
      </c>
      <c r="AB433" s="131"/>
      <c r="AC433" s="146" t="s">
        <v>569</v>
      </c>
      <c r="AD433" s="146" t="s">
        <v>568</v>
      </c>
      <c r="AE433" s="131" t="s">
        <v>43</v>
      </c>
      <c r="AF433" s="131"/>
      <c r="AG433" s="165" t="s">
        <v>44</v>
      </c>
      <c r="AH433" s="131"/>
      <c r="AI433" s="131" t="s">
        <v>45</v>
      </c>
      <c r="AJ433" s="131"/>
      <c r="AK433" s="165" t="s">
        <v>46</v>
      </c>
      <c r="AL433" s="131"/>
      <c r="AM433" s="131" t="s">
        <v>40</v>
      </c>
      <c r="AN433" s="131"/>
      <c r="AO433" s="131" t="s">
        <v>47</v>
      </c>
      <c r="AP433" s="131"/>
      <c r="AQ433" s="165" t="s">
        <v>48</v>
      </c>
      <c r="AS433" s="110"/>
      <c r="AW433" s="172"/>
    </row>
    <row r="434" spans="12:49" x14ac:dyDescent="0.3">
      <c r="L434" s="99"/>
      <c r="M434" s="99"/>
      <c r="T434" s="174"/>
      <c r="U434" s="174"/>
      <c r="V434" s="174"/>
      <c r="W434" s="174"/>
      <c r="X434" s="174"/>
      <c r="Y434" s="174"/>
      <c r="Z434" s="174"/>
      <c r="AA434" s="258" t="s">
        <v>49</v>
      </c>
      <c r="AB434" s="258"/>
      <c r="AC434" s="257" t="s">
        <v>69</v>
      </c>
      <c r="AD434" s="258"/>
      <c r="AE434" s="258" t="s">
        <v>50</v>
      </c>
      <c r="AF434" s="258"/>
      <c r="AG434" s="259" t="s">
        <v>51</v>
      </c>
      <c r="AH434" s="258"/>
      <c r="AI434" s="258" t="s">
        <v>50</v>
      </c>
      <c r="AJ434" s="258"/>
      <c r="AK434" s="259" t="s">
        <v>51</v>
      </c>
      <c r="AL434" s="258"/>
      <c r="AM434" s="258" t="s">
        <v>50</v>
      </c>
      <c r="AN434" s="258"/>
      <c r="AO434" s="258" t="s">
        <v>50</v>
      </c>
      <c r="AP434" s="258"/>
      <c r="AQ434" s="259" t="s">
        <v>51</v>
      </c>
      <c r="AS434" s="110"/>
      <c r="AW434" s="172"/>
    </row>
    <row r="435" spans="12:49" x14ac:dyDescent="0.3">
      <c r="L435" s="99"/>
      <c r="M435" s="99"/>
      <c r="T435" s="267"/>
      <c r="V435" s="116"/>
      <c r="Y435" s="147"/>
      <c r="Z435" s="1"/>
      <c r="AA435" s="147"/>
      <c r="AB435" s="147"/>
      <c r="AC435" s="228"/>
      <c r="AD435" s="228"/>
      <c r="AE435" s="106"/>
      <c r="AF435" s="106"/>
      <c r="AG435" s="154"/>
      <c r="AH435" s="175"/>
      <c r="AI435" s="106"/>
      <c r="AJ435" s="106"/>
      <c r="AK435" s="159"/>
      <c r="AL435" s="138"/>
      <c r="AM435" s="106"/>
      <c r="AN435" s="106"/>
      <c r="AO435" s="106"/>
      <c r="AP435" s="106"/>
      <c r="AQ435" s="159"/>
      <c r="AS435" s="110"/>
      <c r="AW435" s="172"/>
    </row>
    <row r="436" spans="12:49" x14ac:dyDescent="0.3">
      <c r="L436" s="99"/>
      <c r="M436" s="99"/>
      <c r="T436" s="267">
        <f t="shared" ref="T436:T437" si="50">A84</f>
        <v>45</v>
      </c>
      <c r="V436" s="116" t="str">
        <f t="shared" ref="V436:W437" si="51">C84</f>
        <v>LED</v>
      </c>
      <c r="W436" s="116" t="str">
        <f t="shared" si="51"/>
        <v>STREET LIGHTING -- LED (CONT'D)</v>
      </c>
      <c r="Y436" s="147"/>
      <c r="Z436" s="1"/>
      <c r="AA436" s="147"/>
      <c r="AB436" s="147"/>
      <c r="AC436" s="228"/>
      <c r="AD436" s="228"/>
      <c r="AE436" s="106"/>
      <c r="AF436" s="106"/>
      <c r="AG436" s="154"/>
      <c r="AH436" s="175"/>
      <c r="AI436" s="106"/>
      <c r="AJ436" s="106"/>
      <c r="AK436" s="159"/>
      <c r="AL436" s="138"/>
      <c r="AM436" s="106"/>
      <c r="AN436" s="106"/>
      <c r="AO436" s="106"/>
      <c r="AP436" s="106"/>
      <c r="AQ436" s="159"/>
      <c r="AS436" s="110"/>
      <c r="AW436" s="172"/>
    </row>
    <row r="437" spans="12:49" x14ac:dyDescent="0.3">
      <c r="L437" s="99"/>
      <c r="M437" s="99"/>
      <c r="T437" s="267">
        <f t="shared" si="50"/>
        <v>46</v>
      </c>
      <c r="V437" s="116" t="str">
        <f t="shared" si="51"/>
        <v>FIXTURES (CONT'D)</v>
      </c>
      <c r="Y437" s="147"/>
      <c r="Z437" s="1"/>
      <c r="AA437" s="147"/>
      <c r="AB437" s="147"/>
      <c r="AC437" s="228"/>
      <c r="AD437" s="228"/>
      <c r="AE437" s="106"/>
      <c r="AF437" s="106"/>
      <c r="AG437" s="154"/>
      <c r="AH437" s="175"/>
      <c r="AI437" s="106"/>
      <c r="AJ437" s="106"/>
      <c r="AK437" s="159"/>
      <c r="AL437" s="138"/>
      <c r="AM437" s="106"/>
      <c r="AN437" s="106"/>
      <c r="AO437" s="106"/>
      <c r="AP437" s="106"/>
      <c r="AQ437" s="159"/>
      <c r="AS437" s="110"/>
      <c r="AW437" s="172"/>
    </row>
    <row r="438" spans="12:49" x14ac:dyDescent="0.3">
      <c r="L438" s="99"/>
      <c r="M438" s="99"/>
      <c r="T438" s="267">
        <f t="shared" ref="T438:T460" si="52">A86</f>
        <v>47</v>
      </c>
      <c r="V438" s="116" t="str">
        <f t="shared" ref="V438:V460" si="53">C86</f>
        <v xml:space="preserve">   50W Cobra LED</v>
      </c>
      <c r="Y438" s="147">
        <f t="shared" ref="Y438:Y459" si="54">F86</f>
        <v>0</v>
      </c>
      <c r="Z438" s="1"/>
      <c r="AA438" s="147">
        <f t="shared" ref="AA438:AA459" si="55">H86</f>
        <v>0</v>
      </c>
      <c r="AB438" s="147"/>
      <c r="AC438" s="228">
        <v>4.17</v>
      </c>
      <c r="AD438" s="228">
        <v>2.9</v>
      </c>
      <c r="AE438" s="106">
        <f t="shared" si="46"/>
        <v>0</v>
      </c>
      <c r="AF438" s="106"/>
      <c r="AG438" s="154">
        <f t="shared" ref="AG438:AG459" si="56">ROUND((AE438/AE$692)*100,1)</f>
        <v>0</v>
      </c>
      <c r="AH438" s="175"/>
      <c r="AI438" s="106">
        <f t="shared" ref="AI438:AI459" si="57">L86-AE438</f>
        <v>0</v>
      </c>
      <c r="AJ438" s="106"/>
      <c r="AK438" s="159" t="str">
        <f t="shared" si="47"/>
        <v xml:space="preserve">0.0 </v>
      </c>
      <c r="AL438" s="138"/>
      <c r="AM438" s="106"/>
      <c r="AN438" s="106"/>
      <c r="AO438" s="106">
        <f t="shared" si="48"/>
        <v>0</v>
      </c>
      <c r="AP438" s="106"/>
      <c r="AQ438" s="159" t="str">
        <f t="shared" si="49"/>
        <v xml:space="preserve">0.0 </v>
      </c>
      <c r="AS438" s="110"/>
      <c r="AW438" s="172"/>
    </row>
    <row r="439" spans="12:49" x14ac:dyDescent="0.3">
      <c r="L439" s="99"/>
      <c r="M439" s="99"/>
      <c r="T439" s="267">
        <f t="shared" si="52"/>
        <v>48</v>
      </c>
      <c r="V439" s="116" t="str">
        <f t="shared" si="53"/>
        <v xml:space="preserve">   70W Cobra LED</v>
      </c>
      <c r="Y439" s="147">
        <f t="shared" si="54"/>
        <v>12</v>
      </c>
      <c r="Z439" s="1"/>
      <c r="AA439" s="147">
        <f t="shared" si="55"/>
        <v>204</v>
      </c>
      <c r="AB439" s="147"/>
      <c r="AC439" s="228">
        <v>4.33</v>
      </c>
      <c r="AD439" s="228">
        <v>2.9</v>
      </c>
      <c r="AE439" s="106">
        <f t="shared" si="46"/>
        <v>87</v>
      </c>
      <c r="AF439" s="106"/>
      <c r="AG439" s="154">
        <f t="shared" si="56"/>
        <v>0.4</v>
      </c>
      <c r="AH439" s="175"/>
      <c r="AI439" s="106">
        <f t="shared" si="57"/>
        <v>12</v>
      </c>
      <c r="AJ439" s="106"/>
      <c r="AK439" s="159">
        <f t="shared" si="47"/>
        <v>13.8</v>
      </c>
      <c r="AL439" s="138"/>
      <c r="AM439" s="106"/>
      <c r="AN439" s="106"/>
      <c r="AO439" s="106">
        <f t="shared" si="48"/>
        <v>87</v>
      </c>
      <c r="AP439" s="106"/>
      <c r="AQ439" s="159">
        <f t="shared" si="49"/>
        <v>13.8</v>
      </c>
      <c r="AS439" s="110"/>
      <c r="AW439" s="172"/>
    </row>
    <row r="440" spans="12:49" x14ac:dyDescent="0.3">
      <c r="L440" s="99"/>
      <c r="M440" s="99"/>
      <c r="T440" s="267">
        <f t="shared" si="52"/>
        <v>49</v>
      </c>
      <c r="V440" s="116" t="str">
        <f t="shared" si="53"/>
        <v xml:space="preserve">   30W Granville Acorn LED</v>
      </c>
      <c r="Y440" s="147">
        <f t="shared" si="54"/>
        <v>0</v>
      </c>
      <c r="Z440" s="1"/>
      <c r="AA440" s="147">
        <f t="shared" si="55"/>
        <v>0</v>
      </c>
      <c r="AB440" s="147"/>
      <c r="AC440" s="228"/>
      <c r="AD440" s="228"/>
      <c r="AE440" s="106">
        <f t="shared" si="46"/>
        <v>0</v>
      </c>
      <c r="AF440" s="106"/>
      <c r="AG440" s="154">
        <f t="shared" si="56"/>
        <v>0</v>
      </c>
      <c r="AH440" s="175"/>
      <c r="AI440" s="106">
        <f t="shared" si="57"/>
        <v>0</v>
      </c>
      <c r="AJ440" s="106"/>
      <c r="AK440" s="159" t="str">
        <f t="shared" si="47"/>
        <v xml:space="preserve">0.0 </v>
      </c>
      <c r="AL440" s="138"/>
      <c r="AM440" s="106"/>
      <c r="AN440" s="106"/>
      <c r="AO440" s="106">
        <f t="shared" si="48"/>
        <v>0</v>
      </c>
      <c r="AP440" s="106"/>
      <c r="AQ440" s="159" t="str">
        <f t="shared" si="49"/>
        <v xml:space="preserve">0.0 </v>
      </c>
      <c r="AS440" s="110"/>
      <c r="AW440" s="172"/>
    </row>
    <row r="441" spans="12:49" x14ac:dyDescent="0.3">
      <c r="L441" s="99"/>
      <c r="M441" s="99"/>
      <c r="T441" s="267">
        <f t="shared" si="52"/>
        <v>50</v>
      </c>
      <c r="V441" s="116" t="str">
        <f t="shared" si="53"/>
        <v xml:space="preserve">   30W Style B Bollard LED</v>
      </c>
      <c r="Y441" s="147">
        <f t="shared" si="54"/>
        <v>0</v>
      </c>
      <c r="Z441" s="1"/>
      <c r="AA441" s="147">
        <f t="shared" si="55"/>
        <v>0</v>
      </c>
      <c r="AB441" s="147"/>
      <c r="AC441" s="228"/>
      <c r="AD441" s="228"/>
      <c r="AE441" s="106">
        <f t="shared" si="46"/>
        <v>0</v>
      </c>
      <c r="AF441" s="106"/>
      <c r="AG441" s="154">
        <f t="shared" si="56"/>
        <v>0</v>
      </c>
      <c r="AH441" s="175"/>
      <c r="AI441" s="106">
        <f t="shared" si="57"/>
        <v>0</v>
      </c>
      <c r="AJ441" s="106"/>
      <c r="AK441" s="159" t="str">
        <f t="shared" si="47"/>
        <v xml:space="preserve">0.0 </v>
      </c>
      <c r="AL441" s="138"/>
      <c r="AM441" s="106"/>
      <c r="AN441" s="106"/>
      <c r="AO441" s="106">
        <f t="shared" si="48"/>
        <v>0</v>
      </c>
      <c r="AP441" s="106"/>
      <c r="AQ441" s="159" t="str">
        <f t="shared" si="49"/>
        <v xml:space="preserve">0.0 </v>
      </c>
      <c r="AS441" s="110"/>
      <c r="AW441" s="172"/>
    </row>
    <row r="442" spans="12:49" x14ac:dyDescent="0.3">
      <c r="L442" s="99"/>
      <c r="M442" s="99"/>
      <c r="T442" s="267">
        <f t="shared" si="52"/>
        <v>51</v>
      </c>
      <c r="V442" s="116" t="str">
        <f t="shared" si="53"/>
        <v xml:space="preserve">   30W Style C Bollard LED</v>
      </c>
      <c r="Y442" s="147">
        <f t="shared" si="54"/>
        <v>0</v>
      </c>
      <c r="Z442" s="1"/>
      <c r="AA442" s="147">
        <f t="shared" si="55"/>
        <v>0</v>
      </c>
      <c r="AB442" s="147"/>
      <c r="AC442" s="228"/>
      <c r="AD442" s="228"/>
      <c r="AE442" s="106">
        <f t="shared" si="46"/>
        <v>0</v>
      </c>
      <c r="AF442" s="106"/>
      <c r="AG442" s="154">
        <f t="shared" si="56"/>
        <v>0</v>
      </c>
      <c r="AH442" s="175"/>
      <c r="AI442" s="106">
        <f t="shared" si="57"/>
        <v>0</v>
      </c>
      <c r="AJ442" s="106"/>
      <c r="AK442" s="159" t="str">
        <f t="shared" si="47"/>
        <v xml:space="preserve">0.0 </v>
      </c>
      <c r="AL442" s="138"/>
      <c r="AM442" s="106"/>
      <c r="AN442" s="106"/>
      <c r="AO442" s="106">
        <f t="shared" si="48"/>
        <v>0</v>
      </c>
      <c r="AP442" s="106"/>
      <c r="AQ442" s="159" t="str">
        <f t="shared" si="49"/>
        <v xml:space="preserve">0.0 </v>
      </c>
      <c r="AS442" s="110"/>
      <c r="AW442" s="172"/>
    </row>
    <row r="443" spans="12:49" x14ac:dyDescent="0.3">
      <c r="L443" s="99"/>
      <c r="M443" s="99"/>
      <c r="T443" s="267">
        <f t="shared" si="52"/>
        <v>52</v>
      </c>
      <c r="V443" s="116" t="str">
        <f t="shared" si="53"/>
        <v xml:space="preserve">   30W Style D Bollard LED</v>
      </c>
      <c r="Y443" s="147">
        <f t="shared" si="54"/>
        <v>0</v>
      </c>
      <c r="Z443" s="1"/>
      <c r="AA443" s="147">
        <f t="shared" si="55"/>
        <v>0</v>
      </c>
      <c r="AB443" s="147"/>
      <c r="AC443" s="228"/>
      <c r="AD443" s="228"/>
      <c r="AE443" s="106">
        <f t="shared" si="46"/>
        <v>0</v>
      </c>
      <c r="AF443" s="106"/>
      <c r="AG443" s="154">
        <f t="shared" si="56"/>
        <v>0</v>
      </c>
      <c r="AH443" s="175"/>
      <c r="AI443" s="106">
        <f t="shared" si="57"/>
        <v>0</v>
      </c>
      <c r="AJ443" s="106"/>
      <c r="AK443" s="159" t="str">
        <f t="shared" si="47"/>
        <v xml:space="preserve">0.0 </v>
      </c>
      <c r="AL443" s="138"/>
      <c r="AM443" s="106"/>
      <c r="AN443" s="106"/>
      <c r="AO443" s="106">
        <f t="shared" si="48"/>
        <v>0</v>
      </c>
      <c r="AP443" s="106"/>
      <c r="AQ443" s="159" t="str">
        <f t="shared" si="49"/>
        <v xml:space="preserve">0.0 </v>
      </c>
      <c r="AS443" s="110"/>
      <c r="AW443" s="172"/>
    </row>
    <row r="444" spans="12:49" x14ac:dyDescent="0.3">
      <c r="L444" s="99"/>
      <c r="M444" s="99"/>
      <c r="T444" s="267">
        <f t="shared" si="52"/>
        <v>53</v>
      </c>
      <c r="V444" s="116" t="str">
        <f t="shared" si="53"/>
        <v xml:space="preserve">   30W Style E Bollard LED</v>
      </c>
      <c r="Y444" s="147">
        <f t="shared" si="54"/>
        <v>0</v>
      </c>
      <c r="Z444" s="1"/>
      <c r="AA444" s="147">
        <f t="shared" si="55"/>
        <v>0</v>
      </c>
      <c r="AB444" s="147"/>
      <c r="AC444" s="228"/>
      <c r="AD444" s="228"/>
      <c r="AE444" s="106">
        <f t="shared" si="46"/>
        <v>0</v>
      </c>
      <c r="AF444" s="106"/>
      <c r="AG444" s="154">
        <f t="shared" si="56"/>
        <v>0</v>
      </c>
      <c r="AH444" s="175"/>
      <c r="AI444" s="106">
        <f t="shared" si="57"/>
        <v>0</v>
      </c>
      <c r="AJ444" s="106"/>
      <c r="AK444" s="159" t="str">
        <f t="shared" si="47"/>
        <v xml:space="preserve">0.0 </v>
      </c>
      <c r="AL444" s="138"/>
      <c r="AM444" s="106"/>
      <c r="AN444" s="106"/>
      <c r="AO444" s="106">
        <f t="shared" si="48"/>
        <v>0</v>
      </c>
      <c r="AP444" s="106"/>
      <c r="AQ444" s="159" t="str">
        <f t="shared" si="49"/>
        <v xml:space="preserve">0.0 </v>
      </c>
      <c r="AS444" s="110"/>
      <c r="AW444" s="172"/>
    </row>
    <row r="445" spans="12:49" x14ac:dyDescent="0.3">
      <c r="L445" s="99"/>
      <c r="M445" s="99"/>
      <c r="T445" s="267">
        <f t="shared" si="52"/>
        <v>54</v>
      </c>
      <c r="V445" s="116" t="str">
        <f t="shared" si="53"/>
        <v xml:space="preserve">   40W Colonial Bollard LED</v>
      </c>
      <c r="Y445" s="147">
        <f t="shared" si="54"/>
        <v>0</v>
      </c>
      <c r="Z445" s="1"/>
      <c r="AA445" s="147">
        <f t="shared" si="55"/>
        <v>0</v>
      </c>
      <c r="AB445" s="147"/>
      <c r="AC445" s="228"/>
      <c r="AD445" s="228"/>
      <c r="AE445" s="106">
        <f t="shared" si="46"/>
        <v>0</v>
      </c>
      <c r="AF445" s="106"/>
      <c r="AG445" s="154">
        <f t="shared" si="56"/>
        <v>0</v>
      </c>
      <c r="AH445" s="175"/>
      <c r="AI445" s="106">
        <f t="shared" si="57"/>
        <v>0</v>
      </c>
      <c r="AJ445" s="106"/>
      <c r="AK445" s="159" t="str">
        <f t="shared" si="47"/>
        <v xml:space="preserve">0.0 </v>
      </c>
      <c r="AL445" s="138"/>
      <c r="AM445" s="106"/>
      <c r="AN445" s="106"/>
      <c r="AO445" s="106">
        <f t="shared" si="48"/>
        <v>0</v>
      </c>
      <c r="AP445" s="106"/>
      <c r="AQ445" s="159" t="str">
        <f t="shared" si="49"/>
        <v xml:space="preserve">0.0 </v>
      </c>
      <c r="AS445" s="110"/>
      <c r="AW445" s="172"/>
    </row>
    <row r="446" spans="12:49" x14ac:dyDescent="0.3">
      <c r="L446" s="99"/>
      <c r="M446" s="99"/>
      <c r="T446" s="267">
        <f t="shared" si="52"/>
        <v>55</v>
      </c>
      <c r="V446" s="116" t="str">
        <f t="shared" si="53"/>
        <v xml:space="preserve">   40W Washington Bollard LED</v>
      </c>
      <c r="Y446" s="147">
        <f t="shared" si="54"/>
        <v>0</v>
      </c>
      <c r="Z446" s="1"/>
      <c r="AA446" s="147">
        <f t="shared" si="55"/>
        <v>0</v>
      </c>
      <c r="AB446" s="147"/>
      <c r="AC446" s="228"/>
      <c r="AD446" s="228"/>
      <c r="AE446" s="106">
        <f t="shared" si="46"/>
        <v>0</v>
      </c>
      <c r="AF446" s="106"/>
      <c r="AG446" s="154">
        <f t="shared" si="56"/>
        <v>0</v>
      </c>
      <c r="AH446" s="175"/>
      <c r="AI446" s="106">
        <f t="shared" si="57"/>
        <v>0</v>
      </c>
      <c r="AJ446" s="106"/>
      <c r="AK446" s="159" t="str">
        <f t="shared" si="47"/>
        <v xml:space="preserve">0.0 </v>
      </c>
      <c r="AL446" s="138"/>
      <c r="AM446" s="106"/>
      <c r="AN446" s="106"/>
      <c r="AO446" s="106">
        <f t="shared" si="48"/>
        <v>0</v>
      </c>
      <c r="AP446" s="106"/>
      <c r="AQ446" s="159" t="str">
        <f t="shared" si="49"/>
        <v xml:space="preserve">0.0 </v>
      </c>
      <c r="AS446" s="110"/>
      <c r="AW446" s="172"/>
    </row>
    <row r="447" spans="12:49" x14ac:dyDescent="0.3">
      <c r="L447" s="99"/>
      <c r="M447" s="99"/>
      <c r="T447" s="267">
        <f t="shared" si="52"/>
        <v>56</v>
      </c>
      <c r="V447" s="116" t="str">
        <f t="shared" si="53"/>
        <v xml:space="preserve">   26W Holiday Riser Receptacle LED</v>
      </c>
      <c r="Y447" s="147">
        <f t="shared" si="54"/>
        <v>0</v>
      </c>
      <c r="Z447" s="1"/>
      <c r="AA447" s="147">
        <f t="shared" si="55"/>
        <v>0</v>
      </c>
      <c r="AB447" s="147"/>
      <c r="AC447" s="228"/>
      <c r="AD447" s="228"/>
      <c r="AE447" s="106">
        <f t="shared" si="46"/>
        <v>0</v>
      </c>
      <c r="AF447" s="106"/>
      <c r="AG447" s="154">
        <f t="shared" si="56"/>
        <v>0</v>
      </c>
      <c r="AH447" s="175"/>
      <c r="AI447" s="106">
        <f t="shared" si="57"/>
        <v>0</v>
      </c>
      <c r="AJ447" s="106"/>
      <c r="AK447" s="159" t="str">
        <f t="shared" si="47"/>
        <v xml:space="preserve">0.0 </v>
      </c>
      <c r="AL447" s="138"/>
      <c r="AM447" s="106"/>
      <c r="AN447" s="106"/>
      <c r="AO447" s="106">
        <f t="shared" si="48"/>
        <v>0</v>
      </c>
      <c r="AP447" s="106"/>
      <c r="AQ447" s="159" t="str">
        <f t="shared" si="49"/>
        <v xml:space="preserve">0.0 </v>
      </c>
      <c r="AS447" s="110"/>
      <c r="AW447" s="172"/>
    </row>
    <row r="448" spans="12:49" x14ac:dyDescent="0.3">
      <c r="L448" s="99"/>
      <c r="M448" s="99"/>
      <c r="T448" s="267">
        <f t="shared" si="52"/>
        <v>57</v>
      </c>
      <c r="V448" s="116" t="str">
        <f t="shared" si="53"/>
        <v xml:space="preserve">   26W Holiday Bracket Top Receptacle LED</v>
      </c>
      <c r="Y448" s="147">
        <f t="shared" si="54"/>
        <v>0</v>
      </c>
      <c r="Z448" s="1"/>
      <c r="AA448" s="147">
        <f t="shared" si="55"/>
        <v>0</v>
      </c>
      <c r="AB448" s="147"/>
      <c r="AC448" s="228"/>
      <c r="AD448" s="228"/>
      <c r="AE448" s="106">
        <f t="shared" si="46"/>
        <v>0</v>
      </c>
      <c r="AF448" s="106"/>
      <c r="AG448" s="154">
        <f t="shared" si="56"/>
        <v>0</v>
      </c>
      <c r="AH448" s="175"/>
      <c r="AI448" s="106">
        <f t="shared" si="57"/>
        <v>0</v>
      </c>
      <c r="AJ448" s="106"/>
      <c r="AK448" s="159" t="str">
        <f t="shared" si="47"/>
        <v xml:space="preserve">0.0 </v>
      </c>
      <c r="AL448" s="138"/>
      <c r="AM448" s="106"/>
      <c r="AN448" s="106"/>
      <c r="AO448" s="106">
        <f t="shared" si="48"/>
        <v>0</v>
      </c>
      <c r="AP448" s="106"/>
      <c r="AQ448" s="159" t="str">
        <f t="shared" si="49"/>
        <v xml:space="preserve">0.0 </v>
      </c>
      <c r="AS448" s="110"/>
      <c r="AW448" s="172"/>
    </row>
    <row r="449" spans="3:49" x14ac:dyDescent="0.3">
      <c r="L449" s="99"/>
      <c r="M449" s="99"/>
      <c r="T449" s="267">
        <f t="shared" si="52"/>
        <v>58</v>
      </c>
      <c r="V449" s="116" t="str">
        <f t="shared" si="53"/>
        <v xml:space="preserve">   26W Holiday Festoon Receptacle LED</v>
      </c>
      <c r="Y449" s="147">
        <f t="shared" si="54"/>
        <v>0</v>
      </c>
      <c r="Z449" s="1"/>
      <c r="AA449" s="147">
        <f t="shared" si="55"/>
        <v>0</v>
      </c>
      <c r="AB449" s="147"/>
      <c r="AC449" s="228"/>
      <c r="AD449" s="228"/>
      <c r="AE449" s="106">
        <f t="shared" si="46"/>
        <v>0</v>
      </c>
      <c r="AF449" s="106"/>
      <c r="AG449" s="154">
        <f t="shared" si="56"/>
        <v>0</v>
      </c>
      <c r="AH449" s="175"/>
      <c r="AI449" s="106">
        <f t="shared" si="57"/>
        <v>0</v>
      </c>
      <c r="AJ449" s="106"/>
      <c r="AK449" s="159" t="str">
        <f t="shared" si="47"/>
        <v xml:space="preserve">0.0 </v>
      </c>
      <c r="AL449" s="138"/>
      <c r="AM449" s="106"/>
      <c r="AN449" s="106"/>
      <c r="AO449" s="106">
        <f t="shared" si="48"/>
        <v>0</v>
      </c>
      <c r="AP449" s="106"/>
      <c r="AQ449" s="159" t="str">
        <f t="shared" si="49"/>
        <v xml:space="preserve">0.0 </v>
      </c>
      <c r="AS449" s="110"/>
      <c r="AW449" s="172"/>
    </row>
    <row r="450" spans="3:49" x14ac:dyDescent="0.3">
      <c r="L450" s="99"/>
      <c r="M450" s="99"/>
      <c r="T450" s="267">
        <f t="shared" si="52"/>
        <v>59</v>
      </c>
      <c r="V450" s="116" t="str">
        <f t="shared" si="53"/>
        <v xml:space="preserve">   26W Holiday Post Top Receptacle LED</v>
      </c>
      <c r="Y450" s="147">
        <f t="shared" si="54"/>
        <v>0</v>
      </c>
      <c r="Z450" s="1"/>
      <c r="AA450" s="147">
        <f t="shared" si="55"/>
        <v>0</v>
      </c>
      <c r="AB450" s="147"/>
      <c r="AC450" s="228"/>
      <c r="AD450" s="228"/>
      <c r="AE450" s="106">
        <f t="shared" si="46"/>
        <v>0</v>
      </c>
      <c r="AF450" s="106"/>
      <c r="AG450" s="154">
        <f t="shared" si="56"/>
        <v>0</v>
      </c>
      <c r="AH450" s="175"/>
      <c r="AI450" s="106">
        <f t="shared" si="57"/>
        <v>0</v>
      </c>
      <c r="AJ450" s="106"/>
      <c r="AK450" s="159" t="str">
        <f t="shared" si="47"/>
        <v xml:space="preserve">0.0 </v>
      </c>
      <c r="AL450" s="138"/>
      <c r="AM450" s="106"/>
      <c r="AN450" s="106"/>
      <c r="AO450" s="106">
        <f t="shared" si="48"/>
        <v>0</v>
      </c>
      <c r="AP450" s="106"/>
      <c r="AQ450" s="159" t="str">
        <f t="shared" si="49"/>
        <v xml:space="preserve">0.0 </v>
      </c>
      <c r="AS450" s="110"/>
      <c r="AW450" s="172"/>
    </row>
    <row r="451" spans="3:49" x14ac:dyDescent="0.3">
      <c r="L451" s="99"/>
      <c r="M451" s="99"/>
      <c r="T451" s="267">
        <f t="shared" si="52"/>
        <v>60</v>
      </c>
      <c r="V451" s="116" t="str">
        <f t="shared" si="53"/>
        <v xml:space="preserve">   26W Holiday Post Top with Adapter Receptacle LED</v>
      </c>
      <c r="Y451" s="147">
        <f t="shared" si="54"/>
        <v>0</v>
      </c>
      <c r="Z451" s="1"/>
      <c r="AA451" s="147">
        <f t="shared" si="55"/>
        <v>0</v>
      </c>
      <c r="AB451" s="147"/>
      <c r="AC451" s="228"/>
      <c r="AD451" s="228"/>
      <c r="AE451" s="106">
        <f t="shared" si="46"/>
        <v>0</v>
      </c>
      <c r="AF451" s="106"/>
      <c r="AG451" s="154">
        <f t="shared" si="56"/>
        <v>0</v>
      </c>
      <c r="AH451" s="175"/>
      <c r="AI451" s="106">
        <f t="shared" si="57"/>
        <v>0</v>
      </c>
      <c r="AJ451" s="106"/>
      <c r="AK451" s="159" t="str">
        <f t="shared" si="47"/>
        <v xml:space="preserve">0.0 </v>
      </c>
      <c r="AL451" s="138"/>
      <c r="AM451" s="106"/>
      <c r="AN451" s="106"/>
      <c r="AO451" s="106">
        <f t="shared" si="48"/>
        <v>0</v>
      </c>
      <c r="AP451" s="106"/>
      <c r="AQ451" s="159" t="str">
        <f t="shared" si="49"/>
        <v xml:space="preserve">0.0 </v>
      </c>
      <c r="AS451" s="110"/>
      <c r="AW451" s="172"/>
    </row>
    <row r="452" spans="3:49" x14ac:dyDescent="0.3">
      <c r="L452" s="99"/>
      <c r="M452" s="99"/>
      <c r="T452" s="267">
        <f t="shared" si="52"/>
        <v>61</v>
      </c>
      <c r="V452" s="116" t="str">
        <f t="shared" si="53"/>
        <v xml:space="preserve">   26W Dual Post Top Receptacle LED</v>
      </c>
      <c r="Y452" s="147">
        <f t="shared" si="54"/>
        <v>0</v>
      </c>
      <c r="Z452" s="1"/>
      <c r="AA452" s="147">
        <f t="shared" si="55"/>
        <v>0</v>
      </c>
      <c r="AB452" s="147"/>
      <c r="AC452" s="228"/>
      <c r="AD452" s="228"/>
      <c r="AE452" s="106">
        <f t="shared" si="46"/>
        <v>0</v>
      </c>
      <c r="AF452" s="106"/>
      <c r="AG452" s="154">
        <f t="shared" si="56"/>
        <v>0</v>
      </c>
      <c r="AH452" s="175"/>
      <c r="AI452" s="106">
        <f t="shared" si="57"/>
        <v>0</v>
      </c>
      <c r="AJ452" s="106"/>
      <c r="AK452" s="159" t="str">
        <f t="shared" si="47"/>
        <v xml:space="preserve">0.0 </v>
      </c>
      <c r="AL452" s="138"/>
      <c r="AM452" s="106"/>
      <c r="AN452" s="106"/>
      <c r="AO452" s="106">
        <f t="shared" si="48"/>
        <v>0</v>
      </c>
      <c r="AP452" s="106"/>
      <c r="AQ452" s="159" t="str">
        <f t="shared" si="49"/>
        <v xml:space="preserve">0.0 </v>
      </c>
      <c r="AS452" s="110"/>
      <c r="AW452" s="172"/>
    </row>
    <row r="453" spans="3:49" x14ac:dyDescent="0.3">
      <c r="L453" s="99"/>
      <c r="M453" s="99"/>
      <c r="T453" s="267">
        <f t="shared" si="52"/>
        <v>62</v>
      </c>
      <c r="V453" s="116" t="str">
        <f t="shared" si="53"/>
        <v xml:space="preserve">   26W Dual Post Top with Adapter Receptacle LED</v>
      </c>
      <c r="Y453" s="147">
        <f t="shared" si="54"/>
        <v>0</v>
      </c>
      <c r="Z453" s="1"/>
      <c r="AA453" s="147">
        <f t="shared" si="55"/>
        <v>0</v>
      </c>
      <c r="AB453" s="147"/>
      <c r="AC453" s="228"/>
      <c r="AD453" s="228"/>
      <c r="AE453" s="106">
        <f t="shared" si="46"/>
        <v>0</v>
      </c>
      <c r="AF453" s="106"/>
      <c r="AG453" s="154">
        <f t="shared" si="56"/>
        <v>0</v>
      </c>
      <c r="AH453" s="175"/>
      <c r="AI453" s="106">
        <f t="shared" si="57"/>
        <v>0</v>
      </c>
      <c r="AJ453" s="106"/>
      <c r="AK453" s="159" t="str">
        <f t="shared" si="47"/>
        <v xml:space="preserve">0.0 </v>
      </c>
      <c r="AL453" s="138"/>
      <c r="AM453" s="106"/>
      <c r="AN453" s="106"/>
      <c r="AO453" s="106">
        <f t="shared" si="48"/>
        <v>0</v>
      </c>
      <c r="AP453" s="106"/>
      <c r="AQ453" s="159" t="str">
        <f t="shared" si="49"/>
        <v xml:space="preserve">0.0 </v>
      </c>
      <c r="AS453" s="110"/>
      <c r="AW453" s="172"/>
    </row>
    <row r="454" spans="3:49" x14ac:dyDescent="0.3">
      <c r="L454" s="99"/>
      <c r="M454" s="99"/>
      <c r="T454" s="267">
        <f t="shared" si="52"/>
        <v>63</v>
      </c>
      <c r="V454" s="116" t="str">
        <f t="shared" si="53"/>
        <v xml:space="preserve">   26W Dual Bracket Top Receptacle LED</v>
      </c>
      <c r="Y454" s="147">
        <f t="shared" si="54"/>
        <v>0</v>
      </c>
      <c r="Z454" s="1"/>
      <c r="AA454" s="147">
        <f t="shared" si="55"/>
        <v>0</v>
      </c>
      <c r="AB454" s="147"/>
      <c r="AC454" s="228"/>
      <c r="AD454" s="228"/>
      <c r="AE454" s="106">
        <f t="shared" si="46"/>
        <v>0</v>
      </c>
      <c r="AF454" s="106"/>
      <c r="AG454" s="154">
        <f t="shared" si="56"/>
        <v>0</v>
      </c>
      <c r="AH454" s="175"/>
      <c r="AI454" s="106">
        <f t="shared" si="57"/>
        <v>0</v>
      </c>
      <c r="AJ454" s="106"/>
      <c r="AK454" s="159" t="str">
        <f t="shared" si="47"/>
        <v xml:space="preserve">0.0 </v>
      </c>
      <c r="AL454" s="138"/>
      <c r="AM454" s="106"/>
      <c r="AN454" s="106"/>
      <c r="AO454" s="106">
        <f t="shared" si="48"/>
        <v>0</v>
      </c>
      <c r="AP454" s="106"/>
      <c r="AQ454" s="159" t="str">
        <f t="shared" si="49"/>
        <v xml:space="preserve">0.0 </v>
      </c>
      <c r="AS454" s="110"/>
      <c r="AW454" s="172"/>
    </row>
    <row r="455" spans="3:49" x14ac:dyDescent="0.3">
      <c r="L455" s="99"/>
      <c r="M455" s="99"/>
      <c r="T455" s="267">
        <f t="shared" si="52"/>
        <v>64</v>
      </c>
      <c r="V455" s="116" t="str">
        <f t="shared" si="53"/>
        <v xml:space="preserve">   50W Senoia LED</v>
      </c>
      <c r="Y455" s="147">
        <f t="shared" si="54"/>
        <v>0</v>
      </c>
      <c r="Z455" s="1"/>
      <c r="AA455" s="147">
        <f t="shared" si="55"/>
        <v>0</v>
      </c>
      <c r="AB455" s="147"/>
      <c r="AC455" s="228"/>
      <c r="AD455" s="228"/>
      <c r="AE455" s="106">
        <f t="shared" si="46"/>
        <v>0</v>
      </c>
      <c r="AF455" s="106"/>
      <c r="AG455" s="154">
        <f t="shared" si="56"/>
        <v>0</v>
      </c>
      <c r="AH455" s="175"/>
      <c r="AI455" s="106">
        <f t="shared" si="57"/>
        <v>0</v>
      </c>
      <c r="AJ455" s="106"/>
      <c r="AK455" s="159" t="str">
        <f t="shared" si="47"/>
        <v xml:space="preserve">0.0 </v>
      </c>
      <c r="AL455" s="138"/>
      <c r="AM455" s="106"/>
      <c r="AN455" s="106"/>
      <c r="AO455" s="106">
        <f t="shared" si="48"/>
        <v>0</v>
      </c>
      <c r="AP455" s="106"/>
      <c r="AQ455" s="159" t="str">
        <f t="shared" si="49"/>
        <v xml:space="preserve">0.0 </v>
      </c>
      <c r="AS455" s="110"/>
      <c r="AW455" s="172"/>
    </row>
    <row r="456" spans="3:49" x14ac:dyDescent="0.3">
      <c r="L456" s="99"/>
      <c r="M456" s="99"/>
      <c r="T456" s="267">
        <f t="shared" si="52"/>
        <v>65</v>
      </c>
      <c r="V456" s="116" t="str">
        <f t="shared" si="53"/>
        <v xml:space="preserve">   50W Halo LED</v>
      </c>
      <c r="Y456" s="147">
        <f t="shared" si="54"/>
        <v>0</v>
      </c>
      <c r="Z456" s="1"/>
      <c r="AA456" s="147">
        <f t="shared" si="55"/>
        <v>0</v>
      </c>
      <c r="AB456" s="147"/>
      <c r="AC456" s="228"/>
      <c r="AD456" s="228"/>
      <c r="AE456" s="106">
        <f t="shared" si="46"/>
        <v>0</v>
      </c>
      <c r="AF456" s="106"/>
      <c r="AG456" s="154">
        <f t="shared" si="56"/>
        <v>0</v>
      </c>
      <c r="AH456" s="175"/>
      <c r="AI456" s="106">
        <f t="shared" si="57"/>
        <v>0</v>
      </c>
      <c r="AJ456" s="106"/>
      <c r="AK456" s="159" t="str">
        <f t="shared" si="47"/>
        <v xml:space="preserve">0.0 </v>
      </c>
      <c r="AL456" s="138"/>
      <c r="AM456" s="106"/>
      <c r="AN456" s="106"/>
      <c r="AO456" s="106">
        <f t="shared" si="48"/>
        <v>0</v>
      </c>
      <c r="AP456" s="106"/>
      <c r="AQ456" s="159" t="str">
        <f t="shared" si="49"/>
        <v xml:space="preserve">0.0 </v>
      </c>
      <c r="AS456" s="110"/>
      <c r="AW456" s="172"/>
    </row>
    <row r="457" spans="3:49" x14ac:dyDescent="0.3">
      <c r="L457" s="99"/>
      <c r="M457" s="99"/>
      <c r="T457" s="267">
        <f t="shared" si="52"/>
        <v>66</v>
      </c>
      <c r="V457" s="116" t="str">
        <f t="shared" si="53"/>
        <v xml:space="preserve">   30W Standard LED</v>
      </c>
      <c r="Y457" s="147">
        <f t="shared" si="54"/>
        <v>0</v>
      </c>
      <c r="Z457" s="1"/>
      <c r="AA457" s="147">
        <f t="shared" si="55"/>
        <v>0</v>
      </c>
      <c r="AB457" s="147"/>
      <c r="AC457" s="228"/>
      <c r="AD457" s="228"/>
      <c r="AE457" s="106">
        <f t="shared" si="46"/>
        <v>0</v>
      </c>
      <c r="AF457" s="106"/>
      <c r="AG457" s="154">
        <f t="shared" si="56"/>
        <v>0</v>
      </c>
      <c r="AH457" s="175"/>
      <c r="AI457" s="106">
        <f t="shared" si="57"/>
        <v>0</v>
      </c>
      <c r="AJ457" s="106"/>
      <c r="AK457" s="159" t="str">
        <f t="shared" si="47"/>
        <v xml:space="preserve">0.0 </v>
      </c>
      <c r="AL457" s="138"/>
      <c r="AM457" s="106"/>
      <c r="AN457" s="106"/>
      <c r="AO457" s="106">
        <f t="shared" si="48"/>
        <v>0</v>
      </c>
      <c r="AP457" s="106"/>
      <c r="AQ457" s="159" t="str">
        <f t="shared" si="49"/>
        <v xml:space="preserve">0.0 </v>
      </c>
      <c r="AS457" s="110"/>
      <c r="AW457" s="172"/>
    </row>
    <row r="458" spans="3:49" x14ac:dyDescent="0.3">
      <c r="L458" s="99"/>
      <c r="M458" s="99"/>
      <c r="T458" s="267">
        <f t="shared" si="52"/>
        <v>67</v>
      </c>
      <c r="V458" s="116" t="str">
        <f t="shared" si="53"/>
        <v xml:space="preserve">   40W Standard LED</v>
      </c>
      <c r="Y458" s="147">
        <f t="shared" si="54"/>
        <v>0</v>
      </c>
      <c r="Z458" s="1"/>
      <c r="AA458" s="147">
        <f t="shared" si="55"/>
        <v>0</v>
      </c>
      <c r="AB458" s="147"/>
      <c r="AC458" s="228"/>
      <c r="AD458" s="228"/>
      <c r="AE458" s="106">
        <f t="shared" si="46"/>
        <v>0</v>
      </c>
      <c r="AF458" s="106"/>
      <c r="AG458" s="154">
        <f t="shared" si="56"/>
        <v>0</v>
      </c>
      <c r="AH458" s="175"/>
      <c r="AI458" s="106">
        <f t="shared" si="57"/>
        <v>0</v>
      </c>
      <c r="AJ458" s="106"/>
      <c r="AK458" s="159" t="str">
        <f t="shared" si="47"/>
        <v xml:space="preserve">0.0 </v>
      </c>
      <c r="AL458" s="138"/>
      <c r="AM458" s="106"/>
      <c r="AN458" s="106"/>
      <c r="AO458" s="106">
        <f t="shared" si="48"/>
        <v>0</v>
      </c>
      <c r="AP458" s="106"/>
      <c r="AQ458" s="159" t="str">
        <f t="shared" si="49"/>
        <v xml:space="preserve">0.0 </v>
      </c>
      <c r="AS458" s="110"/>
      <c r="AW458" s="172"/>
    </row>
    <row r="459" spans="3:49" x14ac:dyDescent="0.3">
      <c r="L459" s="99"/>
      <c r="M459" s="99"/>
      <c r="T459" s="267">
        <f t="shared" si="52"/>
        <v>68</v>
      </c>
      <c r="V459" s="116" t="str">
        <f t="shared" si="53"/>
        <v xml:space="preserve">   30W Open Bottom LED</v>
      </c>
      <c r="Y459" s="147">
        <f t="shared" si="54"/>
        <v>0</v>
      </c>
      <c r="Z459" s="1"/>
      <c r="AA459" s="147">
        <f t="shared" si="55"/>
        <v>0</v>
      </c>
      <c r="AB459" s="147"/>
      <c r="AC459" s="228"/>
      <c r="AD459" s="228"/>
      <c r="AE459" s="106">
        <f>ROUND((Y459*(AC459+AD459)),0)</f>
        <v>0</v>
      </c>
      <c r="AF459" s="106"/>
      <c r="AG459" s="154">
        <f t="shared" si="56"/>
        <v>0</v>
      </c>
      <c r="AH459" s="175"/>
      <c r="AI459" s="106">
        <f t="shared" si="57"/>
        <v>0</v>
      </c>
      <c r="AJ459" s="106"/>
      <c r="AK459" s="159" t="str">
        <f>IF(AE459=0,"0.0 ",ROUND((AI459/AE459)*100,1))</f>
        <v xml:space="preserve">0.0 </v>
      </c>
      <c r="AL459" s="138"/>
      <c r="AM459" s="106"/>
      <c r="AN459" s="106"/>
      <c r="AO459" s="106">
        <f>AM459+AE459</f>
        <v>0</v>
      </c>
      <c r="AP459" s="106"/>
      <c r="AQ459" s="159" t="str">
        <f>IF(AO459=0,"0.0 ",ROUND((AI459/AO459)*100,1))</f>
        <v xml:space="preserve">0.0 </v>
      </c>
      <c r="AS459" s="110"/>
      <c r="AW459" s="172"/>
    </row>
    <row r="460" spans="3:49" x14ac:dyDescent="0.3">
      <c r="R460" s="99"/>
      <c r="T460" s="267">
        <f t="shared" si="52"/>
        <v>69</v>
      </c>
      <c r="V460" s="116" t="str">
        <f t="shared" si="53"/>
        <v>TOTAL LED FIXTURES</v>
      </c>
      <c r="Y460" s="112">
        <f>SUM(Y371:Y459)</f>
        <v>1928</v>
      </c>
      <c r="Z460" s="1"/>
      <c r="AA460" s="112">
        <f>SUM(AA371:AA459)</f>
        <v>42161</v>
      </c>
      <c r="AB460" s="106"/>
      <c r="AC460" s="3"/>
      <c r="AD460" s="3"/>
      <c r="AE460" s="112">
        <f>SUM(AE371:AE459)</f>
        <v>15991</v>
      </c>
      <c r="AG460" s="333">
        <f>SUM(AG371:AG459)</f>
        <v>80.2</v>
      </c>
      <c r="AI460" s="112">
        <f>SUM(AI371:AI459)</f>
        <v>2280</v>
      </c>
      <c r="AK460" s="159">
        <f>IF(AE460=0,"0.0 ",ROUND((AI460/AE460)*100,1))</f>
        <v>14.3</v>
      </c>
      <c r="AM460" s="112"/>
      <c r="AO460" s="112">
        <f>SUM(AO371:AO459)</f>
        <v>15991</v>
      </c>
      <c r="AQ460" s="201">
        <f>IF(AO460=0,"0.0 ",ROUND((AI460/AO460)*100,1))</f>
        <v>14.3</v>
      </c>
      <c r="AS460" s="110"/>
      <c r="AW460" s="172"/>
    </row>
    <row r="461" spans="3:49" x14ac:dyDescent="0.3">
      <c r="R461" s="99"/>
      <c r="T461" s="267"/>
      <c r="V461" s="116"/>
      <c r="Y461" s="147"/>
      <c r="Z461" s="1"/>
      <c r="AA461" s="147"/>
      <c r="AB461" s="147"/>
      <c r="AC461" s="228"/>
      <c r="AD461" s="228"/>
      <c r="AE461" s="106"/>
      <c r="AF461" s="106"/>
      <c r="AG461" s="154"/>
      <c r="AH461" s="175"/>
      <c r="AI461" s="106"/>
      <c r="AJ461" s="106"/>
      <c r="AK461" s="159"/>
      <c r="AL461" s="138"/>
      <c r="AM461" s="106"/>
      <c r="AN461" s="106"/>
      <c r="AO461" s="106"/>
      <c r="AP461" s="106"/>
      <c r="AQ461" s="159"/>
      <c r="AS461" s="110"/>
      <c r="AW461" s="172"/>
    </row>
    <row r="462" spans="3:49" x14ac:dyDescent="0.3">
      <c r="R462" s="99"/>
      <c r="T462" s="267">
        <f>A110</f>
        <v>70</v>
      </c>
      <c r="V462" s="116" t="str">
        <f>C110</f>
        <v>ENERGY CHARGE (1A)</v>
      </c>
      <c r="Y462" s="147"/>
      <c r="Z462" s="1"/>
      <c r="AA462" s="112">
        <f>AA460</f>
        <v>42161</v>
      </c>
      <c r="AB462" s="279"/>
      <c r="AC462" s="184">
        <v>6.9217000000000001E-2</v>
      </c>
      <c r="AD462" s="279"/>
      <c r="AE462" s="112">
        <f>ROUND(AA462*AC462,0)</f>
        <v>2918</v>
      </c>
      <c r="AF462" s="279"/>
      <c r="AG462" s="158">
        <f>ROUND((AE462/AE$692)*100,1)</f>
        <v>14.7</v>
      </c>
      <c r="AH462" s="279"/>
      <c r="AI462" s="112">
        <f>L110-AE462</f>
        <v>416.42916800000012</v>
      </c>
      <c r="AJ462" s="279"/>
      <c r="AK462" s="159">
        <f>IF(AE462=0,"0.0 ",ROUND((AI462/AE462)*100,1))</f>
        <v>14.3</v>
      </c>
      <c r="AL462" s="279"/>
      <c r="AM462" s="112">
        <f>ROUND(AA462*CUR_FAC,0)</f>
        <v>147</v>
      </c>
      <c r="AN462" s="293"/>
      <c r="AO462" s="112">
        <f>AE462+AM462</f>
        <v>3065</v>
      </c>
      <c r="AP462" s="293"/>
      <c r="AQ462" s="201">
        <f>IF(AO462=0,"0.0 ",ROUND((AI462/AO462)*100,1))</f>
        <v>13.6</v>
      </c>
      <c r="AS462" s="110"/>
      <c r="AW462" s="172"/>
    </row>
    <row r="463" spans="3:49" x14ac:dyDescent="0.3">
      <c r="R463" s="99"/>
      <c r="T463" s="267"/>
      <c r="V463" s="116"/>
      <c r="Y463" s="147"/>
      <c r="Z463" s="1"/>
      <c r="AA463" s="147"/>
      <c r="AB463" s="147"/>
      <c r="AC463" s="228"/>
      <c r="AD463" s="228"/>
      <c r="AE463" s="106"/>
      <c r="AF463" s="106"/>
      <c r="AG463" s="154"/>
      <c r="AH463" s="175"/>
      <c r="AI463" s="106"/>
      <c r="AJ463" s="106"/>
      <c r="AK463" s="159"/>
      <c r="AL463" s="138"/>
      <c r="AM463" s="106"/>
      <c r="AN463" s="106"/>
      <c r="AO463" s="106"/>
      <c r="AP463" s="106"/>
      <c r="AQ463" s="159"/>
      <c r="AS463" s="110"/>
      <c r="AW463" s="172"/>
    </row>
    <row r="464" spans="3:49" x14ac:dyDescent="0.3">
      <c r="C464" s="99"/>
      <c r="D464" s="99"/>
      <c r="E464" s="99"/>
      <c r="T464" s="267">
        <f t="shared" ref="T464:T483" si="58">A112</f>
        <v>71</v>
      </c>
      <c r="V464" s="116" t="str">
        <f t="shared" ref="V464:V483" si="59">C112</f>
        <v>POLES</v>
      </c>
      <c r="W464" s="116"/>
      <c r="X464" s="99"/>
      <c r="Y464" s="1"/>
      <c r="Z464" s="1"/>
      <c r="AA464" s="1"/>
      <c r="AB464" s="1"/>
      <c r="AC464" s="1"/>
      <c r="AD464" s="1"/>
      <c r="AE464" s="1"/>
      <c r="AF464" s="1"/>
      <c r="AG464" s="154"/>
      <c r="AH464" s="1"/>
      <c r="AI464" s="1"/>
      <c r="AJ464" s="1"/>
      <c r="AK464" s="154"/>
      <c r="AL464" s="1"/>
      <c r="AM464" s="1"/>
      <c r="AN464" s="1"/>
      <c r="AO464" s="1"/>
      <c r="AP464" s="1"/>
      <c r="AQ464" s="159"/>
      <c r="AS464" s="110"/>
      <c r="AW464" s="101"/>
    </row>
    <row r="465" spans="1:49" x14ac:dyDescent="0.3">
      <c r="C465" s="99"/>
      <c r="D465" s="99"/>
      <c r="E465" s="99"/>
      <c r="T465" s="267">
        <f t="shared" si="58"/>
        <v>72</v>
      </c>
      <c r="V465" s="116" t="str">
        <f t="shared" si="59"/>
        <v xml:space="preserve">   Style A 12 Ft Long Anchor Base Top Tenon Aluminum</v>
      </c>
      <c r="Y465" s="147">
        <f t="shared" ref="Y465:Y483" si="60">F113</f>
        <v>0</v>
      </c>
      <c r="Z465" s="1"/>
      <c r="AA465" s="147"/>
      <c r="AB465" s="147"/>
      <c r="AC465" s="228">
        <v>9.34</v>
      </c>
      <c r="AD465" s="228"/>
      <c r="AE465" s="106">
        <f t="shared" ref="AE465:AE472" si="61">ROUND((Y465*(AC465+AD465)),0)</f>
        <v>0</v>
      </c>
      <c r="AF465" s="106"/>
      <c r="AG465" s="154">
        <f t="shared" ref="AG465:AG483" si="62">ROUND((AE465/AE$692)*100,1)</f>
        <v>0</v>
      </c>
      <c r="AH465" s="175"/>
      <c r="AI465" s="106">
        <f t="shared" ref="AI465:AI483" si="63">L113-AE465</f>
        <v>0</v>
      </c>
      <c r="AJ465" s="106"/>
      <c r="AK465" s="159" t="str">
        <f t="shared" ref="AK465:AK472" si="64">IF(AE465=0,"0.0 ",ROUND((AI465/AE465)*100,1))</f>
        <v xml:space="preserve">0.0 </v>
      </c>
      <c r="AL465" s="138"/>
      <c r="AM465" s="106"/>
      <c r="AN465" s="106"/>
      <c r="AO465" s="106">
        <f t="shared" ref="AO465:AO472" si="65">AM465+AE465</f>
        <v>0</v>
      </c>
      <c r="AP465" s="106"/>
      <c r="AQ465" s="159" t="str">
        <f t="shared" ref="AQ465:AQ472" si="66">IF(AO465=0,"0.0 ",ROUND((AI465/AO465)*100,1))</f>
        <v xml:space="preserve">0.0 </v>
      </c>
      <c r="AS465" s="110"/>
      <c r="AW465" s="101"/>
    </row>
    <row r="466" spans="1:49" x14ac:dyDescent="0.3">
      <c r="C466" s="99"/>
      <c r="D466" s="99"/>
      <c r="E466" s="99"/>
      <c r="T466" s="267">
        <f t="shared" si="58"/>
        <v>73</v>
      </c>
      <c r="V466" s="116" t="str">
        <f t="shared" si="59"/>
        <v xml:space="preserve">   Style A 15 Ft Long Direct Buried Top Tenon Aluminum</v>
      </c>
      <c r="Y466" s="147">
        <f t="shared" si="60"/>
        <v>0</v>
      </c>
      <c r="Z466" s="1"/>
      <c r="AA466" s="147"/>
      <c r="AB466" s="147"/>
      <c r="AC466" s="228">
        <v>8.69</v>
      </c>
      <c r="AD466" s="228"/>
      <c r="AE466" s="106">
        <f t="shared" si="61"/>
        <v>0</v>
      </c>
      <c r="AF466" s="106"/>
      <c r="AG466" s="154">
        <f t="shared" si="62"/>
        <v>0</v>
      </c>
      <c r="AH466" s="175"/>
      <c r="AI466" s="106">
        <f t="shared" si="63"/>
        <v>0</v>
      </c>
      <c r="AJ466" s="106"/>
      <c r="AK466" s="159" t="str">
        <f t="shared" si="64"/>
        <v xml:space="preserve">0.0 </v>
      </c>
      <c r="AL466" s="138"/>
      <c r="AM466" s="106"/>
      <c r="AN466" s="106"/>
      <c r="AO466" s="106">
        <f t="shared" si="65"/>
        <v>0</v>
      </c>
      <c r="AP466" s="106"/>
      <c r="AQ466" s="159" t="str">
        <f t="shared" si="66"/>
        <v xml:space="preserve">0.0 </v>
      </c>
      <c r="AS466" s="110"/>
      <c r="AW466" s="101"/>
    </row>
    <row r="467" spans="1:49" x14ac:dyDescent="0.3">
      <c r="C467" s="99"/>
      <c r="D467" s="99"/>
      <c r="E467" s="99"/>
      <c r="T467" s="267">
        <f t="shared" si="58"/>
        <v>74</v>
      </c>
      <c r="V467" s="116" t="str">
        <f t="shared" si="59"/>
        <v xml:space="preserve">   Style A 15 Ft Long Anchor Base Top Tenon Aluminum</v>
      </c>
      <c r="Y467" s="147">
        <f t="shared" si="60"/>
        <v>0</v>
      </c>
      <c r="Z467" s="1"/>
      <c r="AA467" s="147"/>
      <c r="AB467" s="147"/>
      <c r="AC467" s="228">
        <v>10.83</v>
      </c>
      <c r="AD467" s="228"/>
      <c r="AE467" s="106">
        <f t="shared" si="61"/>
        <v>0</v>
      </c>
      <c r="AF467" s="1"/>
      <c r="AG467" s="154">
        <f t="shared" si="62"/>
        <v>0</v>
      </c>
      <c r="AH467" s="175"/>
      <c r="AI467" s="106">
        <f t="shared" si="63"/>
        <v>0</v>
      </c>
      <c r="AJ467" s="106"/>
      <c r="AK467" s="159" t="str">
        <f t="shared" si="64"/>
        <v xml:space="preserve">0.0 </v>
      </c>
      <c r="AL467" s="138"/>
      <c r="AM467" s="106"/>
      <c r="AN467" s="106"/>
      <c r="AO467" s="106">
        <f t="shared" si="65"/>
        <v>0</v>
      </c>
      <c r="AP467" s="106"/>
      <c r="AQ467" s="159" t="str">
        <f t="shared" si="66"/>
        <v xml:space="preserve">0.0 </v>
      </c>
      <c r="AS467" s="110"/>
      <c r="AW467" s="101"/>
    </row>
    <row r="468" spans="1:49" x14ac:dyDescent="0.3">
      <c r="C468" s="99"/>
      <c r="D468" s="99"/>
      <c r="E468" s="99"/>
      <c r="T468" s="267">
        <f t="shared" si="58"/>
        <v>75</v>
      </c>
      <c r="V468" s="116" t="str">
        <f t="shared" si="59"/>
        <v xml:space="preserve">   Style A 18 Ft Long Direct Buried Top Tenon Aluminum</v>
      </c>
      <c r="Y468" s="147">
        <f t="shared" si="60"/>
        <v>0</v>
      </c>
      <c r="Z468" s="1"/>
      <c r="AA468" s="147"/>
      <c r="AB468" s="147"/>
      <c r="AC468" s="228">
        <v>8.9</v>
      </c>
      <c r="AD468" s="228"/>
      <c r="AE468" s="106">
        <f t="shared" si="61"/>
        <v>0</v>
      </c>
      <c r="AF468" s="1"/>
      <c r="AG468" s="154">
        <f t="shared" si="62"/>
        <v>0</v>
      </c>
      <c r="AH468" s="175"/>
      <c r="AI468" s="106">
        <f t="shared" si="63"/>
        <v>0</v>
      </c>
      <c r="AJ468" s="106"/>
      <c r="AK468" s="159" t="str">
        <f t="shared" si="64"/>
        <v xml:space="preserve">0.0 </v>
      </c>
      <c r="AL468" s="138"/>
      <c r="AM468" s="106"/>
      <c r="AN468" s="106"/>
      <c r="AO468" s="106">
        <f t="shared" si="65"/>
        <v>0</v>
      </c>
      <c r="AP468" s="106"/>
      <c r="AQ468" s="159" t="str">
        <f t="shared" si="66"/>
        <v xml:space="preserve">0.0 </v>
      </c>
      <c r="AS468" s="110"/>
      <c r="AW468" s="101"/>
    </row>
    <row r="469" spans="1:49" x14ac:dyDescent="0.3">
      <c r="C469" s="99"/>
      <c r="D469" s="99"/>
      <c r="E469" s="99"/>
      <c r="T469" s="267">
        <f t="shared" si="58"/>
        <v>76</v>
      </c>
      <c r="V469" s="116" t="str">
        <f t="shared" si="59"/>
        <v xml:space="preserve">   Style A 17 Ft Long Anchor Base Top Tenon Aluminum</v>
      </c>
      <c r="Y469" s="147">
        <f t="shared" si="60"/>
        <v>0</v>
      </c>
      <c r="Z469" s="1"/>
      <c r="AA469" s="147"/>
      <c r="AB469" s="147"/>
      <c r="AC469" s="228">
        <v>11.55</v>
      </c>
      <c r="AD469" s="228"/>
      <c r="AE469" s="106">
        <f t="shared" si="61"/>
        <v>0</v>
      </c>
      <c r="AF469" s="1"/>
      <c r="AG469" s="154">
        <f t="shared" si="62"/>
        <v>0</v>
      </c>
      <c r="AH469" s="175"/>
      <c r="AI469" s="106">
        <f t="shared" si="63"/>
        <v>0</v>
      </c>
      <c r="AJ469" s="106"/>
      <c r="AK469" s="159" t="str">
        <f t="shared" si="64"/>
        <v xml:space="preserve">0.0 </v>
      </c>
      <c r="AL469" s="138"/>
      <c r="AM469" s="106"/>
      <c r="AN469" s="106"/>
      <c r="AO469" s="106">
        <f t="shared" si="65"/>
        <v>0</v>
      </c>
      <c r="AP469" s="106"/>
      <c r="AQ469" s="159" t="str">
        <f t="shared" si="66"/>
        <v xml:space="preserve">0.0 </v>
      </c>
      <c r="AS469" s="110"/>
      <c r="AW469" s="101"/>
    </row>
    <row r="470" spans="1:49" x14ac:dyDescent="0.3">
      <c r="C470" s="99"/>
      <c r="D470" s="99"/>
      <c r="E470" s="99"/>
      <c r="T470" s="267">
        <f t="shared" si="58"/>
        <v>77</v>
      </c>
      <c r="V470" s="116" t="str">
        <f t="shared" si="59"/>
        <v xml:space="preserve">   Style A 25 Ft Long Direct Buried Top Tenon Aluminum</v>
      </c>
      <c r="Y470" s="147">
        <f t="shared" si="60"/>
        <v>0</v>
      </c>
      <c r="Z470" s="1"/>
      <c r="AA470" s="147"/>
      <c r="AB470" s="147"/>
      <c r="AC470" s="228">
        <v>11.75</v>
      </c>
      <c r="AD470" s="228"/>
      <c r="AE470" s="106">
        <f t="shared" si="61"/>
        <v>0</v>
      </c>
      <c r="AF470" s="1"/>
      <c r="AG470" s="154">
        <f t="shared" si="62"/>
        <v>0</v>
      </c>
      <c r="AH470" s="175"/>
      <c r="AI470" s="106">
        <f t="shared" si="63"/>
        <v>0</v>
      </c>
      <c r="AJ470" s="106"/>
      <c r="AK470" s="159" t="str">
        <f t="shared" si="64"/>
        <v xml:space="preserve">0.0 </v>
      </c>
      <c r="AL470" s="138"/>
      <c r="AM470" s="106"/>
      <c r="AN470" s="106"/>
      <c r="AO470" s="106">
        <f t="shared" si="65"/>
        <v>0</v>
      </c>
      <c r="AP470" s="106"/>
      <c r="AQ470" s="159" t="str">
        <f t="shared" si="66"/>
        <v xml:space="preserve">0.0 </v>
      </c>
      <c r="AS470" s="110"/>
      <c r="AW470" s="101"/>
    </row>
    <row r="471" spans="1:49" x14ac:dyDescent="0.3">
      <c r="C471" s="99"/>
      <c r="D471" s="99"/>
      <c r="E471" s="99"/>
      <c r="T471" s="267">
        <f t="shared" si="58"/>
        <v>78</v>
      </c>
      <c r="V471" s="116" t="str">
        <f t="shared" si="59"/>
        <v xml:space="preserve">   Style A 22 Ft Long Anchor Base Top Tenon Aluminum</v>
      </c>
      <c r="Y471" s="147">
        <f t="shared" si="60"/>
        <v>0</v>
      </c>
      <c r="Z471" s="1"/>
      <c r="AA471" s="147"/>
      <c r="AB471" s="147"/>
      <c r="AC471" s="228">
        <v>14.57</v>
      </c>
      <c r="AD471" s="228"/>
      <c r="AE471" s="106">
        <f t="shared" si="61"/>
        <v>0</v>
      </c>
      <c r="AF471" s="1"/>
      <c r="AG471" s="154">
        <f t="shared" si="62"/>
        <v>0</v>
      </c>
      <c r="AH471" s="175"/>
      <c r="AI471" s="106">
        <f t="shared" si="63"/>
        <v>0</v>
      </c>
      <c r="AJ471" s="106"/>
      <c r="AK471" s="159" t="str">
        <f t="shared" si="64"/>
        <v xml:space="preserve">0.0 </v>
      </c>
      <c r="AL471" s="138"/>
      <c r="AM471" s="106"/>
      <c r="AN471" s="106"/>
      <c r="AO471" s="106">
        <f t="shared" si="65"/>
        <v>0</v>
      </c>
      <c r="AP471" s="106"/>
      <c r="AQ471" s="159" t="str">
        <f t="shared" si="66"/>
        <v xml:space="preserve">0.0 </v>
      </c>
      <c r="AS471" s="110"/>
      <c r="AW471" s="101"/>
    </row>
    <row r="472" spans="1:49" x14ac:dyDescent="0.3">
      <c r="C472" s="99"/>
      <c r="D472" s="99"/>
      <c r="E472" s="99"/>
      <c r="T472" s="267">
        <f t="shared" si="58"/>
        <v>79</v>
      </c>
      <c r="V472" s="116" t="str">
        <f t="shared" si="59"/>
        <v xml:space="preserve">   Style A 30 Ft Long Direct Buried Top Tenon Aluminum</v>
      </c>
      <c r="Y472" s="147">
        <f t="shared" si="60"/>
        <v>0</v>
      </c>
      <c r="Z472" s="1"/>
      <c r="AA472" s="147"/>
      <c r="AB472" s="147"/>
      <c r="AC472" s="228">
        <v>13.35</v>
      </c>
      <c r="AD472" s="228"/>
      <c r="AE472" s="106">
        <f t="shared" si="61"/>
        <v>0</v>
      </c>
      <c r="AF472" s="1"/>
      <c r="AG472" s="154">
        <f t="shared" si="62"/>
        <v>0</v>
      </c>
      <c r="AH472" s="175"/>
      <c r="AI472" s="106">
        <f t="shared" si="63"/>
        <v>0</v>
      </c>
      <c r="AJ472" s="106"/>
      <c r="AK472" s="159" t="str">
        <f t="shared" si="64"/>
        <v xml:space="preserve">0.0 </v>
      </c>
      <c r="AL472" s="138"/>
      <c r="AM472" s="106"/>
      <c r="AN472" s="106"/>
      <c r="AO472" s="106">
        <f t="shared" si="65"/>
        <v>0</v>
      </c>
      <c r="AP472" s="106"/>
      <c r="AQ472" s="159" t="str">
        <f t="shared" si="66"/>
        <v xml:space="preserve">0.0 </v>
      </c>
      <c r="AS472" s="110"/>
      <c r="AW472" s="101"/>
    </row>
    <row r="473" spans="1:49" x14ac:dyDescent="0.3">
      <c r="A473" s="101"/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T473" s="267">
        <f t="shared" si="58"/>
        <v>80</v>
      </c>
      <c r="U473" s="174"/>
      <c r="V473" s="116" t="str">
        <f t="shared" si="59"/>
        <v xml:space="preserve">   Style A 27 Ft Long Anchor Base  Top Tenon Aluminum</v>
      </c>
      <c r="W473" s="116"/>
      <c r="X473" s="99"/>
      <c r="Y473" s="147">
        <f t="shared" si="60"/>
        <v>0</v>
      </c>
      <c r="Z473" s="1"/>
      <c r="AA473" s="1"/>
      <c r="AB473" s="1"/>
      <c r="AC473" s="228">
        <v>19.48</v>
      </c>
      <c r="AD473" s="1"/>
      <c r="AE473" s="106">
        <f t="shared" ref="AE473:AE579" si="67">ROUND((Y473*(AC473+AD473)),0)</f>
        <v>0</v>
      </c>
      <c r="AF473" s="1"/>
      <c r="AG473" s="154">
        <f t="shared" si="62"/>
        <v>0</v>
      </c>
      <c r="AH473" s="175"/>
      <c r="AI473" s="106">
        <f t="shared" si="63"/>
        <v>0</v>
      </c>
      <c r="AJ473" s="106"/>
      <c r="AK473" s="159" t="str">
        <f t="shared" ref="AK473:AK579" si="68">IF(AE473=0,"0.0 ",ROUND((AI473/AE473)*100,1))</f>
        <v xml:space="preserve">0.0 </v>
      </c>
      <c r="AL473" s="138"/>
      <c r="AM473" s="106"/>
      <c r="AN473" s="106"/>
      <c r="AO473" s="106">
        <f t="shared" ref="AO473:AO579" si="69">AM473+AE473</f>
        <v>0</v>
      </c>
      <c r="AP473" s="106"/>
      <c r="AQ473" s="159" t="str">
        <f t="shared" ref="AQ473:AQ521" si="70">IF(AO473=0,"0.0 ",ROUND((AI473/AO473)*100,1))</f>
        <v xml:space="preserve">0.0 </v>
      </c>
      <c r="AS473" s="110"/>
      <c r="AW473" s="101"/>
    </row>
    <row r="474" spans="1:49" x14ac:dyDescent="0.3">
      <c r="A474" s="101"/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T474" s="267">
        <f t="shared" si="58"/>
        <v>81</v>
      </c>
      <c r="V474" s="116" t="str">
        <f t="shared" si="59"/>
        <v xml:space="preserve">   Style A 35 Ft Long Direct Buried Top Tenon Aluminum</v>
      </c>
      <c r="Y474" s="147">
        <f t="shared" si="60"/>
        <v>0</v>
      </c>
      <c r="Z474" s="1"/>
      <c r="AA474" s="147"/>
      <c r="AB474" s="147"/>
      <c r="AC474" s="228">
        <v>15.49</v>
      </c>
      <c r="AD474" s="3"/>
      <c r="AE474" s="106">
        <f t="shared" si="67"/>
        <v>0</v>
      </c>
      <c r="AF474" s="1"/>
      <c r="AG474" s="154">
        <f t="shared" si="62"/>
        <v>0</v>
      </c>
      <c r="AH474" s="175"/>
      <c r="AI474" s="106">
        <f t="shared" si="63"/>
        <v>0</v>
      </c>
      <c r="AJ474" s="106"/>
      <c r="AK474" s="159" t="str">
        <f t="shared" si="68"/>
        <v xml:space="preserve">0.0 </v>
      </c>
      <c r="AL474" s="138"/>
      <c r="AM474" s="106"/>
      <c r="AN474" s="106"/>
      <c r="AO474" s="106">
        <f t="shared" si="69"/>
        <v>0</v>
      </c>
      <c r="AP474" s="106"/>
      <c r="AQ474" s="159" t="str">
        <f t="shared" si="70"/>
        <v xml:space="preserve">0.0 </v>
      </c>
      <c r="AS474" s="110"/>
      <c r="AW474" s="101"/>
    </row>
    <row r="475" spans="1:49" x14ac:dyDescent="0.3">
      <c r="A475" s="101"/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T475" s="267">
        <f t="shared" si="58"/>
        <v>82</v>
      </c>
      <c r="V475" s="116" t="str">
        <f t="shared" si="59"/>
        <v xml:space="preserve">   Style A 32 Ft Long Anchor Base  Top Tenon Aluminum</v>
      </c>
      <c r="Y475" s="147">
        <f t="shared" si="60"/>
        <v>0</v>
      </c>
      <c r="Z475" s="1"/>
      <c r="AA475" s="147"/>
      <c r="AB475" s="147"/>
      <c r="AC475" s="228">
        <v>19.989999999999998</v>
      </c>
      <c r="AD475" s="3"/>
      <c r="AE475" s="106">
        <f t="shared" si="67"/>
        <v>0</v>
      </c>
      <c r="AF475" s="1"/>
      <c r="AG475" s="154">
        <f t="shared" si="62"/>
        <v>0</v>
      </c>
      <c r="AH475" s="175"/>
      <c r="AI475" s="106">
        <f t="shared" si="63"/>
        <v>0</v>
      </c>
      <c r="AJ475" s="106"/>
      <c r="AK475" s="159" t="str">
        <f t="shared" si="68"/>
        <v xml:space="preserve">0.0 </v>
      </c>
      <c r="AL475" s="138"/>
      <c r="AM475" s="106"/>
      <c r="AN475" s="106"/>
      <c r="AO475" s="106">
        <f t="shared" si="69"/>
        <v>0</v>
      </c>
      <c r="AP475" s="106"/>
      <c r="AQ475" s="159" t="str">
        <f t="shared" si="70"/>
        <v xml:space="preserve">0.0 </v>
      </c>
      <c r="AS475" s="110"/>
      <c r="AW475" s="101"/>
    </row>
    <row r="476" spans="1:49" x14ac:dyDescent="0.3">
      <c r="H476" s="102"/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T476" s="267">
        <f t="shared" si="58"/>
        <v>83</v>
      </c>
      <c r="V476" s="116" t="str">
        <f t="shared" si="59"/>
        <v xml:space="preserve">   Style A 41 Ft Long Direct Buried Top Tenon Aluminum</v>
      </c>
      <c r="Y476" s="147">
        <f t="shared" si="60"/>
        <v>0</v>
      </c>
      <c r="Z476" s="1"/>
      <c r="AA476" s="147"/>
      <c r="AB476" s="147"/>
      <c r="AC476" s="228">
        <v>18.98</v>
      </c>
      <c r="AD476" s="242"/>
      <c r="AE476" s="106">
        <f t="shared" si="67"/>
        <v>0</v>
      </c>
      <c r="AF476" s="1"/>
      <c r="AG476" s="154">
        <f t="shared" si="62"/>
        <v>0</v>
      </c>
      <c r="AH476" s="175"/>
      <c r="AI476" s="106">
        <f t="shared" si="63"/>
        <v>0</v>
      </c>
      <c r="AJ476" s="106"/>
      <c r="AK476" s="159" t="str">
        <f t="shared" si="68"/>
        <v xml:space="preserve">0.0 </v>
      </c>
      <c r="AL476" s="138"/>
      <c r="AM476" s="106"/>
      <c r="AN476" s="106"/>
      <c r="AO476" s="106">
        <f t="shared" si="69"/>
        <v>0</v>
      </c>
      <c r="AP476" s="106"/>
      <c r="AQ476" s="159" t="str">
        <f t="shared" si="70"/>
        <v xml:space="preserve">0.0 </v>
      </c>
      <c r="AS476" s="110"/>
      <c r="AW476" s="101"/>
    </row>
    <row r="477" spans="1:49" x14ac:dyDescent="0.3">
      <c r="H477" s="102"/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T477" s="267">
        <f t="shared" si="58"/>
        <v>84</v>
      </c>
      <c r="V477" s="116" t="str">
        <f t="shared" si="59"/>
        <v xml:space="preserve">   Style B 12 Ft Long Anchor Base Post Top Aluminum</v>
      </c>
      <c r="Y477" s="147">
        <f t="shared" si="60"/>
        <v>0</v>
      </c>
      <c r="Z477" s="1"/>
      <c r="AA477" s="147"/>
      <c r="AB477" s="147"/>
      <c r="AC477" s="228">
        <v>10.61</v>
      </c>
      <c r="AD477" s="242"/>
      <c r="AE477" s="106">
        <f t="shared" si="67"/>
        <v>0</v>
      </c>
      <c r="AF477" s="1"/>
      <c r="AG477" s="154">
        <f t="shared" si="62"/>
        <v>0</v>
      </c>
      <c r="AH477" s="175"/>
      <c r="AI477" s="106">
        <f t="shared" si="63"/>
        <v>0</v>
      </c>
      <c r="AJ477" s="106"/>
      <c r="AK477" s="159" t="str">
        <f t="shared" si="68"/>
        <v xml:space="preserve">0.0 </v>
      </c>
      <c r="AL477" s="138"/>
      <c r="AM477" s="106"/>
      <c r="AN477" s="106"/>
      <c r="AO477" s="106">
        <f t="shared" si="69"/>
        <v>0</v>
      </c>
      <c r="AP477" s="106"/>
      <c r="AQ477" s="159" t="str">
        <f t="shared" si="70"/>
        <v xml:space="preserve">0.0 </v>
      </c>
      <c r="AS477" s="110"/>
      <c r="AW477" s="101"/>
    </row>
    <row r="478" spans="1:49" x14ac:dyDescent="0.3">
      <c r="H478" s="102"/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T478" s="267">
        <f t="shared" si="58"/>
        <v>85</v>
      </c>
      <c r="V478" s="116" t="str">
        <f t="shared" si="59"/>
        <v xml:space="preserve">   Style C 12 Ft Long Anchor Base Post Top Aluminum</v>
      </c>
      <c r="Y478" s="147">
        <f t="shared" si="60"/>
        <v>0</v>
      </c>
      <c r="Z478" s="1"/>
      <c r="AA478" s="147"/>
      <c r="AB478" s="147"/>
      <c r="AC478" s="228">
        <v>12.91</v>
      </c>
      <c r="AD478" s="242"/>
      <c r="AE478" s="106">
        <f t="shared" si="67"/>
        <v>0</v>
      </c>
      <c r="AF478" s="1"/>
      <c r="AG478" s="154">
        <f t="shared" si="62"/>
        <v>0</v>
      </c>
      <c r="AH478" s="175"/>
      <c r="AI478" s="106">
        <f t="shared" si="63"/>
        <v>0</v>
      </c>
      <c r="AJ478" s="106"/>
      <c r="AK478" s="159" t="str">
        <f t="shared" si="68"/>
        <v xml:space="preserve">0.0 </v>
      </c>
      <c r="AL478" s="138"/>
      <c r="AM478" s="106"/>
      <c r="AN478" s="106"/>
      <c r="AO478" s="106">
        <f t="shared" si="69"/>
        <v>0</v>
      </c>
      <c r="AP478" s="106"/>
      <c r="AQ478" s="159" t="str">
        <f t="shared" si="70"/>
        <v xml:space="preserve">0.0 </v>
      </c>
      <c r="AS478" s="110"/>
      <c r="AW478" s="101"/>
    </row>
    <row r="479" spans="1:49" x14ac:dyDescent="0.3">
      <c r="C479" s="99"/>
      <c r="D479" s="99"/>
      <c r="E479" s="99"/>
      <c r="T479" s="267">
        <f t="shared" si="58"/>
        <v>86</v>
      </c>
      <c r="V479" s="116" t="str">
        <f t="shared" si="59"/>
        <v xml:space="preserve">   Style C 12 Ft Long Anchor Base Davit Steel</v>
      </c>
      <c r="Y479" s="147">
        <f t="shared" si="60"/>
        <v>0</v>
      </c>
      <c r="Z479" s="1"/>
      <c r="AA479" s="147"/>
      <c r="AB479" s="147"/>
      <c r="AC479" s="228">
        <v>15.64</v>
      </c>
      <c r="AD479" s="242"/>
      <c r="AE479" s="106">
        <f t="shared" si="67"/>
        <v>0</v>
      </c>
      <c r="AF479" s="1"/>
      <c r="AG479" s="154">
        <f t="shared" si="62"/>
        <v>0</v>
      </c>
      <c r="AH479" s="175"/>
      <c r="AI479" s="106">
        <f t="shared" si="63"/>
        <v>0</v>
      </c>
      <c r="AJ479" s="106"/>
      <c r="AK479" s="159" t="str">
        <f t="shared" si="68"/>
        <v xml:space="preserve">0.0 </v>
      </c>
      <c r="AL479" s="138"/>
      <c r="AM479" s="106"/>
      <c r="AN479" s="106"/>
      <c r="AO479" s="106">
        <f t="shared" si="69"/>
        <v>0</v>
      </c>
      <c r="AP479" s="106"/>
      <c r="AQ479" s="159" t="str">
        <f t="shared" si="70"/>
        <v xml:space="preserve">0.0 </v>
      </c>
      <c r="AS479" s="110"/>
      <c r="AW479" s="101"/>
    </row>
    <row r="480" spans="1:49" x14ac:dyDescent="0.3">
      <c r="C480" s="99"/>
      <c r="D480" s="99"/>
      <c r="E480" s="99"/>
      <c r="T480" s="267">
        <f t="shared" si="58"/>
        <v>87</v>
      </c>
      <c r="V480" s="116" t="str">
        <f t="shared" si="59"/>
        <v xml:space="preserve">   Style C 14 Ft Long Anchor Base Top Tenon Steel</v>
      </c>
      <c r="Y480" s="147">
        <f t="shared" si="60"/>
        <v>0</v>
      </c>
      <c r="Z480" s="1"/>
      <c r="AA480" s="147"/>
      <c r="AB480" s="147"/>
      <c r="AC480" s="228">
        <v>14.75</v>
      </c>
      <c r="AD480" s="242"/>
      <c r="AE480" s="106">
        <f t="shared" si="67"/>
        <v>0</v>
      </c>
      <c r="AF480" s="1"/>
      <c r="AG480" s="154">
        <f t="shared" si="62"/>
        <v>0</v>
      </c>
      <c r="AH480" s="175"/>
      <c r="AI480" s="106">
        <f t="shared" si="63"/>
        <v>0</v>
      </c>
      <c r="AJ480" s="106"/>
      <c r="AK480" s="159" t="str">
        <f t="shared" si="68"/>
        <v xml:space="preserve">0.0 </v>
      </c>
      <c r="AL480" s="138"/>
      <c r="AM480" s="106"/>
      <c r="AN480" s="106"/>
      <c r="AO480" s="106">
        <f t="shared" si="69"/>
        <v>0</v>
      </c>
      <c r="AP480" s="106"/>
      <c r="AQ480" s="159" t="str">
        <f t="shared" si="70"/>
        <v xml:space="preserve">0.0 </v>
      </c>
      <c r="AS480" s="110"/>
      <c r="AW480" s="101"/>
    </row>
    <row r="481" spans="3:49" ht="20.100000000000001" customHeight="1" x14ac:dyDescent="0.3">
      <c r="C481" s="99"/>
      <c r="D481" s="99"/>
      <c r="E481" s="99"/>
      <c r="T481" s="267">
        <f t="shared" si="58"/>
        <v>88</v>
      </c>
      <c r="V481" s="116" t="str">
        <f t="shared" si="59"/>
        <v xml:space="preserve">   Style C 21 Ft Long Anchor Base Davit Steel</v>
      </c>
      <c r="Y481" s="147">
        <f t="shared" si="60"/>
        <v>0</v>
      </c>
      <c r="Z481" s="1"/>
      <c r="AA481" s="147"/>
      <c r="AB481" s="147"/>
      <c r="AC481" s="228">
        <v>32.96</v>
      </c>
      <c r="AD481" s="242"/>
      <c r="AE481" s="106">
        <f t="shared" si="67"/>
        <v>0</v>
      </c>
      <c r="AF481" s="1"/>
      <c r="AG481" s="154">
        <f t="shared" si="62"/>
        <v>0</v>
      </c>
      <c r="AH481" s="175"/>
      <c r="AI481" s="106">
        <f t="shared" si="63"/>
        <v>0</v>
      </c>
      <c r="AJ481" s="106"/>
      <c r="AK481" s="159" t="str">
        <f t="shared" si="68"/>
        <v xml:space="preserve">0.0 </v>
      </c>
      <c r="AL481" s="138"/>
      <c r="AM481" s="106"/>
      <c r="AN481" s="106"/>
      <c r="AO481" s="106">
        <f t="shared" si="69"/>
        <v>0</v>
      </c>
      <c r="AP481" s="106"/>
      <c r="AQ481" s="159" t="str">
        <f t="shared" si="70"/>
        <v xml:space="preserve">0.0 </v>
      </c>
      <c r="AS481" s="110"/>
      <c r="AW481" s="101"/>
    </row>
    <row r="482" spans="3:49" x14ac:dyDescent="0.3">
      <c r="C482" s="99"/>
      <c r="D482" s="99"/>
      <c r="E482" s="99"/>
      <c r="T482" s="267">
        <f t="shared" si="58"/>
        <v>89</v>
      </c>
      <c r="V482" s="116" t="str">
        <f t="shared" si="59"/>
        <v xml:space="preserve">   Style C 23 Ft Long Anchor Base Boston Harbor Steel</v>
      </c>
      <c r="Y482" s="147">
        <f t="shared" si="60"/>
        <v>0</v>
      </c>
      <c r="Z482" s="1"/>
      <c r="AA482" s="147"/>
      <c r="AB482" s="106"/>
      <c r="AC482" s="228">
        <v>38.270000000000003</v>
      </c>
      <c r="AD482" s="242"/>
      <c r="AE482" s="106">
        <f t="shared" si="67"/>
        <v>0</v>
      </c>
      <c r="AF482" s="1"/>
      <c r="AG482" s="154">
        <f t="shared" si="62"/>
        <v>0</v>
      </c>
      <c r="AH482" s="175"/>
      <c r="AI482" s="106">
        <f t="shared" si="63"/>
        <v>0</v>
      </c>
      <c r="AJ482" s="106"/>
      <c r="AK482" s="159" t="str">
        <f t="shared" si="68"/>
        <v xml:space="preserve">0.0 </v>
      </c>
      <c r="AL482" s="138"/>
      <c r="AM482" s="106"/>
      <c r="AN482" s="106"/>
      <c r="AO482" s="106">
        <f t="shared" si="69"/>
        <v>0</v>
      </c>
      <c r="AP482" s="106"/>
      <c r="AQ482" s="159" t="str">
        <f t="shared" si="70"/>
        <v xml:space="preserve">0.0 </v>
      </c>
      <c r="AS482" s="110"/>
      <c r="AW482" s="101"/>
    </row>
    <row r="483" spans="3:49" x14ac:dyDescent="0.3">
      <c r="D483" s="99"/>
      <c r="E483" s="99"/>
      <c r="T483" s="267">
        <f t="shared" si="58"/>
        <v>90</v>
      </c>
      <c r="V483" s="116" t="str">
        <f t="shared" si="59"/>
        <v xml:space="preserve">   Style D 12 Ft Long Anchor Base Breakaway Aluminum</v>
      </c>
      <c r="W483" s="169"/>
      <c r="X483" s="99"/>
      <c r="Y483" s="147">
        <f t="shared" si="60"/>
        <v>0</v>
      </c>
      <c r="Z483" s="1"/>
      <c r="AA483" s="147"/>
      <c r="AB483" s="1"/>
      <c r="AC483" s="228">
        <v>12.32</v>
      </c>
      <c r="AD483" s="1"/>
      <c r="AE483" s="106">
        <f t="shared" si="67"/>
        <v>0</v>
      </c>
      <c r="AF483" s="1"/>
      <c r="AG483" s="154">
        <f t="shared" si="62"/>
        <v>0</v>
      </c>
      <c r="AH483" s="175"/>
      <c r="AI483" s="106">
        <f t="shared" si="63"/>
        <v>0</v>
      </c>
      <c r="AJ483" s="106"/>
      <c r="AK483" s="159" t="str">
        <f t="shared" si="68"/>
        <v xml:space="preserve">0.0 </v>
      </c>
      <c r="AL483" s="138"/>
      <c r="AM483" s="106"/>
      <c r="AN483" s="106"/>
      <c r="AO483" s="106">
        <f t="shared" si="69"/>
        <v>0</v>
      </c>
      <c r="AP483" s="106"/>
      <c r="AQ483" s="159" t="str">
        <f t="shared" si="70"/>
        <v xml:space="preserve">0.0 </v>
      </c>
      <c r="AS483" s="110"/>
      <c r="AW483" s="101"/>
    </row>
    <row r="484" spans="3:49" x14ac:dyDescent="0.3">
      <c r="D484" s="99"/>
      <c r="E484" s="99"/>
      <c r="T484" s="267"/>
      <c r="V484" s="116"/>
      <c r="W484" s="169"/>
      <c r="X484" s="99"/>
      <c r="Y484" s="147"/>
      <c r="Z484" s="1"/>
      <c r="AA484" s="147"/>
      <c r="AB484" s="1"/>
      <c r="AC484" s="228"/>
      <c r="AD484" s="1"/>
      <c r="AE484" s="106"/>
      <c r="AF484" s="1"/>
      <c r="AG484" s="154"/>
      <c r="AH484" s="175"/>
      <c r="AI484" s="106"/>
      <c r="AJ484" s="106"/>
      <c r="AK484" s="159"/>
      <c r="AL484" s="138"/>
      <c r="AM484" s="106"/>
      <c r="AN484" s="106"/>
      <c r="AO484" s="106"/>
      <c r="AP484" s="106"/>
      <c r="AQ484" s="159"/>
      <c r="AS484" s="110"/>
      <c r="AW484" s="101"/>
    </row>
    <row r="485" spans="3:49" x14ac:dyDescent="0.3">
      <c r="D485" s="99"/>
      <c r="E485" s="99"/>
      <c r="T485" s="178" t="s">
        <v>76</v>
      </c>
      <c r="V485" s="116"/>
      <c r="Y485" s="147"/>
      <c r="Z485" s="1"/>
      <c r="AA485" s="147"/>
      <c r="AB485" s="147"/>
      <c r="AC485" s="228"/>
      <c r="AD485" s="228"/>
      <c r="AE485" s="106"/>
      <c r="AF485" s="106"/>
      <c r="AG485" s="154"/>
      <c r="AH485" s="175"/>
      <c r="AI485" s="106"/>
      <c r="AJ485" s="106"/>
      <c r="AK485" s="159"/>
      <c r="AL485" s="138"/>
      <c r="AM485" s="106"/>
      <c r="AN485" s="106"/>
      <c r="AO485" s="106"/>
      <c r="AP485" s="106"/>
      <c r="AQ485" s="159"/>
      <c r="AS485" s="110"/>
      <c r="AW485" s="101"/>
    </row>
    <row r="486" spans="3:49" x14ac:dyDescent="0.3">
      <c r="D486" s="99"/>
      <c r="E486" s="99"/>
      <c r="T486" s="178" t="str">
        <f>"(1A) REFLECTS FUEL COST RECOVERY INCLUDED IN BASE RATES OF "&amp;TEXT(CUR_BASE_FUEL,"$0.000000;($0.000000)")&amp;"  PER KWH."</f>
        <v>(1A) REFLECTS FUEL COST RECOVERY INCLUDED IN BASE RATES OF $0.033780  PER KWH.</v>
      </c>
      <c r="V486" s="116"/>
      <c r="Y486" s="147"/>
      <c r="Z486" s="1"/>
      <c r="AA486" s="147"/>
      <c r="AB486" s="147"/>
      <c r="AC486" s="228"/>
      <c r="AD486" s="228"/>
      <c r="AE486" s="106"/>
      <c r="AF486" s="106"/>
      <c r="AG486" s="154"/>
      <c r="AH486" s="175"/>
      <c r="AI486" s="106"/>
      <c r="AJ486" s="106"/>
      <c r="AK486" s="159"/>
      <c r="AL486" s="138"/>
      <c r="AM486" s="106"/>
      <c r="AN486" s="106"/>
      <c r="AO486" s="106"/>
      <c r="AP486" s="106"/>
      <c r="AQ486" s="159"/>
      <c r="AS486" s="110"/>
      <c r="AW486" s="101"/>
    </row>
    <row r="487" spans="3:49" x14ac:dyDescent="0.3">
      <c r="D487" s="99"/>
      <c r="E487" s="99"/>
      <c r="T487" s="178" t="str">
        <f>"(2) REFLECTS FUEL COMPONENT OF "&amp;TEXT(CUR_FAC,"$0.000000;($0.000000)")&amp;"  PER KWH."</f>
        <v>(2) REFLECTS FUEL COMPONENT OF $0.003487  PER KWH.</v>
      </c>
      <c r="V487" s="116"/>
      <c r="Y487" s="147"/>
      <c r="Z487" s="1"/>
      <c r="AA487" s="147"/>
      <c r="AB487" s="147"/>
      <c r="AC487" s="228"/>
      <c r="AD487" s="228"/>
      <c r="AE487" s="106"/>
      <c r="AF487" s="106"/>
      <c r="AG487" s="154"/>
      <c r="AH487" s="175"/>
      <c r="AI487" s="106"/>
      <c r="AJ487" s="106"/>
      <c r="AK487" s="159"/>
      <c r="AL487" s="138"/>
      <c r="AM487" s="106"/>
      <c r="AN487" s="106"/>
      <c r="AO487" s="106"/>
      <c r="AP487" s="106"/>
      <c r="AQ487" s="159"/>
      <c r="AS487" s="110"/>
      <c r="AW487" s="101"/>
    </row>
    <row r="488" spans="3:49" x14ac:dyDescent="0.3">
      <c r="D488" s="99"/>
      <c r="E488" s="99"/>
      <c r="T488" s="267"/>
      <c r="V488" s="116"/>
      <c r="Y488" s="147"/>
      <c r="Z488" s="1"/>
      <c r="AA488" s="147"/>
      <c r="AB488" s="147"/>
      <c r="AC488" s="228"/>
      <c r="AD488" s="228"/>
      <c r="AE488" s="106"/>
      <c r="AF488" s="106"/>
      <c r="AG488" s="154"/>
      <c r="AH488" s="175"/>
      <c r="AI488" s="106"/>
      <c r="AJ488" s="106"/>
      <c r="AK488" s="159"/>
      <c r="AL488" s="138"/>
      <c r="AM488" s="106"/>
      <c r="AN488" s="106"/>
      <c r="AO488" s="106"/>
      <c r="AP488" s="106"/>
      <c r="AQ488" s="159"/>
      <c r="AS488" s="110"/>
      <c r="AW488" s="101"/>
    </row>
    <row r="489" spans="3:49" x14ac:dyDescent="0.3">
      <c r="D489" s="99"/>
      <c r="E489" s="99"/>
      <c r="T489" s="353" t="str">
        <f>NAME</f>
        <v>DUKE ENERGY KENTUCKY, INC.</v>
      </c>
      <c r="U489" s="353"/>
      <c r="V489" s="353"/>
      <c r="W489" s="353"/>
      <c r="X489" s="353"/>
      <c r="Y489" s="353"/>
      <c r="Z489" s="353"/>
      <c r="AA489" s="353"/>
      <c r="AB489" s="353"/>
      <c r="AC489" s="353"/>
      <c r="AD489" s="353"/>
      <c r="AE489" s="353"/>
      <c r="AF489" s="353"/>
      <c r="AG489" s="353"/>
      <c r="AH489" s="353"/>
      <c r="AI489" s="353"/>
      <c r="AJ489" s="353"/>
      <c r="AK489" s="353"/>
      <c r="AL489" s="353"/>
      <c r="AM489" s="353"/>
      <c r="AN489" s="353"/>
      <c r="AO489" s="353"/>
      <c r="AP489" s="353"/>
      <c r="AQ489" s="353"/>
      <c r="AS489" s="110"/>
      <c r="AW489" s="101"/>
    </row>
    <row r="490" spans="3:49" x14ac:dyDescent="0.3">
      <c r="D490" s="99"/>
      <c r="E490" s="99"/>
      <c r="T490" s="97" t="str">
        <f>CASE_NO</f>
        <v>CASE NO.   2024-00354</v>
      </c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S490" s="110"/>
      <c r="AW490" s="101"/>
    </row>
    <row r="491" spans="3:49" x14ac:dyDescent="0.3">
      <c r="D491" s="99"/>
      <c r="E491" s="99"/>
      <c r="T491" s="97" t="str">
        <f>TITLE</f>
        <v>ANNUALIZED BASE YEAR REVENUES AT PROPOSED VS. MOST CURRENT RATES</v>
      </c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S491" s="110"/>
      <c r="AW491" s="101"/>
    </row>
    <row r="492" spans="3:49" x14ac:dyDescent="0.3">
      <c r="D492" s="99"/>
      <c r="E492" s="99"/>
      <c r="T492" s="97" t="str">
        <f>DATE</f>
        <v>FOR THE TWELVE MONTHS ENDED February 28, 2025</v>
      </c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S492" s="110"/>
      <c r="AW492" s="101"/>
    </row>
    <row r="493" spans="3:49" x14ac:dyDescent="0.3">
      <c r="D493" s="99"/>
      <c r="E493" s="99"/>
      <c r="T493" s="97" t="str">
        <f>SERVICE</f>
        <v>(ELECTRIC SERVICE)</v>
      </c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S493" s="110"/>
      <c r="AW493" s="101"/>
    </row>
    <row r="494" spans="3:49" x14ac:dyDescent="0.3">
      <c r="D494" s="99"/>
      <c r="E494" s="99"/>
      <c r="T494" s="98" t="str">
        <f>DATA_PERIOD</f>
        <v>DATA: __X__ BASE PERIOD   ____FORECASTED PERIOD</v>
      </c>
      <c r="AG494" s="98"/>
      <c r="AK494" s="98"/>
      <c r="AO494" s="99" t="s">
        <v>157</v>
      </c>
      <c r="AQ494" s="98"/>
      <c r="AS494" s="110"/>
      <c r="AW494" s="101"/>
    </row>
    <row r="495" spans="3:49" x14ac:dyDescent="0.3">
      <c r="D495" s="99"/>
      <c r="E495" s="99"/>
      <c r="T495" s="98" t="str">
        <f>TYPE</f>
        <v>TYPE OF FILING: _X_ ORIGINAL   ___UPDATED  ___ REVISED</v>
      </c>
      <c r="AG495" s="98"/>
      <c r="AK495" s="98"/>
      <c r="AO495" s="116" t="str">
        <f>"PAGE 22 OF "&amp;TEXT(Page_Num_2.2,"00")</f>
        <v>PAGE 22 OF 24</v>
      </c>
      <c r="AQ495" s="98"/>
      <c r="AS495" s="110"/>
      <c r="AW495" s="101"/>
    </row>
    <row r="496" spans="3:49" x14ac:dyDescent="0.3">
      <c r="D496" s="99"/>
      <c r="E496" s="99"/>
      <c r="T496" s="99" t="s">
        <v>170</v>
      </c>
      <c r="AO496" s="99" t="s">
        <v>4</v>
      </c>
      <c r="AP496" s="99"/>
      <c r="AS496" s="110"/>
      <c r="AW496" s="101"/>
    </row>
    <row r="497" spans="3:49" x14ac:dyDescent="0.3">
      <c r="D497" s="99"/>
      <c r="E497" s="99"/>
      <c r="T497" s="134" t="str">
        <f>TIME</f>
        <v>6 Months Actual and 6 Months Projected with Riders</v>
      </c>
      <c r="AF497" s="99"/>
      <c r="AO497" s="110" t="str">
        <f>WIT</f>
        <v>B. L. Sailers</v>
      </c>
      <c r="AS497" s="110"/>
      <c r="AW497" s="101"/>
    </row>
    <row r="498" spans="3:49" x14ac:dyDescent="0.3">
      <c r="D498" s="99"/>
      <c r="E498" s="99"/>
      <c r="T498" s="97" t="s">
        <v>130</v>
      </c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149"/>
      <c r="AH498" s="97"/>
      <c r="AI498" s="97"/>
      <c r="AJ498" s="97"/>
      <c r="AK498" s="149"/>
      <c r="AL498" s="97"/>
      <c r="AM498" s="97"/>
      <c r="AN498" s="97"/>
      <c r="AO498" s="97"/>
      <c r="AP498" s="97"/>
      <c r="AS498" s="110"/>
      <c r="AW498" s="101"/>
    </row>
    <row r="499" spans="3:49" x14ac:dyDescent="0.3">
      <c r="D499" s="99"/>
      <c r="E499" s="99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0"/>
      <c r="AF499" s="100"/>
      <c r="AG499" s="150"/>
      <c r="AH499" s="100"/>
      <c r="AI499" s="100"/>
      <c r="AJ499" s="100"/>
      <c r="AK499" s="150"/>
      <c r="AL499" s="100"/>
      <c r="AM499" s="100"/>
      <c r="AN499" s="101"/>
      <c r="AO499" s="101"/>
      <c r="AP499" s="101"/>
      <c r="AS499" s="110"/>
      <c r="AW499" s="101"/>
    </row>
    <row r="500" spans="3:49" x14ac:dyDescent="0.3">
      <c r="D500" s="99"/>
      <c r="E500" s="99"/>
      <c r="T500" s="174"/>
      <c r="U500" s="174"/>
      <c r="V500" s="174"/>
      <c r="W500" s="174"/>
      <c r="X500" s="174"/>
      <c r="Y500" s="174"/>
      <c r="Z500" s="174"/>
      <c r="AA500" s="174"/>
      <c r="AB500" s="174"/>
      <c r="AC500" s="174"/>
      <c r="AD500" s="174"/>
      <c r="AE500" s="102" t="s">
        <v>8</v>
      </c>
      <c r="AF500" s="102"/>
      <c r="AG500" s="151" t="s">
        <v>7</v>
      </c>
      <c r="AH500" s="102"/>
      <c r="AI500" s="102" t="s">
        <v>9</v>
      </c>
      <c r="AJ500" s="102"/>
      <c r="AK500" s="151" t="s">
        <v>10</v>
      </c>
      <c r="AL500" s="102"/>
      <c r="AN500" s="174"/>
      <c r="AO500" s="254" t="s">
        <v>8</v>
      </c>
      <c r="AP500" s="254"/>
      <c r="AQ500" s="255" t="s">
        <v>11</v>
      </c>
      <c r="AS500" s="110"/>
      <c r="AW500" s="101"/>
    </row>
    <row r="501" spans="3:49" x14ac:dyDescent="0.3">
      <c r="D501" s="99"/>
      <c r="E501" s="99"/>
      <c r="AC501" s="332" t="s">
        <v>567</v>
      </c>
      <c r="AD501" s="97"/>
      <c r="AE501" s="102" t="s">
        <v>12</v>
      </c>
      <c r="AF501" s="102"/>
      <c r="AG501" s="151" t="s">
        <v>13</v>
      </c>
      <c r="AH501" s="102"/>
      <c r="AI501" s="102" t="s">
        <v>15</v>
      </c>
      <c r="AJ501" s="102"/>
      <c r="AK501" s="151" t="s">
        <v>16</v>
      </c>
      <c r="AL501" s="102"/>
      <c r="AO501" s="102" t="s">
        <v>11</v>
      </c>
      <c r="AP501" s="102"/>
      <c r="AQ501" s="151" t="s">
        <v>9</v>
      </c>
      <c r="AS501" s="110"/>
      <c r="AW501" s="101"/>
    </row>
    <row r="502" spans="3:49" x14ac:dyDescent="0.3">
      <c r="D502" s="99"/>
      <c r="E502" s="99"/>
      <c r="T502" s="102" t="s">
        <v>17</v>
      </c>
      <c r="V502" s="102" t="s">
        <v>18</v>
      </c>
      <c r="W502" s="102" t="s">
        <v>19</v>
      </c>
      <c r="X502" s="102"/>
      <c r="Y502" s="102" t="s">
        <v>20</v>
      </c>
      <c r="AC502" s="102" t="s">
        <v>563</v>
      </c>
      <c r="AD502" s="102" t="s">
        <v>564</v>
      </c>
      <c r="AE502" s="102" t="s">
        <v>593</v>
      </c>
      <c r="AF502" s="102"/>
      <c r="AG502" s="151" t="s">
        <v>593</v>
      </c>
      <c r="AH502" s="102"/>
      <c r="AI502" s="103" t="s">
        <v>708</v>
      </c>
      <c r="AJ502" s="102"/>
      <c r="AK502" s="152" t="s">
        <v>708</v>
      </c>
      <c r="AL502" s="102"/>
      <c r="AM502" s="102" t="s">
        <v>593</v>
      </c>
      <c r="AN502" s="102"/>
      <c r="AO502" s="102" t="s">
        <v>9</v>
      </c>
      <c r="AP502" s="102"/>
      <c r="AQ502" s="151" t="s">
        <v>21</v>
      </c>
      <c r="AS502" s="110"/>
      <c r="AW502" s="101"/>
    </row>
    <row r="503" spans="3:49" x14ac:dyDescent="0.3">
      <c r="D503" s="99"/>
      <c r="E503" s="99"/>
      <c r="T503" s="102" t="s">
        <v>22</v>
      </c>
      <c r="V503" s="102" t="s">
        <v>23</v>
      </c>
      <c r="W503" s="102" t="s">
        <v>24</v>
      </c>
      <c r="X503" s="102"/>
      <c r="Y503" s="102" t="s">
        <v>25</v>
      </c>
      <c r="AA503" s="102" t="s">
        <v>26</v>
      </c>
      <c r="AB503" s="102"/>
      <c r="AC503" s="103" t="s">
        <v>27</v>
      </c>
      <c r="AD503" s="103" t="s">
        <v>27</v>
      </c>
      <c r="AE503" s="102" t="s">
        <v>9</v>
      </c>
      <c r="AF503" s="102"/>
      <c r="AG503" s="151" t="s">
        <v>9</v>
      </c>
      <c r="AH503" s="102"/>
      <c r="AI503" s="131" t="s">
        <v>29</v>
      </c>
      <c r="AJ503" s="131"/>
      <c r="AK503" s="165" t="s">
        <v>30</v>
      </c>
      <c r="AL503" s="102"/>
      <c r="AM503" s="102" t="s">
        <v>323</v>
      </c>
      <c r="AN503" s="102"/>
      <c r="AO503" s="131" t="s">
        <v>31</v>
      </c>
      <c r="AP503" s="131"/>
      <c r="AQ503" s="165" t="s">
        <v>32</v>
      </c>
      <c r="AS503" s="110"/>
      <c r="AW503" s="101"/>
    </row>
    <row r="504" spans="3:49" x14ac:dyDescent="0.3">
      <c r="D504" s="99"/>
      <c r="E504" s="99"/>
      <c r="V504" s="131" t="s">
        <v>33</v>
      </c>
      <c r="W504" s="131" t="s">
        <v>34</v>
      </c>
      <c r="X504" s="131"/>
      <c r="Y504" s="131" t="s">
        <v>35</v>
      </c>
      <c r="Z504" s="134"/>
      <c r="AA504" s="131" t="s">
        <v>36</v>
      </c>
      <c r="AB504" s="131"/>
      <c r="AC504" s="146" t="s">
        <v>569</v>
      </c>
      <c r="AD504" s="146" t="s">
        <v>568</v>
      </c>
      <c r="AE504" s="131" t="s">
        <v>43</v>
      </c>
      <c r="AF504" s="131"/>
      <c r="AG504" s="165" t="s">
        <v>44</v>
      </c>
      <c r="AH504" s="131"/>
      <c r="AI504" s="131" t="s">
        <v>45</v>
      </c>
      <c r="AJ504" s="131"/>
      <c r="AK504" s="165" t="s">
        <v>46</v>
      </c>
      <c r="AL504" s="131"/>
      <c r="AM504" s="131" t="s">
        <v>40</v>
      </c>
      <c r="AN504" s="131"/>
      <c r="AO504" s="131" t="s">
        <v>47</v>
      </c>
      <c r="AP504" s="131"/>
      <c r="AQ504" s="165" t="s">
        <v>48</v>
      </c>
      <c r="AS504" s="110"/>
      <c r="AW504" s="101"/>
    </row>
    <row r="505" spans="3:49" x14ac:dyDescent="0.3">
      <c r="D505" s="99"/>
      <c r="E505" s="99"/>
      <c r="T505" s="174"/>
      <c r="U505" s="174"/>
      <c r="V505" s="174"/>
      <c r="W505" s="174"/>
      <c r="X505" s="174"/>
      <c r="Y505" s="174"/>
      <c r="Z505" s="174"/>
      <c r="AA505" s="258" t="s">
        <v>49</v>
      </c>
      <c r="AB505" s="258"/>
      <c r="AC505" s="257" t="s">
        <v>69</v>
      </c>
      <c r="AD505" s="258"/>
      <c r="AE505" s="258" t="s">
        <v>50</v>
      </c>
      <c r="AF505" s="258"/>
      <c r="AG505" s="259" t="s">
        <v>51</v>
      </c>
      <c r="AH505" s="258"/>
      <c r="AI505" s="258" t="s">
        <v>50</v>
      </c>
      <c r="AJ505" s="258"/>
      <c r="AK505" s="259" t="s">
        <v>51</v>
      </c>
      <c r="AL505" s="258"/>
      <c r="AM505" s="258" t="s">
        <v>50</v>
      </c>
      <c r="AN505" s="258"/>
      <c r="AO505" s="258" t="s">
        <v>50</v>
      </c>
      <c r="AP505" s="258"/>
      <c r="AQ505" s="259" t="s">
        <v>51</v>
      </c>
      <c r="AS505" s="110"/>
      <c r="AW505" s="101"/>
    </row>
    <row r="506" spans="3:49" x14ac:dyDescent="0.3">
      <c r="D506" s="99"/>
      <c r="E506" s="99"/>
      <c r="T506" s="267">
        <f t="shared" ref="T506" si="71">A154</f>
        <v>91</v>
      </c>
      <c r="V506" s="116" t="str">
        <f t="shared" ref="V506:W506" si="72">C154</f>
        <v>LED</v>
      </c>
      <c r="W506" s="116" t="str">
        <f t="shared" si="72"/>
        <v>STREET LIGHTING -- LED (CONT'D)</v>
      </c>
      <c r="Y506" s="147"/>
      <c r="Z506" s="1"/>
      <c r="AA506" s="147"/>
      <c r="AB506" s="147"/>
      <c r="AC506" s="228"/>
      <c r="AD506" s="228"/>
      <c r="AE506" s="106"/>
      <c r="AF506" s="106"/>
      <c r="AG506" s="154"/>
      <c r="AH506" s="175"/>
      <c r="AI506" s="106"/>
      <c r="AJ506" s="106"/>
      <c r="AK506" s="159"/>
      <c r="AL506" s="138"/>
      <c r="AM506" s="106"/>
      <c r="AN506" s="106"/>
      <c r="AO506" s="106"/>
      <c r="AP506" s="106"/>
      <c r="AQ506" s="159"/>
      <c r="AS506" s="110"/>
      <c r="AW506" s="101"/>
    </row>
    <row r="507" spans="3:49" x14ac:dyDescent="0.3">
      <c r="D507" s="99"/>
      <c r="E507" s="99"/>
      <c r="T507" s="267">
        <f t="shared" ref="T507" si="73">A155</f>
        <v>92</v>
      </c>
      <c r="V507" s="116" t="str">
        <f t="shared" ref="V507" si="74">C155</f>
        <v>POLES (CONT'D)</v>
      </c>
      <c r="W507" s="116"/>
      <c r="Y507" s="147"/>
      <c r="Z507" s="1"/>
      <c r="AA507" s="147"/>
      <c r="AB507" s="147"/>
      <c r="AC507" s="228"/>
      <c r="AD507" s="228"/>
      <c r="AE507" s="106"/>
      <c r="AF507" s="106"/>
      <c r="AG507" s="154"/>
      <c r="AH507" s="175"/>
      <c r="AI507" s="106"/>
      <c r="AJ507" s="106"/>
      <c r="AK507" s="159"/>
      <c r="AL507" s="138"/>
      <c r="AM507" s="106"/>
      <c r="AN507" s="106"/>
      <c r="AO507" s="106"/>
      <c r="AP507" s="106"/>
      <c r="AQ507" s="159"/>
      <c r="AS507" s="110"/>
      <c r="AW507" s="101"/>
    </row>
    <row r="508" spans="3:49" x14ac:dyDescent="0.3">
      <c r="D508" s="99"/>
      <c r="E508" s="99"/>
      <c r="T508" s="267">
        <f t="shared" ref="T508:T549" si="75">A156</f>
        <v>93</v>
      </c>
      <c r="V508" s="116" t="str">
        <f t="shared" ref="V508:V549" si="76">C156</f>
        <v xml:space="preserve">   Style E 12 Ft Long Anchor Base Post Top Aluminum</v>
      </c>
      <c r="W508" s="134"/>
      <c r="Y508" s="147">
        <f t="shared" ref="Y508:Y549" si="77">F156</f>
        <v>0</v>
      </c>
      <c r="Z508" s="1"/>
      <c r="AA508" s="147"/>
      <c r="AB508" s="1"/>
      <c r="AC508" s="228">
        <v>12.91</v>
      </c>
      <c r="AD508" s="242"/>
      <c r="AE508" s="106">
        <f t="shared" si="67"/>
        <v>0</v>
      </c>
      <c r="AF508" s="1"/>
      <c r="AG508" s="154">
        <f t="shared" ref="AG508:AG549" si="78">ROUND((AE508/AE$692)*100,1)</f>
        <v>0</v>
      </c>
      <c r="AH508" s="175"/>
      <c r="AI508" s="106">
        <f t="shared" ref="AI508:AI549" si="79">L156-AE508</f>
        <v>0</v>
      </c>
      <c r="AJ508" s="106"/>
      <c r="AK508" s="159" t="str">
        <f t="shared" si="68"/>
        <v xml:space="preserve">0.0 </v>
      </c>
      <c r="AL508" s="138"/>
      <c r="AM508" s="106"/>
      <c r="AN508" s="106"/>
      <c r="AO508" s="106">
        <f t="shared" si="69"/>
        <v>0</v>
      </c>
      <c r="AP508" s="106"/>
      <c r="AQ508" s="159" t="str">
        <f t="shared" si="70"/>
        <v xml:space="preserve">0.0 </v>
      </c>
      <c r="AS508" s="110"/>
      <c r="AW508" s="101"/>
    </row>
    <row r="509" spans="3:49" x14ac:dyDescent="0.3">
      <c r="T509" s="267">
        <f t="shared" si="75"/>
        <v>94</v>
      </c>
      <c r="V509" s="116" t="str">
        <f t="shared" si="76"/>
        <v xml:space="preserve">   Style F 12 Ft Long Anchor Base Post Top Aluminum</v>
      </c>
      <c r="W509" s="134"/>
      <c r="Y509" s="147">
        <f t="shared" si="77"/>
        <v>0</v>
      </c>
      <c r="Z509" s="1"/>
      <c r="AA509" s="147"/>
      <c r="AB509" s="1"/>
      <c r="AC509" s="228">
        <v>15.74</v>
      </c>
      <c r="AD509" s="242"/>
      <c r="AE509" s="106">
        <f t="shared" si="67"/>
        <v>0</v>
      </c>
      <c r="AF509" s="1"/>
      <c r="AG509" s="154">
        <f t="shared" si="78"/>
        <v>0</v>
      </c>
      <c r="AH509" s="175"/>
      <c r="AI509" s="106">
        <f t="shared" si="79"/>
        <v>0</v>
      </c>
      <c r="AJ509" s="106"/>
      <c r="AK509" s="159" t="str">
        <f t="shared" si="68"/>
        <v xml:space="preserve">0.0 </v>
      </c>
      <c r="AL509" s="138"/>
      <c r="AM509" s="106"/>
      <c r="AN509" s="106"/>
      <c r="AO509" s="106">
        <f t="shared" si="69"/>
        <v>0</v>
      </c>
      <c r="AP509" s="106"/>
      <c r="AQ509" s="159" t="str">
        <f t="shared" si="70"/>
        <v xml:space="preserve">0.0 </v>
      </c>
      <c r="AS509" s="110"/>
      <c r="AW509" s="101"/>
    </row>
    <row r="510" spans="3:49" x14ac:dyDescent="0.3">
      <c r="T510" s="267">
        <f t="shared" si="75"/>
        <v>95</v>
      </c>
      <c r="V510" s="116" t="str">
        <f t="shared" si="76"/>
        <v xml:space="preserve">   Legacy Style 39 Ft Direct Buried Single or Twin Side Mount Aluminum Satin Finish</v>
      </c>
      <c r="Y510" s="147">
        <f t="shared" si="77"/>
        <v>0</v>
      </c>
      <c r="Z510" s="1"/>
      <c r="AA510" s="147"/>
      <c r="AB510" s="147"/>
      <c r="AC510" s="228">
        <v>20.92</v>
      </c>
      <c r="AD510" s="242"/>
      <c r="AE510" s="106">
        <f t="shared" si="67"/>
        <v>0</v>
      </c>
      <c r="AF510" s="1"/>
      <c r="AG510" s="154">
        <f t="shared" si="78"/>
        <v>0</v>
      </c>
      <c r="AH510" s="175"/>
      <c r="AI510" s="106">
        <f t="shared" si="79"/>
        <v>0</v>
      </c>
      <c r="AJ510" s="106"/>
      <c r="AK510" s="159" t="str">
        <f t="shared" si="68"/>
        <v xml:space="preserve">0.0 </v>
      </c>
      <c r="AL510" s="138"/>
      <c r="AM510" s="106"/>
      <c r="AN510" s="106"/>
      <c r="AO510" s="106">
        <f t="shared" si="69"/>
        <v>0</v>
      </c>
      <c r="AP510" s="106"/>
      <c r="AQ510" s="159" t="str">
        <f t="shared" si="70"/>
        <v xml:space="preserve">0.0 </v>
      </c>
      <c r="AS510" s="110"/>
      <c r="AW510" s="101"/>
    </row>
    <row r="511" spans="3:49" x14ac:dyDescent="0.3">
      <c r="T511" s="267">
        <f t="shared" si="75"/>
        <v>96</v>
      </c>
      <c r="V511" s="116" t="str">
        <f t="shared" si="76"/>
        <v xml:space="preserve">   Legacy Style 27 Ft Long Anchor Base Side Mount Aluminum Pole Satin Finish Breakaway</v>
      </c>
      <c r="Y511" s="147">
        <f t="shared" si="77"/>
        <v>0</v>
      </c>
      <c r="Z511" s="1"/>
      <c r="AA511" s="147"/>
      <c r="AB511" s="147"/>
      <c r="AC511" s="228">
        <v>20.45</v>
      </c>
      <c r="AD511" s="242"/>
      <c r="AE511" s="106">
        <f t="shared" si="67"/>
        <v>0</v>
      </c>
      <c r="AF511" s="1"/>
      <c r="AG511" s="154">
        <f t="shared" si="78"/>
        <v>0</v>
      </c>
      <c r="AH511" s="175"/>
      <c r="AI511" s="106">
        <f t="shared" si="79"/>
        <v>0</v>
      </c>
      <c r="AJ511" s="106"/>
      <c r="AK511" s="159" t="str">
        <f t="shared" si="68"/>
        <v xml:space="preserve">0.0 </v>
      </c>
      <c r="AL511" s="138"/>
      <c r="AM511" s="106"/>
      <c r="AN511" s="106"/>
      <c r="AO511" s="106">
        <f t="shared" si="69"/>
        <v>0</v>
      </c>
      <c r="AP511" s="106"/>
      <c r="AQ511" s="159" t="str">
        <f t="shared" si="70"/>
        <v xml:space="preserve">0.0 </v>
      </c>
      <c r="AS511" s="110"/>
      <c r="AW511" s="101"/>
    </row>
    <row r="512" spans="3:49" x14ac:dyDescent="0.3">
      <c r="C512" s="99"/>
      <c r="F512" s="172"/>
      <c r="H512" s="172"/>
      <c r="I512" s="172"/>
      <c r="J512" s="181"/>
      <c r="K512" s="181"/>
      <c r="L512" s="110"/>
      <c r="M512" s="110"/>
      <c r="N512" s="141"/>
      <c r="O512" s="141"/>
      <c r="R512" s="110"/>
      <c r="T512" s="267">
        <f t="shared" si="75"/>
        <v>97</v>
      </c>
      <c r="V512" s="116" t="str">
        <f t="shared" si="76"/>
        <v xml:space="preserve">   Legacy Style 33 Ft Long Anchor Base Side Mount Aluminum Pole Satin Finish Breakaway</v>
      </c>
      <c r="Y512" s="147">
        <f t="shared" si="77"/>
        <v>0</v>
      </c>
      <c r="Z512" s="1"/>
      <c r="AA512" s="147"/>
      <c r="AB512" s="147"/>
      <c r="AC512" s="228">
        <v>21.38</v>
      </c>
      <c r="AD512" s="242"/>
      <c r="AE512" s="106">
        <f t="shared" si="67"/>
        <v>0</v>
      </c>
      <c r="AF512" s="1"/>
      <c r="AG512" s="154">
        <f t="shared" si="78"/>
        <v>0</v>
      </c>
      <c r="AH512" s="175"/>
      <c r="AI512" s="106">
        <f t="shared" si="79"/>
        <v>0</v>
      </c>
      <c r="AJ512" s="106"/>
      <c r="AK512" s="159" t="str">
        <f t="shared" si="68"/>
        <v xml:space="preserve">0.0 </v>
      </c>
      <c r="AL512" s="138"/>
      <c r="AM512" s="106"/>
      <c r="AN512" s="106"/>
      <c r="AO512" s="106">
        <f t="shared" si="69"/>
        <v>0</v>
      </c>
      <c r="AP512" s="106"/>
      <c r="AQ512" s="159" t="str">
        <f t="shared" si="70"/>
        <v xml:space="preserve">0.0 </v>
      </c>
      <c r="AS512" s="110"/>
      <c r="AW512" s="101"/>
    </row>
    <row r="513" spans="3:49" x14ac:dyDescent="0.3">
      <c r="C513" s="99"/>
      <c r="F513" s="172"/>
      <c r="H513" s="172"/>
      <c r="I513" s="172"/>
      <c r="J513" s="181"/>
      <c r="K513" s="181"/>
      <c r="L513" s="110"/>
      <c r="M513" s="110"/>
      <c r="N513" s="141"/>
      <c r="O513" s="141"/>
      <c r="R513" s="110"/>
      <c r="T513" s="267">
        <f t="shared" si="75"/>
        <v>98</v>
      </c>
      <c r="V513" s="116" t="str">
        <f t="shared" si="76"/>
        <v xml:space="preserve">   Legacy Style 37 Ft Long Anchor Base Side Mount Aluminum Pole Satin Finish</v>
      </c>
      <c r="Y513" s="147">
        <f t="shared" si="77"/>
        <v>0</v>
      </c>
      <c r="Z513" s="1"/>
      <c r="AA513" s="147"/>
      <c r="AB513" s="147"/>
      <c r="AC513" s="228">
        <v>23.61</v>
      </c>
      <c r="AD513" s="242"/>
      <c r="AE513" s="106">
        <f t="shared" si="67"/>
        <v>0</v>
      </c>
      <c r="AF513" s="1"/>
      <c r="AG513" s="154">
        <f t="shared" si="78"/>
        <v>0</v>
      </c>
      <c r="AH513" s="175"/>
      <c r="AI513" s="106">
        <f t="shared" si="79"/>
        <v>0</v>
      </c>
      <c r="AJ513" s="106"/>
      <c r="AK513" s="159" t="str">
        <f t="shared" si="68"/>
        <v xml:space="preserve">0.0 </v>
      </c>
      <c r="AL513" s="138"/>
      <c r="AM513" s="106"/>
      <c r="AN513" s="106"/>
      <c r="AO513" s="106">
        <f t="shared" si="69"/>
        <v>0</v>
      </c>
      <c r="AP513" s="106"/>
      <c r="AQ513" s="159" t="str">
        <f t="shared" si="70"/>
        <v xml:space="preserve">0.0 </v>
      </c>
      <c r="AS513" s="110"/>
      <c r="AW513" s="101"/>
    </row>
    <row r="514" spans="3:49" x14ac:dyDescent="0.3">
      <c r="F514" s="192"/>
      <c r="H514" s="110"/>
      <c r="I514" s="110"/>
      <c r="J514" s="217"/>
      <c r="K514" s="217"/>
      <c r="L514" s="192"/>
      <c r="M514" s="192"/>
      <c r="N514" s="192"/>
      <c r="O514" s="192"/>
      <c r="P514" s="192"/>
      <c r="Q514" s="192"/>
      <c r="R514" s="192"/>
      <c r="T514" s="267">
        <f t="shared" si="75"/>
        <v>99</v>
      </c>
      <c r="V514" s="116" t="str">
        <f t="shared" si="76"/>
        <v xml:space="preserve">   30' Class 7 Wood Pole</v>
      </c>
      <c r="Y514" s="147">
        <f t="shared" si="77"/>
        <v>0</v>
      </c>
      <c r="Z514" s="1"/>
      <c r="AA514" s="147"/>
      <c r="AB514" s="147"/>
      <c r="AC514" s="228">
        <v>6.48</v>
      </c>
      <c r="AD514" s="242"/>
      <c r="AE514" s="106">
        <f t="shared" si="67"/>
        <v>0</v>
      </c>
      <c r="AF514" s="1"/>
      <c r="AG514" s="154">
        <f t="shared" si="78"/>
        <v>0</v>
      </c>
      <c r="AH514" s="175"/>
      <c r="AI514" s="106">
        <f t="shared" si="79"/>
        <v>0</v>
      </c>
      <c r="AJ514" s="106"/>
      <c r="AK514" s="159" t="str">
        <f t="shared" si="68"/>
        <v xml:space="preserve">0.0 </v>
      </c>
      <c r="AL514" s="138"/>
      <c r="AM514" s="106"/>
      <c r="AN514" s="106"/>
      <c r="AO514" s="106">
        <f t="shared" si="69"/>
        <v>0</v>
      </c>
      <c r="AP514" s="106"/>
      <c r="AQ514" s="159" t="str">
        <f t="shared" si="70"/>
        <v xml:space="preserve">0.0 </v>
      </c>
      <c r="AS514" s="110"/>
      <c r="AW514" s="101"/>
    </row>
    <row r="515" spans="3:49" x14ac:dyDescent="0.3">
      <c r="C515" s="99"/>
      <c r="F515" s="110"/>
      <c r="H515" s="110"/>
      <c r="I515" s="110"/>
      <c r="J515" s="217"/>
      <c r="K515" s="217"/>
      <c r="L515" s="110"/>
      <c r="M515" s="110"/>
      <c r="N515" s="141"/>
      <c r="O515" s="141"/>
      <c r="P515" s="110"/>
      <c r="Q515" s="110"/>
      <c r="R515" s="110"/>
      <c r="T515" s="267">
        <f t="shared" si="75"/>
        <v>100</v>
      </c>
      <c r="V515" s="116" t="str">
        <f t="shared" si="76"/>
        <v xml:space="preserve">   35' Class 5 Wood Pole</v>
      </c>
      <c r="Y515" s="147">
        <f t="shared" si="77"/>
        <v>9</v>
      </c>
      <c r="Z515" s="1"/>
      <c r="AA515" s="147"/>
      <c r="AB515" s="147"/>
      <c r="AC515" s="228">
        <v>7.24</v>
      </c>
      <c r="AD515" s="242"/>
      <c r="AE515" s="106">
        <f t="shared" si="67"/>
        <v>65</v>
      </c>
      <c r="AF515" s="1"/>
      <c r="AG515" s="154">
        <f t="shared" si="78"/>
        <v>0.3</v>
      </c>
      <c r="AH515" s="175"/>
      <c r="AI515" s="106">
        <f t="shared" si="79"/>
        <v>9</v>
      </c>
      <c r="AJ515" s="106"/>
      <c r="AK515" s="159">
        <f t="shared" si="68"/>
        <v>13.8</v>
      </c>
      <c r="AL515" s="138"/>
      <c r="AM515" s="106"/>
      <c r="AN515" s="106"/>
      <c r="AO515" s="106">
        <f t="shared" si="69"/>
        <v>65</v>
      </c>
      <c r="AP515" s="106"/>
      <c r="AQ515" s="159">
        <f t="shared" si="70"/>
        <v>13.8</v>
      </c>
      <c r="AS515" s="110"/>
      <c r="AW515" s="101"/>
    </row>
    <row r="516" spans="3:49" x14ac:dyDescent="0.3">
      <c r="F516" s="192"/>
      <c r="H516" s="110"/>
      <c r="I516" s="110"/>
      <c r="J516" s="217"/>
      <c r="K516" s="217"/>
      <c r="L516" s="192"/>
      <c r="M516" s="192"/>
      <c r="N516" s="192"/>
      <c r="O516" s="192"/>
      <c r="P516" s="192"/>
      <c r="Q516" s="192"/>
      <c r="R516" s="192"/>
      <c r="T516" s="267">
        <f t="shared" si="75"/>
        <v>101</v>
      </c>
      <c r="V516" s="116" t="str">
        <f t="shared" si="76"/>
        <v xml:space="preserve">   40' Class 4 Wood Pole</v>
      </c>
      <c r="Y516" s="147">
        <f t="shared" si="77"/>
        <v>0</v>
      </c>
      <c r="Z516" s="1"/>
      <c r="AA516" s="147"/>
      <c r="AB516" s="147"/>
      <c r="AC516" s="228">
        <v>8.2100000000000009</v>
      </c>
      <c r="AD516" s="3"/>
      <c r="AE516" s="106">
        <f t="shared" si="67"/>
        <v>0</v>
      </c>
      <c r="AF516" s="1"/>
      <c r="AG516" s="154">
        <f t="shared" si="78"/>
        <v>0</v>
      </c>
      <c r="AH516" s="175"/>
      <c r="AI516" s="106">
        <f t="shared" si="79"/>
        <v>0</v>
      </c>
      <c r="AJ516" s="106"/>
      <c r="AK516" s="159" t="str">
        <f t="shared" si="68"/>
        <v xml:space="preserve">0.0 </v>
      </c>
      <c r="AL516" s="138"/>
      <c r="AM516" s="106"/>
      <c r="AN516" s="106"/>
      <c r="AO516" s="106">
        <f t="shared" si="69"/>
        <v>0</v>
      </c>
      <c r="AP516" s="106"/>
      <c r="AQ516" s="159" t="str">
        <f t="shared" si="70"/>
        <v xml:space="preserve">0.0 </v>
      </c>
      <c r="AS516" s="110"/>
      <c r="AW516" s="101"/>
    </row>
    <row r="517" spans="3:49" x14ac:dyDescent="0.3">
      <c r="F517" s="110"/>
      <c r="H517" s="110"/>
      <c r="I517" s="110"/>
      <c r="J517" s="217"/>
      <c r="K517" s="217"/>
      <c r="L517" s="110"/>
      <c r="M517" s="110"/>
      <c r="N517" s="141"/>
      <c r="O517" s="141"/>
      <c r="P517" s="110"/>
      <c r="Q517" s="110"/>
      <c r="R517" s="110"/>
      <c r="T517" s="267">
        <f t="shared" si="75"/>
        <v>102</v>
      </c>
      <c r="V517" s="116" t="str">
        <f t="shared" si="76"/>
        <v xml:space="preserve">   45' Class 4 Wood Pole</v>
      </c>
      <c r="Y517" s="147">
        <f t="shared" si="77"/>
        <v>0</v>
      </c>
      <c r="Z517" s="1"/>
      <c r="AA517" s="147"/>
      <c r="AB517" s="147"/>
      <c r="AC517" s="228">
        <v>8.5500000000000007</v>
      </c>
      <c r="AD517" s="242"/>
      <c r="AE517" s="106">
        <f t="shared" si="67"/>
        <v>0</v>
      </c>
      <c r="AF517" s="1"/>
      <c r="AG517" s="154">
        <f t="shared" si="78"/>
        <v>0</v>
      </c>
      <c r="AH517" s="175"/>
      <c r="AI517" s="106">
        <f t="shared" si="79"/>
        <v>0</v>
      </c>
      <c r="AJ517" s="106"/>
      <c r="AK517" s="159" t="str">
        <f t="shared" si="68"/>
        <v xml:space="preserve">0.0 </v>
      </c>
      <c r="AL517" s="138"/>
      <c r="AM517" s="106"/>
      <c r="AN517" s="106"/>
      <c r="AO517" s="106">
        <f t="shared" si="69"/>
        <v>0</v>
      </c>
      <c r="AP517" s="106"/>
      <c r="AQ517" s="159" t="str">
        <f t="shared" si="70"/>
        <v xml:space="preserve">0.0 </v>
      </c>
      <c r="AS517" s="110"/>
      <c r="AW517" s="101"/>
    </row>
    <row r="518" spans="3:49" x14ac:dyDescent="0.3">
      <c r="C518" s="99"/>
      <c r="F518" s="172"/>
      <c r="H518" s="172"/>
      <c r="I518" s="172"/>
      <c r="J518" s="181"/>
      <c r="K518" s="181"/>
      <c r="L518" s="110"/>
      <c r="M518" s="110"/>
      <c r="N518" s="141"/>
      <c r="O518" s="141"/>
      <c r="P518" s="110"/>
      <c r="Q518" s="110"/>
      <c r="R518" s="110"/>
      <c r="T518" s="267">
        <f t="shared" si="75"/>
        <v>103</v>
      </c>
      <c r="V518" s="116" t="str">
        <f t="shared" si="76"/>
        <v xml:space="preserve">   15' Style A - Fluted - for Shroud - Aluminum Direct Buried Pole </v>
      </c>
      <c r="Y518" s="147">
        <f t="shared" si="77"/>
        <v>0</v>
      </c>
      <c r="Z518" s="1"/>
      <c r="AA518" s="147"/>
      <c r="AB518" s="147"/>
      <c r="AC518" s="228">
        <v>10.050000000000001</v>
      </c>
      <c r="AD518" s="242"/>
      <c r="AE518" s="106">
        <f t="shared" si="67"/>
        <v>0</v>
      </c>
      <c r="AF518" s="1"/>
      <c r="AG518" s="154">
        <f t="shared" si="78"/>
        <v>0</v>
      </c>
      <c r="AH518" s="175"/>
      <c r="AI518" s="106">
        <f t="shared" si="79"/>
        <v>0</v>
      </c>
      <c r="AJ518" s="106"/>
      <c r="AK518" s="159" t="str">
        <f t="shared" si="68"/>
        <v xml:space="preserve">0.0 </v>
      </c>
      <c r="AL518" s="138"/>
      <c r="AM518" s="106"/>
      <c r="AN518" s="106"/>
      <c r="AO518" s="106">
        <f t="shared" si="69"/>
        <v>0</v>
      </c>
      <c r="AP518" s="106"/>
      <c r="AQ518" s="159" t="str">
        <f t="shared" si="70"/>
        <v xml:space="preserve">0.0 </v>
      </c>
      <c r="AS518" s="110"/>
      <c r="AW518" s="101"/>
    </row>
    <row r="519" spans="3:49" x14ac:dyDescent="0.3">
      <c r="C519" s="99"/>
      <c r="F519" s="172"/>
      <c r="H519" s="172"/>
      <c r="I519" s="172"/>
      <c r="J519" s="181"/>
      <c r="K519" s="181"/>
      <c r="L519" s="110"/>
      <c r="M519" s="110"/>
      <c r="N519" s="141"/>
      <c r="O519" s="141"/>
      <c r="P519" s="110"/>
      <c r="Q519" s="110"/>
      <c r="R519" s="110"/>
      <c r="T519" s="267">
        <f t="shared" si="75"/>
        <v>104</v>
      </c>
      <c r="V519" s="116" t="str">
        <f t="shared" si="76"/>
        <v xml:space="preserve">   20' Style A - Fluted - for Shroud - Aluminum Direct Buried Pole </v>
      </c>
      <c r="Y519" s="147">
        <f t="shared" si="77"/>
        <v>0</v>
      </c>
      <c r="Z519" s="1"/>
      <c r="AA519" s="147"/>
      <c r="AB519" s="147"/>
      <c r="AC519" s="228">
        <v>10.54</v>
      </c>
      <c r="AD519" s="242"/>
      <c r="AE519" s="106">
        <f t="shared" si="67"/>
        <v>0</v>
      </c>
      <c r="AF519" s="1"/>
      <c r="AG519" s="154">
        <f t="shared" si="78"/>
        <v>0</v>
      </c>
      <c r="AH519" s="175"/>
      <c r="AI519" s="106">
        <f t="shared" si="79"/>
        <v>0</v>
      </c>
      <c r="AJ519" s="106"/>
      <c r="AK519" s="159" t="str">
        <f t="shared" si="68"/>
        <v xml:space="preserve">0.0 </v>
      </c>
      <c r="AL519" s="138"/>
      <c r="AM519" s="106"/>
      <c r="AN519" s="106"/>
      <c r="AO519" s="106">
        <f t="shared" si="69"/>
        <v>0</v>
      </c>
      <c r="AP519" s="106"/>
      <c r="AQ519" s="159" t="str">
        <f t="shared" si="70"/>
        <v xml:space="preserve">0.0 </v>
      </c>
      <c r="AS519" s="110"/>
      <c r="AW519" s="101"/>
    </row>
    <row r="520" spans="3:49" x14ac:dyDescent="0.3">
      <c r="C520" s="99"/>
      <c r="F520" s="172"/>
      <c r="H520" s="172"/>
      <c r="I520" s="172"/>
      <c r="J520" s="181"/>
      <c r="K520" s="181"/>
      <c r="L520" s="110"/>
      <c r="M520" s="110"/>
      <c r="N520" s="141"/>
      <c r="O520" s="141"/>
      <c r="P520" s="110"/>
      <c r="Q520" s="110"/>
      <c r="R520" s="110"/>
      <c r="T520" s="267">
        <f t="shared" si="75"/>
        <v>105</v>
      </c>
      <c r="V520" s="116" t="str">
        <f t="shared" si="76"/>
        <v xml:space="preserve">   15' Style A - Smooth - for Shroud - Aluminum Direct Buried Pole </v>
      </c>
      <c r="Y520" s="147">
        <f t="shared" si="77"/>
        <v>8</v>
      </c>
      <c r="Z520" s="1"/>
      <c r="AA520" s="147"/>
      <c r="AB520" s="147"/>
      <c r="AC520" s="228">
        <v>8.69</v>
      </c>
      <c r="AD520" s="242"/>
      <c r="AE520" s="106">
        <f t="shared" si="67"/>
        <v>70</v>
      </c>
      <c r="AF520" s="1"/>
      <c r="AG520" s="154">
        <f t="shared" si="78"/>
        <v>0.4</v>
      </c>
      <c r="AH520" s="175"/>
      <c r="AI520" s="106">
        <f t="shared" si="79"/>
        <v>9</v>
      </c>
      <c r="AJ520" s="106"/>
      <c r="AK520" s="159">
        <f t="shared" si="68"/>
        <v>12.9</v>
      </c>
      <c r="AL520" s="138"/>
      <c r="AM520" s="106"/>
      <c r="AN520" s="106"/>
      <c r="AO520" s="106">
        <f t="shared" si="69"/>
        <v>70</v>
      </c>
      <c r="AP520" s="106"/>
      <c r="AQ520" s="159">
        <f t="shared" si="70"/>
        <v>12.9</v>
      </c>
      <c r="AS520" s="110"/>
      <c r="AW520" s="101"/>
    </row>
    <row r="521" spans="3:49" x14ac:dyDescent="0.3">
      <c r="C521" s="99"/>
      <c r="F521" s="172"/>
      <c r="H521" s="172"/>
      <c r="I521" s="172"/>
      <c r="J521" s="181"/>
      <c r="K521" s="181"/>
      <c r="L521" s="110"/>
      <c r="M521" s="110"/>
      <c r="N521" s="141"/>
      <c r="O521" s="141"/>
      <c r="P521" s="110"/>
      <c r="Q521" s="110"/>
      <c r="R521" s="110"/>
      <c r="T521" s="267">
        <f t="shared" si="75"/>
        <v>106</v>
      </c>
      <c r="V521" s="116" t="str">
        <f t="shared" si="76"/>
        <v xml:space="preserve">   20' Style A - Smooth - for Shroud - Aluminum Direct Buried Pole </v>
      </c>
      <c r="Y521" s="147">
        <f t="shared" si="77"/>
        <v>0</v>
      </c>
      <c r="Z521" s="1"/>
      <c r="AA521" s="147"/>
      <c r="AB521" s="147"/>
      <c r="AC521" s="228">
        <v>10.26</v>
      </c>
      <c r="AD521" s="242"/>
      <c r="AE521" s="106">
        <f t="shared" si="67"/>
        <v>0</v>
      </c>
      <c r="AF521" s="1"/>
      <c r="AG521" s="154">
        <f t="shared" si="78"/>
        <v>0</v>
      </c>
      <c r="AH521" s="175"/>
      <c r="AI521" s="106">
        <f t="shared" si="79"/>
        <v>0</v>
      </c>
      <c r="AJ521" s="106"/>
      <c r="AK521" s="159" t="str">
        <f t="shared" si="68"/>
        <v xml:space="preserve">0.0 </v>
      </c>
      <c r="AL521" s="138"/>
      <c r="AM521" s="106"/>
      <c r="AN521" s="106"/>
      <c r="AO521" s="106">
        <f t="shared" si="69"/>
        <v>0</v>
      </c>
      <c r="AP521" s="106"/>
      <c r="AQ521" s="159" t="str">
        <f t="shared" si="70"/>
        <v xml:space="preserve">0.0 </v>
      </c>
      <c r="AS521" s="110"/>
      <c r="AW521" s="101"/>
    </row>
    <row r="522" spans="3:49" x14ac:dyDescent="0.3">
      <c r="C522" s="99"/>
      <c r="F522" s="172"/>
      <c r="H522" s="172"/>
      <c r="I522" s="172"/>
      <c r="J522" s="181"/>
      <c r="K522" s="181"/>
      <c r="L522" s="110"/>
      <c r="M522" s="110"/>
      <c r="N522" s="141"/>
      <c r="O522" s="141"/>
      <c r="P522" s="110"/>
      <c r="Q522" s="110"/>
      <c r="R522" s="110"/>
      <c r="T522" s="267">
        <f t="shared" si="75"/>
        <v>107</v>
      </c>
      <c r="V522" s="116" t="str">
        <f t="shared" si="76"/>
        <v xml:space="preserve">   21' Style A - Fluted - Direct Buried</v>
      </c>
      <c r="Y522" s="147">
        <f t="shared" si="77"/>
        <v>0</v>
      </c>
      <c r="Z522" s="1"/>
      <c r="AA522" s="147"/>
      <c r="AB522" s="147"/>
      <c r="AC522" s="228">
        <v>14.37</v>
      </c>
      <c r="AD522" s="242"/>
      <c r="AE522" s="106">
        <f t="shared" ref="AE522:AE538" si="80">ROUND((Y522*(AC522+AD522)),0)</f>
        <v>0</v>
      </c>
      <c r="AF522" s="1"/>
      <c r="AG522" s="154">
        <f t="shared" si="78"/>
        <v>0</v>
      </c>
      <c r="AH522" s="175"/>
      <c r="AI522" s="106">
        <f t="shared" si="79"/>
        <v>0</v>
      </c>
      <c r="AJ522" s="106"/>
      <c r="AK522" s="159" t="str">
        <f t="shared" ref="AK522:AK538" si="81">IF(AE522=0,"0.0 ",ROUND((AI522/AE522)*100,1))</f>
        <v xml:space="preserve">0.0 </v>
      </c>
      <c r="AL522" s="138"/>
      <c r="AM522" s="106"/>
      <c r="AN522" s="106"/>
      <c r="AO522" s="106">
        <f t="shared" ref="AO522:AO538" si="82">AM522+AE522</f>
        <v>0</v>
      </c>
      <c r="AP522" s="106"/>
      <c r="AQ522" s="159" t="str">
        <f t="shared" ref="AQ522:AQ538" si="83">IF(AO522=0,"0.0 ",ROUND((AI522/AO522)*100,1))</f>
        <v xml:space="preserve">0.0 </v>
      </c>
      <c r="AS522" s="110"/>
      <c r="AW522" s="101"/>
    </row>
    <row r="523" spans="3:49" x14ac:dyDescent="0.3">
      <c r="C523" s="99"/>
      <c r="F523" s="172"/>
      <c r="H523" s="172"/>
      <c r="I523" s="172"/>
      <c r="J523" s="181"/>
      <c r="K523" s="181"/>
      <c r="L523" s="110"/>
      <c r="M523" s="110"/>
      <c r="N523" s="141"/>
      <c r="O523" s="141"/>
      <c r="P523" s="110"/>
      <c r="Q523" s="110"/>
      <c r="R523" s="110"/>
      <c r="T523" s="267">
        <f t="shared" si="75"/>
        <v>108</v>
      </c>
      <c r="V523" s="116" t="str">
        <f t="shared" si="76"/>
        <v xml:space="preserve">   30' Style A - Transformer Base - Anchor Base</v>
      </c>
      <c r="Y523" s="147">
        <f t="shared" si="77"/>
        <v>0</v>
      </c>
      <c r="Z523" s="1"/>
      <c r="AA523" s="147"/>
      <c r="AB523" s="147"/>
      <c r="AC523" s="228">
        <v>21.78</v>
      </c>
      <c r="AD523" s="242"/>
      <c r="AE523" s="106">
        <f t="shared" si="80"/>
        <v>0</v>
      </c>
      <c r="AF523" s="1"/>
      <c r="AG523" s="154">
        <f t="shared" si="78"/>
        <v>0</v>
      </c>
      <c r="AH523" s="175"/>
      <c r="AI523" s="106">
        <f t="shared" si="79"/>
        <v>0</v>
      </c>
      <c r="AJ523" s="106"/>
      <c r="AK523" s="159" t="str">
        <f t="shared" si="81"/>
        <v xml:space="preserve">0.0 </v>
      </c>
      <c r="AL523" s="138"/>
      <c r="AM523" s="106"/>
      <c r="AN523" s="106"/>
      <c r="AO523" s="106">
        <f t="shared" si="82"/>
        <v>0</v>
      </c>
      <c r="AP523" s="106"/>
      <c r="AQ523" s="159" t="str">
        <f t="shared" si="83"/>
        <v xml:space="preserve">0.0 </v>
      </c>
      <c r="AS523" s="110"/>
      <c r="AW523" s="101"/>
    </row>
    <row r="524" spans="3:49" x14ac:dyDescent="0.3">
      <c r="C524" s="99"/>
      <c r="F524" s="172"/>
      <c r="H524" s="172"/>
      <c r="I524" s="172"/>
      <c r="J524" s="181"/>
      <c r="K524" s="181"/>
      <c r="L524" s="110"/>
      <c r="M524" s="110"/>
      <c r="N524" s="141"/>
      <c r="O524" s="141"/>
      <c r="P524" s="110"/>
      <c r="Q524" s="110"/>
      <c r="R524" s="110"/>
      <c r="T524" s="267">
        <f t="shared" si="75"/>
        <v>109</v>
      </c>
      <c r="V524" s="116" t="str">
        <f t="shared" si="76"/>
        <v xml:space="preserve">   35' Style A - Transformer Base - Anchor Base</v>
      </c>
      <c r="Y524" s="147">
        <f t="shared" si="77"/>
        <v>0</v>
      </c>
      <c r="Z524" s="1"/>
      <c r="AA524" s="147"/>
      <c r="AB524" s="147"/>
      <c r="AC524" s="228">
        <v>24.53</v>
      </c>
      <c r="AD524" s="242"/>
      <c r="AE524" s="106">
        <f t="shared" si="80"/>
        <v>0</v>
      </c>
      <c r="AF524" s="1"/>
      <c r="AG524" s="154">
        <f t="shared" si="78"/>
        <v>0</v>
      </c>
      <c r="AH524" s="175"/>
      <c r="AI524" s="106">
        <f t="shared" si="79"/>
        <v>0</v>
      </c>
      <c r="AJ524" s="106"/>
      <c r="AK524" s="159" t="str">
        <f t="shared" si="81"/>
        <v xml:space="preserve">0.0 </v>
      </c>
      <c r="AL524" s="138"/>
      <c r="AM524" s="106"/>
      <c r="AN524" s="106"/>
      <c r="AO524" s="106">
        <f t="shared" si="82"/>
        <v>0</v>
      </c>
      <c r="AP524" s="106"/>
      <c r="AQ524" s="159" t="str">
        <f t="shared" si="83"/>
        <v xml:space="preserve">0.0 </v>
      </c>
      <c r="AS524" s="110"/>
      <c r="AW524" s="101"/>
    </row>
    <row r="525" spans="3:49" x14ac:dyDescent="0.3">
      <c r="C525" s="99"/>
      <c r="F525" s="172"/>
      <c r="H525" s="172"/>
      <c r="I525" s="172"/>
      <c r="J525" s="181"/>
      <c r="K525" s="181"/>
      <c r="L525" s="110"/>
      <c r="M525" s="110"/>
      <c r="N525" s="141"/>
      <c r="O525" s="141"/>
      <c r="P525" s="110"/>
      <c r="Q525" s="110"/>
      <c r="R525" s="110"/>
      <c r="T525" s="267">
        <f t="shared" si="75"/>
        <v>110</v>
      </c>
      <c r="V525" s="116" t="str">
        <f t="shared" si="76"/>
        <v xml:space="preserve">   19' Style A - Breakaway - Direct Buried</v>
      </c>
      <c r="Y525" s="147">
        <f t="shared" si="77"/>
        <v>0</v>
      </c>
      <c r="Z525" s="1"/>
      <c r="AA525" s="147"/>
      <c r="AB525" s="147"/>
      <c r="AC525" s="228">
        <v>19.55</v>
      </c>
      <c r="AD525" s="242"/>
      <c r="AE525" s="106">
        <f t="shared" si="80"/>
        <v>0</v>
      </c>
      <c r="AF525" s="1"/>
      <c r="AG525" s="154">
        <f t="shared" si="78"/>
        <v>0</v>
      </c>
      <c r="AH525" s="175"/>
      <c r="AI525" s="106">
        <f t="shared" si="79"/>
        <v>0</v>
      </c>
      <c r="AJ525" s="106"/>
      <c r="AK525" s="159" t="str">
        <f t="shared" si="81"/>
        <v xml:space="preserve">0.0 </v>
      </c>
      <c r="AL525" s="138"/>
      <c r="AM525" s="106"/>
      <c r="AN525" s="106"/>
      <c r="AO525" s="106">
        <f t="shared" si="82"/>
        <v>0</v>
      </c>
      <c r="AP525" s="106"/>
      <c r="AQ525" s="159" t="str">
        <f t="shared" si="83"/>
        <v xml:space="preserve">0.0 </v>
      </c>
      <c r="AS525" s="110"/>
      <c r="AW525" s="101"/>
    </row>
    <row r="526" spans="3:49" x14ac:dyDescent="0.3">
      <c r="C526" s="99"/>
      <c r="F526" s="172"/>
      <c r="H526" s="172"/>
      <c r="I526" s="172"/>
      <c r="J526" s="181"/>
      <c r="K526" s="181"/>
      <c r="L526" s="110"/>
      <c r="M526" s="110"/>
      <c r="N526" s="141"/>
      <c r="O526" s="141"/>
      <c r="P526" s="110"/>
      <c r="Q526" s="110"/>
      <c r="R526" s="110"/>
      <c r="T526" s="267">
        <f t="shared" si="75"/>
        <v>111</v>
      </c>
      <c r="V526" s="116" t="str">
        <f t="shared" si="76"/>
        <v xml:space="preserve">   24' Style A - Breakaway - Direct Buried</v>
      </c>
      <c r="Y526" s="147">
        <f t="shared" si="77"/>
        <v>0</v>
      </c>
      <c r="Z526" s="1"/>
      <c r="AA526" s="147"/>
      <c r="AB526" s="147"/>
      <c r="AC526" s="228">
        <v>20.69</v>
      </c>
      <c r="AD526" s="242"/>
      <c r="AE526" s="106">
        <f t="shared" si="80"/>
        <v>0</v>
      </c>
      <c r="AF526" s="1"/>
      <c r="AG526" s="154">
        <f t="shared" si="78"/>
        <v>0</v>
      </c>
      <c r="AH526" s="175"/>
      <c r="AI526" s="106">
        <f t="shared" si="79"/>
        <v>0</v>
      </c>
      <c r="AJ526" s="106"/>
      <c r="AK526" s="159" t="str">
        <f t="shared" si="81"/>
        <v xml:space="preserve">0.0 </v>
      </c>
      <c r="AL526" s="138"/>
      <c r="AM526" s="106"/>
      <c r="AN526" s="106"/>
      <c r="AO526" s="106">
        <f t="shared" si="82"/>
        <v>0</v>
      </c>
      <c r="AP526" s="106"/>
      <c r="AQ526" s="159" t="str">
        <f t="shared" si="83"/>
        <v xml:space="preserve">0.0 </v>
      </c>
      <c r="AS526" s="110"/>
      <c r="AW526" s="101"/>
    </row>
    <row r="527" spans="3:49" x14ac:dyDescent="0.3">
      <c r="C527" s="99"/>
      <c r="F527" s="172"/>
      <c r="H527" s="172"/>
      <c r="I527" s="172"/>
      <c r="J527" s="181"/>
      <c r="K527" s="181"/>
      <c r="L527" s="110"/>
      <c r="M527" s="110"/>
      <c r="N527" s="141"/>
      <c r="O527" s="141"/>
      <c r="P527" s="110"/>
      <c r="Q527" s="110"/>
      <c r="R527" s="110"/>
      <c r="T527" s="267">
        <f t="shared" si="75"/>
        <v>112</v>
      </c>
      <c r="V527" s="116" t="str">
        <f t="shared" si="76"/>
        <v xml:space="preserve">   27' Style A - Breakaway - Direct Buried</v>
      </c>
      <c r="Y527" s="147">
        <f t="shared" si="77"/>
        <v>0</v>
      </c>
      <c r="Z527" s="1"/>
      <c r="AA527" s="147"/>
      <c r="AB527" s="147"/>
      <c r="AC527" s="228">
        <v>19.79</v>
      </c>
      <c r="AD527" s="242"/>
      <c r="AE527" s="106">
        <f t="shared" si="80"/>
        <v>0</v>
      </c>
      <c r="AF527" s="1"/>
      <c r="AG527" s="154">
        <f t="shared" si="78"/>
        <v>0</v>
      </c>
      <c r="AH527" s="175"/>
      <c r="AI527" s="106">
        <f t="shared" si="79"/>
        <v>0</v>
      </c>
      <c r="AJ527" s="106"/>
      <c r="AK527" s="159" t="str">
        <f t="shared" si="81"/>
        <v xml:space="preserve">0.0 </v>
      </c>
      <c r="AL527" s="138"/>
      <c r="AM527" s="106"/>
      <c r="AN527" s="106"/>
      <c r="AO527" s="106">
        <f t="shared" si="82"/>
        <v>0</v>
      </c>
      <c r="AP527" s="106"/>
      <c r="AQ527" s="159" t="str">
        <f t="shared" si="83"/>
        <v xml:space="preserve">0.0 </v>
      </c>
      <c r="AS527" s="110"/>
      <c r="AW527" s="101"/>
    </row>
    <row r="528" spans="3:49" x14ac:dyDescent="0.3">
      <c r="C528" s="99"/>
      <c r="F528" s="172"/>
      <c r="H528" s="172"/>
      <c r="I528" s="172"/>
      <c r="J528" s="181"/>
      <c r="K528" s="181"/>
      <c r="L528" s="110"/>
      <c r="M528" s="110"/>
      <c r="N528" s="141"/>
      <c r="O528" s="141"/>
      <c r="P528" s="110"/>
      <c r="Q528" s="110"/>
      <c r="R528" s="110"/>
      <c r="T528" s="267">
        <f t="shared" si="75"/>
        <v>113</v>
      </c>
      <c r="V528" s="116" t="str">
        <f t="shared" si="76"/>
        <v xml:space="preserve">   32' Style A - Breakaway - Direct Buried</v>
      </c>
      <c r="Y528" s="147">
        <f t="shared" si="77"/>
        <v>0</v>
      </c>
      <c r="Z528" s="1"/>
      <c r="AA528" s="147"/>
      <c r="AB528" s="147"/>
      <c r="AC528" s="228">
        <v>20.260000000000002</v>
      </c>
      <c r="AD528" s="242"/>
      <c r="AE528" s="106">
        <f t="shared" si="80"/>
        <v>0</v>
      </c>
      <c r="AF528" s="1"/>
      <c r="AG528" s="154">
        <f t="shared" si="78"/>
        <v>0</v>
      </c>
      <c r="AH528" s="175"/>
      <c r="AI528" s="106">
        <f t="shared" si="79"/>
        <v>0</v>
      </c>
      <c r="AJ528" s="106"/>
      <c r="AK528" s="159" t="str">
        <f t="shared" si="81"/>
        <v xml:space="preserve">0.0 </v>
      </c>
      <c r="AL528" s="138"/>
      <c r="AM528" s="106"/>
      <c r="AN528" s="106"/>
      <c r="AO528" s="106">
        <f t="shared" si="82"/>
        <v>0</v>
      </c>
      <c r="AP528" s="106"/>
      <c r="AQ528" s="159" t="str">
        <f t="shared" si="83"/>
        <v xml:space="preserve">0.0 </v>
      </c>
      <c r="AS528" s="110"/>
      <c r="AW528" s="101"/>
    </row>
    <row r="529" spans="3:49" x14ac:dyDescent="0.3">
      <c r="C529" s="99"/>
      <c r="F529" s="172"/>
      <c r="H529" s="172"/>
      <c r="I529" s="172"/>
      <c r="J529" s="181"/>
      <c r="K529" s="181"/>
      <c r="L529" s="110"/>
      <c r="M529" s="110"/>
      <c r="N529" s="141"/>
      <c r="O529" s="141"/>
      <c r="P529" s="110"/>
      <c r="Q529" s="110"/>
      <c r="R529" s="110"/>
      <c r="T529" s="267">
        <f t="shared" si="75"/>
        <v>114</v>
      </c>
      <c r="V529" s="116" t="str">
        <f t="shared" si="76"/>
        <v xml:space="preserve">   37' Style A - Breakaway - Direct Buried</v>
      </c>
      <c r="Y529" s="147">
        <f t="shared" si="77"/>
        <v>0</v>
      </c>
      <c r="Z529" s="1"/>
      <c r="AA529" s="147"/>
      <c r="AB529" s="147"/>
      <c r="AC529" s="228">
        <v>21.56</v>
      </c>
      <c r="AD529" s="242"/>
      <c r="AE529" s="106">
        <f t="shared" si="80"/>
        <v>0</v>
      </c>
      <c r="AF529" s="1"/>
      <c r="AG529" s="154">
        <f t="shared" si="78"/>
        <v>0</v>
      </c>
      <c r="AH529" s="175"/>
      <c r="AI529" s="106">
        <f t="shared" si="79"/>
        <v>0</v>
      </c>
      <c r="AJ529" s="106"/>
      <c r="AK529" s="159" t="str">
        <f t="shared" si="81"/>
        <v xml:space="preserve">0.0 </v>
      </c>
      <c r="AL529" s="138"/>
      <c r="AM529" s="106"/>
      <c r="AN529" s="106"/>
      <c r="AO529" s="106">
        <f t="shared" si="82"/>
        <v>0</v>
      </c>
      <c r="AP529" s="106"/>
      <c r="AQ529" s="159" t="str">
        <f t="shared" si="83"/>
        <v xml:space="preserve">0.0 </v>
      </c>
      <c r="AS529" s="110"/>
      <c r="AW529" s="101"/>
    </row>
    <row r="530" spans="3:49" x14ac:dyDescent="0.3">
      <c r="C530" s="99"/>
      <c r="F530" s="172"/>
      <c r="H530" s="172"/>
      <c r="I530" s="172"/>
      <c r="J530" s="181"/>
      <c r="K530" s="181"/>
      <c r="L530" s="110"/>
      <c r="M530" s="110"/>
      <c r="N530" s="141"/>
      <c r="O530" s="141"/>
      <c r="P530" s="110"/>
      <c r="Q530" s="110"/>
      <c r="R530" s="110"/>
      <c r="T530" s="267">
        <f t="shared" si="75"/>
        <v>115</v>
      </c>
      <c r="V530" s="116" t="str">
        <f t="shared" si="76"/>
        <v xml:space="preserve">   42' Style A - Breakaway - Direct Buried</v>
      </c>
      <c r="Y530" s="147">
        <f t="shared" si="77"/>
        <v>0</v>
      </c>
      <c r="Z530" s="1"/>
      <c r="AA530" s="147"/>
      <c r="AB530" s="147"/>
      <c r="AC530" s="228">
        <v>22.29</v>
      </c>
      <c r="AD530" s="242"/>
      <c r="AE530" s="106">
        <f t="shared" si="80"/>
        <v>0</v>
      </c>
      <c r="AF530" s="1"/>
      <c r="AG530" s="154">
        <f t="shared" si="78"/>
        <v>0</v>
      </c>
      <c r="AH530" s="175"/>
      <c r="AI530" s="106">
        <f t="shared" si="79"/>
        <v>0</v>
      </c>
      <c r="AJ530" s="106"/>
      <c r="AK530" s="159" t="str">
        <f t="shared" si="81"/>
        <v xml:space="preserve">0.0 </v>
      </c>
      <c r="AL530" s="138"/>
      <c r="AM530" s="106"/>
      <c r="AN530" s="106"/>
      <c r="AO530" s="106">
        <f t="shared" si="82"/>
        <v>0</v>
      </c>
      <c r="AP530" s="106"/>
      <c r="AQ530" s="159" t="str">
        <f t="shared" si="83"/>
        <v xml:space="preserve">0.0 </v>
      </c>
      <c r="AS530" s="110"/>
      <c r="AW530" s="101"/>
    </row>
    <row r="531" spans="3:49" x14ac:dyDescent="0.3">
      <c r="C531" s="99"/>
      <c r="F531" s="172"/>
      <c r="H531" s="172"/>
      <c r="I531" s="172"/>
      <c r="J531" s="181"/>
      <c r="K531" s="181"/>
      <c r="L531" s="110"/>
      <c r="M531" s="110"/>
      <c r="N531" s="141"/>
      <c r="O531" s="141"/>
      <c r="P531" s="110"/>
      <c r="Q531" s="110"/>
      <c r="R531" s="110"/>
      <c r="T531" s="267">
        <f t="shared" si="75"/>
        <v>116</v>
      </c>
      <c r="V531" s="116" t="str">
        <f t="shared" si="76"/>
        <v xml:space="preserve">   17' Style B - Anchor Base</v>
      </c>
      <c r="Y531" s="147">
        <f t="shared" si="77"/>
        <v>0</v>
      </c>
      <c r="Z531" s="1"/>
      <c r="AA531" s="147"/>
      <c r="AB531" s="147"/>
      <c r="AC531" s="228">
        <v>15.04</v>
      </c>
      <c r="AD531" s="242"/>
      <c r="AE531" s="106">
        <f t="shared" si="80"/>
        <v>0</v>
      </c>
      <c r="AF531" s="1"/>
      <c r="AG531" s="154">
        <f t="shared" si="78"/>
        <v>0</v>
      </c>
      <c r="AH531" s="175"/>
      <c r="AI531" s="106">
        <f t="shared" si="79"/>
        <v>0</v>
      </c>
      <c r="AJ531" s="106"/>
      <c r="AK531" s="159" t="str">
        <f t="shared" si="81"/>
        <v xml:space="preserve">0.0 </v>
      </c>
      <c r="AL531" s="138"/>
      <c r="AM531" s="106"/>
      <c r="AN531" s="106"/>
      <c r="AO531" s="106">
        <f t="shared" si="82"/>
        <v>0</v>
      </c>
      <c r="AP531" s="106"/>
      <c r="AQ531" s="159" t="str">
        <f t="shared" si="83"/>
        <v xml:space="preserve">0.0 </v>
      </c>
      <c r="AS531" s="110"/>
      <c r="AW531" s="101"/>
    </row>
    <row r="532" spans="3:49" x14ac:dyDescent="0.3">
      <c r="C532" s="99"/>
      <c r="F532" s="172"/>
      <c r="H532" s="172"/>
      <c r="I532" s="172"/>
      <c r="J532" s="181"/>
      <c r="K532" s="181"/>
      <c r="L532" s="110"/>
      <c r="M532" s="110"/>
      <c r="N532" s="141"/>
      <c r="O532" s="141"/>
      <c r="P532" s="110"/>
      <c r="Q532" s="110"/>
      <c r="R532" s="110"/>
      <c r="T532" s="267">
        <f t="shared" si="75"/>
        <v>117</v>
      </c>
      <c r="V532" s="116" t="str">
        <f t="shared" si="76"/>
        <v xml:space="preserve">   17' Style C - Post Top - Anchor Base</v>
      </c>
      <c r="Y532" s="147">
        <f t="shared" si="77"/>
        <v>0</v>
      </c>
      <c r="Z532" s="1"/>
      <c r="AA532" s="147"/>
      <c r="AB532" s="147"/>
      <c r="AC532" s="228">
        <v>16.22</v>
      </c>
      <c r="AD532" s="242"/>
      <c r="AE532" s="106">
        <f t="shared" si="80"/>
        <v>0</v>
      </c>
      <c r="AF532" s="1"/>
      <c r="AG532" s="154">
        <f t="shared" si="78"/>
        <v>0</v>
      </c>
      <c r="AH532" s="175"/>
      <c r="AI532" s="106">
        <f t="shared" si="79"/>
        <v>0</v>
      </c>
      <c r="AJ532" s="106"/>
      <c r="AK532" s="159" t="str">
        <f t="shared" si="81"/>
        <v xml:space="preserve">0.0 </v>
      </c>
      <c r="AL532" s="138"/>
      <c r="AM532" s="106"/>
      <c r="AN532" s="106"/>
      <c r="AO532" s="106">
        <f t="shared" si="82"/>
        <v>0</v>
      </c>
      <c r="AP532" s="106"/>
      <c r="AQ532" s="159" t="str">
        <f t="shared" si="83"/>
        <v xml:space="preserve">0.0 </v>
      </c>
      <c r="AS532" s="110"/>
      <c r="AW532" s="101"/>
    </row>
    <row r="533" spans="3:49" x14ac:dyDescent="0.3">
      <c r="C533" s="99"/>
      <c r="F533" s="172"/>
      <c r="H533" s="172"/>
      <c r="I533" s="172"/>
      <c r="J533" s="181"/>
      <c r="K533" s="181"/>
      <c r="L533" s="110"/>
      <c r="M533" s="110"/>
      <c r="N533" s="141"/>
      <c r="O533" s="141"/>
      <c r="P533" s="110"/>
      <c r="Q533" s="110"/>
      <c r="R533" s="110"/>
      <c r="T533" s="267">
        <f t="shared" si="75"/>
        <v>118</v>
      </c>
      <c r="V533" s="116" t="str">
        <f t="shared" si="76"/>
        <v xml:space="preserve">   17' Style C - Davit - Anchor Base</v>
      </c>
      <c r="Y533" s="147">
        <f t="shared" si="77"/>
        <v>0</v>
      </c>
      <c r="Z533" s="1"/>
      <c r="AA533" s="147"/>
      <c r="AB533" s="147"/>
      <c r="AC533" s="228">
        <v>25.65</v>
      </c>
      <c r="AD533" s="242"/>
      <c r="AE533" s="106">
        <f t="shared" si="80"/>
        <v>0</v>
      </c>
      <c r="AF533" s="1"/>
      <c r="AG533" s="154">
        <f t="shared" si="78"/>
        <v>0</v>
      </c>
      <c r="AH533" s="175"/>
      <c r="AI533" s="106">
        <f t="shared" si="79"/>
        <v>0</v>
      </c>
      <c r="AJ533" s="106"/>
      <c r="AK533" s="159" t="str">
        <f t="shared" si="81"/>
        <v xml:space="preserve">0.0 </v>
      </c>
      <c r="AL533" s="138"/>
      <c r="AM533" s="106"/>
      <c r="AN533" s="106"/>
      <c r="AO533" s="106">
        <f t="shared" si="82"/>
        <v>0</v>
      </c>
      <c r="AP533" s="106"/>
      <c r="AQ533" s="159" t="str">
        <f t="shared" si="83"/>
        <v xml:space="preserve">0.0 </v>
      </c>
      <c r="AS533" s="110"/>
      <c r="AW533" s="101"/>
    </row>
    <row r="534" spans="3:49" x14ac:dyDescent="0.3">
      <c r="C534" s="99"/>
      <c r="F534" s="172"/>
      <c r="H534" s="172"/>
      <c r="I534" s="172"/>
      <c r="J534" s="181"/>
      <c r="K534" s="181"/>
      <c r="L534" s="110"/>
      <c r="M534" s="110"/>
      <c r="N534" s="141"/>
      <c r="O534" s="141"/>
      <c r="P534" s="110"/>
      <c r="Q534" s="110"/>
      <c r="R534" s="110"/>
      <c r="T534" s="267">
        <f t="shared" si="75"/>
        <v>119</v>
      </c>
      <c r="V534" s="116" t="str">
        <f t="shared" si="76"/>
        <v xml:space="preserve">   17' Style C - Boston Harbor - Anchor Base</v>
      </c>
      <c r="Y534" s="147">
        <f t="shared" si="77"/>
        <v>0</v>
      </c>
      <c r="Z534" s="1"/>
      <c r="AA534" s="147"/>
      <c r="AB534" s="147"/>
      <c r="AC534" s="228">
        <v>25.02</v>
      </c>
      <c r="AD534" s="242"/>
      <c r="AE534" s="106">
        <f t="shared" si="80"/>
        <v>0</v>
      </c>
      <c r="AF534" s="1"/>
      <c r="AG534" s="154">
        <f t="shared" si="78"/>
        <v>0</v>
      </c>
      <c r="AH534" s="175"/>
      <c r="AI534" s="106">
        <f t="shared" si="79"/>
        <v>0</v>
      </c>
      <c r="AJ534" s="106"/>
      <c r="AK534" s="159" t="str">
        <f t="shared" si="81"/>
        <v xml:space="preserve">0.0 </v>
      </c>
      <c r="AL534" s="138"/>
      <c r="AM534" s="106"/>
      <c r="AN534" s="106"/>
      <c r="AO534" s="106">
        <f t="shared" si="82"/>
        <v>0</v>
      </c>
      <c r="AP534" s="106"/>
      <c r="AQ534" s="159" t="str">
        <f t="shared" si="83"/>
        <v xml:space="preserve">0.0 </v>
      </c>
      <c r="AS534" s="110"/>
      <c r="AW534" s="101"/>
    </row>
    <row r="535" spans="3:49" x14ac:dyDescent="0.3">
      <c r="C535" s="99"/>
      <c r="F535" s="172"/>
      <c r="H535" s="172"/>
      <c r="I535" s="172"/>
      <c r="J535" s="181"/>
      <c r="K535" s="181"/>
      <c r="L535" s="110"/>
      <c r="M535" s="110"/>
      <c r="N535" s="141"/>
      <c r="O535" s="141"/>
      <c r="P535" s="110"/>
      <c r="Q535" s="110"/>
      <c r="R535" s="110"/>
      <c r="T535" s="267">
        <f t="shared" si="75"/>
        <v>120</v>
      </c>
      <c r="V535" s="116" t="str">
        <f t="shared" si="76"/>
        <v xml:space="preserve">   25' Style D - Boston Harbor - Anchor Base</v>
      </c>
      <c r="Y535" s="147">
        <f t="shared" si="77"/>
        <v>0</v>
      </c>
      <c r="Z535" s="1"/>
      <c r="AA535" s="147"/>
      <c r="AB535" s="147"/>
      <c r="AC535" s="228">
        <v>29.17</v>
      </c>
      <c r="AD535" s="242"/>
      <c r="AE535" s="106">
        <f t="shared" si="80"/>
        <v>0</v>
      </c>
      <c r="AF535" s="1"/>
      <c r="AG535" s="154">
        <f t="shared" si="78"/>
        <v>0</v>
      </c>
      <c r="AH535" s="175"/>
      <c r="AI535" s="106">
        <f t="shared" si="79"/>
        <v>0</v>
      </c>
      <c r="AJ535" s="106"/>
      <c r="AK535" s="159" t="str">
        <f t="shared" si="81"/>
        <v xml:space="preserve">0.0 </v>
      </c>
      <c r="AL535" s="138"/>
      <c r="AM535" s="106"/>
      <c r="AN535" s="106"/>
      <c r="AO535" s="106">
        <f t="shared" si="82"/>
        <v>0</v>
      </c>
      <c r="AP535" s="106"/>
      <c r="AQ535" s="159" t="str">
        <f t="shared" si="83"/>
        <v xml:space="preserve">0.0 </v>
      </c>
      <c r="AS535" s="110"/>
      <c r="AW535" s="101"/>
    </row>
    <row r="536" spans="3:49" x14ac:dyDescent="0.3">
      <c r="C536" s="99"/>
      <c r="F536" s="172"/>
      <c r="H536" s="172"/>
      <c r="I536" s="172"/>
      <c r="J536" s="181"/>
      <c r="K536" s="181"/>
      <c r="L536" s="110"/>
      <c r="M536" s="110"/>
      <c r="N536" s="141"/>
      <c r="O536" s="141"/>
      <c r="P536" s="110"/>
      <c r="Q536" s="110"/>
      <c r="R536" s="110"/>
      <c r="T536" s="267">
        <f t="shared" si="75"/>
        <v>121</v>
      </c>
      <c r="V536" s="116" t="str">
        <f t="shared" si="76"/>
        <v xml:space="preserve">   50' Wood - Direct Buried</v>
      </c>
      <c r="Y536" s="147">
        <f t="shared" si="77"/>
        <v>0</v>
      </c>
      <c r="Z536" s="1"/>
      <c r="AA536" s="147"/>
      <c r="AB536" s="147"/>
      <c r="AC536" s="228">
        <v>10.64</v>
      </c>
      <c r="AD536" s="242"/>
      <c r="AE536" s="106">
        <f t="shared" si="80"/>
        <v>0</v>
      </c>
      <c r="AF536" s="1"/>
      <c r="AG536" s="154">
        <f t="shared" si="78"/>
        <v>0</v>
      </c>
      <c r="AH536" s="175"/>
      <c r="AI536" s="106">
        <f t="shared" si="79"/>
        <v>0</v>
      </c>
      <c r="AJ536" s="106"/>
      <c r="AK536" s="159" t="str">
        <f t="shared" si="81"/>
        <v xml:space="preserve">0.0 </v>
      </c>
      <c r="AL536" s="138"/>
      <c r="AM536" s="106"/>
      <c r="AN536" s="106"/>
      <c r="AO536" s="106">
        <f t="shared" si="82"/>
        <v>0</v>
      </c>
      <c r="AP536" s="106"/>
      <c r="AQ536" s="159" t="str">
        <f t="shared" si="83"/>
        <v xml:space="preserve">0.0 </v>
      </c>
      <c r="AS536" s="110"/>
      <c r="AW536" s="101"/>
    </row>
    <row r="537" spans="3:49" x14ac:dyDescent="0.3">
      <c r="C537" s="99"/>
      <c r="F537" s="172"/>
      <c r="H537" s="172"/>
      <c r="I537" s="172"/>
      <c r="J537" s="181"/>
      <c r="K537" s="181"/>
      <c r="L537" s="110"/>
      <c r="M537" s="110"/>
      <c r="N537" s="141"/>
      <c r="O537" s="141"/>
      <c r="P537" s="110"/>
      <c r="Q537" s="110"/>
      <c r="R537" s="110"/>
      <c r="T537" s="267">
        <f t="shared" si="75"/>
        <v>122</v>
      </c>
      <c r="V537" s="116" t="str">
        <f t="shared" si="76"/>
        <v xml:space="preserve">   55' Wood - Direct Buried</v>
      </c>
      <c r="Y537" s="147">
        <f t="shared" si="77"/>
        <v>0</v>
      </c>
      <c r="Z537" s="1"/>
      <c r="AA537" s="147"/>
      <c r="AB537" s="147"/>
      <c r="AC537" s="228">
        <v>11.21</v>
      </c>
      <c r="AD537" s="242"/>
      <c r="AE537" s="106">
        <f t="shared" si="80"/>
        <v>0</v>
      </c>
      <c r="AF537" s="1"/>
      <c r="AG537" s="154">
        <f t="shared" si="78"/>
        <v>0</v>
      </c>
      <c r="AH537" s="175"/>
      <c r="AI537" s="106">
        <f t="shared" si="79"/>
        <v>0</v>
      </c>
      <c r="AJ537" s="106"/>
      <c r="AK537" s="159" t="str">
        <f t="shared" si="81"/>
        <v xml:space="preserve">0.0 </v>
      </c>
      <c r="AL537" s="138"/>
      <c r="AM537" s="106"/>
      <c r="AN537" s="106"/>
      <c r="AO537" s="106">
        <f t="shared" si="82"/>
        <v>0</v>
      </c>
      <c r="AP537" s="106"/>
      <c r="AQ537" s="159" t="str">
        <f t="shared" si="83"/>
        <v xml:space="preserve">0.0 </v>
      </c>
      <c r="AS537" s="110"/>
      <c r="AW537" s="101"/>
    </row>
    <row r="538" spans="3:49" x14ac:dyDescent="0.3">
      <c r="C538" s="99"/>
      <c r="F538" s="172"/>
      <c r="H538" s="172"/>
      <c r="I538" s="172"/>
      <c r="J538" s="181"/>
      <c r="K538" s="181"/>
      <c r="L538" s="110"/>
      <c r="M538" s="110"/>
      <c r="N538" s="141"/>
      <c r="O538" s="141"/>
      <c r="P538" s="110"/>
      <c r="Q538" s="110"/>
      <c r="R538" s="110"/>
      <c r="T538" s="267">
        <f t="shared" si="75"/>
        <v>123</v>
      </c>
      <c r="V538" s="116" t="str">
        <f t="shared" si="76"/>
        <v xml:space="preserve">   18' Style C - Breakaway - Direct Buried</v>
      </c>
      <c r="Y538" s="147">
        <f t="shared" si="77"/>
        <v>0</v>
      </c>
      <c r="Z538" s="1"/>
      <c r="AA538" s="147"/>
      <c r="AB538" s="147"/>
      <c r="AC538" s="228">
        <v>22.18</v>
      </c>
      <c r="AD538" s="242"/>
      <c r="AE538" s="106">
        <f t="shared" si="80"/>
        <v>0</v>
      </c>
      <c r="AF538" s="1"/>
      <c r="AG538" s="154">
        <f t="shared" si="78"/>
        <v>0</v>
      </c>
      <c r="AH538" s="175"/>
      <c r="AI538" s="106">
        <f t="shared" si="79"/>
        <v>0</v>
      </c>
      <c r="AJ538" s="106"/>
      <c r="AK538" s="159" t="str">
        <f t="shared" si="81"/>
        <v xml:space="preserve">0.0 </v>
      </c>
      <c r="AL538" s="138"/>
      <c r="AM538" s="106"/>
      <c r="AN538" s="106"/>
      <c r="AO538" s="106">
        <f t="shared" si="82"/>
        <v>0</v>
      </c>
      <c r="AP538" s="106"/>
      <c r="AQ538" s="159" t="str">
        <f t="shared" si="83"/>
        <v xml:space="preserve">0.0 </v>
      </c>
      <c r="AS538" s="110"/>
      <c r="AW538" s="101"/>
    </row>
    <row r="539" spans="3:49" x14ac:dyDescent="0.3">
      <c r="C539" s="99"/>
      <c r="F539" s="172"/>
      <c r="H539" s="172"/>
      <c r="I539" s="172"/>
      <c r="J539" s="181"/>
      <c r="K539" s="181"/>
      <c r="L539" s="110"/>
      <c r="M539" s="110"/>
      <c r="N539" s="141"/>
      <c r="O539" s="141"/>
      <c r="P539" s="110"/>
      <c r="Q539" s="110"/>
      <c r="R539" s="110"/>
      <c r="T539" s="267">
        <f t="shared" si="75"/>
        <v>124</v>
      </c>
      <c r="V539" s="116" t="str">
        <f t="shared" si="76"/>
        <v xml:space="preserve">   17' Wood Laminated</v>
      </c>
      <c r="Y539" s="147">
        <f t="shared" si="77"/>
        <v>0</v>
      </c>
      <c r="Z539" s="1"/>
      <c r="AA539" s="147"/>
      <c r="AB539" s="147"/>
      <c r="AC539" s="228">
        <v>6.25</v>
      </c>
      <c r="AD539" s="242"/>
      <c r="AE539" s="106">
        <f t="shared" ref="AE539:AE549" si="84">ROUND((Y539*(AC539+AD539)),0)</f>
        <v>0</v>
      </c>
      <c r="AF539" s="1"/>
      <c r="AG539" s="154">
        <f t="shared" si="78"/>
        <v>0</v>
      </c>
      <c r="AH539" s="175"/>
      <c r="AI539" s="106">
        <f t="shared" si="79"/>
        <v>0</v>
      </c>
      <c r="AJ539" s="106"/>
      <c r="AK539" s="159" t="str">
        <f t="shared" ref="AK539:AK549" si="85">IF(AE539=0,"0.0 ",ROUND((AI539/AE539)*100,1))</f>
        <v xml:space="preserve">0.0 </v>
      </c>
      <c r="AL539" s="138"/>
      <c r="AM539" s="106"/>
      <c r="AN539" s="106"/>
      <c r="AO539" s="106">
        <f t="shared" ref="AO539:AO549" si="86">AM539+AE539</f>
        <v>0</v>
      </c>
      <c r="AP539" s="106"/>
      <c r="AQ539" s="159" t="str">
        <f t="shared" ref="AQ539:AQ549" si="87">IF(AO539=0,"0.0 ",ROUND((AI539/AO539)*100,1))</f>
        <v xml:space="preserve">0.0 </v>
      </c>
      <c r="AS539" s="110"/>
      <c r="AW539" s="101"/>
    </row>
    <row r="540" spans="3:49" x14ac:dyDescent="0.3">
      <c r="C540" s="99"/>
      <c r="F540" s="172"/>
      <c r="H540" s="172"/>
      <c r="I540" s="172"/>
      <c r="J540" s="181"/>
      <c r="K540" s="181"/>
      <c r="L540" s="110"/>
      <c r="M540" s="110"/>
      <c r="N540" s="141"/>
      <c r="O540" s="141"/>
      <c r="P540" s="110"/>
      <c r="Q540" s="110"/>
      <c r="R540" s="110"/>
      <c r="T540" s="267">
        <f t="shared" si="75"/>
        <v>125</v>
      </c>
      <c r="V540" s="116" t="str">
        <f t="shared" si="76"/>
        <v xml:space="preserve">   12' Aluminum (decorative)</v>
      </c>
      <c r="Y540" s="147">
        <f t="shared" si="77"/>
        <v>0</v>
      </c>
      <c r="Z540" s="1"/>
      <c r="AA540" s="147"/>
      <c r="AB540" s="147"/>
      <c r="AC540" s="228">
        <v>16.98</v>
      </c>
      <c r="AD540" s="242"/>
      <c r="AE540" s="106">
        <f t="shared" si="84"/>
        <v>0</v>
      </c>
      <c r="AF540" s="1"/>
      <c r="AG540" s="154">
        <f t="shared" si="78"/>
        <v>0</v>
      </c>
      <c r="AH540" s="175"/>
      <c r="AI540" s="106">
        <f t="shared" si="79"/>
        <v>0</v>
      </c>
      <c r="AJ540" s="106"/>
      <c r="AK540" s="159" t="str">
        <f t="shared" si="85"/>
        <v xml:space="preserve">0.0 </v>
      </c>
      <c r="AL540" s="138"/>
      <c r="AM540" s="106"/>
      <c r="AN540" s="106"/>
      <c r="AO540" s="106">
        <f t="shared" si="86"/>
        <v>0</v>
      </c>
      <c r="AP540" s="106"/>
      <c r="AQ540" s="159" t="str">
        <f t="shared" si="87"/>
        <v xml:space="preserve">0.0 </v>
      </c>
      <c r="AS540" s="110"/>
      <c r="AW540" s="101"/>
    </row>
    <row r="541" spans="3:49" x14ac:dyDescent="0.3">
      <c r="C541" s="99"/>
      <c r="F541" s="172"/>
      <c r="H541" s="172"/>
      <c r="I541" s="172"/>
      <c r="J541" s="181"/>
      <c r="K541" s="181"/>
      <c r="L541" s="110"/>
      <c r="M541" s="110"/>
      <c r="N541" s="141"/>
      <c r="O541" s="141"/>
      <c r="P541" s="110"/>
      <c r="Q541" s="110"/>
      <c r="R541" s="110"/>
      <c r="T541" s="267">
        <f t="shared" si="75"/>
        <v>126</v>
      </c>
      <c r="V541" s="116" t="str">
        <f t="shared" si="76"/>
        <v xml:space="preserve">   28' Aluminum</v>
      </c>
      <c r="Y541" s="147">
        <f t="shared" si="77"/>
        <v>0</v>
      </c>
      <c r="Z541" s="1"/>
      <c r="AA541" s="147"/>
      <c r="AB541" s="147"/>
      <c r="AC541" s="228">
        <v>9.84</v>
      </c>
      <c r="AD541" s="242"/>
      <c r="AE541" s="106">
        <f t="shared" si="84"/>
        <v>0</v>
      </c>
      <c r="AF541" s="1"/>
      <c r="AG541" s="154">
        <f t="shared" si="78"/>
        <v>0</v>
      </c>
      <c r="AH541" s="175"/>
      <c r="AI541" s="106">
        <f t="shared" si="79"/>
        <v>0</v>
      </c>
      <c r="AJ541" s="106"/>
      <c r="AK541" s="159" t="str">
        <f t="shared" si="85"/>
        <v xml:space="preserve">0.0 </v>
      </c>
      <c r="AL541" s="138"/>
      <c r="AM541" s="106"/>
      <c r="AN541" s="106"/>
      <c r="AO541" s="106">
        <f t="shared" si="86"/>
        <v>0</v>
      </c>
      <c r="AP541" s="106"/>
      <c r="AQ541" s="159" t="str">
        <f t="shared" si="87"/>
        <v xml:space="preserve">0.0 </v>
      </c>
      <c r="AS541" s="110"/>
      <c r="AW541" s="101"/>
    </row>
    <row r="542" spans="3:49" x14ac:dyDescent="0.3">
      <c r="C542" s="99"/>
      <c r="F542" s="172"/>
      <c r="H542" s="172"/>
      <c r="I542" s="172"/>
      <c r="J542" s="181"/>
      <c r="K542" s="181"/>
      <c r="L542" s="110"/>
      <c r="M542" s="110"/>
      <c r="N542" s="141"/>
      <c r="O542" s="141"/>
      <c r="P542" s="110"/>
      <c r="Q542" s="110"/>
      <c r="R542" s="110"/>
      <c r="T542" s="267">
        <f t="shared" si="75"/>
        <v>127</v>
      </c>
      <c r="V542" s="116" t="str">
        <f t="shared" si="76"/>
        <v xml:space="preserve">   28' Aluminum - Heavy Duty</v>
      </c>
      <c r="Y542" s="147">
        <f t="shared" si="77"/>
        <v>0</v>
      </c>
      <c r="Z542" s="1"/>
      <c r="AA542" s="147"/>
      <c r="AB542" s="147"/>
      <c r="AC542" s="228">
        <v>9.9499999999999993</v>
      </c>
      <c r="AD542" s="242"/>
      <c r="AE542" s="106">
        <f t="shared" si="84"/>
        <v>0</v>
      </c>
      <c r="AF542" s="1"/>
      <c r="AG542" s="154">
        <f t="shared" si="78"/>
        <v>0</v>
      </c>
      <c r="AH542" s="175"/>
      <c r="AI542" s="106">
        <f t="shared" si="79"/>
        <v>0</v>
      </c>
      <c r="AJ542" s="106"/>
      <c r="AK542" s="159" t="str">
        <f t="shared" si="85"/>
        <v xml:space="preserve">0.0 </v>
      </c>
      <c r="AL542" s="138"/>
      <c r="AM542" s="106"/>
      <c r="AN542" s="106"/>
      <c r="AO542" s="106">
        <f t="shared" si="86"/>
        <v>0</v>
      </c>
      <c r="AP542" s="106"/>
      <c r="AQ542" s="159" t="str">
        <f t="shared" si="87"/>
        <v xml:space="preserve">0.0 </v>
      </c>
      <c r="AS542" s="110"/>
      <c r="AW542" s="101"/>
    </row>
    <row r="543" spans="3:49" x14ac:dyDescent="0.3">
      <c r="C543" s="99"/>
      <c r="F543" s="172"/>
      <c r="H543" s="172"/>
      <c r="I543" s="172"/>
      <c r="J543" s="181"/>
      <c r="K543" s="181"/>
      <c r="L543" s="110"/>
      <c r="M543" s="110"/>
      <c r="N543" s="141"/>
      <c r="O543" s="141"/>
      <c r="P543" s="110"/>
      <c r="Q543" s="110"/>
      <c r="R543" s="110"/>
      <c r="T543" s="267">
        <f t="shared" si="75"/>
        <v>128</v>
      </c>
      <c r="V543" s="116" t="str">
        <f t="shared" si="76"/>
        <v xml:space="preserve">   30' Aluminum - Anchor Base</v>
      </c>
      <c r="Y543" s="147">
        <f t="shared" si="77"/>
        <v>0</v>
      </c>
      <c r="Z543" s="1"/>
      <c r="AA543" s="147"/>
      <c r="AB543" s="147"/>
      <c r="AC543" s="228">
        <v>19.66</v>
      </c>
      <c r="AD543" s="242"/>
      <c r="AE543" s="106">
        <f t="shared" si="84"/>
        <v>0</v>
      </c>
      <c r="AF543" s="1"/>
      <c r="AG543" s="154">
        <f t="shared" si="78"/>
        <v>0</v>
      </c>
      <c r="AH543" s="175"/>
      <c r="AI543" s="106">
        <f t="shared" si="79"/>
        <v>0</v>
      </c>
      <c r="AJ543" s="106"/>
      <c r="AK543" s="159" t="str">
        <f t="shared" si="85"/>
        <v xml:space="preserve">0.0 </v>
      </c>
      <c r="AL543" s="138"/>
      <c r="AM543" s="106"/>
      <c r="AN543" s="106"/>
      <c r="AO543" s="106">
        <f t="shared" si="86"/>
        <v>0</v>
      </c>
      <c r="AP543" s="106"/>
      <c r="AQ543" s="159" t="str">
        <f t="shared" si="87"/>
        <v xml:space="preserve">0.0 </v>
      </c>
      <c r="AS543" s="110"/>
      <c r="AW543" s="101"/>
    </row>
    <row r="544" spans="3:49" x14ac:dyDescent="0.3">
      <c r="C544" s="99"/>
      <c r="F544" s="172"/>
      <c r="H544" s="172"/>
      <c r="I544" s="172"/>
      <c r="J544" s="181"/>
      <c r="K544" s="181"/>
      <c r="L544" s="110"/>
      <c r="M544" s="110"/>
      <c r="N544" s="141"/>
      <c r="O544" s="141"/>
      <c r="P544" s="110"/>
      <c r="Q544" s="110"/>
      <c r="R544" s="110"/>
      <c r="T544" s="267">
        <f t="shared" si="75"/>
        <v>129</v>
      </c>
      <c r="V544" s="116" t="str">
        <f t="shared" si="76"/>
        <v xml:space="preserve">   17' Fiberglass</v>
      </c>
      <c r="Y544" s="147">
        <f t="shared" si="77"/>
        <v>0</v>
      </c>
      <c r="Z544" s="1"/>
      <c r="AA544" s="147"/>
      <c r="AB544" s="147"/>
      <c r="AC544" s="228">
        <v>6.25</v>
      </c>
      <c r="AD544" s="242"/>
      <c r="AE544" s="106">
        <f t="shared" si="84"/>
        <v>0</v>
      </c>
      <c r="AF544" s="1"/>
      <c r="AG544" s="154">
        <f t="shared" si="78"/>
        <v>0</v>
      </c>
      <c r="AH544" s="175"/>
      <c r="AI544" s="106">
        <f t="shared" si="79"/>
        <v>0</v>
      </c>
      <c r="AJ544" s="106"/>
      <c r="AK544" s="159" t="str">
        <f t="shared" si="85"/>
        <v xml:space="preserve">0.0 </v>
      </c>
      <c r="AL544" s="138"/>
      <c r="AM544" s="106"/>
      <c r="AN544" s="106"/>
      <c r="AO544" s="106">
        <f t="shared" si="86"/>
        <v>0</v>
      </c>
      <c r="AP544" s="106"/>
      <c r="AQ544" s="159" t="str">
        <f t="shared" si="87"/>
        <v xml:space="preserve">0.0 </v>
      </c>
      <c r="AS544" s="110"/>
      <c r="AW544" s="101"/>
    </row>
    <row r="545" spans="3:49" x14ac:dyDescent="0.3">
      <c r="C545" s="99"/>
      <c r="F545" s="172"/>
      <c r="H545" s="172"/>
      <c r="I545" s="172"/>
      <c r="J545" s="181"/>
      <c r="K545" s="181"/>
      <c r="L545" s="110"/>
      <c r="M545" s="110"/>
      <c r="N545" s="141"/>
      <c r="O545" s="141"/>
      <c r="P545" s="110"/>
      <c r="Q545" s="110"/>
      <c r="R545" s="110"/>
      <c r="T545" s="267">
        <f t="shared" si="75"/>
        <v>130</v>
      </c>
      <c r="V545" s="116" t="str">
        <f t="shared" si="76"/>
        <v xml:space="preserve">   12' Fiberglass - Decorative</v>
      </c>
      <c r="Y545" s="147">
        <f t="shared" si="77"/>
        <v>0</v>
      </c>
      <c r="Z545" s="1"/>
      <c r="AA545" s="147"/>
      <c r="AB545" s="147"/>
      <c r="AC545" s="228">
        <v>18.260000000000002</v>
      </c>
      <c r="AD545" s="242"/>
      <c r="AE545" s="106">
        <f t="shared" si="84"/>
        <v>0</v>
      </c>
      <c r="AF545" s="1"/>
      <c r="AG545" s="154">
        <f t="shared" si="78"/>
        <v>0</v>
      </c>
      <c r="AH545" s="175"/>
      <c r="AI545" s="106">
        <f t="shared" si="79"/>
        <v>0</v>
      </c>
      <c r="AJ545" s="106"/>
      <c r="AK545" s="159" t="str">
        <f t="shared" si="85"/>
        <v xml:space="preserve">0.0 </v>
      </c>
      <c r="AL545" s="138"/>
      <c r="AM545" s="106"/>
      <c r="AN545" s="106"/>
      <c r="AO545" s="106">
        <f t="shared" si="86"/>
        <v>0</v>
      </c>
      <c r="AP545" s="106"/>
      <c r="AQ545" s="159" t="str">
        <f t="shared" si="87"/>
        <v xml:space="preserve">0.0 </v>
      </c>
      <c r="AS545" s="110"/>
      <c r="AW545" s="101"/>
    </row>
    <row r="546" spans="3:49" x14ac:dyDescent="0.3">
      <c r="C546" s="99"/>
      <c r="F546" s="172"/>
      <c r="H546" s="172"/>
      <c r="I546" s="172"/>
      <c r="J546" s="181"/>
      <c r="K546" s="181"/>
      <c r="L546" s="110"/>
      <c r="M546" s="110"/>
      <c r="N546" s="141"/>
      <c r="O546" s="141"/>
      <c r="P546" s="110"/>
      <c r="Q546" s="110"/>
      <c r="R546" s="110"/>
      <c r="T546" s="267">
        <f t="shared" si="75"/>
        <v>131</v>
      </c>
      <c r="V546" s="116" t="str">
        <f t="shared" si="76"/>
        <v xml:space="preserve">   30'  Fiberglass (Bronze)</v>
      </c>
      <c r="Y546" s="147">
        <f t="shared" si="77"/>
        <v>0</v>
      </c>
      <c r="Z546" s="1"/>
      <c r="AA546" s="147"/>
      <c r="AB546" s="147"/>
      <c r="AC546" s="228">
        <v>11.88</v>
      </c>
      <c r="AD546" s="242"/>
      <c r="AE546" s="106">
        <f t="shared" si="84"/>
        <v>0</v>
      </c>
      <c r="AF546" s="1"/>
      <c r="AG546" s="154">
        <f t="shared" si="78"/>
        <v>0</v>
      </c>
      <c r="AH546" s="175"/>
      <c r="AI546" s="106">
        <f t="shared" si="79"/>
        <v>0</v>
      </c>
      <c r="AJ546" s="106"/>
      <c r="AK546" s="159" t="str">
        <f t="shared" si="85"/>
        <v xml:space="preserve">0.0 </v>
      </c>
      <c r="AL546" s="138"/>
      <c r="AM546" s="106"/>
      <c r="AN546" s="106"/>
      <c r="AO546" s="106">
        <f t="shared" si="86"/>
        <v>0</v>
      </c>
      <c r="AP546" s="106"/>
      <c r="AQ546" s="159" t="str">
        <f t="shared" si="87"/>
        <v xml:space="preserve">0.0 </v>
      </c>
      <c r="AS546" s="110"/>
      <c r="AW546" s="101"/>
    </row>
    <row r="547" spans="3:49" x14ac:dyDescent="0.3">
      <c r="C547" s="99"/>
      <c r="F547" s="172"/>
      <c r="H547" s="172"/>
      <c r="I547" s="172"/>
      <c r="J547" s="181"/>
      <c r="K547" s="181"/>
      <c r="L547" s="110"/>
      <c r="M547" s="110"/>
      <c r="N547" s="141"/>
      <c r="O547" s="141"/>
      <c r="P547" s="110"/>
      <c r="Q547" s="110"/>
      <c r="R547" s="110"/>
      <c r="T547" s="267">
        <f t="shared" si="75"/>
        <v>132</v>
      </c>
      <c r="V547" s="116" t="str">
        <f t="shared" si="76"/>
        <v xml:space="preserve">   35'  Fiberglass (Bronze)</v>
      </c>
      <c r="Y547" s="147">
        <f t="shared" si="77"/>
        <v>0</v>
      </c>
      <c r="Z547" s="1"/>
      <c r="AA547" s="147"/>
      <c r="AB547" s="147"/>
      <c r="AC547" s="228">
        <v>12.21</v>
      </c>
      <c r="AD547" s="242"/>
      <c r="AE547" s="106">
        <f t="shared" si="84"/>
        <v>0</v>
      </c>
      <c r="AF547" s="1"/>
      <c r="AG547" s="154">
        <f t="shared" si="78"/>
        <v>0</v>
      </c>
      <c r="AH547" s="175"/>
      <c r="AI547" s="106">
        <f t="shared" si="79"/>
        <v>0</v>
      </c>
      <c r="AJ547" s="106"/>
      <c r="AK547" s="159" t="str">
        <f t="shared" si="85"/>
        <v xml:space="preserve">0.0 </v>
      </c>
      <c r="AL547" s="138"/>
      <c r="AM547" s="106"/>
      <c r="AN547" s="106"/>
      <c r="AO547" s="106">
        <f t="shared" si="86"/>
        <v>0</v>
      </c>
      <c r="AP547" s="106"/>
      <c r="AQ547" s="159" t="str">
        <f t="shared" si="87"/>
        <v xml:space="preserve">0.0 </v>
      </c>
      <c r="AS547" s="110"/>
      <c r="AW547" s="101"/>
    </row>
    <row r="548" spans="3:49" x14ac:dyDescent="0.3">
      <c r="C548" s="99"/>
      <c r="F548" s="172"/>
      <c r="H548" s="172"/>
      <c r="I548" s="172"/>
      <c r="J548" s="181"/>
      <c r="K548" s="181"/>
      <c r="L548" s="110"/>
      <c r="M548" s="110"/>
      <c r="N548" s="141"/>
      <c r="O548" s="141"/>
      <c r="P548" s="110"/>
      <c r="Q548" s="110"/>
      <c r="R548" s="110"/>
      <c r="T548" s="267">
        <f t="shared" si="75"/>
        <v>133</v>
      </c>
      <c r="V548" s="116" t="str">
        <f t="shared" si="76"/>
        <v xml:space="preserve">   27' Steel (11 gauge)</v>
      </c>
      <c r="Y548" s="147">
        <f t="shared" si="77"/>
        <v>0</v>
      </c>
      <c r="Z548" s="1"/>
      <c r="AA548" s="147"/>
      <c r="AB548" s="147"/>
      <c r="AC548" s="228">
        <v>16.05</v>
      </c>
      <c r="AD548" s="242"/>
      <c r="AE548" s="106">
        <f t="shared" si="84"/>
        <v>0</v>
      </c>
      <c r="AF548" s="1"/>
      <c r="AG548" s="154">
        <f t="shared" si="78"/>
        <v>0</v>
      </c>
      <c r="AH548" s="175"/>
      <c r="AI548" s="106">
        <f t="shared" si="79"/>
        <v>0</v>
      </c>
      <c r="AJ548" s="106"/>
      <c r="AK548" s="159" t="str">
        <f t="shared" si="85"/>
        <v xml:space="preserve">0.0 </v>
      </c>
      <c r="AL548" s="138"/>
      <c r="AM548" s="106"/>
      <c r="AN548" s="106"/>
      <c r="AO548" s="106">
        <f t="shared" si="86"/>
        <v>0</v>
      </c>
      <c r="AP548" s="106"/>
      <c r="AQ548" s="159" t="str">
        <f t="shared" si="87"/>
        <v xml:space="preserve">0.0 </v>
      </c>
      <c r="AS548" s="110"/>
      <c r="AW548" s="101"/>
    </row>
    <row r="549" spans="3:49" x14ac:dyDescent="0.3">
      <c r="C549" s="99"/>
      <c r="F549" s="172"/>
      <c r="H549" s="172"/>
      <c r="I549" s="172"/>
      <c r="J549" s="181"/>
      <c r="K549" s="181"/>
      <c r="L549" s="110"/>
      <c r="M549" s="110"/>
      <c r="N549" s="141"/>
      <c r="O549" s="141"/>
      <c r="P549" s="110"/>
      <c r="Q549" s="110"/>
      <c r="R549" s="110"/>
      <c r="T549" s="267">
        <f t="shared" si="75"/>
        <v>134</v>
      </c>
      <c r="V549" s="116" t="str">
        <f t="shared" si="76"/>
        <v xml:space="preserve">   27' Steel (3 gauge)</v>
      </c>
      <c r="Y549" s="147">
        <f t="shared" si="77"/>
        <v>0</v>
      </c>
      <c r="Z549" s="1"/>
      <c r="AA549" s="147"/>
      <c r="AB549" s="147"/>
      <c r="AC549" s="228">
        <v>23.69</v>
      </c>
      <c r="AD549" s="242"/>
      <c r="AE549" s="106">
        <f t="shared" si="84"/>
        <v>0</v>
      </c>
      <c r="AF549" s="1"/>
      <c r="AG549" s="154">
        <f t="shared" si="78"/>
        <v>0</v>
      </c>
      <c r="AH549" s="175"/>
      <c r="AI549" s="106">
        <f t="shared" si="79"/>
        <v>0</v>
      </c>
      <c r="AJ549" s="106"/>
      <c r="AK549" s="159" t="str">
        <f t="shared" si="85"/>
        <v xml:space="preserve">0.0 </v>
      </c>
      <c r="AL549" s="138"/>
      <c r="AM549" s="106"/>
      <c r="AN549" s="106"/>
      <c r="AO549" s="106">
        <f t="shared" si="86"/>
        <v>0</v>
      </c>
      <c r="AP549" s="106"/>
      <c r="AQ549" s="159" t="str">
        <f t="shared" si="87"/>
        <v xml:space="preserve">0.0 </v>
      </c>
      <c r="AS549" s="110"/>
      <c r="AW549" s="101"/>
    </row>
    <row r="550" spans="3:49" x14ac:dyDescent="0.3">
      <c r="C550" s="99"/>
      <c r="F550" s="172"/>
      <c r="H550" s="172"/>
      <c r="I550" s="172"/>
      <c r="J550" s="181"/>
      <c r="K550" s="181"/>
      <c r="L550" s="110"/>
      <c r="M550" s="110"/>
      <c r="N550" s="141"/>
      <c r="O550" s="141"/>
      <c r="P550" s="110"/>
      <c r="Q550" s="110"/>
      <c r="R550" s="110"/>
      <c r="T550" s="267"/>
      <c r="V550" s="116"/>
      <c r="Y550" s="147"/>
      <c r="Z550" s="1"/>
      <c r="AA550" s="147"/>
      <c r="AB550" s="147"/>
      <c r="AC550" s="228"/>
      <c r="AD550" s="242"/>
      <c r="AE550" s="106"/>
      <c r="AF550" s="1"/>
      <c r="AG550" s="154"/>
      <c r="AH550" s="175"/>
      <c r="AI550" s="106"/>
      <c r="AJ550" s="106"/>
      <c r="AK550" s="159"/>
      <c r="AL550" s="138"/>
      <c r="AM550" s="106"/>
      <c r="AN550" s="106"/>
      <c r="AO550" s="106"/>
      <c r="AP550" s="106"/>
      <c r="AQ550" s="159"/>
      <c r="AS550" s="110"/>
      <c r="AW550" s="101"/>
    </row>
    <row r="551" spans="3:49" x14ac:dyDescent="0.3">
      <c r="C551" s="99"/>
      <c r="F551" s="172"/>
      <c r="H551" s="172"/>
      <c r="I551" s="172"/>
      <c r="J551" s="181"/>
      <c r="K551" s="181"/>
      <c r="L551" s="110"/>
      <c r="M551" s="110"/>
      <c r="N551" s="141"/>
      <c r="O551" s="141"/>
      <c r="P551" s="110"/>
      <c r="Q551" s="110"/>
      <c r="R551" s="110"/>
      <c r="T551" s="178" t="s">
        <v>76</v>
      </c>
      <c r="V551" s="116"/>
      <c r="Y551" s="147"/>
      <c r="Z551" s="1"/>
      <c r="AA551" s="147"/>
      <c r="AB551" s="147"/>
      <c r="AC551" s="228"/>
      <c r="AD551" s="228"/>
      <c r="AE551" s="106"/>
      <c r="AF551" s="106"/>
      <c r="AG551" s="154"/>
      <c r="AH551" s="175"/>
      <c r="AI551" s="106"/>
      <c r="AJ551" s="106"/>
      <c r="AK551" s="159"/>
      <c r="AL551" s="138"/>
      <c r="AM551" s="106"/>
      <c r="AN551" s="106"/>
      <c r="AO551" s="106"/>
      <c r="AP551" s="106"/>
      <c r="AQ551" s="159"/>
      <c r="AS551" s="110"/>
      <c r="AW551" s="101"/>
    </row>
    <row r="552" spans="3:49" x14ac:dyDescent="0.3">
      <c r="C552" s="99"/>
      <c r="F552" s="172"/>
      <c r="H552" s="172"/>
      <c r="I552" s="172"/>
      <c r="J552" s="181"/>
      <c r="K552" s="181"/>
      <c r="L552" s="110"/>
      <c r="M552" s="110"/>
      <c r="N552" s="141"/>
      <c r="O552" s="141"/>
      <c r="P552" s="110"/>
      <c r="Q552" s="110"/>
      <c r="R552" s="110"/>
      <c r="T552" s="178" t="str">
        <f>"(1A) REFLECTS FUEL COST RECOVERY INCLUDED IN BASE RATES OF "&amp;TEXT(CUR_BASE_FUEL,"$0.000000;($0.000000)")&amp;"  PER KWH."</f>
        <v>(1A) REFLECTS FUEL COST RECOVERY INCLUDED IN BASE RATES OF $0.033780  PER KWH.</v>
      </c>
      <c r="V552" s="116"/>
      <c r="Y552" s="147"/>
      <c r="Z552" s="1"/>
      <c r="AA552" s="147"/>
      <c r="AB552" s="147"/>
      <c r="AC552" s="228"/>
      <c r="AD552" s="228"/>
      <c r="AE552" s="106"/>
      <c r="AF552" s="106"/>
      <c r="AG552" s="154"/>
      <c r="AH552" s="175"/>
      <c r="AI552" s="106"/>
      <c r="AJ552" s="106"/>
      <c r="AK552" s="159"/>
      <c r="AL552" s="138"/>
      <c r="AM552" s="106"/>
      <c r="AN552" s="106"/>
      <c r="AO552" s="106"/>
      <c r="AP552" s="106"/>
      <c r="AQ552" s="159"/>
      <c r="AS552" s="110"/>
      <c r="AW552" s="101"/>
    </row>
    <row r="553" spans="3:49" x14ac:dyDescent="0.3">
      <c r="C553" s="99"/>
      <c r="F553" s="172"/>
      <c r="H553" s="172"/>
      <c r="I553" s="172"/>
      <c r="J553" s="181"/>
      <c r="K553" s="181"/>
      <c r="L553" s="110"/>
      <c r="M553" s="110"/>
      <c r="N553" s="141"/>
      <c r="O553" s="141"/>
      <c r="P553" s="110"/>
      <c r="Q553" s="110"/>
      <c r="R553" s="110"/>
      <c r="T553" s="178" t="str">
        <f>"(2) REFLECTS FUEL COMPONENT OF "&amp;TEXT(CUR_FAC,"$0.000000;($0.000000)")&amp;"  PER KWH."</f>
        <v>(2) REFLECTS FUEL COMPONENT OF $0.003487  PER KWH.</v>
      </c>
      <c r="V553" s="116"/>
      <c r="Y553" s="147"/>
      <c r="Z553" s="1"/>
      <c r="AA553" s="147"/>
      <c r="AB553" s="147"/>
      <c r="AC553" s="228"/>
      <c r="AD553" s="228"/>
      <c r="AE553" s="106"/>
      <c r="AF553" s="106"/>
      <c r="AG553" s="154"/>
      <c r="AH553" s="175"/>
      <c r="AI553" s="106"/>
      <c r="AJ553" s="106"/>
      <c r="AK553" s="159"/>
      <c r="AL553" s="138"/>
      <c r="AM553" s="106"/>
      <c r="AN553" s="106"/>
      <c r="AO553" s="106"/>
      <c r="AP553" s="106"/>
      <c r="AQ553" s="159"/>
      <c r="AS553" s="110"/>
      <c r="AW553" s="101"/>
    </row>
    <row r="554" spans="3:49" x14ac:dyDescent="0.3">
      <c r="C554" s="99"/>
      <c r="F554" s="172"/>
      <c r="H554" s="172"/>
      <c r="I554" s="172"/>
      <c r="J554" s="181"/>
      <c r="K554" s="181"/>
      <c r="L554" s="110"/>
      <c r="M554" s="110"/>
      <c r="N554" s="141"/>
      <c r="O554" s="141"/>
      <c r="P554" s="110"/>
      <c r="Q554" s="110"/>
      <c r="R554" s="110"/>
      <c r="T554" s="267"/>
      <c r="V554" s="116"/>
      <c r="Y554" s="147"/>
      <c r="Z554" s="1"/>
      <c r="AA554" s="147"/>
      <c r="AB554" s="147"/>
      <c r="AC554" s="228"/>
      <c r="AD554" s="228"/>
      <c r="AE554" s="106"/>
      <c r="AF554" s="106"/>
      <c r="AG554" s="154"/>
      <c r="AH554" s="175"/>
      <c r="AI554" s="106"/>
      <c r="AJ554" s="106"/>
      <c r="AK554" s="159"/>
      <c r="AL554" s="138"/>
      <c r="AM554" s="106"/>
      <c r="AN554" s="106"/>
      <c r="AO554" s="106"/>
      <c r="AP554" s="106"/>
      <c r="AQ554" s="159"/>
      <c r="AS554" s="110"/>
      <c r="AW554" s="101"/>
    </row>
    <row r="555" spans="3:49" x14ac:dyDescent="0.3">
      <c r="C555" s="99"/>
      <c r="F555" s="172"/>
      <c r="H555" s="172"/>
      <c r="I555" s="172"/>
      <c r="J555" s="181"/>
      <c r="K555" s="181"/>
      <c r="L555" s="110"/>
      <c r="M555" s="110"/>
      <c r="N555" s="141"/>
      <c r="O555" s="141"/>
      <c r="P555" s="110"/>
      <c r="Q555" s="110"/>
      <c r="R555" s="110"/>
      <c r="T555" s="353" t="str">
        <f>NAME</f>
        <v>DUKE ENERGY KENTUCKY, INC.</v>
      </c>
      <c r="U555" s="353"/>
      <c r="V555" s="353"/>
      <c r="W555" s="353"/>
      <c r="X555" s="353"/>
      <c r="Y555" s="353"/>
      <c r="Z555" s="353"/>
      <c r="AA555" s="353"/>
      <c r="AB555" s="353"/>
      <c r="AC555" s="353"/>
      <c r="AD555" s="353"/>
      <c r="AE555" s="353"/>
      <c r="AF555" s="353"/>
      <c r="AG555" s="353"/>
      <c r="AH555" s="353"/>
      <c r="AI555" s="353"/>
      <c r="AJ555" s="353"/>
      <c r="AK555" s="353"/>
      <c r="AL555" s="353"/>
      <c r="AM555" s="353"/>
      <c r="AN555" s="353"/>
      <c r="AO555" s="353"/>
      <c r="AP555" s="353"/>
      <c r="AQ555" s="353"/>
      <c r="AS555" s="110"/>
      <c r="AW555" s="101"/>
    </row>
    <row r="556" spans="3:49" x14ac:dyDescent="0.3">
      <c r="C556" s="99"/>
      <c r="F556" s="172"/>
      <c r="H556" s="172"/>
      <c r="I556" s="172"/>
      <c r="J556" s="181"/>
      <c r="K556" s="181"/>
      <c r="L556" s="110"/>
      <c r="M556" s="110"/>
      <c r="N556" s="141"/>
      <c r="O556" s="141"/>
      <c r="P556" s="110"/>
      <c r="Q556" s="110"/>
      <c r="R556" s="110"/>
      <c r="T556" s="97" t="str">
        <f>CASE_NO</f>
        <v>CASE NO.   2024-00354</v>
      </c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S556" s="110"/>
      <c r="AW556" s="101"/>
    </row>
    <row r="557" spans="3:49" x14ac:dyDescent="0.3">
      <c r="C557" s="99"/>
      <c r="F557" s="172"/>
      <c r="H557" s="172"/>
      <c r="I557" s="172"/>
      <c r="J557" s="181"/>
      <c r="K557" s="181"/>
      <c r="L557" s="110"/>
      <c r="M557" s="110"/>
      <c r="N557" s="141"/>
      <c r="O557" s="141"/>
      <c r="P557" s="110"/>
      <c r="Q557" s="110"/>
      <c r="R557" s="110"/>
      <c r="T557" s="97" t="str">
        <f>TITLE</f>
        <v>ANNUALIZED BASE YEAR REVENUES AT PROPOSED VS. MOST CURRENT RATES</v>
      </c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S557" s="110"/>
      <c r="AW557" s="101"/>
    </row>
    <row r="558" spans="3:49" x14ac:dyDescent="0.3">
      <c r="C558" s="99"/>
      <c r="F558" s="172"/>
      <c r="H558" s="172"/>
      <c r="I558" s="172"/>
      <c r="J558" s="181"/>
      <c r="K558" s="181"/>
      <c r="L558" s="110"/>
      <c r="M558" s="110"/>
      <c r="N558" s="141"/>
      <c r="O558" s="141"/>
      <c r="P558" s="110"/>
      <c r="Q558" s="110"/>
      <c r="R558" s="110"/>
      <c r="T558" s="97" t="str">
        <f>DATE</f>
        <v>FOR THE TWELVE MONTHS ENDED February 28, 2025</v>
      </c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S558" s="110"/>
      <c r="AW558" s="101"/>
    </row>
    <row r="559" spans="3:49" x14ac:dyDescent="0.3">
      <c r="C559" s="99"/>
      <c r="F559" s="172"/>
      <c r="H559" s="172"/>
      <c r="I559" s="172"/>
      <c r="J559" s="181"/>
      <c r="K559" s="181"/>
      <c r="L559" s="110"/>
      <c r="M559" s="110"/>
      <c r="N559" s="141"/>
      <c r="O559" s="141"/>
      <c r="P559" s="110"/>
      <c r="Q559" s="110"/>
      <c r="R559" s="110"/>
      <c r="T559" s="97" t="str">
        <f>SERVICE</f>
        <v>(ELECTRIC SERVICE)</v>
      </c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S559" s="110"/>
      <c r="AW559" s="101"/>
    </row>
    <row r="560" spans="3:49" x14ac:dyDescent="0.3">
      <c r="C560" s="99"/>
      <c r="F560" s="172"/>
      <c r="H560" s="172"/>
      <c r="I560" s="172"/>
      <c r="J560" s="181"/>
      <c r="K560" s="181"/>
      <c r="L560" s="110"/>
      <c r="M560" s="110"/>
      <c r="N560" s="141"/>
      <c r="O560" s="141"/>
      <c r="P560" s="110"/>
      <c r="Q560" s="110"/>
      <c r="R560" s="110"/>
      <c r="T560" s="98" t="str">
        <f>DATA_PERIOD</f>
        <v>DATA: __X__ BASE PERIOD   ____FORECASTED PERIOD</v>
      </c>
      <c r="AG560" s="98"/>
      <c r="AK560" s="98"/>
      <c r="AO560" s="99" t="s">
        <v>157</v>
      </c>
      <c r="AQ560" s="98"/>
      <c r="AS560" s="110"/>
      <c r="AW560" s="101"/>
    </row>
    <row r="561" spans="3:49" x14ac:dyDescent="0.3">
      <c r="C561" s="99"/>
      <c r="F561" s="172"/>
      <c r="H561" s="172"/>
      <c r="I561" s="172"/>
      <c r="J561" s="181"/>
      <c r="K561" s="181"/>
      <c r="L561" s="110"/>
      <c r="M561" s="110"/>
      <c r="N561" s="141"/>
      <c r="O561" s="141"/>
      <c r="P561" s="110"/>
      <c r="Q561" s="110"/>
      <c r="R561" s="110"/>
      <c r="T561" s="98" t="str">
        <f>TYPE</f>
        <v>TYPE OF FILING: _X_ ORIGINAL   ___UPDATED  ___ REVISED</v>
      </c>
      <c r="AG561" s="98"/>
      <c r="AK561" s="98"/>
      <c r="AO561" s="116" t="str">
        <f>"PAGE 23 OF "&amp;TEXT(Page_Num_2.2,"00")</f>
        <v>PAGE 23 OF 24</v>
      </c>
      <c r="AQ561" s="98"/>
      <c r="AS561" s="110"/>
      <c r="AW561" s="101"/>
    </row>
    <row r="562" spans="3:49" x14ac:dyDescent="0.3">
      <c r="C562" s="99"/>
      <c r="F562" s="172"/>
      <c r="H562" s="172"/>
      <c r="I562" s="172"/>
      <c r="J562" s="181"/>
      <c r="K562" s="181"/>
      <c r="L562" s="110"/>
      <c r="M562" s="110"/>
      <c r="N562" s="141"/>
      <c r="O562" s="141"/>
      <c r="P562" s="110"/>
      <c r="Q562" s="110"/>
      <c r="R562" s="110"/>
      <c r="T562" s="99" t="s">
        <v>170</v>
      </c>
      <c r="AO562" s="99" t="s">
        <v>4</v>
      </c>
      <c r="AP562" s="99"/>
      <c r="AS562" s="110"/>
      <c r="AW562" s="101"/>
    </row>
    <row r="563" spans="3:49" x14ac:dyDescent="0.3">
      <c r="C563" s="99"/>
      <c r="F563" s="172"/>
      <c r="H563" s="172"/>
      <c r="I563" s="172"/>
      <c r="J563" s="181"/>
      <c r="K563" s="181"/>
      <c r="L563" s="110"/>
      <c r="M563" s="110"/>
      <c r="N563" s="141"/>
      <c r="O563" s="141"/>
      <c r="P563" s="110"/>
      <c r="Q563" s="110"/>
      <c r="R563" s="110"/>
      <c r="T563" s="134" t="str">
        <f>TIME</f>
        <v>6 Months Actual and 6 Months Projected with Riders</v>
      </c>
      <c r="AF563" s="99"/>
      <c r="AO563" s="110" t="str">
        <f>WIT</f>
        <v>B. L. Sailers</v>
      </c>
      <c r="AS563" s="110"/>
      <c r="AW563" s="101"/>
    </row>
    <row r="564" spans="3:49" x14ac:dyDescent="0.3">
      <c r="C564" s="99"/>
      <c r="F564" s="172"/>
      <c r="H564" s="172"/>
      <c r="I564" s="172"/>
      <c r="J564" s="181"/>
      <c r="K564" s="181"/>
      <c r="L564" s="110"/>
      <c r="M564" s="110"/>
      <c r="N564" s="141"/>
      <c r="O564" s="141"/>
      <c r="P564" s="110"/>
      <c r="Q564" s="110"/>
      <c r="R564" s="110"/>
      <c r="T564" s="97" t="s">
        <v>130</v>
      </c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149"/>
      <c r="AH564" s="97"/>
      <c r="AI564" s="97"/>
      <c r="AJ564" s="97"/>
      <c r="AK564" s="149"/>
      <c r="AL564" s="97"/>
      <c r="AM564" s="97"/>
      <c r="AN564" s="97"/>
      <c r="AO564" s="97"/>
      <c r="AP564" s="97"/>
      <c r="AS564" s="110"/>
      <c r="AW564" s="101"/>
    </row>
    <row r="565" spans="3:49" x14ac:dyDescent="0.3">
      <c r="C565" s="99"/>
      <c r="F565" s="172"/>
      <c r="H565" s="172"/>
      <c r="I565" s="172"/>
      <c r="J565" s="181"/>
      <c r="K565" s="181"/>
      <c r="L565" s="110"/>
      <c r="M565" s="110"/>
      <c r="N565" s="141"/>
      <c r="O565" s="141"/>
      <c r="P565" s="110"/>
      <c r="Q565" s="110"/>
      <c r="R565" s="110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0"/>
      <c r="AF565" s="100"/>
      <c r="AG565" s="150"/>
      <c r="AH565" s="100"/>
      <c r="AI565" s="100"/>
      <c r="AJ565" s="100"/>
      <c r="AK565" s="150"/>
      <c r="AL565" s="100"/>
      <c r="AM565" s="100"/>
      <c r="AN565" s="101"/>
      <c r="AO565" s="101"/>
      <c r="AP565" s="101"/>
      <c r="AS565" s="110"/>
      <c r="AW565" s="101"/>
    </row>
    <row r="566" spans="3:49" x14ac:dyDescent="0.3">
      <c r="C566" s="99"/>
      <c r="F566" s="172"/>
      <c r="H566" s="172"/>
      <c r="I566" s="172"/>
      <c r="J566" s="181"/>
      <c r="K566" s="181"/>
      <c r="L566" s="110"/>
      <c r="M566" s="110"/>
      <c r="N566" s="141"/>
      <c r="O566" s="141"/>
      <c r="P566" s="110"/>
      <c r="Q566" s="110"/>
      <c r="R566" s="110"/>
      <c r="T566" s="174"/>
      <c r="U566" s="174"/>
      <c r="V566" s="174"/>
      <c r="W566" s="174"/>
      <c r="X566" s="174"/>
      <c r="Y566" s="174"/>
      <c r="Z566" s="174"/>
      <c r="AA566" s="174"/>
      <c r="AB566" s="174"/>
      <c r="AC566" s="174"/>
      <c r="AD566" s="174"/>
      <c r="AE566" s="102" t="s">
        <v>8</v>
      </c>
      <c r="AF566" s="102"/>
      <c r="AG566" s="151" t="s">
        <v>7</v>
      </c>
      <c r="AH566" s="102"/>
      <c r="AI566" s="102" t="s">
        <v>9</v>
      </c>
      <c r="AJ566" s="102"/>
      <c r="AK566" s="151" t="s">
        <v>10</v>
      </c>
      <c r="AL566" s="102"/>
      <c r="AN566" s="174"/>
      <c r="AO566" s="254" t="s">
        <v>8</v>
      </c>
      <c r="AP566" s="254"/>
      <c r="AQ566" s="255" t="s">
        <v>11</v>
      </c>
      <c r="AS566" s="110"/>
      <c r="AW566" s="101"/>
    </row>
    <row r="567" spans="3:49" x14ac:dyDescent="0.3">
      <c r="C567" s="99"/>
      <c r="F567" s="172"/>
      <c r="H567" s="172"/>
      <c r="I567" s="172"/>
      <c r="J567" s="181"/>
      <c r="K567" s="181"/>
      <c r="L567" s="110"/>
      <c r="M567" s="110"/>
      <c r="N567" s="141"/>
      <c r="O567" s="141"/>
      <c r="P567" s="110"/>
      <c r="Q567" s="110"/>
      <c r="R567" s="110"/>
      <c r="AC567" s="332" t="s">
        <v>567</v>
      </c>
      <c r="AD567" s="97"/>
      <c r="AE567" s="102" t="s">
        <v>12</v>
      </c>
      <c r="AF567" s="102"/>
      <c r="AG567" s="151" t="s">
        <v>13</v>
      </c>
      <c r="AH567" s="102"/>
      <c r="AI567" s="102" t="s">
        <v>15</v>
      </c>
      <c r="AJ567" s="102"/>
      <c r="AK567" s="151" t="s">
        <v>16</v>
      </c>
      <c r="AL567" s="102"/>
      <c r="AO567" s="102" t="s">
        <v>11</v>
      </c>
      <c r="AP567" s="102"/>
      <c r="AQ567" s="151" t="s">
        <v>9</v>
      </c>
      <c r="AS567" s="110"/>
      <c r="AW567" s="101"/>
    </row>
    <row r="568" spans="3:49" x14ac:dyDescent="0.3">
      <c r="C568" s="99"/>
      <c r="F568" s="172"/>
      <c r="H568" s="172"/>
      <c r="I568" s="172"/>
      <c r="J568" s="181"/>
      <c r="K568" s="181"/>
      <c r="L568" s="110"/>
      <c r="M568" s="110"/>
      <c r="N568" s="141"/>
      <c r="O568" s="141"/>
      <c r="P568" s="110"/>
      <c r="Q568" s="110"/>
      <c r="R568" s="110"/>
      <c r="T568" s="102" t="s">
        <v>17</v>
      </c>
      <c r="V568" s="102" t="s">
        <v>18</v>
      </c>
      <c r="W568" s="102" t="s">
        <v>19</v>
      </c>
      <c r="X568" s="102"/>
      <c r="Y568" s="102" t="s">
        <v>20</v>
      </c>
      <c r="AC568" s="102" t="s">
        <v>563</v>
      </c>
      <c r="AD568" s="102" t="s">
        <v>564</v>
      </c>
      <c r="AE568" s="102" t="s">
        <v>593</v>
      </c>
      <c r="AF568" s="102"/>
      <c r="AG568" s="151" t="s">
        <v>593</v>
      </c>
      <c r="AH568" s="102"/>
      <c r="AI568" s="103" t="s">
        <v>708</v>
      </c>
      <c r="AJ568" s="102"/>
      <c r="AK568" s="152" t="s">
        <v>708</v>
      </c>
      <c r="AL568" s="102"/>
      <c r="AM568" s="102" t="s">
        <v>593</v>
      </c>
      <c r="AN568" s="102"/>
      <c r="AO568" s="102" t="s">
        <v>9</v>
      </c>
      <c r="AP568" s="102"/>
      <c r="AQ568" s="151" t="s">
        <v>21</v>
      </c>
      <c r="AS568" s="110"/>
      <c r="AW568" s="101"/>
    </row>
    <row r="569" spans="3:49" x14ac:dyDescent="0.3">
      <c r="C569" s="99"/>
      <c r="F569" s="172"/>
      <c r="H569" s="172"/>
      <c r="I569" s="172"/>
      <c r="J569" s="181"/>
      <c r="K569" s="181"/>
      <c r="L569" s="110"/>
      <c r="M569" s="110"/>
      <c r="N569" s="141"/>
      <c r="O569" s="141"/>
      <c r="P569" s="110"/>
      <c r="Q569" s="110"/>
      <c r="R569" s="110"/>
      <c r="T569" s="102" t="s">
        <v>22</v>
      </c>
      <c r="V569" s="102" t="s">
        <v>23</v>
      </c>
      <c r="W569" s="102" t="s">
        <v>24</v>
      </c>
      <c r="X569" s="102"/>
      <c r="Y569" s="102" t="s">
        <v>25</v>
      </c>
      <c r="AA569" s="102" t="s">
        <v>26</v>
      </c>
      <c r="AB569" s="102"/>
      <c r="AC569" s="103" t="s">
        <v>27</v>
      </c>
      <c r="AD569" s="103" t="s">
        <v>27</v>
      </c>
      <c r="AE569" s="102" t="s">
        <v>9</v>
      </c>
      <c r="AF569" s="102"/>
      <c r="AG569" s="151" t="s">
        <v>9</v>
      </c>
      <c r="AH569" s="102"/>
      <c r="AI569" s="131" t="s">
        <v>29</v>
      </c>
      <c r="AJ569" s="131"/>
      <c r="AK569" s="165" t="s">
        <v>30</v>
      </c>
      <c r="AL569" s="102"/>
      <c r="AM569" s="102" t="s">
        <v>323</v>
      </c>
      <c r="AN569" s="102"/>
      <c r="AO569" s="131" t="s">
        <v>31</v>
      </c>
      <c r="AP569" s="131"/>
      <c r="AQ569" s="165" t="s">
        <v>32</v>
      </c>
      <c r="AS569" s="110"/>
      <c r="AW569" s="101"/>
    </row>
    <row r="570" spans="3:49" x14ac:dyDescent="0.3">
      <c r="C570" s="99"/>
      <c r="F570" s="172"/>
      <c r="H570" s="172"/>
      <c r="I570" s="172"/>
      <c r="J570" s="181"/>
      <c r="K570" s="181"/>
      <c r="L570" s="110"/>
      <c r="M570" s="110"/>
      <c r="N570" s="141"/>
      <c r="O570" s="141"/>
      <c r="P570" s="110"/>
      <c r="Q570" s="110"/>
      <c r="R570" s="110"/>
      <c r="V570" s="131" t="s">
        <v>33</v>
      </c>
      <c r="W570" s="131" t="s">
        <v>34</v>
      </c>
      <c r="X570" s="131"/>
      <c r="Y570" s="131" t="s">
        <v>35</v>
      </c>
      <c r="Z570" s="134"/>
      <c r="AA570" s="131" t="s">
        <v>36</v>
      </c>
      <c r="AB570" s="131"/>
      <c r="AC570" s="146" t="s">
        <v>569</v>
      </c>
      <c r="AD570" s="146" t="s">
        <v>568</v>
      </c>
      <c r="AE570" s="131" t="s">
        <v>43</v>
      </c>
      <c r="AF570" s="131"/>
      <c r="AG570" s="165" t="s">
        <v>44</v>
      </c>
      <c r="AH570" s="131"/>
      <c r="AI570" s="131" t="s">
        <v>45</v>
      </c>
      <c r="AJ570" s="131"/>
      <c r="AK570" s="165" t="s">
        <v>46</v>
      </c>
      <c r="AL570" s="131"/>
      <c r="AM570" s="131" t="s">
        <v>40</v>
      </c>
      <c r="AN570" s="131"/>
      <c r="AO570" s="131" t="s">
        <v>47</v>
      </c>
      <c r="AP570" s="131"/>
      <c r="AQ570" s="165" t="s">
        <v>48</v>
      </c>
      <c r="AS570" s="110"/>
      <c r="AW570" s="101"/>
    </row>
    <row r="571" spans="3:49" x14ac:dyDescent="0.3">
      <c r="C571" s="99"/>
      <c r="F571" s="172"/>
      <c r="H571" s="172"/>
      <c r="I571" s="172"/>
      <c r="J571" s="181"/>
      <c r="K571" s="181"/>
      <c r="L571" s="110"/>
      <c r="M571" s="110"/>
      <c r="N571" s="141"/>
      <c r="O571" s="141"/>
      <c r="P571" s="110"/>
      <c r="Q571" s="110"/>
      <c r="R571" s="110"/>
      <c r="T571" s="174"/>
      <c r="U571" s="174"/>
      <c r="V571" s="174"/>
      <c r="W571" s="174"/>
      <c r="X571" s="174"/>
      <c r="Y571" s="174"/>
      <c r="Z571" s="174"/>
      <c r="AA571" s="258" t="s">
        <v>49</v>
      </c>
      <c r="AB571" s="258"/>
      <c r="AC571" s="257" t="s">
        <v>69</v>
      </c>
      <c r="AD571" s="258"/>
      <c r="AE571" s="258" t="s">
        <v>50</v>
      </c>
      <c r="AF571" s="258"/>
      <c r="AG571" s="259" t="s">
        <v>51</v>
      </c>
      <c r="AH571" s="258"/>
      <c r="AI571" s="258" t="s">
        <v>50</v>
      </c>
      <c r="AJ571" s="258"/>
      <c r="AK571" s="259" t="s">
        <v>51</v>
      </c>
      <c r="AL571" s="258"/>
      <c r="AM571" s="258" t="s">
        <v>50</v>
      </c>
      <c r="AN571" s="258"/>
      <c r="AO571" s="258" t="s">
        <v>50</v>
      </c>
      <c r="AP571" s="258"/>
      <c r="AQ571" s="259" t="s">
        <v>51</v>
      </c>
      <c r="AS571" s="110"/>
      <c r="AW571" s="101"/>
    </row>
    <row r="572" spans="3:49" x14ac:dyDescent="0.3">
      <c r="C572" s="99"/>
      <c r="F572" s="172"/>
      <c r="H572" s="172"/>
      <c r="I572" s="172"/>
      <c r="J572" s="181"/>
      <c r="K572" s="181"/>
      <c r="L572" s="110"/>
      <c r="M572" s="110"/>
      <c r="N572" s="141"/>
      <c r="O572" s="141"/>
      <c r="P572" s="110"/>
      <c r="Q572" s="110"/>
      <c r="R572" s="110"/>
      <c r="T572" s="267">
        <f t="shared" ref="T572:T573" si="88">A220</f>
        <v>135</v>
      </c>
      <c r="V572" s="116" t="str">
        <f t="shared" ref="V572:V573" si="89">C220</f>
        <v>LED</v>
      </c>
      <c r="W572" s="116" t="str">
        <f t="shared" ref="W572" si="90">D220</f>
        <v>STREET LIGHTING -- LED (CONT'D)</v>
      </c>
      <c r="Y572" s="147"/>
      <c r="Z572" s="1"/>
      <c r="AA572" s="147"/>
      <c r="AB572" s="147"/>
      <c r="AC572" s="228"/>
      <c r="AD572" s="228"/>
      <c r="AE572" s="106"/>
      <c r="AF572" s="106"/>
      <c r="AG572" s="154"/>
      <c r="AH572" s="175"/>
      <c r="AI572" s="106"/>
      <c r="AJ572" s="106"/>
      <c r="AK572" s="159"/>
      <c r="AL572" s="138"/>
      <c r="AM572" s="106"/>
      <c r="AN572" s="106"/>
      <c r="AO572" s="106"/>
      <c r="AP572" s="106"/>
      <c r="AQ572" s="159"/>
      <c r="AS572" s="110"/>
      <c r="AW572" s="101"/>
    </row>
    <row r="573" spans="3:49" x14ac:dyDescent="0.3">
      <c r="C573" s="99"/>
      <c r="F573" s="172"/>
      <c r="H573" s="172"/>
      <c r="I573" s="172"/>
      <c r="J573" s="181"/>
      <c r="K573" s="181"/>
      <c r="L573" s="110"/>
      <c r="M573" s="110"/>
      <c r="N573" s="141"/>
      <c r="O573" s="141"/>
      <c r="P573" s="110"/>
      <c r="Q573" s="110"/>
      <c r="R573" s="110"/>
      <c r="T573" s="267">
        <f t="shared" si="88"/>
        <v>136</v>
      </c>
      <c r="V573" s="116" t="str">
        <f t="shared" si="89"/>
        <v>POLES (CONT'D)</v>
      </c>
      <c r="W573" s="116"/>
      <c r="Y573" s="147"/>
      <c r="Z573" s="1"/>
      <c r="AA573" s="147"/>
      <c r="AB573" s="147"/>
      <c r="AC573" s="228"/>
      <c r="AD573" s="228"/>
      <c r="AE573" s="106"/>
      <c r="AF573" s="106"/>
      <c r="AG573" s="154"/>
      <c r="AH573" s="175"/>
      <c r="AI573" s="106"/>
      <c r="AJ573" s="106"/>
      <c r="AK573" s="159"/>
      <c r="AL573" s="138"/>
      <c r="AM573" s="106"/>
      <c r="AN573" s="106"/>
      <c r="AO573" s="106"/>
      <c r="AP573" s="106"/>
      <c r="AQ573" s="159"/>
      <c r="AS573" s="110"/>
      <c r="AW573" s="101"/>
    </row>
    <row r="574" spans="3:49" x14ac:dyDescent="0.3">
      <c r="C574" s="99"/>
      <c r="F574" s="172"/>
      <c r="H574" s="172"/>
      <c r="I574" s="172"/>
      <c r="J574" s="181"/>
      <c r="K574" s="181"/>
      <c r="L574" s="110"/>
      <c r="M574" s="110"/>
      <c r="N574" s="141"/>
      <c r="O574" s="141"/>
      <c r="P574" s="110"/>
      <c r="Q574" s="110"/>
      <c r="R574" s="110"/>
      <c r="T574" s="267">
        <f t="shared" ref="T574:T585" si="91">A222</f>
        <v>137</v>
      </c>
      <c r="V574" s="116"/>
      <c r="Y574" s="147"/>
      <c r="Z574" s="1"/>
      <c r="AA574" s="147"/>
      <c r="AB574" s="147"/>
      <c r="AC574" s="228"/>
      <c r="AD574" s="242"/>
      <c r="AE574" s="106"/>
      <c r="AF574" s="1"/>
      <c r="AG574" s="154"/>
      <c r="AH574" s="175"/>
      <c r="AI574" s="106"/>
      <c r="AJ574" s="106"/>
      <c r="AK574" s="159"/>
      <c r="AL574" s="138"/>
      <c r="AM574" s="106"/>
      <c r="AN574" s="106"/>
      <c r="AO574" s="106"/>
      <c r="AP574" s="106"/>
      <c r="AQ574" s="159"/>
      <c r="AS574" s="110"/>
      <c r="AW574" s="101"/>
    </row>
    <row r="575" spans="3:49" x14ac:dyDescent="0.3">
      <c r="C575" s="99"/>
      <c r="F575" s="172"/>
      <c r="H575" s="172"/>
      <c r="I575" s="172"/>
      <c r="J575" s="181"/>
      <c r="K575" s="181"/>
      <c r="L575" s="110"/>
      <c r="M575" s="110"/>
      <c r="N575" s="141"/>
      <c r="O575" s="141"/>
      <c r="P575" s="110"/>
      <c r="Q575" s="110"/>
      <c r="R575" s="110"/>
      <c r="T575" s="267">
        <f t="shared" si="91"/>
        <v>138</v>
      </c>
      <c r="V575" s="116"/>
      <c r="Y575" s="147"/>
      <c r="Z575" s="1"/>
      <c r="AA575" s="147"/>
      <c r="AB575" s="147"/>
      <c r="AC575" s="228"/>
      <c r="AD575" s="242"/>
      <c r="AE575" s="106"/>
      <c r="AF575" s="1"/>
      <c r="AG575" s="154"/>
      <c r="AH575" s="175"/>
      <c r="AI575" s="106"/>
      <c r="AJ575" s="106"/>
      <c r="AK575" s="159"/>
      <c r="AL575" s="138"/>
      <c r="AM575" s="106"/>
      <c r="AN575" s="106"/>
      <c r="AO575" s="106"/>
      <c r="AP575" s="106"/>
      <c r="AQ575" s="159"/>
      <c r="AS575" s="110"/>
      <c r="AW575" s="101"/>
    </row>
    <row r="576" spans="3:49" x14ac:dyDescent="0.3">
      <c r="C576" s="99"/>
      <c r="F576" s="172"/>
      <c r="H576" s="172"/>
      <c r="I576" s="172"/>
      <c r="J576" s="181"/>
      <c r="K576" s="181"/>
      <c r="L576" s="110"/>
      <c r="M576" s="110"/>
      <c r="N576" s="141"/>
      <c r="O576" s="141"/>
      <c r="P576" s="110"/>
      <c r="Q576" s="110"/>
      <c r="R576" s="110"/>
      <c r="T576" s="267">
        <f t="shared" si="91"/>
        <v>139</v>
      </c>
      <c r="V576" s="116" t="str">
        <f t="shared" ref="V576:V585" si="92">C224</f>
        <v xml:space="preserve">   Shroud - Standard Style for anchor base poles</v>
      </c>
      <c r="Y576" s="147">
        <f t="shared" ref="Y576:Y584" si="93">F224</f>
        <v>0</v>
      </c>
      <c r="Z576" s="1"/>
      <c r="AA576" s="147"/>
      <c r="AB576" s="147"/>
      <c r="AC576" s="228">
        <v>2.71</v>
      </c>
      <c r="AD576" s="242"/>
      <c r="AE576" s="106">
        <f t="shared" si="67"/>
        <v>0</v>
      </c>
      <c r="AF576" s="1"/>
      <c r="AG576" s="154">
        <f t="shared" ref="AG576:AG584" si="94">ROUND((AE576/AE$692)*100,1)</f>
        <v>0</v>
      </c>
      <c r="AH576" s="175"/>
      <c r="AI576" s="106">
        <f t="shared" ref="AI576:AI584" si="95">L224-AE576</f>
        <v>0</v>
      </c>
      <c r="AJ576" s="106"/>
      <c r="AK576" s="159" t="str">
        <f t="shared" si="68"/>
        <v xml:space="preserve">0.0 </v>
      </c>
      <c r="AL576" s="138"/>
      <c r="AM576" s="106"/>
      <c r="AN576" s="106"/>
      <c r="AO576" s="106">
        <f t="shared" si="69"/>
        <v>0</v>
      </c>
      <c r="AP576" s="106"/>
      <c r="AQ576" s="159" t="str">
        <f t="shared" ref="AQ576:AQ585" si="96">IF(AO576=0,"0.0 ",ROUND((AI576/AO576)*100,1))</f>
        <v xml:space="preserve">0.0 </v>
      </c>
      <c r="AS576" s="110"/>
      <c r="AW576" s="101"/>
    </row>
    <row r="577" spans="3:49" x14ac:dyDescent="0.3">
      <c r="C577" s="99"/>
      <c r="F577" s="172"/>
      <c r="H577" s="172"/>
      <c r="I577" s="172"/>
      <c r="J577" s="181"/>
      <c r="K577" s="181"/>
      <c r="L577" s="110"/>
      <c r="M577" s="110"/>
      <c r="N577" s="141"/>
      <c r="O577" s="141"/>
      <c r="P577" s="110"/>
      <c r="Q577" s="110"/>
      <c r="R577" s="110"/>
      <c r="T577" s="267">
        <f t="shared" si="91"/>
        <v>140</v>
      </c>
      <c r="V577" s="116" t="str">
        <f t="shared" si="92"/>
        <v xml:space="preserve">   Shroud - Style B Pole for smooth and fluted poles</v>
      </c>
      <c r="Y577" s="147">
        <f t="shared" si="93"/>
        <v>0</v>
      </c>
      <c r="Z577" s="1"/>
      <c r="AA577" s="147"/>
      <c r="AB577" s="147"/>
      <c r="AC577" s="228">
        <v>6.44</v>
      </c>
      <c r="AD577" s="242"/>
      <c r="AE577" s="106">
        <f t="shared" si="67"/>
        <v>0</v>
      </c>
      <c r="AF577" s="1"/>
      <c r="AG577" s="154">
        <f t="shared" si="94"/>
        <v>0</v>
      </c>
      <c r="AH577" s="175"/>
      <c r="AI577" s="106">
        <f t="shared" si="95"/>
        <v>0</v>
      </c>
      <c r="AJ577" s="106"/>
      <c r="AK577" s="159" t="str">
        <f t="shared" si="68"/>
        <v xml:space="preserve">0.0 </v>
      </c>
      <c r="AL577" s="138"/>
      <c r="AM577" s="106"/>
      <c r="AN577" s="106"/>
      <c r="AO577" s="106">
        <f t="shared" si="69"/>
        <v>0</v>
      </c>
      <c r="AP577" s="106"/>
      <c r="AQ577" s="159" t="str">
        <f t="shared" si="96"/>
        <v xml:space="preserve">0.0 </v>
      </c>
      <c r="AS577" s="110"/>
      <c r="AW577" s="101"/>
    </row>
    <row r="578" spans="3:49" x14ac:dyDescent="0.3">
      <c r="C578" s="99"/>
      <c r="F578" s="172"/>
      <c r="H578" s="172"/>
      <c r="I578" s="172"/>
      <c r="J578" s="181"/>
      <c r="K578" s="181"/>
      <c r="L578" s="110"/>
      <c r="M578" s="110"/>
      <c r="N578" s="141"/>
      <c r="O578" s="141"/>
      <c r="P578" s="110"/>
      <c r="Q578" s="110"/>
      <c r="R578" s="110"/>
      <c r="T578" s="267">
        <f t="shared" si="91"/>
        <v>141</v>
      </c>
      <c r="V578" s="116" t="str">
        <f t="shared" si="92"/>
        <v xml:space="preserve">   Shroud - Style C Pole for smooth and fluted poles</v>
      </c>
      <c r="Y578" s="147">
        <f t="shared" si="93"/>
        <v>0</v>
      </c>
      <c r="Z578" s="1"/>
      <c r="AA578" s="147"/>
      <c r="AB578" s="1"/>
      <c r="AC578" s="228">
        <v>8.0500000000000007</v>
      </c>
      <c r="AD578" s="242"/>
      <c r="AE578" s="106">
        <f t="shared" si="67"/>
        <v>0</v>
      </c>
      <c r="AF578" s="1"/>
      <c r="AG578" s="154">
        <f t="shared" si="94"/>
        <v>0</v>
      </c>
      <c r="AH578" s="175"/>
      <c r="AI578" s="106">
        <f t="shared" si="95"/>
        <v>0</v>
      </c>
      <c r="AJ578" s="106"/>
      <c r="AK578" s="159" t="str">
        <f t="shared" si="68"/>
        <v xml:space="preserve">0.0 </v>
      </c>
      <c r="AL578" s="138"/>
      <c r="AM578" s="106"/>
      <c r="AN578" s="106"/>
      <c r="AO578" s="106">
        <f t="shared" si="69"/>
        <v>0</v>
      </c>
      <c r="AP578" s="106"/>
      <c r="AQ578" s="159" t="str">
        <f t="shared" si="96"/>
        <v xml:space="preserve">0.0 </v>
      </c>
      <c r="AS578" s="110"/>
      <c r="AW578" s="101"/>
    </row>
    <row r="579" spans="3:49" x14ac:dyDescent="0.3">
      <c r="C579" s="99"/>
      <c r="F579" s="172"/>
      <c r="H579" s="172"/>
      <c r="I579" s="172"/>
      <c r="J579" s="181"/>
      <c r="K579" s="181"/>
      <c r="L579" s="110"/>
      <c r="M579" s="110"/>
      <c r="N579" s="141"/>
      <c r="O579" s="141"/>
      <c r="P579" s="110"/>
      <c r="Q579" s="110"/>
      <c r="R579" s="110"/>
      <c r="T579" s="267">
        <f t="shared" si="91"/>
        <v>142</v>
      </c>
      <c r="V579" s="116" t="str">
        <f t="shared" si="92"/>
        <v xml:space="preserve">   Shroud - Style D Pole for smooth and fluted poles </v>
      </c>
      <c r="Y579" s="147">
        <f t="shared" si="93"/>
        <v>0</v>
      </c>
      <c r="Z579" s="1"/>
      <c r="AA579" s="147"/>
      <c r="AB579" s="147"/>
      <c r="AC579" s="228">
        <v>9.93</v>
      </c>
      <c r="AD579" s="242"/>
      <c r="AE579" s="106">
        <f t="shared" si="67"/>
        <v>0</v>
      </c>
      <c r="AF579" s="1"/>
      <c r="AG579" s="154">
        <f t="shared" si="94"/>
        <v>0</v>
      </c>
      <c r="AH579" s="175"/>
      <c r="AI579" s="106">
        <f t="shared" si="95"/>
        <v>0</v>
      </c>
      <c r="AJ579" s="106"/>
      <c r="AK579" s="159" t="str">
        <f t="shared" si="68"/>
        <v xml:space="preserve">0.0 </v>
      </c>
      <c r="AL579" s="138"/>
      <c r="AM579" s="106"/>
      <c r="AN579" s="106"/>
      <c r="AO579" s="106">
        <f t="shared" si="69"/>
        <v>0</v>
      </c>
      <c r="AP579" s="106"/>
      <c r="AQ579" s="159" t="str">
        <f t="shared" si="96"/>
        <v xml:space="preserve">0.0 </v>
      </c>
      <c r="AS579" s="110"/>
      <c r="AW579" s="101"/>
    </row>
    <row r="580" spans="3:49" x14ac:dyDescent="0.3">
      <c r="C580" s="99"/>
      <c r="F580" s="172"/>
      <c r="H580" s="172"/>
      <c r="I580" s="172"/>
      <c r="J580" s="181"/>
      <c r="K580" s="181"/>
      <c r="L580" s="110"/>
      <c r="M580" s="110"/>
      <c r="N580" s="141"/>
      <c r="O580" s="141"/>
      <c r="P580" s="110"/>
      <c r="Q580" s="110"/>
      <c r="R580" s="110"/>
      <c r="T580" s="267">
        <f t="shared" si="91"/>
        <v>143</v>
      </c>
      <c r="V580" s="116" t="str">
        <f t="shared" si="92"/>
        <v xml:space="preserve">   Shroud - Style B - Assembly</v>
      </c>
      <c r="Y580" s="147">
        <f t="shared" si="93"/>
        <v>0</v>
      </c>
      <c r="Z580" s="1"/>
      <c r="AA580" s="147"/>
      <c r="AB580" s="147"/>
      <c r="AC580" s="228">
        <v>8.42</v>
      </c>
      <c r="AD580" s="242"/>
      <c r="AE580" s="106">
        <f>ROUND((Y580*(AC580+AD580)),0)</f>
        <v>0</v>
      </c>
      <c r="AF580" s="1"/>
      <c r="AG580" s="154">
        <f t="shared" si="94"/>
        <v>0</v>
      </c>
      <c r="AH580" s="175"/>
      <c r="AI580" s="106">
        <f t="shared" si="95"/>
        <v>0</v>
      </c>
      <c r="AJ580" s="106"/>
      <c r="AK580" s="159" t="str">
        <f>IF(AE580=0,"0.0 ",ROUND((AI580/AE580)*100,1))</f>
        <v xml:space="preserve">0.0 </v>
      </c>
      <c r="AL580" s="138"/>
      <c r="AM580" s="106"/>
      <c r="AN580" s="106"/>
      <c r="AO580" s="106">
        <f>AM580+AE580</f>
        <v>0</v>
      </c>
      <c r="AP580" s="106"/>
      <c r="AQ580" s="159" t="str">
        <f t="shared" si="96"/>
        <v xml:space="preserve">0.0 </v>
      </c>
      <c r="AS580" s="110"/>
      <c r="AW580" s="101"/>
    </row>
    <row r="581" spans="3:49" x14ac:dyDescent="0.3">
      <c r="C581" s="99"/>
      <c r="F581" s="172"/>
      <c r="H581" s="172"/>
      <c r="I581" s="172"/>
      <c r="J581" s="181"/>
      <c r="K581" s="181"/>
      <c r="L581" s="110"/>
      <c r="M581" s="110"/>
      <c r="N581" s="141"/>
      <c r="O581" s="141"/>
      <c r="P581" s="110"/>
      <c r="Q581" s="110"/>
      <c r="R581" s="110"/>
      <c r="T581" s="267">
        <f t="shared" si="91"/>
        <v>144</v>
      </c>
      <c r="V581" s="116" t="str">
        <f t="shared" si="92"/>
        <v xml:space="preserve">   Shroud - Style C - Assembly</v>
      </c>
      <c r="Y581" s="147">
        <f t="shared" si="93"/>
        <v>0</v>
      </c>
      <c r="Z581" s="1"/>
      <c r="AA581" s="147"/>
      <c r="AB581" s="147"/>
      <c r="AC581" s="228">
        <v>9.89</v>
      </c>
      <c r="AD581" s="242"/>
      <c r="AE581" s="106">
        <f>ROUND((Y581*(AC581+AD581)),0)</f>
        <v>0</v>
      </c>
      <c r="AF581" s="1"/>
      <c r="AG581" s="154">
        <f t="shared" si="94"/>
        <v>0</v>
      </c>
      <c r="AH581" s="175"/>
      <c r="AI581" s="106">
        <f t="shared" si="95"/>
        <v>0</v>
      </c>
      <c r="AJ581" s="106"/>
      <c r="AK581" s="159" t="str">
        <f>IF(AE581=0,"0.0 ",ROUND((AI581/AE581)*100,1))</f>
        <v xml:space="preserve">0.0 </v>
      </c>
      <c r="AL581" s="138"/>
      <c r="AM581" s="106"/>
      <c r="AN581" s="106"/>
      <c r="AO581" s="106">
        <f>AM581+AE581</f>
        <v>0</v>
      </c>
      <c r="AP581" s="106"/>
      <c r="AQ581" s="159" t="str">
        <f t="shared" si="96"/>
        <v xml:space="preserve">0.0 </v>
      </c>
      <c r="AS581" s="110"/>
      <c r="AW581" s="101"/>
    </row>
    <row r="582" spans="3:49" x14ac:dyDescent="0.3">
      <c r="C582" s="99"/>
      <c r="F582" s="172"/>
      <c r="H582" s="172"/>
      <c r="I582" s="172"/>
      <c r="J582" s="181"/>
      <c r="K582" s="181"/>
      <c r="L582" s="110"/>
      <c r="M582" s="110"/>
      <c r="N582" s="141"/>
      <c r="O582" s="141"/>
      <c r="P582" s="110"/>
      <c r="Q582" s="110"/>
      <c r="R582" s="110"/>
      <c r="T582" s="267">
        <f t="shared" si="91"/>
        <v>145</v>
      </c>
      <c r="V582" s="116" t="str">
        <f t="shared" si="92"/>
        <v xml:space="preserve">   Shroud - Style D - Assembly</v>
      </c>
      <c r="Y582" s="147">
        <f t="shared" si="93"/>
        <v>0</v>
      </c>
      <c r="Z582" s="1"/>
      <c r="AA582" s="147"/>
      <c r="AB582" s="147"/>
      <c r="AC582" s="228">
        <v>12.06</v>
      </c>
      <c r="AD582" s="242"/>
      <c r="AE582" s="106">
        <f>ROUND((Y582*(AC582+AD582)),0)</f>
        <v>0</v>
      </c>
      <c r="AF582" s="1"/>
      <c r="AG582" s="154">
        <f t="shared" si="94"/>
        <v>0</v>
      </c>
      <c r="AH582" s="175"/>
      <c r="AI582" s="106">
        <f t="shared" si="95"/>
        <v>0</v>
      </c>
      <c r="AJ582" s="106"/>
      <c r="AK582" s="159" t="str">
        <f>IF(AE582=0,"0.0 ",ROUND((AI582/AE582)*100,1))</f>
        <v xml:space="preserve">0.0 </v>
      </c>
      <c r="AL582" s="138"/>
      <c r="AM582" s="106"/>
      <c r="AN582" s="106"/>
      <c r="AO582" s="106">
        <f>AM582+AE582</f>
        <v>0</v>
      </c>
      <c r="AP582" s="106"/>
      <c r="AQ582" s="159" t="str">
        <f t="shared" si="96"/>
        <v xml:space="preserve">0.0 </v>
      </c>
      <c r="AS582" s="110"/>
      <c r="AW582" s="101"/>
    </row>
    <row r="583" spans="3:49" x14ac:dyDescent="0.3">
      <c r="C583" s="99"/>
      <c r="F583" s="172"/>
      <c r="H583" s="172"/>
      <c r="I583" s="172"/>
      <c r="J583" s="181"/>
      <c r="K583" s="181"/>
      <c r="L583" s="110"/>
      <c r="M583" s="110"/>
      <c r="N583" s="141"/>
      <c r="O583" s="141"/>
      <c r="P583" s="110"/>
      <c r="Q583" s="110"/>
      <c r="R583" s="110"/>
      <c r="T583" s="267">
        <f t="shared" si="91"/>
        <v>146</v>
      </c>
      <c r="V583" s="116" t="str">
        <f t="shared" si="92"/>
        <v xml:space="preserve">   Shroud - Style Standard - Assembly 6"/15"</v>
      </c>
      <c r="Y583" s="147">
        <f t="shared" si="93"/>
        <v>0</v>
      </c>
      <c r="Z583" s="1"/>
      <c r="AA583" s="147"/>
      <c r="AB583" s="147"/>
      <c r="AC583" s="228">
        <v>4.71</v>
      </c>
      <c r="AD583" s="242"/>
      <c r="AE583" s="106">
        <f>ROUND((Y583*(AC583+AD583)),0)</f>
        <v>0</v>
      </c>
      <c r="AF583" s="1"/>
      <c r="AG583" s="154">
        <f t="shared" si="94"/>
        <v>0</v>
      </c>
      <c r="AH583" s="175"/>
      <c r="AI583" s="106">
        <f t="shared" si="95"/>
        <v>0</v>
      </c>
      <c r="AJ583" s="106"/>
      <c r="AK583" s="159" t="str">
        <f>IF(AE583=0,"0.0 ",ROUND((AI583/AE583)*100,1))</f>
        <v xml:space="preserve">0.0 </v>
      </c>
      <c r="AL583" s="138"/>
      <c r="AM583" s="106"/>
      <c r="AN583" s="106"/>
      <c r="AO583" s="106">
        <f>AM583+AE583</f>
        <v>0</v>
      </c>
      <c r="AP583" s="106"/>
      <c r="AQ583" s="159" t="str">
        <f t="shared" si="96"/>
        <v xml:space="preserve">0.0 </v>
      </c>
      <c r="AS583" s="110"/>
      <c r="AW583" s="101"/>
    </row>
    <row r="584" spans="3:49" x14ac:dyDescent="0.3">
      <c r="C584" s="99"/>
      <c r="F584" s="172"/>
      <c r="H584" s="172"/>
      <c r="I584" s="172"/>
      <c r="J584" s="181"/>
      <c r="K584" s="181"/>
      <c r="L584" s="110"/>
      <c r="M584" s="110"/>
      <c r="N584" s="141"/>
      <c r="O584" s="141"/>
      <c r="P584" s="110"/>
      <c r="Q584" s="110"/>
      <c r="R584" s="110"/>
      <c r="T584" s="267">
        <f t="shared" si="91"/>
        <v>147</v>
      </c>
      <c r="V584" s="116" t="str">
        <f t="shared" si="92"/>
        <v xml:space="preserve">   Shroud - Style Standard - Assembly 6"/18"</v>
      </c>
      <c r="Y584" s="147">
        <f t="shared" si="93"/>
        <v>0</v>
      </c>
      <c r="Z584" s="1"/>
      <c r="AA584" s="147"/>
      <c r="AB584" s="147"/>
      <c r="AC584" s="228">
        <v>5.12</v>
      </c>
      <c r="AD584" s="242"/>
      <c r="AE584" s="106">
        <f>ROUND((Y584*(AC584+AD584)),0)</f>
        <v>0</v>
      </c>
      <c r="AF584" s="1"/>
      <c r="AG584" s="154">
        <f t="shared" si="94"/>
        <v>0</v>
      </c>
      <c r="AH584" s="175"/>
      <c r="AI584" s="106">
        <f t="shared" si="95"/>
        <v>0</v>
      </c>
      <c r="AJ584" s="106"/>
      <c r="AK584" s="159" t="str">
        <f>IF(AE584=0,"0.0 ",ROUND((AI584/AE584)*100,1))</f>
        <v xml:space="preserve">0.0 </v>
      </c>
      <c r="AL584" s="138"/>
      <c r="AM584" s="106"/>
      <c r="AN584" s="106"/>
      <c r="AO584" s="106">
        <f>AM584+AE584</f>
        <v>0</v>
      </c>
      <c r="AP584" s="106"/>
      <c r="AQ584" s="159" t="str">
        <f t="shared" si="96"/>
        <v xml:space="preserve">0.0 </v>
      </c>
      <c r="AS584" s="110"/>
      <c r="AW584" s="101"/>
    </row>
    <row r="585" spans="3:49" x14ac:dyDescent="0.3">
      <c r="C585" s="99"/>
      <c r="F585" s="172"/>
      <c r="H585" s="172"/>
      <c r="I585" s="172"/>
      <c r="J585" s="181"/>
      <c r="K585" s="181"/>
      <c r="L585" s="110"/>
      <c r="M585" s="110"/>
      <c r="N585" s="141"/>
      <c r="O585" s="141"/>
      <c r="P585" s="110"/>
      <c r="Q585" s="110"/>
      <c r="R585" s="110"/>
      <c r="T585" s="267">
        <f t="shared" si="91"/>
        <v>148</v>
      </c>
      <c r="U585" s="297"/>
      <c r="V585" s="116" t="str">
        <f t="shared" si="92"/>
        <v>TOTAL LED POLES</v>
      </c>
      <c r="W585" s="297"/>
      <c r="Y585" s="246">
        <f>SUM(Y465:Y584)</f>
        <v>17</v>
      </c>
      <c r="Z585" s="1"/>
      <c r="AA585" s="147"/>
      <c r="AB585" s="147"/>
      <c r="AC585" s="228"/>
      <c r="AD585" s="242"/>
      <c r="AE585" s="246">
        <f>SUM(AE465:AE584)</f>
        <v>135</v>
      </c>
      <c r="AG585" s="333">
        <f>SUM(AG465:AG584)</f>
        <v>0.7</v>
      </c>
      <c r="AI585" s="246">
        <f>SUM(AI465:AI584)</f>
        <v>18</v>
      </c>
      <c r="AK585" s="333">
        <f>SUM(AK465:AK584)</f>
        <v>26.700000000000003</v>
      </c>
      <c r="AM585" s="246">
        <f>SUM(AM465:AM584)</f>
        <v>0</v>
      </c>
      <c r="AO585" s="246">
        <f>SUM(AO465:AO584)</f>
        <v>135</v>
      </c>
      <c r="AQ585" s="201">
        <f t="shared" si="96"/>
        <v>13.3</v>
      </c>
      <c r="AS585" s="110"/>
      <c r="AW585" s="101"/>
    </row>
    <row r="586" spans="3:49" x14ac:dyDescent="0.3">
      <c r="C586" s="99"/>
      <c r="F586" s="172"/>
      <c r="H586" s="172"/>
      <c r="I586" s="172"/>
      <c r="J586" s="181"/>
      <c r="K586" s="181"/>
      <c r="L586" s="110"/>
      <c r="M586" s="110"/>
      <c r="N586" s="141"/>
      <c r="O586" s="141"/>
      <c r="P586" s="110"/>
      <c r="Q586" s="110"/>
      <c r="R586" s="110"/>
      <c r="T586" s="267"/>
      <c r="V586" s="116"/>
      <c r="Y586" s="147"/>
      <c r="Z586" s="1"/>
      <c r="AA586" s="147"/>
      <c r="AB586" s="147"/>
      <c r="AC586" s="228"/>
      <c r="AD586" s="242"/>
      <c r="AE586" s="106"/>
      <c r="AF586" s="106"/>
      <c r="AG586" s="154"/>
      <c r="AH586" s="175"/>
      <c r="AI586" s="106"/>
      <c r="AJ586" s="106"/>
      <c r="AK586" s="159"/>
      <c r="AL586" s="138"/>
      <c r="AM586" s="1"/>
      <c r="AN586" s="106"/>
      <c r="AO586" s="106"/>
      <c r="AP586" s="106"/>
      <c r="AQ586" s="159"/>
      <c r="AS586" s="110"/>
      <c r="AW586" s="101"/>
    </row>
    <row r="587" spans="3:49" x14ac:dyDescent="0.3">
      <c r="C587" s="99"/>
      <c r="F587" s="172"/>
      <c r="H587" s="172"/>
      <c r="I587" s="172"/>
      <c r="J587" s="181"/>
      <c r="K587" s="181"/>
      <c r="L587" s="110"/>
      <c r="M587" s="110"/>
      <c r="N587" s="141"/>
      <c r="O587" s="141"/>
      <c r="P587" s="110"/>
      <c r="Q587" s="110"/>
      <c r="R587" s="110"/>
      <c r="T587" s="267">
        <f t="shared" ref="T587:T601" si="97">A235</f>
        <v>149</v>
      </c>
      <c r="U587" s="298"/>
      <c r="V587" s="116" t="str">
        <f t="shared" ref="V587:V601" si="98">C235</f>
        <v>POLE FOUNDATIONS</v>
      </c>
      <c r="W587" s="298"/>
      <c r="Y587" s="147"/>
      <c r="Z587" s="1"/>
      <c r="AA587" s="147"/>
      <c r="AB587" s="147"/>
      <c r="AC587" s="228"/>
      <c r="AD587" s="242"/>
      <c r="AE587" s="106"/>
      <c r="AF587" s="106"/>
      <c r="AG587" s="154"/>
      <c r="AH587" s="175"/>
      <c r="AI587" s="106"/>
      <c r="AJ587" s="106"/>
      <c r="AK587" s="159"/>
      <c r="AL587" s="138"/>
      <c r="AM587" s="1"/>
      <c r="AN587" s="106"/>
      <c r="AO587" s="106"/>
      <c r="AP587" s="106"/>
      <c r="AQ587" s="159"/>
      <c r="AS587" s="110"/>
      <c r="AW587" s="101"/>
    </row>
    <row r="588" spans="3:49" x14ac:dyDescent="0.3">
      <c r="C588" s="99"/>
      <c r="F588" s="172"/>
      <c r="H588" s="172"/>
      <c r="I588" s="172"/>
      <c r="J588" s="181"/>
      <c r="K588" s="181"/>
      <c r="L588" s="110"/>
      <c r="M588" s="110"/>
      <c r="N588" s="141"/>
      <c r="O588" s="141"/>
      <c r="P588" s="110"/>
      <c r="Q588" s="110"/>
      <c r="R588" s="110"/>
      <c r="T588" s="267">
        <f t="shared" si="97"/>
        <v>150</v>
      </c>
      <c r="U588" s="298"/>
      <c r="V588" s="116" t="str">
        <f t="shared" si="98"/>
        <v xml:space="preserve">   Flush - Pre-fabricated - Style A Pole</v>
      </c>
      <c r="W588" s="298"/>
      <c r="Y588" s="147">
        <f t="shared" ref="Y588:Y600" si="99">F236</f>
        <v>0</v>
      </c>
      <c r="Z588" s="1"/>
      <c r="AA588" s="147"/>
      <c r="AB588" s="147"/>
      <c r="AC588" s="228">
        <v>13.3</v>
      </c>
      <c r="AD588" s="242"/>
      <c r="AE588" s="106">
        <f t="shared" ref="AE588:AE600" si="100">ROUND((Y588*(AC588+AD588)),0)</f>
        <v>0</v>
      </c>
      <c r="AF588" s="1"/>
      <c r="AG588" s="154">
        <f t="shared" ref="AG588:AG600" si="101">ROUND((AE588/AE$692)*100,1)</f>
        <v>0</v>
      </c>
      <c r="AH588" s="175"/>
      <c r="AI588" s="106">
        <f t="shared" ref="AI588:AI600" si="102">L236-AE588</f>
        <v>0</v>
      </c>
      <c r="AJ588" s="106"/>
      <c r="AK588" s="159" t="str">
        <f t="shared" ref="AK588:AK601" si="103">IF(AE588=0,"0.0 ",ROUND((AI588/AE588)*100,1))</f>
        <v xml:space="preserve">0.0 </v>
      </c>
      <c r="AL588" s="138"/>
      <c r="AM588" s="106"/>
      <c r="AN588" s="106"/>
      <c r="AO588" s="106">
        <f t="shared" ref="AO588:AO600" si="104">AM588+AE588</f>
        <v>0</v>
      </c>
      <c r="AP588" s="106"/>
      <c r="AQ588" s="159" t="str">
        <f t="shared" ref="AQ588:AQ601" si="105">IF(AO588=0,"0.0 ",ROUND((AI588/AO588)*100,1))</f>
        <v xml:space="preserve">0.0 </v>
      </c>
      <c r="AS588" s="110"/>
      <c r="AW588" s="101"/>
    </row>
    <row r="589" spans="3:49" x14ac:dyDescent="0.3">
      <c r="C589" s="99"/>
      <c r="F589" s="172"/>
      <c r="H589" s="172"/>
      <c r="I589" s="172"/>
      <c r="J589" s="181"/>
      <c r="K589" s="181"/>
      <c r="L589" s="110"/>
      <c r="M589" s="110"/>
      <c r="N589" s="141"/>
      <c r="O589" s="141"/>
      <c r="P589" s="110"/>
      <c r="Q589" s="110"/>
      <c r="R589" s="110"/>
      <c r="T589" s="267">
        <f t="shared" si="97"/>
        <v>151</v>
      </c>
      <c r="V589" s="116" t="str">
        <f t="shared" si="98"/>
        <v xml:space="preserve">   Flush - Pre-fabricated - Style B Pole</v>
      </c>
      <c r="Y589" s="147">
        <f t="shared" si="99"/>
        <v>0</v>
      </c>
      <c r="Z589" s="1"/>
      <c r="AA589" s="147"/>
      <c r="AB589" s="147"/>
      <c r="AC589" s="228">
        <v>12.28</v>
      </c>
      <c r="AD589" s="242"/>
      <c r="AE589" s="106">
        <f t="shared" si="100"/>
        <v>0</v>
      </c>
      <c r="AF589" s="1"/>
      <c r="AG589" s="154">
        <f t="shared" si="101"/>
        <v>0</v>
      </c>
      <c r="AH589" s="175"/>
      <c r="AI589" s="106">
        <f t="shared" si="102"/>
        <v>0</v>
      </c>
      <c r="AJ589" s="106"/>
      <c r="AK589" s="159" t="str">
        <f t="shared" si="103"/>
        <v xml:space="preserve">0.0 </v>
      </c>
      <c r="AL589" s="138"/>
      <c r="AM589" s="106"/>
      <c r="AN589" s="106"/>
      <c r="AO589" s="106">
        <f t="shared" si="104"/>
        <v>0</v>
      </c>
      <c r="AP589" s="106"/>
      <c r="AQ589" s="159" t="str">
        <f t="shared" si="105"/>
        <v xml:space="preserve">0.0 </v>
      </c>
      <c r="AS589" s="110"/>
      <c r="AW589" s="101"/>
    </row>
    <row r="590" spans="3:49" x14ac:dyDescent="0.3">
      <c r="C590" s="99"/>
      <c r="F590" s="172"/>
      <c r="H590" s="172"/>
      <c r="I590" s="172"/>
      <c r="J590" s="181"/>
      <c r="K590" s="181"/>
      <c r="L590" s="110"/>
      <c r="M590" s="110"/>
      <c r="N590" s="141"/>
      <c r="O590" s="141"/>
      <c r="P590" s="110"/>
      <c r="Q590" s="110"/>
      <c r="R590" s="110"/>
      <c r="T590" s="267">
        <f t="shared" si="97"/>
        <v>152</v>
      </c>
      <c r="V590" s="116" t="str">
        <f t="shared" si="98"/>
        <v xml:space="preserve">   Flush - Pre-fabricated - Style C Pole</v>
      </c>
      <c r="Y590" s="147">
        <f t="shared" si="99"/>
        <v>0</v>
      </c>
      <c r="Z590" s="1"/>
      <c r="AA590" s="147"/>
      <c r="AB590" s="147"/>
      <c r="AC590" s="228">
        <v>13.17</v>
      </c>
      <c r="AD590" s="242"/>
      <c r="AE590" s="106">
        <f t="shared" si="100"/>
        <v>0</v>
      </c>
      <c r="AF590" s="1"/>
      <c r="AG590" s="154">
        <f t="shared" si="101"/>
        <v>0</v>
      </c>
      <c r="AH590" s="175"/>
      <c r="AI590" s="106">
        <f t="shared" si="102"/>
        <v>0</v>
      </c>
      <c r="AJ590" s="106"/>
      <c r="AK590" s="159" t="str">
        <f t="shared" si="103"/>
        <v xml:space="preserve">0.0 </v>
      </c>
      <c r="AL590" s="138"/>
      <c r="AM590" s="106"/>
      <c r="AN590" s="106"/>
      <c r="AO590" s="106">
        <f t="shared" si="104"/>
        <v>0</v>
      </c>
      <c r="AP590" s="106"/>
      <c r="AQ590" s="159" t="str">
        <f t="shared" si="105"/>
        <v xml:space="preserve">0.0 </v>
      </c>
      <c r="AS590" s="110"/>
      <c r="AW590" s="101"/>
    </row>
    <row r="591" spans="3:49" x14ac:dyDescent="0.3">
      <c r="C591" s="99"/>
      <c r="F591" s="172"/>
      <c r="H591" s="172"/>
      <c r="I591" s="172"/>
      <c r="J591" s="181"/>
      <c r="K591" s="181"/>
      <c r="L591" s="110"/>
      <c r="M591" s="110"/>
      <c r="N591" s="141"/>
      <c r="O591" s="141"/>
      <c r="P591" s="110"/>
      <c r="Q591" s="110"/>
      <c r="R591" s="110"/>
      <c r="T591" s="267">
        <f t="shared" si="97"/>
        <v>153</v>
      </c>
      <c r="U591" s="299"/>
      <c r="V591" s="116" t="str">
        <f t="shared" si="98"/>
        <v xml:space="preserve">   Flush - Pre-fabricated - Style E Pole</v>
      </c>
      <c r="W591" s="299"/>
      <c r="Y591" s="147">
        <f t="shared" si="99"/>
        <v>0</v>
      </c>
      <c r="Z591" s="1"/>
      <c r="AA591" s="147"/>
      <c r="AB591" s="147"/>
      <c r="AC591" s="228">
        <v>12.28</v>
      </c>
      <c r="AD591" s="242"/>
      <c r="AE591" s="106">
        <f t="shared" si="100"/>
        <v>0</v>
      </c>
      <c r="AF591" s="1"/>
      <c r="AG591" s="154">
        <f t="shared" si="101"/>
        <v>0</v>
      </c>
      <c r="AH591" s="175"/>
      <c r="AI591" s="106">
        <f t="shared" si="102"/>
        <v>0</v>
      </c>
      <c r="AJ591" s="106"/>
      <c r="AK591" s="159" t="str">
        <f t="shared" si="103"/>
        <v xml:space="preserve">0.0 </v>
      </c>
      <c r="AL591" s="138"/>
      <c r="AM591" s="106"/>
      <c r="AN591" s="106"/>
      <c r="AO591" s="106">
        <f t="shared" si="104"/>
        <v>0</v>
      </c>
      <c r="AP591" s="106"/>
      <c r="AQ591" s="159" t="str">
        <f t="shared" si="105"/>
        <v xml:space="preserve">0.0 </v>
      </c>
      <c r="AS591" s="110"/>
      <c r="AW591" s="101"/>
    </row>
    <row r="592" spans="3:49" x14ac:dyDescent="0.3">
      <c r="F592" s="110"/>
      <c r="H592" s="192"/>
      <c r="I592" s="192"/>
      <c r="J592" s="217"/>
      <c r="K592" s="217"/>
      <c r="L592" s="192"/>
      <c r="M592" s="192"/>
      <c r="N592" s="192"/>
      <c r="O592" s="192"/>
      <c r="P592" s="192"/>
      <c r="Q592" s="192"/>
      <c r="R592" s="192"/>
      <c r="T592" s="267">
        <f t="shared" si="97"/>
        <v>154</v>
      </c>
      <c r="V592" s="116" t="str">
        <f t="shared" si="98"/>
        <v xml:space="preserve">   Flush - Pre-fabricated - Style F Pole</v>
      </c>
      <c r="Y592" s="147">
        <f t="shared" si="99"/>
        <v>0</v>
      </c>
      <c r="Z592" s="1"/>
      <c r="AA592" s="147"/>
      <c r="AB592" s="147"/>
      <c r="AC592" s="228">
        <v>12.28</v>
      </c>
      <c r="AD592" s="242"/>
      <c r="AE592" s="106">
        <f t="shared" si="100"/>
        <v>0</v>
      </c>
      <c r="AF592" s="1"/>
      <c r="AG592" s="154">
        <f t="shared" si="101"/>
        <v>0</v>
      </c>
      <c r="AH592" s="175"/>
      <c r="AI592" s="106">
        <f t="shared" si="102"/>
        <v>0</v>
      </c>
      <c r="AJ592" s="106"/>
      <c r="AK592" s="159" t="str">
        <f t="shared" si="103"/>
        <v xml:space="preserve">0.0 </v>
      </c>
      <c r="AL592" s="138"/>
      <c r="AM592" s="106"/>
      <c r="AN592" s="106"/>
      <c r="AO592" s="106">
        <f t="shared" si="104"/>
        <v>0</v>
      </c>
      <c r="AP592" s="106"/>
      <c r="AQ592" s="159" t="str">
        <f t="shared" si="105"/>
        <v xml:space="preserve">0.0 </v>
      </c>
      <c r="AS592" s="110"/>
      <c r="AW592" s="101"/>
    </row>
    <row r="593" spans="3:49" x14ac:dyDescent="0.3">
      <c r="F593" s="110"/>
      <c r="H593" s="192"/>
      <c r="I593" s="192"/>
      <c r="J593" s="217"/>
      <c r="K593" s="217"/>
      <c r="L593" s="192"/>
      <c r="M593" s="192"/>
      <c r="N593" s="192"/>
      <c r="O593" s="192"/>
      <c r="P593" s="192"/>
      <c r="Q593" s="192"/>
      <c r="R593" s="192"/>
      <c r="T593" s="267">
        <f t="shared" si="97"/>
        <v>155</v>
      </c>
      <c r="V593" s="116" t="str">
        <f t="shared" si="98"/>
        <v xml:space="preserve">   Flush - Pre-fabricated - Style D Pole</v>
      </c>
      <c r="Y593" s="147">
        <f t="shared" si="99"/>
        <v>0</v>
      </c>
      <c r="Z593" s="1"/>
      <c r="AA593" s="147"/>
      <c r="AB593" s="147"/>
      <c r="AC593" s="228">
        <v>12.28</v>
      </c>
      <c r="AD593" s="3"/>
      <c r="AE593" s="106">
        <f t="shared" si="100"/>
        <v>0</v>
      </c>
      <c r="AF593" s="1"/>
      <c r="AG593" s="154">
        <f t="shared" si="101"/>
        <v>0</v>
      </c>
      <c r="AH593" s="175"/>
      <c r="AI593" s="106">
        <f t="shared" si="102"/>
        <v>0</v>
      </c>
      <c r="AJ593" s="106"/>
      <c r="AK593" s="159" t="str">
        <f t="shared" si="103"/>
        <v xml:space="preserve">0.0 </v>
      </c>
      <c r="AL593" s="138"/>
      <c r="AM593" s="106"/>
      <c r="AN593" s="106"/>
      <c r="AO593" s="106">
        <f t="shared" si="104"/>
        <v>0</v>
      </c>
      <c r="AP593" s="106"/>
      <c r="AQ593" s="159" t="str">
        <f t="shared" si="105"/>
        <v xml:space="preserve">0.0 </v>
      </c>
      <c r="AS593" s="110"/>
      <c r="AW593" s="101"/>
    </row>
    <row r="594" spans="3:49" x14ac:dyDescent="0.3">
      <c r="F594" s="110"/>
      <c r="H594" s="192"/>
      <c r="I594" s="192"/>
      <c r="J594" s="217"/>
      <c r="K594" s="217"/>
      <c r="L594" s="192"/>
      <c r="M594" s="192"/>
      <c r="N594" s="192"/>
      <c r="O594" s="192"/>
      <c r="P594" s="192"/>
      <c r="Q594" s="192"/>
      <c r="R594" s="192"/>
      <c r="T594" s="267">
        <f t="shared" si="97"/>
        <v>156</v>
      </c>
      <c r="V594" s="116" t="str">
        <f t="shared" si="98"/>
        <v xml:space="preserve">   Reveal - Pre-fabricated - Style A Pole</v>
      </c>
      <c r="Y594" s="147">
        <f t="shared" si="99"/>
        <v>0</v>
      </c>
      <c r="Z594" s="1"/>
      <c r="AA594" s="147"/>
      <c r="AB594" s="147"/>
      <c r="AC594" s="228">
        <v>18.73</v>
      </c>
      <c r="AD594" s="3"/>
      <c r="AE594" s="106">
        <f t="shared" si="100"/>
        <v>0</v>
      </c>
      <c r="AF594" s="1"/>
      <c r="AG594" s="154">
        <f t="shared" si="101"/>
        <v>0</v>
      </c>
      <c r="AH594" s="175"/>
      <c r="AI594" s="106">
        <f t="shared" si="102"/>
        <v>0</v>
      </c>
      <c r="AJ594" s="106"/>
      <c r="AK594" s="159" t="str">
        <f t="shared" si="103"/>
        <v xml:space="preserve">0.0 </v>
      </c>
      <c r="AL594" s="138"/>
      <c r="AM594" s="106"/>
      <c r="AN594" s="106"/>
      <c r="AO594" s="106">
        <f t="shared" si="104"/>
        <v>0</v>
      </c>
      <c r="AP594" s="106"/>
      <c r="AQ594" s="159" t="str">
        <f t="shared" si="105"/>
        <v xml:space="preserve">0.0 </v>
      </c>
      <c r="AS594" s="110"/>
      <c r="AW594" s="101"/>
    </row>
    <row r="595" spans="3:49" x14ac:dyDescent="0.3">
      <c r="F595" s="110"/>
      <c r="H595" s="192"/>
      <c r="I595" s="192"/>
      <c r="J595" s="217"/>
      <c r="K595" s="217"/>
      <c r="L595" s="192"/>
      <c r="M595" s="192"/>
      <c r="N595" s="192"/>
      <c r="O595" s="192"/>
      <c r="P595" s="192"/>
      <c r="Q595" s="192"/>
      <c r="R595" s="192"/>
      <c r="T595" s="267">
        <f t="shared" si="97"/>
        <v>157</v>
      </c>
      <c r="V595" s="116" t="str">
        <f t="shared" si="98"/>
        <v xml:space="preserve">   Reveal - Pre-fabricated - Style B Pole</v>
      </c>
      <c r="Y595" s="147">
        <f t="shared" si="99"/>
        <v>0</v>
      </c>
      <c r="Z595" s="1"/>
      <c r="AA595" s="147"/>
      <c r="AB595" s="147"/>
      <c r="AC595" s="228">
        <v>14.9</v>
      </c>
      <c r="AD595" s="3"/>
      <c r="AE595" s="106">
        <f t="shared" si="100"/>
        <v>0</v>
      </c>
      <c r="AF595" s="1"/>
      <c r="AG595" s="154">
        <f t="shared" si="101"/>
        <v>0</v>
      </c>
      <c r="AH595" s="175"/>
      <c r="AI595" s="106">
        <f t="shared" si="102"/>
        <v>0</v>
      </c>
      <c r="AJ595" s="106"/>
      <c r="AK595" s="159" t="str">
        <f t="shared" si="103"/>
        <v xml:space="preserve">0.0 </v>
      </c>
      <c r="AL595" s="138"/>
      <c r="AM595" s="106"/>
      <c r="AN595" s="106"/>
      <c r="AO595" s="106">
        <f t="shared" si="104"/>
        <v>0</v>
      </c>
      <c r="AP595" s="106"/>
      <c r="AQ595" s="159" t="str">
        <f t="shared" si="105"/>
        <v xml:space="preserve">0.0 </v>
      </c>
      <c r="AS595" s="110"/>
      <c r="AW595" s="101"/>
    </row>
    <row r="596" spans="3:49" x14ac:dyDescent="0.3">
      <c r="F596" s="110"/>
      <c r="H596" s="192"/>
      <c r="I596" s="192"/>
      <c r="J596" s="217"/>
      <c r="K596" s="217"/>
      <c r="L596" s="192"/>
      <c r="M596" s="192"/>
      <c r="N596" s="192"/>
      <c r="O596" s="192"/>
      <c r="P596" s="192"/>
      <c r="Q596" s="192"/>
      <c r="R596" s="192"/>
      <c r="T596" s="267">
        <f t="shared" si="97"/>
        <v>158</v>
      </c>
      <c r="U596" s="292"/>
      <c r="V596" s="116" t="str">
        <f t="shared" si="98"/>
        <v xml:space="preserve">   Reveal - Pre-fabricated - Style C Pole</v>
      </c>
      <c r="W596" s="292"/>
      <c r="Y596" s="147">
        <f t="shared" si="99"/>
        <v>0</v>
      </c>
      <c r="Z596" s="1"/>
      <c r="AA596" s="147"/>
      <c r="AB596" s="147"/>
      <c r="AC596" s="228">
        <v>15.46</v>
      </c>
      <c r="AD596" s="3"/>
      <c r="AE596" s="106">
        <f t="shared" si="100"/>
        <v>0</v>
      </c>
      <c r="AF596" s="1"/>
      <c r="AG596" s="154">
        <f t="shared" si="101"/>
        <v>0</v>
      </c>
      <c r="AH596" s="175"/>
      <c r="AI596" s="106">
        <f t="shared" si="102"/>
        <v>0</v>
      </c>
      <c r="AJ596" s="106"/>
      <c r="AK596" s="159" t="str">
        <f t="shared" si="103"/>
        <v xml:space="preserve">0.0 </v>
      </c>
      <c r="AL596" s="138"/>
      <c r="AM596" s="106"/>
      <c r="AN596" s="106"/>
      <c r="AO596" s="106">
        <f t="shared" si="104"/>
        <v>0</v>
      </c>
      <c r="AP596" s="106"/>
      <c r="AQ596" s="159" t="str">
        <f t="shared" si="105"/>
        <v xml:space="preserve">0.0 </v>
      </c>
      <c r="AS596" s="110"/>
      <c r="AW596" s="101"/>
    </row>
    <row r="597" spans="3:49" x14ac:dyDescent="0.3">
      <c r="C597" s="99"/>
      <c r="F597" s="110"/>
      <c r="H597" s="110"/>
      <c r="I597" s="110"/>
      <c r="J597" s="217"/>
      <c r="K597" s="217"/>
      <c r="L597" s="110"/>
      <c r="M597" s="110"/>
      <c r="N597" s="141"/>
      <c r="O597" s="141"/>
      <c r="P597" s="110"/>
      <c r="Q597" s="110"/>
      <c r="R597" s="110"/>
      <c r="T597" s="267">
        <f t="shared" si="97"/>
        <v>159</v>
      </c>
      <c r="U597" s="292"/>
      <c r="V597" s="116" t="str">
        <f t="shared" si="98"/>
        <v xml:space="preserve">   Reveal - Pre-fabricated - Style D Pole</v>
      </c>
      <c r="W597" s="292"/>
      <c r="Y597" s="147">
        <f t="shared" si="99"/>
        <v>0</v>
      </c>
      <c r="Z597" s="1"/>
      <c r="AA597" s="147"/>
      <c r="AB597" s="147"/>
      <c r="AC597" s="228">
        <v>15.46</v>
      </c>
      <c r="AD597" s="3"/>
      <c r="AE597" s="106">
        <f t="shared" si="100"/>
        <v>0</v>
      </c>
      <c r="AF597" s="1"/>
      <c r="AG597" s="154">
        <f t="shared" si="101"/>
        <v>0</v>
      </c>
      <c r="AH597" s="175"/>
      <c r="AI597" s="106">
        <f t="shared" si="102"/>
        <v>0</v>
      </c>
      <c r="AJ597" s="106"/>
      <c r="AK597" s="159" t="str">
        <f t="shared" si="103"/>
        <v xml:space="preserve">0.0 </v>
      </c>
      <c r="AL597" s="138"/>
      <c r="AM597" s="106"/>
      <c r="AN597" s="106"/>
      <c r="AO597" s="106">
        <f t="shared" si="104"/>
        <v>0</v>
      </c>
      <c r="AP597" s="106"/>
      <c r="AQ597" s="159" t="str">
        <f t="shared" si="105"/>
        <v xml:space="preserve">0.0 </v>
      </c>
      <c r="AS597" s="110"/>
      <c r="AW597" s="101"/>
    </row>
    <row r="598" spans="3:49" x14ac:dyDescent="0.3">
      <c r="C598" s="99"/>
      <c r="F598" s="110"/>
      <c r="H598" s="110"/>
      <c r="I598" s="110"/>
      <c r="J598" s="217"/>
      <c r="K598" s="217"/>
      <c r="L598" s="110"/>
      <c r="M598" s="110"/>
      <c r="N598" s="141"/>
      <c r="O598" s="141"/>
      <c r="P598" s="110"/>
      <c r="Q598" s="110"/>
      <c r="R598" s="110"/>
      <c r="T598" s="267">
        <f t="shared" si="97"/>
        <v>160</v>
      </c>
      <c r="V598" s="116" t="str">
        <f t="shared" si="98"/>
        <v xml:space="preserve">   Reveal - Pre-fabricated - Style E Pole</v>
      </c>
      <c r="Y598" s="147">
        <f t="shared" si="99"/>
        <v>0</v>
      </c>
      <c r="Z598" s="1"/>
      <c r="AA598" s="147"/>
      <c r="AB598" s="147"/>
      <c r="AC598" s="228">
        <v>15.46</v>
      </c>
      <c r="AD598" s="242"/>
      <c r="AE598" s="106">
        <f t="shared" si="100"/>
        <v>0</v>
      </c>
      <c r="AF598" s="1"/>
      <c r="AG598" s="154">
        <f t="shared" si="101"/>
        <v>0</v>
      </c>
      <c r="AH598" s="175"/>
      <c r="AI598" s="106">
        <f t="shared" si="102"/>
        <v>0</v>
      </c>
      <c r="AJ598" s="106"/>
      <c r="AK598" s="159" t="str">
        <f t="shared" si="103"/>
        <v xml:space="preserve">0.0 </v>
      </c>
      <c r="AL598" s="138"/>
      <c r="AM598" s="106"/>
      <c r="AN598" s="106"/>
      <c r="AO598" s="106">
        <f t="shared" si="104"/>
        <v>0</v>
      </c>
      <c r="AP598" s="106"/>
      <c r="AQ598" s="159" t="str">
        <f t="shared" si="105"/>
        <v xml:space="preserve">0.0 </v>
      </c>
      <c r="AS598" s="110"/>
      <c r="AW598" s="101"/>
    </row>
    <row r="599" spans="3:49" x14ac:dyDescent="0.3">
      <c r="C599" s="99"/>
      <c r="F599" s="110"/>
      <c r="H599" s="110"/>
      <c r="I599" s="110"/>
      <c r="J599" s="217"/>
      <c r="K599" s="217"/>
      <c r="L599" s="110"/>
      <c r="M599" s="110"/>
      <c r="N599" s="141"/>
      <c r="O599" s="141"/>
      <c r="P599" s="110"/>
      <c r="Q599" s="110"/>
      <c r="R599" s="110"/>
      <c r="T599" s="267">
        <f t="shared" si="97"/>
        <v>161</v>
      </c>
      <c r="V599" s="116" t="str">
        <f t="shared" si="98"/>
        <v xml:space="preserve">   Reveal - Pre-fabricated - Style F Pole</v>
      </c>
      <c r="Y599" s="147">
        <f t="shared" si="99"/>
        <v>0</v>
      </c>
      <c r="Z599" s="1"/>
      <c r="AA599" s="147"/>
      <c r="AB599" s="147"/>
      <c r="AC599" s="228">
        <v>15.46</v>
      </c>
      <c r="AD599" s="242"/>
      <c r="AE599" s="106">
        <f t="shared" si="100"/>
        <v>0</v>
      </c>
      <c r="AF599" s="1"/>
      <c r="AG599" s="154">
        <f t="shared" si="101"/>
        <v>0</v>
      </c>
      <c r="AH599" s="175"/>
      <c r="AI599" s="106">
        <f t="shared" si="102"/>
        <v>0</v>
      </c>
      <c r="AJ599" s="106"/>
      <c r="AK599" s="159" t="str">
        <f t="shared" si="103"/>
        <v xml:space="preserve">0.0 </v>
      </c>
      <c r="AL599" s="138"/>
      <c r="AM599" s="106"/>
      <c r="AN599" s="106"/>
      <c r="AO599" s="106">
        <f t="shared" si="104"/>
        <v>0</v>
      </c>
      <c r="AP599" s="106"/>
      <c r="AQ599" s="159" t="str">
        <f t="shared" si="105"/>
        <v xml:space="preserve">0.0 </v>
      </c>
      <c r="AS599" s="110"/>
      <c r="AW599" s="101"/>
    </row>
    <row r="600" spans="3:49" x14ac:dyDescent="0.3">
      <c r="F600" s="110"/>
      <c r="H600" s="192"/>
      <c r="I600" s="192"/>
      <c r="J600" s="217"/>
      <c r="K600" s="217"/>
      <c r="L600" s="192"/>
      <c r="M600" s="192"/>
      <c r="N600" s="192"/>
      <c r="O600" s="192"/>
      <c r="P600" s="192"/>
      <c r="Q600" s="192"/>
      <c r="R600" s="192"/>
      <c r="T600" s="267">
        <f t="shared" si="97"/>
        <v>162</v>
      </c>
      <c r="V600" s="116" t="str">
        <f t="shared" si="98"/>
        <v xml:space="preserve">   Screw-in Foundation</v>
      </c>
      <c r="Y600" s="147">
        <f t="shared" si="99"/>
        <v>0</v>
      </c>
      <c r="Z600" s="1"/>
      <c r="AA600" s="147"/>
      <c r="AB600" s="147"/>
      <c r="AC600" s="228">
        <v>7.96</v>
      </c>
      <c r="AD600" s="242"/>
      <c r="AE600" s="106">
        <f t="shared" si="100"/>
        <v>0</v>
      </c>
      <c r="AF600" s="1"/>
      <c r="AG600" s="154">
        <f t="shared" si="101"/>
        <v>0</v>
      </c>
      <c r="AH600" s="175"/>
      <c r="AI600" s="106">
        <f t="shared" si="102"/>
        <v>0</v>
      </c>
      <c r="AJ600" s="106"/>
      <c r="AK600" s="159" t="str">
        <f t="shared" si="103"/>
        <v xml:space="preserve">0.0 </v>
      </c>
      <c r="AL600" s="138"/>
      <c r="AM600" s="106"/>
      <c r="AN600" s="106"/>
      <c r="AO600" s="106">
        <f t="shared" si="104"/>
        <v>0</v>
      </c>
      <c r="AP600" s="106"/>
      <c r="AQ600" s="159" t="str">
        <f t="shared" si="105"/>
        <v xml:space="preserve">0.0 </v>
      </c>
      <c r="AS600" s="110"/>
      <c r="AW600" s="101"/>
    </row>
    <row r="601" spans="3:49" x14ac:dyDescent="0.3">
      <c r="F601" s="110"/>
      <c r="H601" s="110"/>
      <c r="I601" s="110"/>
      <c r="J601" s="217"/>
      <c r="K601" s="217"/>
      <c r="L601" s="110"/>
      <c r="M601" s="110"/>
      <c r="N601" s="110"/>
      <c r="O601" s="110"/>
      <c r="P601" s="110"/>
      <c r="Q601" s="110"/>
      <c r="R601" s="110"/>
      <c r="T601" s="267">
        <f t="shared" si="97"/>
        <v>163</v>
      </c>
      <c r="V601" s="116" t="str">
        <f t="shared" si="98"/>
        <v>TOTAL LED POLE FOUNDATIONS</v>
      </c>
      <c r="Y601" s="246">
        <f>SUM(Y588:Y600)</f>
        <v>0</v>
      </c>
      <c r="Z601" s="1"/>
      <c r="AA601" s="147"/>
      <c r="AB601" s="147"/>
      <c r="AC601" s="228"/>
      <c r="AD601" s="242"/>
      <c r="AE601" s="112">
        <f>SUM(AE588:AE600)</f>
        <v>0</v>
      </c>
      <c r="AG601" s="333">
        <f>SUM(AG588:AG600)</f>
        <v>0</v>
      </c>
      <c r="AI601" s="112">
        <f>SUM(AI588:AI600)</f>
        <v>0</v>
      </c>
      <c r="AK601" s="159" t="str">
        <f t="shared" si="103"/>
        <v xml:space="preserve">0.0 </v>
      </c>
      <c r="AM601" s="112">
        <f>SUM(AM588:AM600)</f>
        <v>0</v>
      </c>
      <c r="AO601" s="112">
        <f>SUM(AO588:AO600)</f>
        <v>0</v>
      </c>
      <c r="AQ601" s="201" t="str">
        <f t="shared" si="105"/>
        <v xml:space="preserve">0.0 </v>
      </c>
      <c r="AS601" s="110"/>
      <c r="AW601" s="101"/>
    </row>
    <row r="602" spans="3:49" x14ac:dyDescent="0.3">
      <c r="F602" s="110"/>
      <c r="H602" s="110"/>
      <c r="I602" s="110"/>
      <c r="J602" s="217"/>
      <c r="K602" s="217"/>
      <c r="L602" s="110"/>
      <c r="M602" s="110"/>
      <c r="N602" s="110"/>
      <c r="O602" s="110"/>
      <c r="P602" s="110"/>
      <c r="Q602" s="110"/>
      <c r="R602" s="110"/>
      <c r="T602" s="267"/>
      <c r="V602" s="116"/>
      <c r="Y602" s="147"/>
      <c r="Z602" s="1"/>
      <c r="AA602" s="147"/>
      <c r="AB602" s="147"/>
      <c r="AC602" s="228"/>
      <c r="AD602" s="242"/>
      <c r="AE602" s="106"/>
      <c r="AG602" s="138"/>
      <c r="AI602" s="106"/>
      <c r="AK602" s="159"/>
      <c r="AM602" s="106"/>
      <c r="AO602" s="106"/>
      <c r="AQ602" s="159"/>
      <c r="AS602" s="110"/>
      <c r="AW602" s="101"/>
    </row>
    <row r="603" spans="3:49" x14ac:dyDescent="0.3">
      <c r="C603" s="99"/>
      <c r="F603" s="172"/>
      <c r="H603" s="220"/>
      <c r="I603" s="220"/>
      <c r="J603" s="181"/>
      <c r="K603" s="181"/>
      <c r="L603" s="110"/>
      <c r="M603" s="110"/>
      <c r="R603" s="110"/>
      <c r="T603" s="267">
        <f t="shared" ref="T603:T616" si="106">A251</f>
        <v>164</v>
      </c>
      <c r="V603" s="116" t="str">
        <f t="shared" ref="V603:V616" si="107">C251</f>
        <v>BRACKETS</v>
      </c>
      <c r="AW603" s="101"/>
    </row>
    <row r="604" spans="3:49" x14ac:dyDescent="0.3">
      <c r="C604" s="99"/>
      <c r="F604" s="172"/>
      <c r="H604" s="172"/>
      <c r="I604" s="172"/>
      <c r="J604" s="222"/>
      <c r="K604" s="222"/>
      <c r="L604" s="110"/>
      <c r="M604" s="110"/>
      <c r="N604" s="141"/>
      <c r="O604" s="141"/>
      <c r="P604" s="172"/>
      <c r="Q604" s="172"/>
      <c r="R604" s="110"/>
      <c r="T604" s="267">
        <f t="shared" si="106"/>
        <v>165</v>
      </c>
      <c r="V604" s="116" t="str">
        <f t="shared" si="107"/>
        <v xml:space="preserve">   14 inch bracket - wood pole - side mount</v>
      </c>
      <c r="Y604" s="110">
        <f t="shared" ref="Y604:Y616" si="108">F252</f>
        <v>0</v>
      </c>
      <c r="AB604" s="220"/>
      <c r="AC604" s="228">
        <v>1.93</v>
      </c>
      <c r="AE604" s="106">
        <f t="shared" ref="AE604:AE653" si="109">ROUND((Y604*(AC604+AD604)),0)</f>
        <v>0</v>
      </c>
      <c r="AF604" s="1"/>
      <c r="AG604" s="154">
        <f t="shared" ref="AG604:AG616" si="110">ROUND((AE604/AE$692)*100,1)</f>
        <v>0</v>
      </c>
      <c r="AH604" s="175"/>
      <c r="AI604" s="106">
        <f t="shared" ref="AI604:AI616" si="111">L252-AE604</f>
        <v>0</v>
      </c>
      <c r="AJ604" s="106"/>
      <c r="AK604" s="159" t="str">
        <f t="shared" ref="AK604:AK666" si="112">IF(AE604=0,"0.0 ",ROUND((AI604/AE604)*100,1))</f>
        <v xml:space="preserve">0.0 </v>
      </c>
      <c r="AL604" s="138"/>
      <c r="AM604" s="106"/>
      <c r="AN604" s="106"/>
      <c r="AO604" s="106">
        <f t="shared" ref="AO604:AO653" si="113">AM604+AE604</f>
        <v>0</v>
      </c>
      <c r="AP604" s="106"/>
      <c r="AQ604" s="159" t="str">
        <f t="shared" ref="AQ604:AQ666" si="114">IF(AO604=0,"0.0 ",ROUND((AI604/AO604)*100,1))</f>
        <v xml:space="preserve">0.0 </v>
      </c>
      <c r="AW604" s="101"/>
    </row>
    <row r="605" spans="3:49" x14ac:dyDescent="0.3">
      <c r="F605" s="192"/>
      <c r="H605" s="192"/>
      <c r="I605" s="192"/>
      <c r="J605" s="217"/>
      <c r="K605" s="217"/>
      <c r="L605" s="192"/>
      <c r="M605" s="192"/>
      <c r="N605" s="192"/>
      <c r="O605" s="192"/>
      <c r="P605" s="192"/>
      <c r="Q605" s="192"/>
      <c r="R605" s="192"/>
      <c r="T605" s="267">
        <f t="shared" si="106"/>
        <v>166</v>
      </c>
      <c r="V605" s="116" t="str">
        <f t="shared" si="107"/>
        <v xml:space="preserve">   4 foot bracket - wood pole - side mount</v>
      </c>
      <c r="Y605" s="110">
        <f t="shared" si="108"/>
        <v>8</v>
      </c>
      <c r="AA605" s="110"/>
      <c r="AB605" s="216"/>
      <c r="AC605" s="228">
        <v>2.16</v>
      </c>
      <c r="AD605" s="110"/>
      <c r="AE605" s="106">
        <f t="shared" si="109"/>
        <v>17</v>
      </c>
      <c r="AF605" s="1"/>
      <c r="AG605" s="154">
        <f t="shared" si="110"/>
        <v>0.1</v>
      </c>
      <c r="AH605" s="175"/>
      <c r="AI605" s="106">
        <f t="shared" si="111"/>
        <v>3</v>
      </c>
      <c r="AJ605" s="106"/>
      <c r="AK605" s="159">
        <f t="shared" si="112"/>
        <v>17.600000000000001</v>
      </c>
      <c r="AL605" s="138"/>
      <c r="AM605" s="106"/>
      <c r="AN605" s="106"/>
      <c r="AO605" s="106">
        <f t="shared" si="113"/>
        <v>17</v>
      </c>
      <c r="AP605" s="106"/>
      <c r="AQ605" s="159">
        <f t="shared" si="114"/>
        <v>17.600000000000001</v>
      </c>
      <c r="AW605" s="101"/>
    </row>
    <row r="606" spans="3:49" x14ac:dyDescent="0.3">
      <c r="D606" s="99"/>
      <c r="E606" s="99"/>
      <c r="F606" s="110"/>
      <c r="H606" s="110"/>
      <c r="I606" s="110"/>
      <c r="J606" s="198"/>
      <c r="K606" s="198"/>
      <c r="L606" s="110"/>
      <c r="M606" s="110"/>
      <c r="N606" s="141"/>
      <c r="O606" s="141"/>
      <c r="P606" s="110"/>
      <c r="Q606" s="110"/>
      <c r="R606" s="110"/>
      <c r="T606" s="267">
        <f t="shared" si="106"/>
        <v>167</v>
      </c>
      <c r="V606" s="116" t="str">
        <f t="shared" si="107"/>
        <v xml:space="preserve">   6 foot bracket - wood pole - side mount</v>
      </c>
      <c r="Y606" s="110">
        <f t="shared" si="108"/>
        <v>0</v>
      </c>
      <c r="AA606" s="192"/>
      <c r="AB606" s="217"/>
      <c r="AC606" s="228">
        <v>2.13</v>
      </c>
      <c r="AD606" s="192"/>
      <c r="AE606" s="106">
        <f t="shared" si="109"/>
        <v>0</v>
      </c>
      <c r="AF606" s="1"/>
      <c r="AG606" s="154">
        <f t="shared" si="110"/>
        <v>0</v>
      </c>
      <c r="AH606" s="175"/>
      <c r="AI606" s="106">
        <f t="shared" si="111"/>
        <v>0</v>
      </c>
      <c r="AJ606" s="106"/>
      <c r="AK606" s="159" t="str">
        <f t="shared" si="112"/>
        <v xml:space="preserve">0.0 </v>
      </c>
      <c r="AL606" s="138"/>
      <c r="AM606" s="106"/>
      <c r="AN606" s="106"/>
      <c r="AO606" s="106">
        <f t="shared" si="113"/>
        <v>0</v>
      </c>
      <c r="AP606" s="106"/>
      <c r="AQ606" s="159" t="str">
        <f t="shared" si="114"/>
        <v xml:space="preserve">0.0 </v>
      </c>
      <c r="AW606" s="101"/>
    </row>
    <row r="607" spans="3:49" x14ac:dyDescent="0.3">
      <c r="F607" s="192"/>
      <c r="H607" s="192"/>
      <c r="I607" s="192"/>
      <c r="J607" s="217"/>
      <c r="K607" s="217"/>
      <c r="L607" s="192"/>
      <c r="M607" s="192"/>
      <c r="N607" s="192"/>
      <c r="O607" s="192"/>
      <c r="P607" s="192"/>
      <c r="Q607" s="192"/>
      <c r="R607" s="192"/>
      <c r="T607" s="267">
        <f t="shared" si="106"/>
        <v>168</v>
      </c>
      <c r="V607" s="116" t="str">
        <f t="shared" si="107"/>
        <v xml:space="preserve">   8 foot bracket - wood pole - side mount</v>
      </c>
      <c r="Y607" s="110">
        <f t="shared" si="108"/>
        <v>5</v>
      </c>
      <c r="AA607" s="110"/>
      <c r="AB607" s="198"/>
      <c r="AC607" s="228">
        <v>2.89</v>
      </c>
      <c r="AD607" s="110"/>
      <c r="AE607" s="106">
        <f t="shared" si="109"/>
        <v>14</v>
      </c>
      <c r="AF607" s="1"/>
      <c r="AG607" s="154">
        <f t="shared" si="110"/>
        <v>0.1</v>
      </c>
      <c r="AH607" s="175"/>
      <c r="AI607" s="106">
        <f t="shared" si="111"/>
        <v>3</v>
      </c>
      <c r="AJ607" s="106"/>
      <c r="AK607" s="159">
        <f t="shared" si="112"/>
        <v>21.4</v>
      </c>
      <c r="AL607" s="138"/>
      <c r="AM607" s="106"/>
      <c r="AN607" s="106"/>
      <c r="AO607" s="106">
        <f t="shared" si="113"/>
        <v>14</v>
      </c>
      <c r="AP607" s="106"/>
      <c r="AQ607" s="159">
        <f t="shared" si="114"/>
        <v>21.4</v>
      </c>
      <c r="AW607" s="101"/>
    </row>
    <row r="608" spans="3:49" x14ac:dyDescent="0.3">
      <c r="R608" s="110"/>
      <c r="T608" s="267">
        <f t="shared" si="106"/>
        <v>169</v>
      </c>
      <c r="V608" s="116" t="str">
        <f t="shared" si="107"/>
        <v xml:space="preserve">   10 foot bracket - wood pole - side mount</v>
      </c>
      <c r="Y608" s="110">
        <f t="shared" si="108"/>
        <v>0</v>
      </c>
      <c r="AA608" s="192"/>
      <c r="AB608" s="217"/>
      <c r="AC608" s="228">
        <v>4.7699999999999996</v>
      </c>
      <c r="AD608" s="192"/>
      <c r="AE608" s="106">
        <f t="shared" si="109"/>
        <v>0</v>
      </c>
      <c r="AF608" s="1"/>
      <c r="AG608" s="154">
        <f t="shared" si="110"/>
        <v>0</v>
      </c>
      <c r="AH608" s="175"/>
      <c r="AI608" s="106">
        <f t="shared" si="111"/>
        <v>0</v>
      </c>
      <c r="AJ608" s="106"/>
      <c r="AK608" s="159" t="str">
        <f t="shared" si="112"/>
        <v xml:space="preserve">0.0 </v>
      </c>
      <c r="AL608" s="138"/>
      <c r="AM608" s="106"/>
      <c r="AN608" s="106"/>
      <c r="AO608" s="106">
        <f t="shared" si="113"/>
        <v>0</v>
      </c>
      <c r="AP608" s="106"/>
      <c r="AQ608" s="159" t="str">
        <f t="shared" si="114"/>
        <v xml:space="preserve">0.0 </v>
      </c>
      <c r="AW608" s="101"/>
    </row>
    <row r="609" spans="3:49" x14ac:dyDescent="0.3">
      <c r="R609" s="110"/>
      <c r="T609" s="267">
        <f t="shared" si="106"/>
        <v>170</v>
      </c>
      <c r="V609" s="116" t="str">
        <f t="shared" si="107"/>
        <v xml:space="preserve">   12 foot bracket - wood pole - side mount</v>
      </c>
      <c r="Y609" s="110">
        <f t="shared" si="108"/>
        <v>0</v>
      </c>
      <c r="AC609" s="228">
        <v>4.34</v>
      </c>
      <c r="AE609" s="106">
        <f t="shared" si="109"/>
        <v>0</v>
      </c>
      <c r="AF609" s="1"/>
      <c r="AG609" s="154">
        <f t="shared" si="110"/>
        <v>0</v>
      </c>
      <c r="AH609" s="175"/>
      <c r="AI609" s="106">
        <f t="shared" si="111"/>
        <v>0</v>
      </c>
      <c r="AJ609" s="106"/>
      <c r="AK609" s="159" t="str">
        <f t="shared" si="112"/>
        <v xml:space="preserve">0.0 </v>
      </c>
      <c r="AL609" s="138"/>
      <c r="AM609" s="106"/>
      <c r="AN609" s="106"/>
      <c r="AO609" s="106">
        <f t="shared" si="113"/>
        <v>0</v>
      </c>
      <c r="AP609" s="106"/>
      <c r="AQ609" s="159" t="str">
        <f t="shared" si="114"/>
        <v xml:space="preserve">0.0 </v>
      </c>
      <c r="AW609" s="101"/>
    </row>
    <row r="610" spans="3:49" x14ac:dyDescent="0.3">
      <c r="R610" s="110"/>
      <c r="T610" s="267">
        <f t="shared" si="106"/>
        <v>171</v>
      </c>
      <c r="V610" s="116" t="str">
        <f t="shared" si="107"/>
        <v xml:space="preserve">   15 foot bracket - wood pole - side mount</v>
      </c>
      <c r="Y610" s="110">
        <f t="shared" si="108"/>
        <v>5</v>
      </c>
      <c r="AC610" s="228">
        <v>5.07</v>
      </c>
      <c r="AE610" s="106">
        <f t="shared" si="109"/>
        <v>25</v>
      </c>
      <c r="AF610" s="1"/>
      <c r="AG610" s="154">
        <f t="shared" si="110"/>
        <v>0.1</v>
      </c>
      <c r="AH610" s="175"/>
      <c r="AI610" s="106">
        <f t="shared" si="111"/>
        <v>4</v>
      </c>
      <c r="AJ610" s="106"/>
      <c r="AK610" s="159">
        <f t="shared" si="112"/>
        <v>16</v>
      </c>
      <c r="AL610" s="138"/>
      <c r="AM610" s="106"/>
      <c r="AN610" s="106"/>
      <c r="AO610" s="106">
        <f t="shared" si="113"/>
        <v>25</v>
      </c>
      <c r="AP610" s="106"/>
      <c r="AQ610" s="159">
        <f t="shared" si="114"/>
        <v>16</v>
      </c>
      <c r="AW610" s="101"/>
    </row>
    <row r="611" spans="3:49" x14ac:dyDescent="0.3">
      <c r="C611" s="99"/>
      <c r="D611" s="99"/>
      <c r="E611" s="99"/>
      <c r="H611" s="110"/>
      <c r="I611" s="110"/>
      <c r="J611" s="198"/>
      <c r="K611" s="198"/>
      <c r="L611" s="110"/>
      <c r="M611" s="110"/>
      <c r="N611" s="141"/>
      <c r="O611" s="141"/>
      <c r="P611" s="110"/>
      <c r="Q611" s="110"/>
      <c r="R611" s="110"/>
      <c r="T611" s="267">
        <f t="shared" si="106"/>
        <v>172</v>
      </c>
      <c r="V611" s="116" t="str">
        <f t="shared" si="107"/>
        <v xml:space="preserve">   4 foot bracket - metal pole - side mount</v>
      </c>
      <c r="Y611" s="110">
        <f t="shared" si="108"/>
        <v>0</v>
      </c>
      <c r="AC611" s="228">
        <v>5.14</v>
      </c>
      <c r="AE611" s="106">
        <f t="shared" si="109"/>
        <v>0</v>
      </c>
      <c r="AF611" s="1"/>
      <c r="AG611" s="154">
        <f t="shared" si="110"/>
        <v>0</v>
      </c>
      <c r="AH611" s="175"/>
      <c r="AI611" s="106">
        <f t="shared" si="111"/>
        <v>0</v>
      </c>
      <c r="AJ611" s="106"/>
      <c r="AK611" s="159" t="str">
        <f t="shared" si="112"/>
        <v xml:space="preserve">0.0 </v>
      </c>
      <c r="AL611" s="138"/>
      <c r="AM611" s="106"/>
      <c r="AN611" s="106"/>
      <c r="AO611" s="106">
        <f t="shared" si="113"/>
        <v>0</v>
      </c>
      <c r="AP611" s="106"/>
      <c r="AQ611" s="159" t="str">
        <f t="shared" si="114"/>
        <v xml:space="preserve">0.0 </v>
      </c>
      <c r="AW611" s="101"/>
    </row>
    <row r="612" spans="3:49" x14ac:dyDescent="0.3">
      <c r="H612" s="110"/>
      <c r="I612" s="110"/>
      <c r="J612" s="198"/>
      <c r="K612" s="198"/>
      <c r="L612" s="110"/>
      <c r="M612" s="110"/>
      <c r="N612" s="141"/>
      <c r="O612" s="141"/>
      <c r="P612" s="110"/>
      <c r="Q612" s="110"/>
      <c r="R612" s="110"/>
      <c r="T612" s="267">
        <f t="shared" si="106"/>
        <v>173</v>
      </c>
      <c r="V612" s="116" t="str">
        <f t="shared" si="107"/>
        <v xml:space="preserve">   6 foot bracket - metal pole - side mount</v>
      </c>
      <c r="Y612" s="110">
        <f t="shared" si="108"/>
        <v>0</v>
      </c>
      <c r="AA612" s="110"/>
      <c r="AB612" s="198"/>
      <c r="AC612" s="228">
        <v>5.21</v>
      </c>
      <c r="AD612" s="110"/>
      <c r="AE612" s="106">
        <f t="shared" si="109"/>
        <v>0</v>
      </c>
      <c r="AF612" s="1"/>
      <c r="AG612" s="154">
        <f t="shared" si="110"/>
        <v>0</v>
      </c>
      <c r="AH612" s="175"/>
      <c r="AI612" s="106">
        <f t="shared" si="111"/>
        <v>0</v>
      </c>
      <c r="AJ612" s="106"/>
      <c r="AK612" s="159" t="str">
        <f t="shared" si="112"/>
        <v xml:space="preserve">0.0 </v>
      </c>
      <c r="AL612" s="138"/>
      <c r="AM612" s="106"/>
      <c r="AN612" s="106"/>
      <c r="AO612" s="106">
        <f t="shared" si="113"/>
        <v>0</v>
      </c>
      <c r="AP612" s="106"/>
      <c r="AQ612" s="159" t="str">
        <f t="shared" si="114"/>
        <v xml:space="preserve">0.0 </v>
      </c>
      <c r="AW612" s="101"/>
    </row>
    <row r="613" spans="3:49" x14ac:dyDescent="0.3">
      <c r="C613" s="99"/>
      <c r="F613" s="172"/>
      <c r="H613" s="172"/>
      <c r="I613" s="172"/>
      <c r="J613" s="208"/>
      <c r="K613" s="208"/>
      <c r="L613" s="172"/>
      <c r="M613" s="172"/>
      <c r="N613" s="141"/>
      <c r="O613" s="141"/>
      <c r="P613" s="110"/>
      <c r="Q613" s="110"/>
      <c r="R613" s="110"/>
      <c r="T613" s="267">
        <f t="shared" si="106"/>
        <v>174</v>
      </c>
      <c r="V613" s="116" t="str">
        <f t="shared" si="107"/>
        <v xml:space="preserve">   8 foot bracket - metal pole - side mount</v>
      </c>
      <c r="Y613" s="110">
        <f t="shared" si="108"/>
        <v>0</v>
      </c>
      <c r="AA613" s="110"/>
      <c r="AB613" s="198"/>
      <c r="AC613" s="228">
        <v>6.47</v>
      </c>
      <c r="AD613" s="110"/>
      <c r="AE613" s="106">
        <f t="shared" si="109"/>
        <v>0</v>
      </c>
      <c r="AF613" s="1"/>
      <c r="AG613" s="154">
        <f t="shared" si="110"/>
        <v>0</v>
      </c>
      <c r="AH613" s="175"/>
      <c r="AI613" s="106">
        <f t="shared" si="111"/>
        <v>0</v>
      </c>
      <c r="AJ613" s="106"/>
      <c r="AK613" s="159" t="str">
        <f t="shared" si="112"/>
        <v xml:space="preserve">0.0 </v>
      </c>
      <c r="AL613" s="138"/>
      <c r="AM613" s="106"/>
      <c r="AN613" s="106"/>
      <c r="AO613" s="106">
        <f t="shared" si="113"/>
        <v>0</v>
      </c>
      <c r="AP613" s="106"/>
      <c r="AQ613" s="159" t="str">
        <f t="shared" si="114"/>
        <v xml:space="preserve">0.0 </v>
      </c>
      <c r="AW613" s="101"/>
    </row>
    <row r="614" spans="3:49" x14ac:dyDescent="0.3">
      <c r="F614" s="172"/>
      <c r="H614" s="220"/>
      <c r="I614" s="220"/>
      <c r="J614" s="220"/>
      <c r="K614" s="220"/>
      <c r="R614" s="110"/>
      <c r="T614" s="267">
        <f t="shared" si="106"/>
        <v>175</v>
      </c>
      <c r="V614" s="116" t="str">
        <f t="shared" si="107"/>
        <v xml:space="preserve">   10 foot bracket - metal pole - side mount</v>
      </c>
      <c r="Y614" s="110">
        <f t="shared" si="108"/>
        <v>0</v>
      </c>
      <c r="AA614" s="110"/>
      <c r="AB614" s="208"/>
      <c r="AC614" s="228">
        <v>6.82</v>
      </c>
      <c r="AD614" s="110"/>
      <c r="AE614" s="106">
        <f t="shared" si="109"/>
        <v>0</v>
      </c>
      <c r="AF614" s="1"/>
      <c r="AG614" s="154">
        <f t="shared" si="110"/>
        <v>0</v>
      </c>
      <c r="AH614" s="175"/>
      <c r="AI614" s="106">
        <f t="shared" si="111"/>
        <v>0</v>
      </c>
      <c r="AJ614" s="106"/>
      <c r="AK614" s="159" t="str">
        <f t="shared" si="112"/>
        <v xml:space="preserve">0.0 </v>
      </c>
      <c r="AL614" s="138"/>
      <c r="AM614" s="106"/>
      <c r="AN614" s="106"/>
      <c r="AO614" s="106">
        <f t="shared" si="113"/>
        <v>0</v>
      </c>
      <c r="AP614" s="106"/>
      <c r="AQ614" s="159" t="str">
        <f t="shared" si="114"/>
        <v xml:space="preserve">0.0 </v>
      </c>
      <c r="AW614" s="101"/>
    </row>
    <row r="615" spans="3:49" x14ac:dyDescent="0.3">
      <c r="C615" s="99"/>
      <c r="F615" s="172"/>
      <c r="H615" s="172"/>
      <c r="I615" s="172"/>
      <c r="J615" s="181"/>
      <c r="K615" s="181"/>
      <c r="L615" s="110"/>
      <c r="M615" s="110"/>
      <c r="N615" s="141"/>
      <c r="O615" s="141"/>
      <c r="P615" s="110"/>
      <c r="Q615" s="110"/>
      <c r="R615" s="110"/>
      <c r="T615" s="267">
        <f t="shared" si="106"/>
        <v>176</v>
      </c>
      <c r="V615" s="116" t="str">
        <f t="shared" si="107"/>
        <v xml:space="preserve">   12 foot bracket - metal pole - side mount</v>
      </c>
      <c r="Y615" s="110">
        <f t="shared" si="108"/>
        <v>0</v>
      </c>
      <c r="AB615" s="220"/>
      <c r="AC615" s="228">
        <v>6.23</v>
      </c>
      <c r="AE615" s="106">
        <f t="shared" si="109"/>
        <v>0</v>
      </c>
      <c r="AF615" s="1"/>
      <c r="AG615" s="154">
        <f t="shared" si="110"/>
        <v>0</v>
      </c>
      <c r="AH615" s="175"/>
      <c r="AI615" s="106">
        <f t="shared" si="111"/>
        <v>0</v>
      </c>
      <c r="AJ615" s="106"/>
      <c r="AK615" s="159" t="str">
        <f t="shared" si="112"/>
        <v xml:space="preserve">0.0 </v>
      </c>
      <c r="AL615" s="138"/>
      <c r="AM615" s="106"/>
      <c r="AN615" s="106"/>
      <c r="AO615" s="106">
        <f t="shared" si="113"/>
        <v>0</v>
      </c>
      <c r="AP615" s="106"/>
      <c r="AQ615" s="159" t="str">
        <f t="shared" si="114"/>
        <v xml:space="preserve">0.0 </v>
      </c>
      <c r="AW615" s="101"/>
    </row>
    <row r="616" spans="3:49" x14ac:dyDescent="0.3">
      <c r="F616" s="172"/>
      <c r="H616" s="220"/>
      <c r="I616" s="220"/>
      <c r="J616" s="220"/>
      <c r="K616" s="220"/>
      <c r="R616" s="110"/>
      <c r="T616" s="267">
        <f t="shared" si="106"/>
        <v>177</v>
      </c>
      <c r="V616" s="116" t="str">
        <f t="shared" si="107"/>
        <v xml:space="preserve">   15 foot bracket - metal pole - side mount</v>
      </c>
      <c r="Y616" s="110">
        <f t="shared" si="108"/>
        <v>0</v>
      </c>
      <c r="AA616" s="110"/>
      <c r="AB616" s="181"/>
      <c r="AC616" s="228">
        <v>7.44</v>
      </c>
      <c r="AD616" s="110"/>
      <c r="AE616" s="106">
        <f t="shared" si="109"/>
        <v>0</v>
      </c>
      <c r="AF616" s="1"/>
      <c r="AG616" s="154">
        <f t="shared" si="110"/>
        <v>0</v>
      </c>
      <c r="AH616" s="175"/>
      <c r="AI616" s="106">
        <f t="shared" si="111"/>
        <v>0</v>
      </c>
      <c r="AJ616" s="106"/>
      <c r="AK616" s="159" t="str">
        <f t="shared" si="112"/>
        <v xml:space="preserve">0.0 </v>
      </c>
      <c r="AL616" s="138"/>
      <c r="AM616" s="106"/>
      <c r="AN616" s="106"/>
      <c r="AO616" s="106">
        <f t="shared" si="113"/>
        <v>0</v>
      </c>
      <c r="AP616" s="106"/>
      <c r="AQ616" s="159" t="str">
        <f t="shared" si="114"/>
        <v xml:space="preserve">0.0 </v>
      </c>
      <c r="AW616" s="101"/>
    </row>
    <row r="617" spans="3:49" x14ac:dyDescent="0.3">
      <c r="F617" s="172"/>
      <c r="H617" s="220"/>
      <c r="I617" s="220"/>
      <c r="J617" s="220"/>
      <c r="K617" s="220"/>
      <c r="R617" s="110"/>
      <c r="T617" s="267"/>
      <c r="V617" s="116"/>
      <c r="Y617" s="110"/>
      <c r="AA617" s="110"/>
      <c r="AB617" s="181"/>
      <c r="AD617" s="110"/>
      <c r="AE617" s="106"/>
      <c r="AF617" s="1"/>
      <c r="AG617" s="154"/>
      <c r="AH617" s="175"/>
      <c r="AI617" s="106"/>
      <c r="AJ617" s="106"/>
      <c r="AK617" s="159"/>
      <c r="AL617" s="138"/>
      <c r="AM617" s="106"/>
      <c r="AN617" s="106"/>
      <c r="AO617" s="106"/>
      <c r="AP617" s="106"/>
      <c r="AQ617" s="159"/>
      <c r="AW617" s="101"/>
    </row>
    <row r="618" spans="3:49" x14ac:dyDescent="0.3">
      <c r="F618" s="172"/>
      <c r="H618" s="220"/>
      <c r="I618" s="220"/>
      <c r="J618" s="220"/>
      <c r="K618" s="220"/>
      <c r="R618" s="110"/>
      <c r="T618" s="178" t="s">
        <v>76</v>
      </c>
      <c r="V618" s="116"/>
      <c r="Y618" s="147"/>
      <c r="Z618" s="1"/>
      <c r="AA618" s="147"/>
      <c r="AB618" s="147"/>
      <c r="AC618" s="228"/>
      <c r="AD618" s="228"/>
      <c r="AE618" s="106"/>
      <c r="AF618" s="106"/>
      <c r="AG618" s="154"/>
      <c r="AH618" s="175"/>
      <c r="AI618" s="106"/>
      <c r="AJ618" s="106"/>
      <c r="AK618" s="159"/>
      <c r="AL618" s="138"/>
      <c r="AM618" s="106"/>
      <c r="AN618" s="106"/>
      <c r="AO618" s="106"/>
      <c r="AP618" s="106"/>
      <c r="AQ618" s="159"/>
      <c r="AW618" s="101"/>
    </row>
    <row r="619" spans="3:49" x14ac:dyDescent="0.3">
      <c r="F619" s="172"/>
      <c r="H619" s="220"/>
      <c r="I619" s="220"/>
      <c r="J619" s="220"/>
      <c r="K619" s="220"/>
      <c r="R619" s="110"/>
      <c r="T619" s="178" t="str">
        <f>"(1A) REFLECTS FUEL COST RECOVERY INCLUDED IN BASE RATES OF "&amp;TEXT(CUR_BASE_FUEL,"$0.000000;($0.000000)")&amp;"  PER KWH."</f>
        <v>(1A) REFLECTS FUEL COST RECOVERY INCLUDED IN BASE RATES OF $0.033780  PER KWH.</v>
      </c>
      <c r="V619" s="116"/>
      <c r="Y619" s="147"/>
      <c r="Z619" s="1"/>
      <c r="AA619" s="147"/>
      <c r="AB619" s="147"/>
      <c r="AC619" s="228"/>
      <c r="AD619" s="228"/>
      <c r="AE619" s="106"/>
      <c r="AF619" s="106"/>
      <c r="AG619" s="154"/>
      <c r="AH619" s="175"/>
      <c r="AI619" s="106"/>
      <c r="AJ619" s="106"/>
      <c r="AK619" s="159"/>
      <c r="AL619" s="138"/>
      <c r="AM619" s="106"/>
      <c r="AN619" s="106"/>
      <c r="AO619" s="106"/>
      <c r="AP619" s="106"/>
      <c r="AQ619" s="159"/>
      <c r="AW619" s="101"/>
    </row>
    <row r="620" spans="3:49" x14ac:dyDescent="0.3">
      <c r="F620" s="172"/>
      <c r="H620" s="220"/>
      <c r="I620" s="220"/>
      <c r="J620" s="220"/>
      <c r="K620" s="220"/>
      <c r="R620" s="110"/>
      <c r="T620" s="178" t="str">
        <f>"(2) REFLECTS FUEL COMPONENT OF "&amp;TEXT(CUR_FAC,"$0.000000;($0.000000)")&amp;"  PER KWH."</f>
        <v>(2) REFLECTS FUEL COMPONENT OF $0.003487  PER KWH.</v>
      </c>
      <c r="V620" s="116"/>
      <c r="Y620" s="147"/>
      <c r="Z620" s="1"/>
      <c r="AA620" s="147"/>
      <c r="AB620" s="147"/>
      <c r="AC620" s="228"/>
      <c r="AD620" s="228"/>
      <c r="AE620" s="106"/>
      <c r="AF620" s="106"/>
      <c r="AG620" s="154"/>
      <c r="AH620" s="175"/>
      <c r="AI620" s="106"/>
      <c r="AJ620" s="106"/>
      <c r="AK620" s="159"/>
      <c r="AL620" s="138"/>
      <c r="AM620" s="106"/>
      <c r="AN620" s="106"/>
      <c r="AO620" s="106"/>
      <c r="AP620" s="106"/>
      <c r="AQ620" s="159"/>
      <c r="AW620" s="101"/>
    </row>
    <row r="621" spans="3:49" x14ac:dyDescent="0.3">
      <c r="F621" s="172"/>
      <c r="H621" s="220"/>
      <c r="I621" s="220"/>
      <c r="J621" s="220"/>
      <c r="K621" s="220"/>
      <c r="R621" s="110"/>
      <c r="T621" s="267"/>
      <c r="V621" s="116"/>
      <c r="Y621" s="147"/>
      <c r="Z621" s="1"/>
      <c r="AA621" s="147"/>
      <c r="AB621" s="147"/>
      <c r="AC621" s="228"/>
      <c r="AD621" s="228"/>
      <c r="AE621" s="106"/>
      <c r="AF621" s="106"/>
      <c r="AG621" s="154"/>
      <c r="AH621" s="175"/>
      <c r="AI621" s="106"/>
      <c r="AJ621" s="106"/>
      <c r="AK621" s="159"/>
      <c r="AL621" s="138"/>
      <c r="AM621" s="106"/>
      <c r="AN621" s="106"/>
      <c r="AO621" s="106"/>
      <c r="AP621" s="106"/>
      <c r="AQ621" s="159"/>
      <c r="AW621" s="101"/>
    </row>
    <row r="622" spans="3:49" x14ac:dyDescent="0.3">
      <c r="F622" s="172"/>
      <c r="H622" s="220"/>
      <c r="I622" s="220"/>
      <c r="J622" s="220"/>
      <c r="K622" s="220"/>
      <c r="R622" s="110"/>
      <c r="T622" s="353" t="str">
        <f>NAME</f>
        <v>DUKE ENERGY KENTUCKY, INC.</v>
      </c>
      <c r="U622" s="353"/>
      <c r="V622" s="353"/>
      <c r="W622" s="353"/>
      <c r="X622" s="353"/>
      <c r="Y622" s="353"/>
      <c r="Z622" s="353"/>
      <c r="AA622" s="353"/>
      <c r="AB622" s="353"/>
      <c r="AC622" s="353"/>
      <c r="AD622" s="353"/>
      <c r="AE622" s="353"/>
      <c r="AF622" s="353"/>
      <c r="AG622" s="353"/>
      <c r="AH622" s="353"/>
      <c r="AI622" s="353"/>
      <c r="AJ622" s="353"/>
      <c r="AK622" s="353"/>
      <c r="AL622" s="353"/>
      <c r="AM622" s="353"/>
      <c r="AN622" s="353"/>
      <c r="AO622" s="353"/>
      <c r="AP622" s="353"/>
      <c r="AQ622" s="353"/>
      <c r="AW622" s="101"/>
    </row>
    <row r="623" spans="3:49" x14ac:dyDescent="0.3">
      <c r="F623" s="172"/>
      <c r="H623" s="220"/>
      <c r="I623" s="220"/>
      <c r="J623" s="220"/>
      <c r="K623" s="220"/>
      <c r="R623" s="110"/>
      <c r="T623" s="97" t="str">
        <f>CASE_NO</f>
        <v>CASE NO.   2024-00354</v>
      </c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W623" s="101"/>
    </row>
    <row r="624" spans="3:49" x14ac:dyDescent="0.3">
      <c r="F624" s="172"/>
      <c r="H624" s="220"/>
      <c r="I624" s="220"/>
      <c r="J624" s="220"/>
      <c r="K624" s="220"/>
      <c r="R624" s="110"/>
      <c r="T624" s="97" t="str">
        <f>TITLE</f>
        <v>ANNUALIZED BASE YEAR REVENUES AT PROPOSED VS. MOST CURRENT RATES</v>
      </c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W624" s="101"/>
    </row>
    <row r="625" spans="6:49" x14ac:dyDescent="0.3">
      <c r="F625" s="172"/>
      <c r="H625" s="220"/>
      <c r="I625" s="220"/>
      <c r="J625" s="220"/>
      <c r="K625" s="220"/>
      <c r="R625" s="110"/>
      <c r="T625" s="97" t="str">
        <f>DATE</f>
        <v>FOR THE TWELVE MONTHS ENDED February 28, 2025</v>
      </c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W625" s="101"/>
    </row>
    <row r="626" spans="6:49" x14ac:dyDescent="0.3">
      <c r="F626" s="172"/>
      <c r="H626" s="220"/>
      <c r="I626" s="220"/>
      <c r="J626" s="220"/>
      <c r="K626" s="220"/>
      <c r="R626" s="110"/>
      <c r="T626" s="97" t="str">
        <f>SERVICE</f>
        <v>(ELECTRIC SERVICE)</v>
      </c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W626" s="101"/>
    </row>
    <row r="627" spans="6:49" x14ac:dyDescent="0.3">
      <c r="F627" s="172"/>
      <c r="H627" s="220"/>
      <c r="I627" s="220"/>
      <c r="J627" s="220"/>
      <c r="K627" s="220"/>
      <c r="R627" s="110"/>
      <c r="T627" s="98" t="str">
        <f>DATA_PERIOD</f>
        <v>DATA: __X__ BASE PERIOD   ____FORECASTED PERIOD</v>
      </c>
      <c r="AG627" s="98"/>
      <c r="AK627" s="98"/>
      <c r="AO627" s="99" t="s">
        <v>157</v>
      </c>
      <c r="AQ627" s="98"/>
      <c r="AW627" s="101"/>
    </row>
    <row r="628" spans="6:49" x14ac:dyDescent="0.3">
      <c r="F628" s="172"/>
      <c r="H628" s="220"/>
      <c r="I628" s="220"/>
      <c r="J628" s="220"/>
      <c r="K628" s="220"/>
      <c r="R628" s="110"/>
      <c r="T628" s="98" t="str">
        <f>TYPE</f>
        <v>TYPE OF FILING: _X_ ORIGINAL   ___UPDATED  ___ REVISED</v>
      </c>
      <c r="AG628" s="98"/>
      <c r="AK628" s="98"/>
      <c r="AO628" s="116" t="str">
        <f>"PAGE 24 OF "&amp;TEXT(Page_Num_2.2,"00")</f>
        <v>PAGE 24 OF 24</v>
      </c>
      <c r="AQ628" s="98"/>
      <c r="AW628" s="101"/>
    </row>
    <row r="629" spans="6:49" x14ac:dyDescent="0.3">
      <c r="F629" s="172"/>
      <c r="H629" s="220"/>
      <c r="I629" s="220"/>
      <c r="J629" s="220"/>
      <c r="K629" s="220"/>
      <c r="R629" s="110"/>
      <c r="T629" s="99" t="s">
        <v>170</v>
      </c>
      <c r="AO629" s="99" t="s">
        <v>4</v>
      </c>
      <c r="AP629" s="99"/>
      <c r="AW629" s="101"/>
    </row>
    <row r="630" spans="6:49" x14ac:dyDescent="0.3">
      <c r="F630" s="172"/>
      <c r="H630" s="220"/>
      <c r="I630" s="220"/>
      <c r="J630" s="220"/>
      <c r="K630" s="220"/>
      <c r="R630" s="110"/>
      <c r="T630" s="134" t="str">
        <f>TIME</f>
        <v>6 Months Actual and 6 Months Projected with Riders</v>
      </c>
      <c r="AF630" s="99"/>
      <c r="AO630" s="110" t="str">
        <f>WIT</f>
        <v>B. L. Sailers</v>
      </c>
      <c r="AW630" s="101"/>
    </row>
    <row r="631" spans="6:49" x14ac:dyDescent="0.3">
      <c r="F631" s="172"/>
      <c r="H631" s="220"/>
      <c r="I631" s="220"/>
      <c r="J631" s="220"/>
      <c r="K631" s="220"/>
      <c r="R631" s="110"/>
      <c r="T631" s="97" t="s">
        <v>130</v>
      </c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149"/>
      <c r="AH631" s="97"/>
      <c r="AI631" s="97"/>
      <c r="AJ631" s="97"/>
      <c r="AK631" s="149"/>
      <c r="AL631" s="97"/>
      <c r="AM631" s="97"/>
      <c r="AN631" s="97"/>
      <c r="AO631" s="97"/>
      <c r="AP631" s="97"/>
      <c r="AW631" s="101"/>
    </row>
    <row r="632" spans="6:49" x14ac:dyDescent="0.3">
      <c r="F632" s="172"/>
      <c r="H632" s="220"/>
      <c r="I632" s="220"/>
      <c r="J632" s="220"/>
      <c r="K632" s="220"/>
      <c r="R632" s="110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0"/>
      <c r="AF632" s="100"/>
      <c r="AG632" s="150"/>
      <c r="AH632" s="100"/>
      <c r="AI632" s="100"/>
      <c r="AJ632" s="100"/>
      <c r="AK632" s="150"/>
      <c r="AL632" s="100"/>
      <c r="AM632" s="100"/>
      <c r="AN632" s="101"/>
      <c r="AO632" s="101"/>
      <c r="AP632" s="101"/>
      <c r="AW632" s="101"/>
    </row>
    <row r="633" spans="6:49" x14ac:dyDescent="0.3">
      <c r="F633" s="172"/>
      <c r="H633" s="220"/>
      <c r="I633" s="220"/>
      <c r="J633" s="220"/>
      <c r="K633" s="220"/>
      <c r="R633" s="110"/>
      <c r="T633" s="174"/>
      <c r="U633" s="174"/>
      <c r="V633" s="174"/>
      <c r="W633" s="174"/>
      <c r="X633" s="174"/>
      <c r="Y633" s="174"/>
      <c r="Z633" s="174"/>
      <c r="AA633" s="174"/>
      <c r="AB633" s="174"/>
      <c r="AC633" s="174"/>
      <c r="AD633" s="174"/>
      <c r="AE633" s="102" t="s">
        <v>8</v>
      </c>
      <c r="AF633" s="102"/>
      <c r="AG633" s="151" t="s">
        <v>7</v>
      </c>
      <c r="AH633" s="102"/>
      <c r="AI633" s="102" t="s">
        <v>9</v>
      </c>
      <c r="AJ633" s="102"/>
      <c r="AK633" s="151" t="s">
        <v>10</v>
      </c>
      <c r="AL633" s="102"/>
      <c r="AN633" s="174"/>
      <c r="AO633" s="254" t="s">
        <v>8</v>
      </c>
      <c r="AP633" s="254"/>
      <c r="AQ633" s="255" t="s">
        <v>11</v>
      </c>
      <c r="AW633" s="101"/>
    </row>
    <row r="634" spans="6:49" x14ac:dyDescent="0.3">
      <c r="F634" s="172"/>
      <c r="H634" s="220"/>
      <c r="I634" s="220"/>
      <c r="J634" s="220"/>
      <c r="K634" s="220"/>
      <c r="R634" s="110"/>
      <c r="AC634" s="332" t="s">
        <v>567</v>
      </c>
      <c r="AD634" s="97"/>
      <c r="AE634" s="102" t="s">
        <v>12</v>
      </c>
      <c r="AF634" s="102"/>
      <c r="AG634" s="151" t="s">
        <v>13</v>
      </c>
      <c r="AH634" s="102"/>
      <c r="AI634" s="102" t="s">
        <v>15</v>
      </c>
      <c r="AJ634" s="102"/>
      <c r="AK634" s="151" t="s">
        <v>16</v>
      </c>
      <c r="AL634" s="102"/>
      <c r="AO634" s="102" t="s">
        <v>11</v>
      </c>
      <c r="AP634" s="102"/>
      <c r="AQ634" s="151" t="s">
        <v>9</v>
      </c>
      <c r="AW634" s="101"/>
    </row>
    <row r="635" spans="6:49" x14ac:dyDescent="0.3">
      <c r="F635" s="172"/>
      <c r="H635" s="220"/>
      <c r="I635" s="220"/>
      <c r="J635" s="220"/>
      <c r="K635" s="220"/>
      <c r="R635" s="110"/>
      <c r="T635" s="102" t="s">
        <v>17</v>
      </c>
      <c r="V635" s="102" t="s">
        <v>18</v>
      </c>
      <c r="W635" s="102" t="s">
        <v>19</v>
      </c>
      <c r="X635" s="102"/>
      <c r="Y635" s="102" t="s">
        <v>20</v>
      </c>
      <c r="AC635" s="102" t="s">
        <v>563</v>
      </c>
      <c r="AD635" s="102" t="s">
        <v>564</v>
      </c>
      <c r="AE635" s="102" t="s">
        <v>593</v>
      </c>
      <c r="AF635" s="102"/>
      <c r="AG635" s="151" t="s">
        <v>593</v>
      </c>
      <c r="AH635" s="102"/>
      <c r="AI635" s="103" t="s">
        <v>708</v>
      </c>
      <c r="AJ635" s="102"/>
      <c r="AK635" s="152" t="s">
        <v>708</v>
      </c>
      <c r="AL635" s="102"/>
      <c r="AM635" s="102" t="s">
        <v>593</v>
      </c>
      <c r="AN635" s="102"/>
      <c r="AO635" s="102" t="s">
        <v>9</v>
      </c>
      <c r="AP635" s="102"/>
      <c r="AQ635" s="151" t="s">
        <v>21</v>
      </c>
      <c r="AW635" s="101"/>
    </row>
    <row r="636" spans="6:49" x14ac:dyDescent="0.3">
      <c r="F636" s="172"/>
      <c r="H636" s="220"/>
      <c r="I636" s="220"/>
      <c r="J636" s="220"/>
      <c r="K636" s="220"/>
      <c r="R636" s="110"/>
      <c r="T636" s="102" t="s">
        <v>22</v>
      </c>
      <c r="V636" s="102" t="s">
        <v>23</v>
      </c>
      <c r="W636" s="102" t="s">
        <v>24</v>
      </c>
      <c r="X636" s="102"/>
      <c r="Y636" s="102" t="s">
        <v>25</v>
      </c>
      <c r="AA636" s="102" t="s">
        <v>26</v>
      </c>
      <c r="AB636" s="102"/>
      <c r="AC636" s="103" t="s">
        <v>27</v>
      </c>
      <c r="AD636" s="103" t="s">
        <v>27</v>
      </c>
      <c r="AE636" s="102" t="s">
        <v>9</v>
      </c>
      <c r="AF636" s="102"/>
      <c r="AG636" s="151" t="s">
        <v>9</v>
      </c>
      <c r="AH636" s="102"/>
      <c r="AI636" s="131" t="s">
        <v>29</v>
      </c>
      <c r="AJ636" s="131"/>
      <c r="AK636" s="165" t="s">
        <v>30</v>
      </c>
      <c r="AL636" s="102"/>
      <c r="AM636" s="102" t="s">
        <v>323</v>
      </c>
      <c r="AN636" s="102"/>
      <c r="AO636" s="131" t="s">
        <v>31</v>
      </c>
      <c r="AP636" s="131"/>
      <c r="AQ636" s="165" t="s">
        <v>32</v>
      </c>
      <c r="AW636" s="101"/>
    </row>
    <row r="637" spans="6:49" x14ac:dyDescent="0.3">
      <c r="F637" s="172"/>
      <c r="H637" s="220"/>
      <c r="I637" s="220"/>
      <c r="J637" s="220"/>
      <c r="K637" s="220"/>
      <c r="R637" s="110"/>
      <c r="V637" s="131" t="s">
        <v>33</v>
      </c>
      <c r="W637" s="131" t="s">
        <v>34</v>
      </c>
      <c r="X637" s="131"/>
      <c r="Y637" s="131" t="s">
        <v>35</v>
      </c>
      <c r="Z637" s="134"/>
      <c r="AA637" s="131" t="s">
        <v>36</v>
      </c>
      <c r="AB637" s="131"/>
      <c r="AC637" s="146" t="s">
        <v>569</v>
      </c>
      <c r="AD637" s="146" t="s">
        <v>568</v>
      </c>
      <c r="AE637" s="131" t="s">
        <v>43</v>
      </c>
      <c r="AF637" s="131"/>
      <c r="AG637" s="165" t="s">
        <v>44</v>
      </c>
      <c r="AH637" s="131"/>
      <c r="AI637" s="131" t="s">
        <v>45</v>
      </c>
      <c r="AJ637" s="131"/>
      <c r="AK637" s="165" t="s">
        <v>46</v>
      </c>
      <c r="AL637" s="131"/>
      <c r="AM637" s="131" t="s">
        <v>40</v>
      </c>
      <c r="AN637" s="131"/>
      <c r="AO637" s="131" t="s">
        <v>47</v>
      </c>
      <c r="AP637" s="131"/>
      <c r="AQ637" s="165" t="s">
        <v>48</v>
      </c>
      <c r="AW637" s="101"/>
    </row>
    <row r="638" spans="6:49" x14ac:dyDescent="0.3">
      <c r="F638" s="172"/>
      <c r="H638" s="220"/>
      <c r="I638" s="220"/>
      <c r="J638" s="220"/>
      <c r="K638" s="220"/>
      <c r="R638" s="110"/>
      <c r="T638" s="174"/>
      <c r="U638" s="174"/>
      <c r="V638" s="174"/>
      <c r="W638" s="174"/>
      <c r="X638" s="174"/>
      <c r="Y638" s="174"/>
      <c r="Z638" s="174"/>
      <c r="AA638" s="258" t="s">
        <v>49</v>
      </c>
      <c r="AB638" s="258"/>
      <c r="AC638" s="257" t="s">
        <v>69</v>
      </c>
      <c r="AD638" s="258"/>
      <c r="AE638" s="258" t="s">
        <v>50</v>
      </c>
      <c r="AF638" s="258"/>
      <c r="AG638" s="259" t="s">
        <v>51</v>
      </c>
      <c r="AH638" s="258"/>
      <c r="AI638" s="258" t="s">
        <v>50</v>
      </c>
      <c r="AJ638" s="258"/>
      <c r="AK638" s="259" t="s">
        <v>51</v>
      </c>
      <c r="AL638" s="258"/>
      <c r="AM638" s="258" t="s">
        <v>50</v>
      </c>
      <c r="AN638" s="258"/>
      <c r="AO638" s="258" t="s">
        <v>50</v>
      </c>
      <c r="AP638" s="258"/>
      <c r="AQ638" s="259" t="s">
        <v>51</v>
      </c>
      <c r="AW638" s="101"/>
    </row>
    <row r="639" spans="6:49" x14ac:dyDescent="0.3">
      <c r="F639" s="172"/>
      <c r="H639" s="220"/>
      <c r="I639" s="220"/>
      <c r="J639" s="220"/>
      <c r="K639" s="220"/>
      <c r="R639" s="110"/>
      <c r="T639" s="267">
        <f t="shared" ref="T639:T640" si="115">A287</f>
        <v>178</v>
      </c>
      <c r="V639" s="116" t="str">
        <f t="shared" ref="V639:V640" si="116">C287</f>
        <v>LED</v>
      </c>
      <c r="W639" s="116" t="str">
        <f t="shared" ref="W639" si="117">D287</f>
        <v>STREET LIGHTING -- LED (CONT'D)</v>
      </c>
      <c r="Y639" s="147"/>
      <c r="Z639" s="1"/>
      <c r="AA639" s="147"/>
      <c r="AB639" s="147"/>
      <c r="AC639" s="228"/>
      <c r="AD639" s="228"/>
      <c r="AE639" s="106"/>
      <c r="AF639" s="106"/>
      <c r="AG639" s="154"/>
      <c r="AH639" s="175"/>
      <c r="AI639" s="106"/>
      <c r="AJ639" s="106"/>
      <c r="AK639" s="159"/>
      <c r="AL639" s="138"/>
      <c r="AM639" s="106"/>
      <c r="AN639" s="106"/>
      <c r="AO639" s="106"/>
      <c r="AP639" s="106"/>
      <c r="AQ639" s="159"/>
      <c r="AW639" s="101"/>
    </row>
    <row r="640" spans="6:49" x14ac:dyDescent="0.3">
      <c r="F640" s="172"/>
      <c r="H640" s="220"/>
      <c r="I640" s="220"/>
      <c r="J640" s="220"/>
      <c r="K640" s="220"/>
      <c r="R640" s="110"/>
      <c r="T640" s="267">
        <f t="shared" si="115"/>
        <v>179</v>
      </c>
      <c r="V640" s="116" t="str">
        <f t="shared" si="116"/>
        <v>BRACKETS (CONT'D)</v>
      </c>
      <c r="W640" s="116"/>
      <c r="Y640" s="147"/>
      <c r="Z640" s="1"/>
      <c r="AA640" s="147"/>
      <c r="AB640" s="147"/>
      <c r="AC640" s="228"/>
      <c r="AD640" s="228"/>
      <c r="AE640" s="106"/>
      <c r="AF640" s="106"/>
      <c r="AG640" s="154"/>
      <c r="AH640" s="175"/>
      <c r="AI640" s="106"/>
      <c r="AJ640" s="106"/>
      <c r="AK640" s="159"/>
      <c r="AL640" s="138"/>
      <c r="AM640" s="106"/>
      <c r="AN640" s="106"/>
      <c r="AO640" s="106"/>
      <c r="AP640" s="106"/>
      <c r="AQ640" s="159"/>
      <c r="AW640" s="101"/>
    </row>
    <row r="641" spans="1:49" x14ac:dyDescent="0.3">
      <c r="C641" s="99"/>
      <c r="F641" s="172"/>
      <c r="H641" s="172"/>
      <c r="I641" s="172"/>
      <c r="J641" s="222"/>
      <c r="K641" s="222"/>
      <c r="L641" s="110"/>
      <c r="M641" s="110"/>
      <c r="N641" s="141"/>
      <c r="O641" s="141"/>
      <c r="P641" s="110"/>
      <c r="Q641" s="110"/>
      <c r="R641" s="110"/>
      <c r="T641" s="267">
        <f t="shared" ref="T641:T666" si="118">A289</f>
        <v>180</v>
      </c>
      <c r="V641" s="116" t="str">
        <f t="shared" ref="V641:V666" si="119">C289</f>
        <v xml:space="preserve">   18 inch bracket - metal pole - double Flood Mount - top mount </v>
      </c>
      <c r="Y641" s="110">
        <f t="shared" ref="Y641:Y665" si="120">F289</f>
        <v>0</v>
      </c>
      <c r="AB641" s="220"/>
      <c r="AC641" s="228">
        <v>2.0699999999999998</v>
      </c>
      <c r="AE641" s="106">
        <f t="shared" si="109"/>
        <v>0</v>
      </c>
      <c r="AF641" s="1"/>
      <c r="AG641" s="154">
        <f t="shared" ref="AG641:AG665" si="121">ROUND((AE641/AE$692)*100,1)</f>
        <v>0</v>
      </c>
      <c r="AH641" s="175"/>
      <c r="AI641" s="106">
        <f t="shared" ref="AI641:AI665" si="122">L289-AE641</f>
        <v>0</v>
      </c>
      <c r="AJ641" s="106"/>
      <c r="AK641" s="159" t="str">
        <f t="shared" si="112"/>
        <v xml:space="preserve">0.0 </v>
      </c>
      <c r="AL641" s="138"/>
      <c r="AM641" s="106"/>
      <c r="AN641" s="106"/>
      <c r="AO641" s="106">
        <f t="shared" si="113"/>
        <v>0</v>
      </c>
      <c r="AP641" s="106"/>
      <c r="AQ641" s="159" t="str">
        <f t="shared" si="114"/>
        <v xml:space="preserve">0.0 </v>
      </c>
      <c r="AW641" s="101"/>
    </row>
    <row r="642" spans="1:49" x14ac:dyDescent="0.3">
      <c r="F642" s="192"/>
      <c r="H642" s="192"/>
      <c r="I642" s="192"/>
      <c r="J642" s="217"/>
      <c r="K642" s="217"/>
      <c r="L642" s="192"/>
      <c r="M642" s="192"/>
      <c r="N642" s="192"/>
      <c r="O642" s="192"/>
      <c r="P642" s="192"/>
      <c r="Q642" s="192"/>
      <c r="R642" s="192"/>
      <c r="S642" s="110"/>
      <c r="T642" s="267">
        <f t="shared" si="118"/>
        <v>181</v>
      </c>
      <c r="V642" s="116" t="str">
        <f t="shared" si="119"/>
        <v xml:space="preserve">   14 inch bracket - metal pole - single mount - top tenon</v>
      </c>
      <c r="Y642" s="110">
        <f t="shared" si="120"/>
        <v>0</v>
      </c>
      <c r="AA642" s="110"/>
      <c r="AB642" s="216"/>
      <c r="AC642" s="228">
        <v>2.19</v>
      </c>
      <c r="AD642" s="110"/>
      <c r="AE642" s="106">
        <f t="shared" si="109"/>
        <v>0</v>
      </c>
      <c r="AF642" s="1"/>
      <c r="AG642" s="154">
        <f t="shared" si="121"/>
        <v>0</v>
      </c>
      <c r="AH642" s="175"/>
      <c r="AI642" s="106">
        <f t="shared" si="122"/>
        <v>0</v>
      </c>
      <c r="AJ642" s="106"/>
      <c r="AK642" s="159" t="str">
        <f t="shared" si="112"/>
        <v xml:space="preserve">0.0 </v>
      </c>
      <c r="AL642" s="138"/>
      <c r="AM642" s="106"/>
      <c r="AN642" s="106"/>
      <c r="AO642" s="106">
        <f t="shared" si="113"/>
        <v>0</v>
      </c>
      <c r="AP642" s="106"/>
      <c r="AQ642" s="159" t="str">
        <f t="shared" si="114"/>
        <v xml:space="preserve">0.0 </v>
      </c>
      <c r="AW642" s="101"/>
    </row>
    <row r="643" spans="1:49" x14ac:dyDescent="0.3">
      <c r="D643" s="99"/>
      <c r="E643" s="99"/>
      <c r="F643" s="110"/>
      <c r="H643" s="110"/>
      <c r="I643" s="110"/>
      <c r="J643" s="198"/>
      <c r="K643" s="198"/>
      <c r="L643" s="110"/>
      <c r="M643" s="110"/>
      <c r="N643" s="141"/>
      <c r="O643" s="141"/>
      <c r="P643" s="172"/>
      <c r="Q643" s="172"/>
      <c r="R643" s="110"/>
      <c r="S643" s="110"/>
      <c r="T643" s="267">
        <f t="shared" si="118"/>
        <v>182</v>
      </c>
      <c r="V643" s="116" t="str">
        <f t="shared" si="119"/>
        <v xml:space="preserve">   14 inch bracket - metal pole - double mount - top tenon</v>
      </c>
      <c r="Y643" s="110">
        <f t="shared" si="120"/>
        <v>0</v>
      </c>
      <c r="AA643" s="192"/>
      <c r="AB643" s="217"/>
      <c r="AC643" s="228">
        <v>2.37</v>
      </c>
      <c r="AD643" s="192"/>
      <c r="AE643" s="106">
        <f t="shared" si="109"/>
        <v>0</v>
      </c>
      <c r="AF643" s="1"/>
      <c r="AG643" s="154">
        <f t="shared" si="121"/>
        <v>0</v>
      </c>
      <c r="AH643" s="175"/>
      <c r="AI643" s="106">
        <f t="shared" si="122"/>
        <v>0</v>
      </c>
      <c r="AJ643" s="106"/>
      <c r="AK643" s="159" t="str">
        <f t="shared" si="112"/>
        <v xml:space="preserve">0.0 </v>
      </c>
      <c r="AL643" s="138"/>
      <c r="AM643" s="106"/>
      <c r="AN643" s="106"/>
      <c r="AO643" s="106">
        <f t="shared" si="113"/>
        <v>0</v>
      </c>
      <c r="AP643" s="106"/>
      <c r="AQ643" s="159" t="str">
        <f t="shared" si="114"/>
        <v xml:space="preserve">0.0 </v>
      </c>
      <c r="AW643" s="101"/>
    </row>
    <row r="644" spans="1:49" x14ac:dyDescent="0.3">
      <c r="F644" s="192"/>
      <c r="H644" s="192"/>
      <c r="I644" s="192"/>
      <c r="J644" s="217"/>
      <c r="K644" s="217"/>
      <c r="L644" s="192"/>
      <c r="M644" s="192"/>
      <c r="N644" s="192"/>
      <c r="O644" s="192"/>
      <c r="P644" s="192"/>
      <c r="Q644" s="192"/>
      <c r="R644" s="192"/>
      <c r="S644" s="110"/>
      <c r="T644" s="267">
        <f t="shared" si="118"/>
        <v>183</v>
      </c>
      <c r="V644" s="116" t="str">
        <f t="shared" si="119"/>
        <v xml:space="preserve">   14 inch bracket - metal pole - triple mount - top tenon</v>
      </c>
      <c r="Y644" s="110">
        <f t="shared" si="120"/>
        <v>0</v>
      </c>
      <c r="AA644" s="110"/>
      <c r="AB644" s="198"/>
      <c r="AC644" s="228">
        <v>2.52</v>
      </c>
      <c r="AD644" s="110"/>
      <c r="AE644" s="106">
        <f t="shared" si="109"/>
        <v>0</v>
      </c>
      <c r="AF644" s="1"/>
      <c r="AG644" s="154">
        <f t="shared" si="121"/>
        <v>0</v>
      </c>
      <c r="AH644" s="175"/>
      <c r="AI644" s="106">
        <f t="shared" si="122"/>
        <v>0</v>
      </c>
      <c r="AJ644" s="106"/>
      <c r="AK644" s="159" t="str">
        <f t="shared" si="112"/>
        <v xml:space="preserve">0.0 </v>
      </c>
      <c r="AL644" s="138"/>
      <c r="AM644" s="106"/>
      <c r="AN644" s="106"/>
      <c r="AO644" s="106">
        <f t="shared" si="113"/>
        <v>0</v>
      </c>
      <c r="AP644" s="106"/>
      <c r="AQ644" s="159" t="str">
        <f t="shared" si="114"/>
        <v xml:space="preserve">0.0 </v>
      </c>
      <c r="AW644" s="101"/>
    </row>
    <row r="645" spans="1:49" x14ac:dyDescent="0.3">
      <c r="R645" s="110"/>
      <c r="T645" s="267">
        <f t="shared" si="118"/>
        <v>184</v>
      </c>
      <c r="V645" s="116" t="str">
        <f t="shared" si="119"/>
        <v xml:space="preserve">   14 inch bracket - metal pole - quad mount - top tenon</v>
      </c>
      <c r="Y645" s="110">
        <f t="shared" si="120"/>
        <v>0</v>
      </c>
      <c r="AA645" s="192"/>
      <c r="AB645" s="217"/>
      <c r="AC645" s="228">
        <v>2.63</v>
      </c>
      <c r="AD645" s="192"/>
      <c r="AE645" s="106">
        <f t="shared" si="109"/>
        <v>0</v>
      </c>
      <c r="AF645" s="1"/>
      <c r="AG645" s="154">
        <f t="shared" si="121"/>
        <v>0</v>
      </c>
      <c r="AH645" s="175"/>
      <c r="AI645" s="106">
        <f t="shared" si="122"/>
        <v>0</v>
      </c>
      <c r="AJ645" s="106"/>
      <c r="AK645" s="159" t="str">
        <f t="shared" si="112"/>
        <v xml:space="preserve">0.0 </v>
      </c>
      <c r="AL645" s="138"/>
      <c r="AM645" s="106"/>
      <c r="AN645" s="106"/>
      <c r="AO645" s="106">
        <f t="shared" si="113"/>
        <v>0</v>
      </c>
      <c r="AP645" s="106"/>
      <c r="AQ645" s="159" t="str">
        <f t="shared" si="114"/>
        <v xml:space="preserve">0.0 </v>
      </c>
      <c r="AW645" s="101"/>
    </row>
    <row r="646" spans="1:49" x14ac:dyDescent="0.3">
      <c r="F646" s="110"/>
      <c r="H646" s="110"/>
      <c r="I646" s="110"/>
      <c r="J646" s="198"/>
      <c r="K646" s="198"/>
      <c r="L646" s="110"/>
      <c r="M646" s="110"/>
      <c r="N646" s="110"/>
      <c r="O646" s="110"/>
      <c r="P646" s="110"/>
      <c r="Q646" s="110"/>
      <c r="R646" s="110"/>
      <c r="T646" s="267">
        <f t="shared" si="118"/>
        <v>185</v>
      </c>
      <c r="V646" s="116" t="str">
        <f t="shared" si="119"/>
        <v xml:space="preserve">   6 foot - metal pole - single - top tenon</v>
      </c>
      <c r="Y646" s="110">
        <f t="shared" si="120"/>
        <v>0</v>
      </c>
      <c r="AC646" s="228">
        <v>4.87</v>
      </c>
      <c r="AE646" s="106">
        <f t="shared" si="109"/>
        <v>0</v>
      </c>
      <c r="AF646" s="1"/>
      <c r="AG646" s="154">
        <f t="shared" si="121"/>
        <v>0</v>
      </c>
      <c r="AH646" s="175"/>
      <c r="AI646" s="106">
        <f t="shared" si="122"/>
        <v>0</v>
      </c>
      <c r="AJ646" s="106"/>
      <c r="AK646" s="159" t="str">
        <f t="shared" si="112"/>
        <v xml:space="preserve">0.0 </v>
      </c>
      <c r="AL646" s="138"/>
      <c r="AM646" s="106"/>
      <c r="AN646" s="106"/>
      <c r="AO646" s="106">
        <f t="shared" si="113"/>
        <v>0</v>
      </c>
      <c r="AP646" s="106"/>
      <c r="AQ646" s="159" t="str">
        <f t="shared" si="114"/>
        <v xml:space="preserve">0.0 </v>
      </c>
      <c r="AW646" s="101"/>
    </row>
    <row r="647" spans="1:49" x14ac:dyDescent="0.3">
      <c r="C647" s="99"/>
      <c r="F647" s="110"/>
      <c r="H647" s="110"/>
      <c r="I647" s="110"/>
      <c r="J647" s="198"/>
      <c r="K647" s="198"/>
      <c r="L647" s="110"/>
      <c r="M647" s="110"/>
      <c r="N647" s="110"/>
      <c r="O647" s="110"/>
      <c r="P647" s="110"/>
      <c r="Q647" s="110"/>
      <c r="R647" s="110"/>
      <c r="T647" s="267">
        <f t="shared" si="118"/>
        <v>186</v>
      </c>
      <c r="V647" s="116" t="str">
        <f t="shared" si="119"/>
        <v xml:space="preserve">   6 foot - metal pole - double - top tenon</v>
      </c>
      <c r="Y647" s="110">
        <f t="shared" si="120"/>
        <v>0</v>
      </c>
      <c r="AA647" s="110"/>
      <c r="AB647" s="198"/>
      <c r="AC647" s="228">
        <v>6.17</v>
      </c>
      <c r="AD647" s="110"/>
      <c r="AE647" s="106">
        <f t="shared" si="109"/>
        <v>0</v>
      </c>
      <c r="AF647" s="1"/>
      <c r="AG647" s="154">
        <f t="shared" si="121"/>
        <v>0</v>
      </c>
      <c r="AH647" s="175"/>
      <c r="AI647" s="106">
        <f t="shared" si="122"/>
        <v>0</v>
      </c>
      <c r="AJ647" s="106"/>
      <c r="AK647" s="159" t="str">
        <f t="shared" si="112"/>
        <v xml:space="preserve">0.0 </v>
      </c>
      <c r="AL647" s="138"/>
      <c r="AM647" s="106"/>
      <c r="AN647" s="106"/>
      <c r="AO647" s="106">
        <f t="shared" si="113"/>
        <v>0</v>
      </c>
      <c r="AP647" s="106"/>
      <c r="AQ647" s="159" t="str">
        <f t="shared" si="114"/>
        <v xml:space="preserve">0.0 </v>
      </c>
      <c r="AW647" s="101"/>
    </row>
    <row r="648" spans="1:49" x14ac:dyDescent="0.3">
      <c r="C648" s="99"/>
      <c r="T648" s="267">
        <f t="shared" si="118"/>
        <v>187</v>
      </c>
      <c r="V648" s="116" t="str">
        <f t="shared" si="119"/>
        <v xml:space="preserve">   4 foot - Boston Harbor - top tenon</v>
      </c>
      <c r="Y648" s="110">
        <f t="shared" si="120"/>
        <v>0</v>
      </c>
      <c r="AA648" s="110"/>
      <c r="AB648" s="198"/>
      <c r="AC648" s="228">
        <v>7.06</v>
      </c>
      <c r="AD648" s="110"/>
      <c r="AE648" s="106">
        <f t="shared" si="109"/>
        <v>0</v>
      </c>
      <c r="AF648" s="1"/>
      <c r="AG648" s="154">
        <f t="shared" si="121"/>
        <v>0</v>
      </c>
      <c r="AH648" s="175"/>
      <c r="AI648" s="106">
        <f t="shared" si="122"/>
        <v>0</v>
      </c>
      <c r="AJ648" s="106"/>
      <c r="AK648" s="159" t="str">
        <f t="shared" si="112"/>
        <v xml:space="preserve">0.0 </v>
      </c>
      <c r="AL648" s="138"/>
      <c r="AM648" s="106"/>
      <c r="AN648" s="106"/>
      <c r="AO648" s="106">
        <f t="shared" si="113"/>
        <v>0</v>
      </c>
      <c r="AP648" s="106"/>
      <c r="AQ648" s="159" t="str">
        <f t="shared" si="114"/>
        <v xml:space="preserve">0.0 </v>
      </c>
      <c r="AW648" s="101"/>
    </row>
    <row r="649" spans="1:49" x14ac:dyDescent="0.3">
      <c r="A649" s="99"/>
      <c r="T649" s="267">
        <f t="shared" si="118"/>
        <v>188</v>
      </c>
      <c r="V649" s="116" t="str">
        <f t="shared" si="119"/>
        <v xml:space="preserve">   6 foot - Boston Harbor - top tenon</v>
      </c>
      <c r="Y649" s="110">
        <f t="shared" si="120"/>
        <v>0</v>
      </c>
      <c r="AC649" s="228">
        <v>7.43</v>
      </c>
      <c r="AE649" s="106">
        <f t="shared" si="109"/>
        <v>0</v>
      </c>
      <c r="AF649" s="1"/>
      <c r="AG649" s="154">
        <f t="shared" si="121"/>
        <v>0</v>
      </c>
      <c r="AH649" s="175"/>
      <c r="AI649" s="106">
        <f t="shared" si="122"/>
        <v>0</v>
      </c>
      <c r="AJ649" s="106"/>
      <c r="AK649" s="159" t="str">
        <f t="shared" si="112"/>
        <v xml:space="preserve">0.0 </v>
      </c>
      <c r="AL649" s="138"/>
      <c r="AM649" s="106"/>
      <c r="AN649" s="106"/>
      <c r="AO649" s="106">
        <f t="shared" si="113"/>
        <v>0</v>
      </c>
      <c r="AP649" s="106"/>
      <c r="AQ649" s="159" t="str">
        <f t="shared" si="114"/>
        <v xml:space="preserve">0.0 </v>
      </c>
      <c r="AW649" s="101"/>
    </row>
    <row r="650" spans="1:49" x14ac:dyDescent="0.3">
      <c r="T650" s="267">
        <f t="shared" si="118"/>
        <v>189</v>
      </c>
      <c r="V650" s="116" t="str">
        <f t="shared" si="119"/>
        <v xml:space="preserve">   12 foot - Boston Harbor Style C pole double mount - top tenon</v>
      </c>
      <c r="Y650" s="110">
        <f t="shared" si="120"/>
        <v>0</v>
      </c>
      <c r="AC650" s="228">
        <v>12.71</v>
      </c>
      <c r="AE650" s="106">
        <f t="shared" si="109"/>
        <v>0</v>
      </c>
      <c r="AF650" s="1"/>
      <c r="AG650" s="154">
        <f t="shared" si="121"/>
        <v>0</v>
      </c>
      <c r="AH650" s="175"/>
      <c r="AI650" s="106">
        <f t="shared" si="122"/>
        <v>0</v>
      </c>
      <c r="AJ650" s="106"/>
      <c r="AK650" s="159" t="str">
        <f t="shared" si="112"/>
        <v xml:space="preserve">0.0 </v>
      </c>
      <c r="AL650" s="138"/>
      <c r="AM650" s="106"/>
      <c r="AN650" s="106"/>
      <c r="AO650" s="106">
        <f t="shared" si="113"/>
        <v>0</v>
      </c>
      <c r="AP650" s="106"/>
      <c r="AQ650" s="159" t="str">
        <f t="shared" si="114"/>
        <v xml:space="preserve">0.0 </v>
      </c>
      <c r="AW650" s="101"/>
    </row>
    <row r="651" spans="1:49" x14ac:dyDescent="0.3">
      <c r="T651" s="267">
        <f t="shared" si="118"/>
        <v>190</v>
      </c>
      <c r="V651" s="116" t="str">
        <f t="shared" si="119"/>
        <v xml:space="preserve">   4 foot - Davit arm - top tenon</v>
      </c>
      <c r="Y651" s="110">
        <f t="shared" si="120"/>
        <v>0</v>
      </c>
      <c r="AC651" s="228">
        <v>6.44</v>
      </c>
      <c r="AE651" s="106">
        <f t="shared" si="109"/>
        <v>0</v>
      </c>
      <c r="AF651" s="1"/>
      <c r="AG651" s="154">
        <f t="shared" si="121"/>
        <v>0</v>
      </c>
      <c r="AH651" s="175"/>
      <c r="AI651" s="106">
        <f t="shared" si="122"/>
        <v>0</v>
      </c>
      <c r="AJ651" s="106"/>
      <c r="AK651" s="159" t="str">
        <f t="shared" si="112"/>
        <v xml:space="preserve">0.0 </v>
      </c>
      <c r="AL651" s="138"/>
      <c r="AM651" s="106"/>
      <c r="AN651" s="106"/>
      <c r="AO651" s="106">
        <f t="shared" si="113"/>
        <v>0</v>
      </c>
      <c r="AP651" s="106"/>
      <c r="AQ651" s="159" t="str">
        <f t="shared" si="114"/>
        <v xml:space="preserve">0.0 </v>
      </c>
      <c r="AW651" s="101"/>
    </row>
    <row r="652" spans="1:49" x14ac:dyDescent="0.3">
      <c r="H652" s="99"/>
      <c r="I652" s="99"/>
      <c r="T652" s="267">
        <f t="shared" si="118"/>
        <v>191</v>
      </c>
      <c r="V652" s="116" t="str">
        <f t="shared" si="119"/>
        <v xml:space="preserve">   18 inch - Cobrahead fixture for wood pole</v>
      </c>
      <c r="Y652" s="110">
        <f t="shared" si="120"/>
        <v>287</v>
      </c>
      <c r="AC652" s="228">
        <v>1.82</v>
      </c>
      <c r="AE652" s="106">
        <f t="shared" si="109"/>
        <v>522</v>
      </c>
      <c r="AF652" s="1"/>
      <c r="AG652" s="154">
        <f t="shared" si="121"/>
        <v>2.6</v>
      </c>
      <c r="AH652" s="175"/>
      <c r="AI652" s="106">
        <f t="shared" si="122"/>
        <v>75</v>
      </c>
      <c r="AJ652" s="106"/>
      <c r="AK652" s="159">
        <f t="shared" si="112"/>
        <v>14.4</v>
      </c>
      <c r="AL652" s="138"/>
      <c r="AM652" s="106"/>
      <c r="AN652" s="106"/>
      <c r="AO652" s="106">
        <f t="shared" si="113"/>
        <v>522</v>
      </c>
      <c r="AP652" s="106"/>
      <c r="AQ652" s="159">
        <f t="shared" si="114"/>
        <v>14.4</v>
      </c>
      <c r="AW652" s="101"/>
    </row>
    <row r="653" spans="1:49" x14ac:dyDescent="0.3">
      <c r="T653" s="267">
        <f t="shared" si="118"/>
        <v>192</v>
      </c>
      <c r="V653" s="116" t="str">
        <f t="shared" si="119"/>
        <v xml:space="preserve">   18 inch - Flood light for wood pole</v>
      </c>
      <c r="Y653" s="110">
        <f t="shared" si="120"/>
        <v>18</v>
      </c>
      <c r="AA653" s="99"/>
      <c r="AC653" s="228">
        <v>2.0099999999999998</v>
      </c>
      <c r="AE653" s="106">
        <f t="shared" si="109"/>
        <v>36</v>
      </c>
      <c r="AF653" s="1"/>
      <c r="AG653" s="154">
        <f t="shared" si="121"/>
        <v>0.2</v>
      </c>
      <c r="AH653" s="175"/>
      <c r="AI653" s="106">
        <f t="shared" si="122"/>
        <v>5</v>
      </c>
      <c r="AJ653" s="106"/>
      <c r="AK653" s="159">
        <f t="shared" si="112"/>
        <v>13.9</v>
      </c>
      <c r="AL653" s="138"/>
      <c r="AM653" s="106"/>
      <c r="AN653" s="106"/>
      <c r="AO653" s="106">
        <f t="shared" si="113"/>
        <v>36</v>
      </c>
      <c r="AP653" s="106"/>
      <c r="AQ653" s="159">
        <f t="shared" si="114"/>
        <v>13.9</v>
      </c>
      <c r="AW653" s="101"/>
    </row>
    <row r="654" spans="1:49" x14ac:dyDescent="0.3">
      <c r="T654" s="267">
        <f t="shared" si="118"/>
        <v>193</v>
      </c>
      <c r="V654" s="116" t="str">
        <f t="shared" si="119"/>
        <v xml:space="preserve">   18" Metal - Flood - Bullhorn - Top Tenon</v>
      </c>
      <c r="Y654" s="110">
        <f t="shared" si="120"/>
        <v>0</v>
      </c>
      <c r="AA654" s="99"/>
      <c r="AC654" s="228">
        <v>2.48</v>
      </c>
      <c r="AE654" s="106">
        <f t="shared" ref="AE654:AE665" si="123">ROUND((Y654*(AC654+AD654)),0)</f>
        <v>0</v>
      </c>
      <c r="AF654" s="1"/>
      <c r="AG654" s="154">
        <f t="shared" si="121"/>
        <v>0</v>
      </c>
      <c r="AH654" s="175"/>
      <c r="AI654" s="106">
        <f t="shared" si="122"/>
        <v>0</v>
      </c>
      <c r="AJ654" s="106"/>
      <c r="AK654" s="159" t="str">
        <f t="shared" ref="AK654:AK665" si="124">IF(AE654=0,"0.0 ",ROUND((AI654/AE654)*100,1))</f>
        <v xml:space="preserve">0.0 </v>
      </c>
      <c r="AL654" s="138"/>
      <c r="AM654" s="106"/>
      <c r="AN654" s="106"/>
      <c r="AO654" s="106">
        <f t="shared" ref="AO654:AO665" si="125">AM654+AE654</f>
        <v>0</v>
      </c>
      <c r="AP654" s="106"/>
      <c r="AQ654" s="159" t="str">
        <f t="shared" ref="AQ654:AQ665" si="126">IF(AO654=0,"0.0 ",ROUND((AI654/AO654)*100,1))</f>
        <v xml:space="preserve">0.0 </v>
      </c>
      <c r="AW654" s="101"/>
    </row>
    <row r="655" spans="1:49" x14ac:dyDescent="0.3">
      <c r="T655" s="267">
        <f t="shared" si="118"/>
        <v>194</v>
      </c>
      <c r="V655" s="116" t="str">
        <f t="shared" si="119"/>
        <v xml:space="preserve">   4' Transmission - Top Tenon</v>
      </c>
      <c r="Y655" s="110">
        <f t="shared" si="120"/>
        <v>0</v>
      </c>
      <c r="AA655" s="99"/>
      <c r="AC655" s="228">
        <v>9.1199999999999992</v>
      </c>
      <c r="AE655" s="106">
        <f t="shared" si="123"/>
        <v>0</v>
      </c>
      <c r="AF655" s="1"/>
      <c r="AG655" s="154">
        <f t="shared" si="121"/>
        <v>0</v>
      </c>
      <c r="AH655" s="175"/>
      <c r="AI655" s="106">
        <f t="shared" si="122"/>
        <v>0</v>
      </c>
      <c r="AJ655" s="106"/>
      <c r="AK655" s="159" t="str">
        <f t="shared" si="124"/>
        <v xml:space="preserve">0.0 </v>
      </c>
      <c r="AL655" s="138"/>
      <c r="AM655" s="106"/>
      <c r="AN655" s="106"/>
      <c r="AO655" s="106">
        <f t="shared" si="125"/>
        <v>0</v>
      </c>
      <c r="AP655" s="106"/>
      <c r="AQ655" s="159" t="str">
        <f t="shared" si="126"/>
        <v xml:space="preserve">0.0 </v>
      </c>
      <c r="AW655" s="101"/>
    </row>
    <row r="656" spans="1:49" x14ac:dyDescent="0.3">
      <c r="T656" s="267">
        <f t="shared" si="118"/>
        <v>195</v>
      </c>
      <c r="V656" s="116" t="str">
        <f t="shared" si="119"/>
        <v xml:space="preserve">   10' Transmission - Top Tenon</v>
      </c>
      <c r="Y656" s="110">
        <f t="shared" si="120"/>
        <v>0</v>
      </c>
      <c r="AA656" s="99"/>
      <c r="AC656" s="228">
        <v>10.51</v>
      </c>
      <c r="AE656" s="106">
        <f t="shared" si="123"/>
        <v>0</v>
      </c>
      <c r="AF656" s="1"/>
      <c r="AG656" s="154">
        <f t="shared" si="121"/>
        <v>0</v>
      </c>
      <c r="AH656" s="175"/>
      <c r="AI656" s="106">
        <f t="shared" si="122"/>
        <v>0</v>
      </c>
      <c r="AJ656" s="106"/>
      <c r="AK656" s="159" t="str">
        <f t="shared" si="124"/>
        <v xml:space="preserve">0.0 </v>
      </c>
      <c r="AL656" s="138"/>
      <c r="AM656" s="106"/>
      <c r="AN656" s="106"/>
      <c r="AO656" s="106">
        <f t="shared" si="125"/>
        <v>0</v>
      </c>
      <c r="AP656" s="106"/>
      <c r="AQ656" s="159" t="str">
        <f t="shared" si="126"/>
        <v xml:space="preserve">0.0 </v>
      </c>
      <c r="AW656" s="101"/>
    </row>
    <row r="657" spans="1:49" x14ac:dyDescent="0.3">
      <c r="T657" s="267">
        <f t="shared" si="118"/>
        <v>196</v>
      </c>
      <c r="V657" s="116" t="str">
        <f t="shared" si="119"/>
        <v xml:space="preserve">   15' Transmission - Top Tenon</v>
      </c>
      <c r="Y657" s="110">
        <f t="shared" si="120"/>
        <v>0</v>
      </c>
      <c r="AA657" s="99"/>
      <c r="AC657" s="228">
        <v>11.56</v>
      </c>
      <c r="AE657" s="106">
        <f t="shared" si="123"/>
        <v>0</v>
      </c>
      <c r="AF657" s="1"/>
      <c r="AG657" s="154">
        <f t="shared" si="121"/>
        <v>0</v>
      </c>
      <c r="AH657" s="175"/>
      <c r="AI657" s="106">
        <f t="shared" si="122"/>
        <v>0</v>
      </c>
      <c r="AJ657" s="106"/>
      <c r="AK657" s="159" t="str">
        <f t="shared" si="124"/>
        <v xml:space="preserve">0.0 </v>
      </c>
      <c r="AL657" s="138"/>
      <c r="AM657" s="106"/>
      <c r="AN657" s="106"/>
      <c r="AO657" s="106">
        <f t="shared" si="125"/>
        <v>0</v>
      </c>
      <c r="AP657" s="106"/>
      <c r="AQ657" s="159" t="str">
        <f t="shared" si="126"/>
        <v xml:space="preserve">0.0 </v>
      </c>
      <c r="AW657" s="101"/>
    </row>
    <row r="658" spans="1:49" x14ac:dyDescent="0.3">
      <c r="T658" s="267">
        <f t="shared" si="118"/>
        <v>197</v>
      </c>
      <c r="V658" s="116" t="str">
        <f t="shared" si="119"/>
        <v xml:space="preserve">   18" Transmission - Flood - Top Tenon</v>
      </c>
      <c r="Y658" s="110">
        <f t="shared" si="120"/>
        <v>0</v>
      </c>
      <c r="AA658" s="99"/>
      <c r="AC658" s="228">
        <v>4.8600000000000003</v>
      </c>
      <c r="AE658" s="106">
        <f t="shared" si="123"/>
        <v>0</v>
      </c>
      <c r="AF658" s="1"/>
      <c r="AG658" s="154">
        <f t="shared" si="121"/>
        <v>0</v>
      </c>
      <c r="AH658" s="175"/>
      <c r="AI658" s="106">
        <f t="shared" si="122"/>
        <v>0</v>
      </c>
      <c r="AJ658" s="106"/>
      <c r="AK658" s="159" t="str">
        <f t="shared" si="124"/>
        <v xml:space="preserve">0.0 </v>
      </c>
      <c r="AL658" s="138"/>
      <c r="AM658" s="106"/>
      <c r="AN658" s="106"/>
      <c r="AO658" s="106">
        <f t="shared" si="125"/>
        <v>0</v>
      </c>
      <c r="AP658" s="106"/>
      <c r="AQ658" s="159" t="str">
        <f t="shared" si="126"/>
        <v xml:space="preserve">0.0 </v>
      </c>
      <c r="AW658" s="101"/>
    </row>
    <row r="659" spans="1:49" x14ac:dyDescent="0.3">
      <c r="T659" s="267">
        <f t="shared" si="118"/>
        <v>198</v>
      </c>
      <c r="V659" s="116" t="str">
        <f t="shared" si="119"/>
        <v xml:space="preserve">   3' Shepherds Crook - Single - Top Tenon</v>
      </c>
      <c r="Y659" s="110">
        <f t="shared" si="120"/>
        <v>0</v>
      </c>
      <c r="AA659" s="99"/>
      <c r="AC659" s="228">
        <v>4.6100000000000003</v>
      </c>
      <c r="AE659" s="106">
        <f t="shared" si="123"/>
        <v>0</v>
      </c>
      <c r="AF659" s="1"/>
      <c r="AG659" s="154">
        <f t="shared" si="121"/>
        <v>0</v>
      </c>
      <c r="AH659" s="175"/>
      <c r="AI659" s="106">
        <f t="shared" si="122"/>
        <v>0</v>
      </c>
      <c r="AJ659" s="106"/>
      <c r="AK659" s="159" t="str">
        <f t="shared" si="124"/>
        <v xml:space="preserve">0.0 </v>
      </c>
      <c r="AL659" s="138"/>
      <c r="AM659" s="106"/>
      <c r="AN659" s="106"/>
      <c r="AO659" s="106">
        <f t="shared" si="125"/>
        <v>0</v>
      </c>
      <c r="AP659" s="106"/>
      <c r="AQ659" s="159" t="str">
        <f t="shared" si="126"/>
        <v xml:space="preserve">0.0 </v>
      </c>
      <c r="AW659" s="101"/>
    </row>
    <row r="660" spans="1:49" x14ac:dyDescent="0.3">
      <c r="T660" s="267">
        <f t="shared" si="118"/>
        <v>199</v>
      </c>
      <c r="V660" s="116" t="str">
        <f t="shared" si="119"/>
        <v xml:space="preserve">   3' Shepherds Crook w/ Scroll - Single - Top Tenon</v>
      </c>
      <c r="Y660" s="110">
        <f t="shared" si="120"/>
        <v>0</v>
      </c>
      <c r="AA660" s="99"/>
      <c r="AC660" s="228">
        <v>5.1100000000000003</v>
      </c>
      <c r="AE660" s="106">
        <f t="shared" si="123"/>
        <v>0</v>
      </c>
      <c r="AF660" s="1"/>
      <c r="AG660" s="154">
        <f t="shared" si="121"/>
        <v>0</v>
      </c>
      <c r="AH660" s="175"/>
      <c r="AI660" s="106">
        <f t="shared" si="122"/>
        <v>0</v>
      </c>
      <c r="AJ660" s="106"/>
      <c r="AK660" s="159" t="str">
        <f t="shared" si="124"/>
        <v xml:space="preserve">0.0 </v>
      </c>
      <c r="AL660" s="138"/>
      <c r="AM660" s="106"/>
      <c r="AN660" s="106"/>
      <c r="AO660" s="106">
        <f t="shared" si="125"/>
        <v>0</v>
      </c>
      <c r="AP660" s="106"/>
      <c r="AQ660" s="159" t="str">
        <f t="shared" si="126"/>
        <v xml:space="preserve">0.0 </v>
      </c>
      <c r="AW660" s="101"/>
    </row>
    <row r="661" spans="1:49" x14ac:dyDescent="0.3">
      <c r="T661" s="267">
        <f t="shared" si="118"/>
        <v>200</v>
      </c>
      <c r="V661" s="116" t="str">
        <f t="shared" si="119"/>
        <v xml:space="preserve">   3' Shepherds Crook - Double - Top Tenon</v>
      </c>
      <c r="Y661" s="110">
        <f t="shared" si="120"/>
        <v>0</v>
      </c>
      <c r="AA661" s="99"/>
      <c r="AC661" s="228">
        <v>6.52</v>
      </c>
      <c r="AE661" s="106">
        <f t="shared" si="123"/>
        <v>0</v>
      </c>
      <c r="AF661" s="1"/>
      <c r="AG661" s="154">
        <f t="shared" si="121"/>
        <v>0</v>
      </c>
      <c r="AH661" s="175"/>
      <c r="AI661" s="106">
        <f t="shared" si="122"/>
        <v>0</v>
      </c>
      <c r="AJ661" s="106"/>
      <c r="AK661" s="159" t="str">
        <f t="shared" si="124"/>
        <v xml:space="preserve">0.0 </v>
      </c>
      <c r="AL661" s="138"/>
      <c r="AM661" s="106"/>
      <c r="AN661" s="106"/>
      <c r="AO661" s="106">
        <f t="shared" si="125"/>
        <v>0</v>
      </c>
      <c r="AP661" s="106"/>
      <c r="AQ661" s="159" t="str">
        <f t="shared" si="126"/>
        <v xml:space="preserve">0.0 </v>
      </c>
      <c r="AW661" s="101"/>
    </row>
    <row r="662" spans="1:49" x14ac:dyDescent="0.3">
      <c r="T662" s="267">
        <f t="shared" si="118"/>
        <v>201</v>
      </c>
      <c r="V662" s="116" t="str">
        <f t="shared" si="119"/>
        <v xml:space="preserve">   3' Shepherds Crook w/ Scroll - Double - Top Tenon</v>
      </c>
      <c r="Y662" s="110">
        <f t="shared" si="120"/>
        <v>0</v>
      </c>
      <c r="AA662" s="99"/>
      <c r="AC662" s="228">
        <v>7.33</v>
      </c>
      <c r="AE662" s="106">
        <f t="shared" si="123"/>
        <v>0</v>
      </c>
      <c r="AF662" s="1"/>
      <c r="AG662" s="154">
        <f t="shared" si="121"/>
        <v>0</v>
      </c>
      <c r="AH662" s="175"/>
      <c r="AI662" s="106">
        <f t="shared" si="122"/>
        <v>0</v>
      </c>
      <c r="AJ662" s="106"/>
      <c r="AK662" s="159" t="str">
        <f t="shared" si="124"/>
        <v xml:space="preserve">0.0 </v>
      </c>
      <c r="AL662" s="138"/>
      <c r="AM662" s="106"/>
      <c r="AN662" s="106"/>
      <c r="AO662" s="106">
        <f t="shared" si="125"/>
        <v>0</v>
      </c>
      <c r="AP662" s="106"/>
      <c r="AQ662" s="159" t="str">
        <f t="shared" si="126"/>
        <v xml:space="preserve">0.0 </v>
      </c>
      <c r="AW662" s="101"/>
    </row>
    <row r="663" spans="1:49" x14ac:dyDescent="0.3">
      <c r="T663" s="267">
        <f t="shared" si="118"/>
        <v>202</v>
      </c>
      <c r="V663" s="116" t="str">
        <f t="shared" si="119"/>
        <v xml:space="preserve">   3' Shepherds Crook w/ Scroll &amp; Festoon - Single - Top Tenon</v>
      </c>
      <c r="Y663" s="110">
        <f t="shared" si="120"/>
        <v>0</v>
      </c>
      <c r="AA663" s="99"/>
      <c r="AC663" s="228">
        <v>5.35</v>
      </c>
      <c r="AE663" s="106">
        <f t="shared" si="123"/>
        <v>0</v>
      </c>
      <c r="AF663" s="1"/>
      <c r="AG663" s="154">
        <f t="shared" si="121"/>
        <v>0</v>
      </c>
      <c r="AH663" s="175"/>
      <c r="AI663" s="106">
        <f t="shared" si="122"/>
        <v>0</v>
      </c>
      <c r="AJ663" s="106"/>
      <c r="AK663" s="159" t="str">
        <f t="shared" si="124"/>
        <v xml:space="preserve">0.0 </v>
      </c>
      <c r="AL663" s="138"/>
      <c r="AM663" s="106"/>
      <c r="AN663" s="106"/>
      <c r="AO663" s="106">
        <f t="shared" si="125"/>
        <v>0</v>
      </c>
      <c r="AP663" s="106"/>
      <c r="AQ663" s="159" t="str">
        <f t="shared" si="126"/>
        <v xml:space="preserve">0.0 </v>
      </c>
      <c r="AW663" s="101"/>
    </row>
    <row r="664" spans="1:49" x14ac:dyDescent="0.3">
      <c r="T664" s="267">
        <f t="shared" si="118"/>
        <v>203</v>
      </c>
      <c r="V664" s="116" t="str">
        <f t="shared" si="119"/>
        <v xml:space="preserve">   3' Shepherds Crook w/ Scroll - Wood - Top Tenon</v>
      </c>
      <c r="Y664" s="110">
        <f t="shared" si="120"/>
        <v>0</v>
      </c>
      <c r="AA664" s="99"/>
      <c r="AC664" s="228">
        <v>6.38</v>
      </c>
      <c r="AE664" s="106">
        <f t="shared" si="123"/>
        <v>0</v>
      </c>
      <c r="AF664" s="1"/>
      <c r="AG664" s="154">
        <f t="shared" si="121"/>
        <v>0</v>
      </c>
      <c r="AH664" s="175"/>
      <c r="AI664" s="106">
        <f t="shared" si="122"/>
        <v>0</v>
      </c>
      <c r="AJ664" s="106"/>
      <c r="AK664" s="159" t="str">
        <f t="shared" si="124"/>
        <v xml:space="preserve">0.0 </v>
      </c>
      <c r="AL664" s="138"/>
      <c r="AM664" s="106"/>
      <c r="AN664" s="106"/>
      <c r="AO664" s="106">
        <f t="shared" si="125"/>
        <v>0</v>
      </c>
      <c r="AP664" s="106"/>
      <c r="AQ664" s="159" t="str">
        <f t="shared" si="126"/>
        <v xml:space="preserve">0.0 </v>
      </c>
      <c r="AW664" s="101"/>
    </row>
    <row r="665" spans="1:49" x14ac:dyDescent="0.3">
      <c r="T665" s="267">
        <f t="shared" si="118"/>
        <v>204</v>
      </c>
      <c r="V665" s="116" t="str">
        <f t="shared" si="119"/>
        <v xml:space="preserve">   17" Masterpiece - Top Tenon - Double Post Mount - Top Tenon</v>
      </c>
      <c r="Y665" s="110">
        <f t="shared" si="120"/>
        <v>0</v>
      </c>
      <c r="AA665" s="99"/>
      <c r="AC665" s="228">
        <v>5.09</v>
      </c>
      <c r="AE665" s="106">
        <f t="shared" si="123"/>
        <v>0</v>
      </c>
      <c r="AF665" s="1"/>
      <c r="AG665" s="154">
        <f t="shared" si="121"/>
        <v>0</v>
      </c>
      <c r="AH665" s="175"/>
      <c r="AI665" s="106">
        <f t="shared" si="122"/>
        <v>0</v>
      </c>
      <c r="AJ665" s="106"/>
      <c r="AK665" s="159" t="str">
        <f t="shared" si="124"/>
        <v xml:space="preserve">0.0 </v>
      </c>
      <c r="AL665" s="138"/>
      <c r="AM665" s="106"/>
      <c r="AN665" s="106"/>
      <c r="AO665" s="106">
        <f t="shared" si="125"/>
        <v>0</v>
      </c>
      <c r="AP665" s="106"/>
      <c r="AQ665" s="159" t="str">
        <f t="shared" si="126"/>
        <v xml:space="preserve">0.0 </v>
      </c>
      <c r="AW665" s="101"/>
    </row>
    <row r="666" spans="1:49" x14ac:dyDescent="0.3">
      <c r="L666" s="99"/>
      <c r="M666" s="99"/>
      <c r="T666" s="267">
        <f t="shared" si="118"/>
        <v>205</v>
      </c>
      <c r="V666" s="116" t="str">
        <f t="shared" si="119"/>
        <v>TOTAL BRACKETS</v>
      </c>
      <c r="Y666" s="246">
        <f>SUM(Y604:Y665)</f>
        <v>323</v>
      </c>
      <c r="Z666" s="1"/>
      <c r="AA666" s="147"/>
      <c r="AB666" s="147"/>
      <c r="AC666" s="228"/>
      <c r="AD666" s="242"/>
      <c r="AE666" s="246">
        <f>SUM(AE604:AE665)</f>
        <v>614</v>
      </c>
      <c r="AG666" s="333">
        <f>SUM(AG604:AG665)</f>
        <v>3.1000000000000005</v>
      </c>
      <c r="AI666" s="246">
        <f>SUM(AI604:AI665)</f>
        <v>90</v>
      </c>
      <c r="AK666" s="159">
        <f t="shared" si="112"/>
        <v>14.7</v>
      </c>
      <c r="AM666" s="246">
        <f>SUM(AM604:AM665)</f>
        <v>0</v>
      </c>
      <c r="AO666" s="246">
        <f>SUM(AO604:AO665)</f>
        <v>614</v>
      </c>
      <c r="AQ666" s="201">
        <f t="shared" si="114"/>
        <v>14.7</v>
      </c>
      <c r="AW666" s="101"/>
    </row>
    <row r="667" spans="1:49" x14ac:dyDescent="0.3">
      <c r="R667" s="99"/>
      <c r="T667" s="267"/>
      <c r="V667" s="116"/>
      <c r="Y667" s="110"/>
      <c r="AC667" s="99"/>
      <c r="AD667" s="99"/>
      <c r="AW667" s="101"/>
    </row>
    <row r="668" spans="1:49" x14ac:dyDescent="0.3">
      <c r="R668" s="99"/>
      <c r="T668" s="267">
        <f>A316</f>
        <v>206</v>
      </c>
      <c r="V668" s="116" t="str">
        <f t="shared" ref="V668:V677" si="127">C316</f>
        <v>WIRING EQUIPMENT</v>
      </c>
      <c r="Y668" s="110"/>
      <c r="AM668" s="99"/>
      <c r="AN668" s="99"/>
      <c r="AW668" s="101"/>
    </row>
    <row r="669" spans="1:49" x14ac:dyDescent="0.3">
      <c r="A669" s="99"/>
      <c r="R669" s="99"/>
      <c r="T669" s="267">
        <f>A317</f>
        <v>207</v>
      </c>
      <c r="V669" s="116" t="str">
        <f t="shared" si="127"/>
        <v xml:space="preserve">   Secondary Pedestal (cost per unit)</v>
      </c>
      <c r="Y669" s="110">
        <f>F317</f>
        <v>0</v>
      </c>
      <c r="AC669" s="228">
        <v>2.4700000000000002</v>
      </c>
      <c r="AE669" s="106">
        <f t="shared" ref="AE669:AE675" si="128">ROUND((Y669*(AC669+AD669)),0)</f>
        <v>0</v>
      </c>
      <c r="AF669" s="1"/>
      <c r="AG669" s="154">
        <f t="shared" ref="AG669:AG677" si="129">ROUND((AE669/AE$692)*100,1)</f>
        <v>0</v>
      </c>
      <c r="AH669" s="175"/>
      <c r="AI669" s="106">
        <f>L317-AE669</f>
        <v>0</v>
      </c>
      <c r="AJ669" s="106"/>
      <c r="AK669" s="159" t="str">
        <f t="shared" ref="AK669:AK684" si="130">IF(AE669=0,"0.0 ",ROUND((AI669/AE669)*100,1))</f>
        <v xml:space="preserve">0.0 </v>
      </c>
      <c r="AL669" s="138"/>
      <c r="AM669" s="106"/>
      <c r="AN669" s="106"/>
      <c r="AO669" s="106">
        <f t="shared" ref="AO669:AO677" si="131">AM669+AE669</f>
        <v>0</v>
      </c>
      <c r="AP669" s="106"/>
      <c r="AQ669" s="159" t="str">
        <f t="shared" ref="AQ669:AQ684" si="132">IF(AO669=0,"0.0 ",ROUND((AI669/AO669)*100,1))</f>
        <v xml:space="preserve">0.0 </v>
      </c>
      <c r="AW669" s="101"/>
    </row>
    <row r="670" spans="1:49" x14ac:dyDescent="0.3">
      <c r="L670" s="99"/>
      <c r="M670" s="99"/>
      <c r="T670" s="267">
        <f>A318</f>
        <v>208</v>
      </c>
      <c r="V670" s="116" t="str">
        <f t="shared" si="127"/>
        <v xml:space="preserve">   Handhole (cost per unit)</v>
      </c>
      <c r="Y670" s="110">
        <f>F318</f>
        <v>0</v>
      </c>
      <c r="AC670" s="228">
        <v>3.54</v>
      </c>
      <c r="AE670" s="106">
        <f t="shared" si="128"/>
        <v>0</v>
      </c>
      <c r="AF670" s="1"/>
      <c r="AG670" s="154">
        <f t="shared" si="129"/>
        <v>0</v>
      </c>
      <c r="AH670" s="175"/>
      <c r="AI670" s="106">
        <f>L318-AE670</f>
        <v>0</v>
      </c>
      <c r="AJ670" s="106"/>
      <c r="AK670" s="159" t="str">
        <f t="shared" si="130"/>
        <v xml:space="preserve">0.0 </v>
      </c>
      <c r="AL670" s="138"/>
      <c r="AM670" s="106"/>
      <c r="AN670" s="106"/>
      <c r="AO670" s="106">
        <f t="shared" si="131"/>
        <v>0</v>
      </c>
      <c r="AP670" s="106"/>
      <c r="AQ670" s="159" t="str">
        <f t="shared" si="132"/>
        <v xml:space="preserve">0.0 </v>
      </c>
      <c r="AW670" s="101"/>
    </row>
    <row r="671" spans="1:49" x14ac:dyDescent="0.3">
      <c r="A671" s="101"/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T671" s="267">
        <f t="shared" ref="T671:T677" si="133">A319</f>
        <v>209</v>
      </c>
      <c r="V671" s="116" t="str">
        <f t="shared" si="127"/>
        <v xml:space="preserve">   Pullbox</v>
      </c>
      <c r="Y671" s="110">
        <f t="shared" ref="Y671:Y676" si="134">F319</f>
        <v>0</v>
      </c>
      <c r="AC671" s="228">
        <v>8.98</v>
      </c>
      <c r="AD671" s="99"/>
      <c r="AE671" s="106">
        <f t="shared" si="128"/>
        <v>0</v>
      </c>
      <c r="AF671" s="1"/>
      <c r="AG671" s="154">
        <f t="shared" si="129"/>
        <v>0</v>
      </c>
      <c r="AH671" s="175"/>
      <c r="AI671" s="106">
        <f t="shared" ref="AI671:AI676" si="135">L320-AE671</f>
        <v>0</v>
      </c>
      <c r="AJ671" s="106"/>
      <c r="AK671" s="159" t="str">
        <f t="shared" si="130"/>
        <v xml:space="preserve">0.0 </v>
      </c>
      <c r="AL671" s="138"/>
      <c r="AM671" s="106"/>
      <c r="AN671" s="106"/>
      <c r="AO671" s="106">
        <f t="shared" si="131"/>
        <v>0</v>
      </c>
      <c r="AP671" s="106"/>
      <c r="AQ671" s="159" t="str">
        <f t="shared" si="132"/>
        <v xml:space="preserve">0.0 </v>
      </c>
      <c r="AW671" s="101"/>
    </row>
    <row r="672" spans="1:49" x14ac:dyDescent="0.3">
      <c r="L672" s="102"/>
      <c r="M672" s="102"/>
      <c r="N672" s="102"/>
      <c r="O672" s="102"/>
      <c r="R672" s="102"/>
      <c r="T672" s="267">
        <f t="shared" si="133"/>
        <v>210</v>
      </c>
      <c r="V672" s="116" t="str">
        <f t="shared" si="127"/>
        <v xml:space="preserve">   6AL DUPLEX and Trench (cost per 10 feet)</v>
      </c>
      <c r="W672" s="101"/>
      <c r="X672" s="101"/>
      <c r="Y672" s="110">
        <f t="shared" si="134"/>
        <v>0</v>
      </c>
      <c r="Z672" s="101"/>
      <c r="AA672" s="101"/>
      <c r="AB672" s="101"/>
      <c r="AC672" s="228">
        <v>1.1200000000000001</v>
      </c>
      <c r="AD672" s="101"/>
      <c r="AE672" s="106">
        <f t="shared" si="128"/>
        <v>0</v>
      </c>
      <c r="AF672" s="1"/>
      <c r="AG672" s="154">
        <f t="shared" si="129"/>
        <v>0</v>
      </c>
      <c r="AH672" s="175"/>
      <c r="AI672" s="106">
        <f t="shared" si="135"/>
        <v>0</v>
      </c>
      <c r="AJ672" s="106"/>
      <c r="AK672" s="159" t="str">
        <f t="shared" si="130"/>
        <v xml:space="preserve">0.0 </v>
      </c>
      <c r="AL672" s="138"/>
      <c r="AM672" s="106"/>
      <c r="AN672" s="106"/>
      <c r="AO672" s="106">
        <f t="shared" si="131"/>
        <v>0</v>
      </c>
      <c r="AP672" s="106"/>
      <c r="AQ672" s="159" t="str">
        <f t="shared" si="132"/>
        <v xml:space="preserve">0.0 </v>
      </c>
      <c r="AW672" s="101"/>
    </row>
    <row r="673" spans="1:49" x14ac:dyDescent="0.3">
      <c r="L673" s="102"/>
      <c r="M673" s="102"/>
      <c r="N673" s="102"/>
      <c r="O673" s="102"/>
      <c r="R673" s="102"/>
      <c r="T673" s="267">
        <f t="shared" si="133"/>
        <v>211</v>
      </c>
      <c r="V673" s="116" t="str">
        <f t="shared" si="127"/>
        <v xml:space="preserve">   6AL DUPLEX and Trench with conduit (cost per 10 feet)</v>
      </c>
      <c r="Y673" s="110">
        <f t="shared" si="134"/>
        <v>0</v>
      </c>
      <c r="AC673" s="228">
        <v>1.3</v>
      </c>
      <c r="AD673" s="102"/>
      <c r="AE673" s="106">
        <f t="shared" si="128"/>
        <v>0</v>
      </c>
      <c r="AF673" s="1"/>
      <c r="AG673" s="154">
        <f t="shared" si="129"/>
        <v>0</v>
      </c>
      <c r="AH673" s="175"/>
      <c r="AI673" s="106">
        <f t="shared" si="135"/>
        <v>0</v>
      </c>
      <c r="AJ673" s="106"/>
      <c r="AK673" s="159" t="str">
        <f t="shared" si="130"/>
        <v xml:space="preserve">0.0 </v>
      </c>
      <c r="AL673" s="138"/>
      <c r="AM673" s="106"/>
      <c r="AN673" s="106"/>
      <c r="AO673" s="106">
        <f t="shared" si="131"/>
        <v>0</v>
      </c>
      <c r="AP673" s="106"/>
      <c r="AQ673" s="159" t="str">
        <f t="shared" si="132"/>
        <v xml:space="preserve">0.0 </v>
      </c>
      <c r="AW673" s="101"/>
    </row>
    <row r="674" spans="1:49" x14ac:dyDescent="0.3">
      <c r="A674" s="102"/>
      <c r="C674" s="102"/>
      <c r="D674" s="102"/>
      <c r="E674" s="102"/>
      <c r="F674" s="102"/>
      <c r="J674" s="102"/>
      <c r="K674" s="102"/>
      <c r="L674" s="102"/>
      <c r="M674" s="102"/>
      <c r="N674" s="102"/>
      <c r="O674" s="102"/>
      <c r="P674" s="102"/>
      <c r="Q674" s="102"/>
      <c r="R674" s="102"/>
      <c r="T674" s="267">
        <f t="shared" si="133"/>
        <v>212</v>
      </c>
      <c r="V674" s="116" t="str">
        <f t="shared" si="127"/>
        <v xml:space="preserve">   6AL DUPLEX with existing conduit (cost per 10 feet)</v>
      </c>
      <c r="Y674" s="110">
        <f t="shared" si="134"/>
        <v>0</v>
      </c>
      <c r="AB674" s="102"/>
      <c r="AC674" s="228">
        <v>0.82</v>
      </c>
      <c r="AD674" s="102"/>
      <c r="AE674" s="106">
        <f t="shared" si="128"/>
        <v>0</v>
      </c>
      <c r="AF674" s="1"/>
      <c r="AG674" s="154">
        <f t="shared" si="129"/>
        <v>0</v>
      </c>
      <c r="AH674" s="175"/>
      <c r="AI674" s="106">
        <f t="shared" si="135"/>
        <v>0</v>
      </c>
      <c r="AJ674" s="106"/>
      <c r="AK674" s="159" t="str">
        <f t="shared" si="130"/>
        <v xml:space="preserve">0.0 </v>
      </c>
      <c r="AL674" s="138"/>
      <c r="AM674" s="106"/>
      <c r="AN674" s="106"/>
      <c r="AO674" s="106">
        <f t="shared" si="131"/>
        <v>0</v>
      </c>
      <c r="AP674" s="106"/>
      <c r="AQ674" s="159" t="str">
        <f t="shared" si="132"/>
        <v xml:space="preserve">0.0 </v>
      </c>
      <c r="AW674" s="101"/>
    </row>
    <row r="675" spans="1:49" x14ac:dyDescent="0.3">
      <c r="A675" s="102"/>
      <c r="C675" s="102"/>
      <c r="D675" s="102"/>
      <c r="E675" s="102"/>
      <c r="F675" s="102"/>
      <c r="H675" s="102"/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T675" s="267">
        <f t="shared" si="133"/>
        <v>213</v>
      </c>
      <c r="V675" s="116" t="str">
        <f t="shared" si="127"/>
        <v xml:space="preserve">   6AL DUPLEX and Bore with conduit (cost per 10 feet)</v>
      </c>
      <c r="Y675" s="110">
        <f t="shared" si="134"/>
        <v>0</v>
      </c>
      <c r="AB675" s="102"/>
      <c r="AC675" s="228">
        <v>2.79</v>
      </c>
      <c r="AD675" s="102"/>
      <c r="AE675" s="106">
        <f t="shared" si="128"/>
        <v>0</v>
      </c>
      <c r="AF675" s="1"/>
      <c r="AG675" s="154">
        <f t="shared" si="129"/>
        <v>0</v>
      </c>
      <c r="AH675" s="175"/>
      <c r="AI675" s="106">
        <f t="shared" si="135"/>
        <v>45</v>
      </c>
      <c r="AJ675" s="106"/>
      <c r="AK675" s="159" t="str">
        <f t="shared" si="130"/>
        <v xml:space="preserve">0.0 </v>
      </c>
      <c r="AL675" s="138"/>
      <c r="AM675" s="106"/>
      <c r="AN675" s="106"/>
      <c r="AO675" s="106">
        <f t="shared" si="131"/>
        <v>0</v>
      </c>
      <c r="AP675" s="106"/>
      <c r="AQ675" s="159" t="str">
        <f t="shared" si="132"/>
        <v xml:space="preserve">0.0 </v>
      </c>
      <c r="AW675" s="101"/>
    </row>
    <row r="676" spans="1:49" x14ac:dyDescent="0.3">
      <c r="A676" s="102"/>
      <c r="C676" s="102"/>
      <c r="D676" s="102"/>
      <c r="E676" s="102"/>
      <c r="F676" s="102"/>
      <c r="H676" s="102"/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T676" s="267">
        <f t="shared" si="133"/>
        <v>214</v>
      </c>
      <c r="V676" s="116" t="str">
        <f t="shared" si="127"/>
        <v xml:space="preserve">   6AL DUPLEX OH wire (cost per 100 feet)</v>
      </c>
      <c r="Y676" s="110">
        <f t="shared" si="134"/>
        <v>15</v>
      </c>
      <c r="AB676" s="102"/>
      <c r="AC676" s="228">
        <v>2.62</v>
      </c>
      <c r="AD676" s="102"/>
      <c r="AE676" s="106">
        <f>ROUND((Y676*(AC676+AD676)),0)</f>
        <v>39</v>
      </c>
      <c r="AF676" s="1"/>
      <c r="AG676" s="154">
        <f t="shared" si="129"/>
        <v>0.2</v>
      </c>
      <c r="AH676" s="175"/>
      <c r="AI676" s="106">
        <f t="shared" si="135"/>
        <v>6</v>
      </c>
      <c r="AJ676" s="106"/>
      <c r="AK676" s="159">
        <f>IF(AE676=0,"0.0 ",ROUND((AI676/AE676)*100,1))</f>
        <v>15.4</v>
      </c>
      <c r="AL676" s="138"/>
      <c r="AM676" s="106"/>
      <c r="AN676" s="106"/>
      <c r="AO676" s="106">
        <f>AM676+AE676</f>
        <v>39</v>
      </c>
      <c r="AP676" s="106"/>
      <c r="AQ676" s="159">
        <f>IF(AO676=0,"0.0 ",ROUND((AI676/AO676)*100,1))</f>
        <v>15.4</v>
      </c>
      <c r="AW676" s="101"/>
    </row>
    <row r="677" spans="1:49" x14ac:dyDescent="0.3">
      <c r="C677" s="102"/>
      <c r="D677" s="102"/>
      <c r="E677" s="102"/>
      <c r="F677" s="102"/>
      <c r="H677" s="102"/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T677" s="267">
        <f t="shared" si="133"/>
        <v>215</v>
      </c>
      <c r="V677" s="116" t="str">
        <f t="shared" si="127"/>
        <v>TOTAL WIRING EQUIPMENT</v>
      </c>
      <c r="Y677" s="246">
        <f>SUM(Y669:Y676)</f>
        <v>15</v>
      </c>
      <c r="Z677" s="1"/>
      <c r="AA677" s="147"/>
      <c r="AB677" s="147"/>
      <c r="AC677" s="228"/>
      <c r="AD677" s="242"/>
      <c r="AE677" s="246">
        <f>SUM(AE669:AE676)</f>
        <v>39</v>
      </c>
      <c r="AF677" s="106"/>
      <c r="AG677" s="158">
        <f t="shared" si="129"/>
        <v>0.2</v>
      </c>
      <c r="AH677" s="175"/>
      <c r="AI677" s="246">
        <f>SUM(AI669:AI676)</f>
        <v>51</v>
      </c>
      <c r="AJ677" s="106"/>
      <c r="AK677" s="201">
        <f t="shared" si="130"/>
        <v>130.80000000000001</v>
      </c>
      <c r="AL677" s="138"/>
      <c r="AM677" s="246">
        <f>SUM(AM669:AM676)</f>
        <v>0</v>
      </c>
      <c r="AN677" s="106"/>
      <c r="AO677" s="112">
        <f t="shared" si="131"/>
        <v>39</v>
      </c>
      <c r="AP677" s="106"/>
      <c r="AQ677" s="201">
        <f t="shared" si="132"/>
        <v>130.80000000000001</v>
      </c>
      <c r="AW677" s="101"/>
    </row>
    <row r="678" spans="1:49" x14ac:dyDescent="0.3">
      <c r="A678" s="101"/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T678" s="267"/>
      <c r="V678" s="116"/>
      <c r="AA678" s="102"/>
      <c r="AB678" s="102"/>
      <c r="AC678" s="102"/>
      <c r="AD678" s="102"/>
      <c r="AE678" s="102"/>
      <c r="AF678" s="102"/>
      <c r="AG678" s="151"/>
      <c r="AH678" s="102"/>
      <c r="AI678" s="102"/>
      <c r="AJ678" s="102"/>
      <c r="AK678" s="151"/>
      <c r="AL678" s="102"/>
      <c r="AM678" s="102"/>
      <c r="AN678" s="102"/>
      <c r="AO678" s="254"/>
      <c r="AP678" s="102"/>
      <c r="AW678" s="101"/>
    </row>
    <row r="679" spans="1:49" x14ac:dyDescent="0.3">
      <c r="A679" s="101"/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T679" s="267">
        <f>A327</f>
        <v>216</v>
      </c>
      <c r="V679" s="116" t="str">
        <f>C327</f>
        <v>SHIELDS</v>
      </c>
      <c r="AA679" s="102"/>
      <c r="AB679" s="102"/>
      <c r="AC679" s="102"/>
      <c r="AD679" s="102"/>
      <c r="AE679" s="102"/>
      <c r="AF679" s="102"/>
      <c r="AG679" s="151"/>
      <c r="AH679" s="102"/>
      <c r="AI679" s="102"/>
      <c r="AJ679" s="102"/>
      <c r="AK679" s="151"/>
      <c r="AL679" s="102"/>
      <c r="AM679" s="102"/>
      <c r="AN679" s="102"/>
      <c r="AO679" s="102"/>
      <c r="AP679" s="102"/>
      <c r="AW679" s="101"/>
    </row>
    <row r="680" spans="1:49" x14ac:dyDescent="0.3">
      <c r="A680" s="101"/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T680" s="267">
        <f>A328</f>
        <v>217</v>
      </c>
      <c r="V680" s="116" t="str">
        <f>C328</f>
        <v xml:space="preserve">   Standard</v>
      </c>
      <c r="Y680" s="110">
        <f>F328</f>
        <v>0</v>
      </c>
      <c r="AA680" s="102"/>
      <c r="AB680" s="102"/>
      <c r="AD680" s="102"/>
      <c r="AE680" s="106">
        <f>ROUND((Y680*(AC680+AD680)),0)</f>
        <v>0</v>
      </c>
      <c r="AF680" s="1"/>
      <c r="AG680" s="154">
        <f>ROUND((AE680/AE$692)*100,1)</f>
        <v>0</v>
      </c>
      <c r="AH680" s="175"/>
      <c r="AI680" s="106">
        <f>L328-AE680</f>
        <v>0</v>
      </c>
      <c r="AJ680" s="106"/>
      <c r="AK680" s="159" t="str">
        <f>IF(AE680=0,"0.0 ",ROUND((AI680/AE680)*100,1))</f>
        <v xml:space="preserve">0.0 </v>
      </c>
      <c r="AL680" s="138"/>
      <c r="AM680" s="106"/>
      <c r="AN680" s="106"/>
      <c r="AO680" s="106">
        <f>AM680+AE680</f>
        <v>0</v>
      </c>
      <c r="AP680" s="106"/>
      <c r="AQ680" s="159" t="str">
        <f>IF(AO680=0,"0.0 ",ROUND((AI680/AO680)*100,1))</f>
        <v xml:space="preserve">0.0 </v>
      </c>
      <c r="AW680" s="101"/>
    </row>
    <row r="681" spans="1:49" x14ac:dyDescent="0.3">
      <c r="A681" s="101"/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T681" s="267">
        <f>A329</f>
        <v>218</v>
      </c>
      <c r="V681" s="116" t="str">
        <f>C329</f>
        <v xml:space="preserve">   Decorative</v>
      </c>
      <c r="Y681" s="110">
        <f>F329</f>
        <v>0</v>
      </c>
      <c r="AA681" s="102"/>
      <c r="AB681" s="102"/>
      <c r="AD681" s="102"/>
      <c r="AE681" s="106">
        <f>ROUND((Y681*(AC681+AD681)),0)</f>
        <v>0</v>
      </c>
      <c r="AF681" s="1"/>
      <c r="AG681" s="154">
        <f>ROUND((AE681/AE$692)*100,1)</f>
        <v>0</v>
      </c>
      <c r="AH681" s="175"/>
      <c r="AI681" s="106">
        <f>L329-AE681</f>
        <v>0</v>
      </c>
      <c r="AJ681" s="106"/>
      <c r="AK681" s="159" t="str">
        <f>IF(AE681=0,"0.0 ",ROUND((AI681/AE681)*100,1))</f>
        <v xml:space="preserve">0.0 </v>
      </c>
      <c r="AL681" s="138"/>
      <c r="AM681" s="106"/>
      <c r="AN681" s="106"/>
      <c r="AO681" s="106">
        <f>AM681+AE681</f>
        <v>0</v>
      </c>
      <c r="AP681" s="106"/>
      <c r="AQ681" s="159" t="str">
        <f>IF(AO681=0,"0.0 ",ROUND((AI681/AO681)*100,1))</f>
        <v xml:space="preserve">0.0 </v>
      </c>
      <c r="AW681" s="101"/>
    </row>
    <row r="682" spans="1:49" x14ac:dyDescent="0.3">
      <c r="A682" s="101"/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T682" s="267">
        <f>A330</f>
        <v>219</v>
      </c>
      <c r="V682" s="116" t="str">
        <f>C330</f>
        <v>TOTAL SHIELDS</v>
      </c>
      <c r="Y682" s="246">
        <f>SUM(Y680:Y681)</f>
        <v>0</v>
      </c>
      <c r="AA682" s="102"/>
      <c r="AB682" s="102"/>
      <c r="AC682" s="102"/>
      <c r="AD682" s="102"/>
      <c r="AE682" s="246">
        <f>SUM(AE680:AE681)</f>
        <v>0</v>
      </c>
      <c r="AF682" s="106"/>
      <c r="AG682" s="158">
        <f>ROUND((AE682/AE$692)*100,1)</f>
        <v>0</v>
      </c>
      <c r="AH682" s="175"/>
      <c r="AI682" s="246">
        <f>SUM(AI680:AI681)</f>
        <v>0</v>
      </c>
      <c r="AJ682" s="106"/>
      <c r="AK682" s="201" t="str">
        <f>IF(AE682=0,"0.0 ",ROUND((AI682/AE682)*100,1))</f>
        <v xml:space="preserve">0.0 </v>
      </c>
      <c r="AL682" s="138"/>
      <c r="AM682" s="246">
        <f>SUM(AM680:AM681)</f>
        <v>0</v>
      </c>
      <c r="AN682" s="106"/>
      <c r="AO682" s="112">
        <f>AM682+AE682</f>
        <v>0</v>
      </c>
      <c r="AP682" s="106"/>
      <c r="AQ682" s="201" t="str">
        <f>IF(AO682=0,"0.0 ",ROUND((AI682/AO682)*100,1))</f>
        <v xml:space="preserve">0.0 </v>
      </c>
      <c r="AW682" s="101"/>
    </row>
    <row r="683" spans="1:49" x14ac:dyDescent="0.3">
      <c r="A683" s="101"/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T683" s="267"/>
      <c r="V683" s="116"/>
      <c r="AA683" s="102"/>
      <c r="AB683" s="102"/>
      <c r="AC683" s="102"/>
      <c r="AD683" s="102"/>
      <c r="AE683" s="102"/>
      <c r="AF683" s="102"/>
      <c r="AG683" s="151"/>
      <c r="AH683" s="102"/>
      <c r="AI683" s="102"/>
      <c r="AJ683" s="102"/>
      <c r="AK683" s="151"/>
      <c r="AL683" s="102"/>
      <c r="AM683" s="102"/>
      <c r="AN683" s="102"/>
      <c r="AO683" s="262"/>
      <c r="AP683" s="102"/>
      <c r="AW683" s="101"/>
    </row>
    <row r="684" spans="1:49" x14ac:dyDescent="0.3">
      <c r="H684" s="102"/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T684" s="267">
        <f>A332</f>
        <v>216</v>
      </c>
      <c r="V684" s="116" t="str">
        <f>C332</f>
        <v>TOTAL RATE LED EXCLUDING RIDERS</v>
      </c>
      <c r="Y684" s="261">
        <f>Y677+Y666+Y601+Y585+Y462+Y460+Y682</f>
        <v>2283</v>
      </c>
      <c r="AA684" s="102"/>
      <c r="AB684" s="102"/>
      <c r="AC684" s="102"/>
      <c r="AD684" s="102"/>
      <c r="AE684" s="261">
        <f>AE677+AE666+AE601+AE585+AE462+AE460+AE682</f>
        <v>19697</v>
      </c>
      <c r="AF684" s="102"/>
      <c r="AG684" s="158">
        <f>ROUND((AE684/AE$692)*100,1)</f>
        <v>98.9</v>
      </c>
      <c r="AH684" s="102"/>
      <c r="AI684" s="261">
        <f>AI677+AI666+AI601+AI585+AI462+AI460+AI682</f>
        <v>2855.4291680000001</v>
      </c>
      <c r="AJ684" s="102"/>
      <c r="AK684" s="201">
        <f t="shared" si="130"/>
        <v>14.5</v>
      </c>
      <c r="AL684" s="102"/>
      <c r="AM684" s="261">
        <f>AM677+AM666+AM601+AM585+AM462+AM460+AM682</f>
        <v>147</v>
      </c>
      <c r="AN684" s="102"/>
      <c r="AO684" s="334">
        <f>AO677+AO666+AO601+AO585+AO462+AO460+AO682</f>
        <v>19844</v>
      </c>
      <c r="AP684" s="102"/>
      <c r="AQ684" s="201">
        <f t="shared" si="132"/>
        <v>14.4</v>
      </c>
      <c r="AW684" s="101"/>
    </row>
    <row r="685" spans="1:49" x14ac:dyDescent="0.3">
      <c r="C685" s="99"/>
      <c r="D685" s="99"/>
      <c r="E685" s="99"/>
      <c r="T685" s="267"/>
      <c r="V685" s="116"/>
      <c r="AA685" s="102"/>
      <c r="AB685" s="102"/>
      <c r="AC685" s="102"/>
      <c r="AD685" s="102"/>
      <c r="AE685" s="102"/>
      <c r="AF685" s="102"/>
      <c r="AG685" s="151"/>
      <c r="AH685" s="102"/>
      <c r="AI685" s="102"/>
      <c r="AJ685" s="102"/>
      <c r="AK685" s="151"/>
      <c r="AL685" s="102"/>
      <c r="AM685" s="102"/>
      <c r="AN685" s="102"/>
      <c r="AO685" s="102"/>
      <c r="AP685" s="102"/>
      <c r="AW685" s="101"/>
    </row>
    <row r="686" spans="1:49" x14ac:dyDescent="0.3">
      <c r="D686" s="99"/>
      <c r="E686" s="99"/>
      <c r="T686" s="267">
        <f>A334</f>
        <v>217</v>
      </c>
      <c r="V686" s="116" t="str">
        <f>C334</f>
        <v>RIDERS NOT INCLUDED IN RATES ABOVE ($ PER KWH):</v>
      </c>
      <c r="W686" s="101"/>
      <c r="X686" s="101"/>
      <c r="Y686" s="101"/>
      <c r="Z686" s="101"/>
      <c r="AA686" s="101"/>
      <c r="AB686" s="101"/>
      <c r="AC686" s="101"/>
      <c r="AD686" s="101"/>
      <c r="AE686" s="101"/>
      <c r="AF686" s="101"/>
      <c r="AG686" s="191"/>
      <c r="AH686" s="101"/>
      <c r="AI686" s="101"/>
      <c r="AJ686" s="101"/>
      <c r="AK686" s="191"/>
      <c r="AL686" s="101"/>
      <c r="AM686" s="101"/>
      <c r="AN686" s="101"/>
      <c r="AO686" s="101"/>
      <c r="AP686" s="101"/>
      <c r="AW686" s="101"/>
    </row>
    <row r="687" spans="1:49" x14ac:dyDescent="0.3">
      <c r="T687" s="267">
        <f>A335</f>
        <v>218</v>
      </c>
      <c r="V687" s="116" t="str">
        <f>C335</f>
        <v>ENVIRONMENTAL SURCHARGE MECHANISM RIDER (ESM)</v>
      </c>
      <c r="AA687" s="102"/>
      <c r="AB687" s="102"/>
      <c r="AC687" s="90">
        <f>CUR_ESM_NonRes</f>
        <v>6.3863133253205971E-3</v>
      </c>
      <c r="AD687" s="102"/>
      <c r="AE687" s="106">
        <f>ROUND((AO684-(CUR_BASE_FUEL*AA692)-AM684+AO689)*AC687,0)</f>
        <v>117</v>
      </c>
      <c r="AF687" s="106"/>
      <c r="AG687" s="154">
        <f>ROUND((AE687/AE$692)*100,1)</f>
        <v>0.6</v>
      </c>
      <c r="AH687" s="175"/>
      <c r="AI687" s="106">
        <f>L335-AE687</f>
        <v>-3</v>
      </c>
      <c r="AJ687" s="106"/>
      <c r="AK687" s="154">
        <f>IF(AE687=0,0,ROUND((AI687/AE687)*100,1))</f>
        <v>-2.6</v>
      </c>
      <c r="AL687" s="138"/>
      <c r="AM687" s="106"/>
      <c r="AN687" s="106"/>
      <c r="AO687" s="106">
        <f>AE687+AM687</f>
        <v>117</v>
      </c>
      <c r="AP687" s="106"/>
      <c r="AQ687" s="154">
        <f>IF(AO687=0,0,ROUND((AI687/AO687)*100,1))</f>
        <v>-2.6</v>
      </c>
      <c r="AW687" s="101"/>
    </row>
    <row r="688" spans="1:49" x14ac:dyDescent="0.3">
      <c r="C688" s="99"/>
      <c r="F688" s="110"/>
      <c r="J688" s="209"/>
      <c r="K688" s="209"/>
      <c r="L688" s="110"/>
      <c r="M688" s="110"/>
      <c r="R688" s="110"/>
      <c r="T688" s="267">
        <f>A336</f>
        <v>219</v>
      </c>
      <c r="V688" s="116" t="str">
        <f>C336</f>
        <v>FUEL ADJUSTMENT CLAUSE (FAC)</v>
      </c>
      <c r="AE688" s="106"/>
      <c r="AF688" s="106"/>
      <c r="AG688" s="154"/>
      <c r="AH688" s="175"/>
      <c r="AI688" s="106"/>
      <c r="AJ688" s="106"/>
      <c r="AK688" s="154"/>
      <c r="AL688" s="138"/>
      <c r="AM688" s="106"/>
      <c r="AN688" s="106"/>
      <c r="AO688" s="106"/>
      <c r="AP688" s="106"/>
      <c r="AQ688" s="159"/>
      <c r="AW688" s="101"/>
    </row>
    <row r="689" spans="3:49" x14ac:dyDescent="0.3">
      <c r="F689" s="110"/>
      <c r="R689" s="110"/>
      <c r="T689" s="267">
        <f>A337</f>
        <v>220</v>
      </c>
      <c r="V689" s="116" t="str">
        <f>C337</f>
        <v>PROFIT SHARING MECHANISM (PSM)</v>
      </c>
      <c r="AC689" s="98">
        <f>RS_PSM</f>
        <v>2.4750000000000002E-3</v>
      </c>
      <c r="AE689" s="117">
        <f>ROUND(AA692*AC689,0)</f>
        <v>104</v>
      </c>
      <c r="AF689" s="106"/>
      <c r="AG689" s="154">
        <f>ROUND((AE689/AE$692)*100,1)</f>
        <v>0.5</v>
      </c>
      <c r="AH689" s="175"/>
      <c r="AI689" s="106">
        <f>L337-AE689</f>
        <v>0</v>
      </c>
      <c r="AJ689" s="106"/>
      <c r="AK689" s="154">
        <f>IF(AE689=0,0,ROUND((AI689/AE689)*100,1))</f>
        <v>0</v>
      </c>
      <c r="AL689" s="138"/>
      <c r="AM689" s="117"/>
      <c r="AN689" s="106"/>
      <c r="AO689" s="106">
        <f>AE689+AM689</f>
        <v>104</v>
      </c>
      <c r="AP689" s="106"/>
      <c r="AQ689" s="154">
        <f>IF(AO689=0,0,ROUND((AI689/AO689)*100,1))</f>
        <v>0</v>
      </c>
      <c r="AW689" s="101"/>
    </row>
    <row r="690" spans="3:49" x14ac:dyDescent="0.3">
      <c r="C690" s="99"/>
      <c r="F690" s="172"/>
      <c r="H690" s="172"/>
      <c r="I690" s="172"/>
      <c r="J690" s="181"/>
      <c r="K690" s="181"/>
      <c r="L690" s="110"/>
      <c r="M690" s="110"/>
      <c r="N690" s="141"/>
      <c r="O690" s="141"/>
      <c r="P690" s="110"/>
      <c r="Q690" s="110"/>
      <c r="R690" s="110"/>
      <c r="T690" s="267">
        <f>A338</f>
        <v>221</v>
      </c>
      <c r="V690" s="116" t="str">
        <f>C338</f>
        <v xml:space="preserve">  TOTAL RIDERS NOT INCLUDED IN RATES ABOVE</v>
      </c>
      <c r="AE690" s="261">
        <f>SUM(AE687:AE689)</f>
        <v>221</v>
      </c>
      <c r="AG690" s="158">
        <f>ROUND((AE690/AE$692)*100,1)</f>
        <v>1.1000000000000001</v>
      </c>
      <c r="AI690" s="335">
        <f>SUM(AI687:AI689)</f>
        <v>-3</v>
      </c>
      <c r="AK690" s="158">
        <f>IF(AE690=0,0,ROUND((AI690/AE690)*100,1))</f>
        <v>-1.4</v>
      </c>
      <c r="AM690" s="261">
        <f>SUM(AM687:AM689)</f>
        <v>0</v>
      </c>
      <c r="AO690" s="112">
        <f>AE690+AM690</f>
        <v>221</v>
      </c>
      <c r="AQ690" s="201">
        <f>IF(AO690=0,"0.0 ",ROUND((AI690/AO690)*100,1))</f>
        <v>-1.4</v>
      </c>
      <c r="AW690" s="101"/>
    </row>
    <row r="691" spans="3:49" x14ac:dyDescent="0.3">
      <c r="C691" s="99"/>
      <c r="F691" s="172"/>
      <c r="H691" s="220"/>
      <c r="I691" s="220"/>
      <c r="J691" s="181"/>
      <c r="K691" s="181"/>
      <c r="L691" s="110"/>
      <c r="M691" s="110"/>
      <c r="N691" s="141"/>
      <c r="O691" s="141"/>
      <c r="P691" s="110"/>
      <c r="Q691" s="110"/>
      <c r="R691" s="110"/>
      <c r="T691" s="267"/>
      <c r="V691" s="116"/>
      <c r="AB691" s="209"/>
      <c r="AC691" s="110"/>
      <c r="AD691" s="110"/>
      <c r="AM691" s="110"/>
      <c r="AN691" s="110"/>
      <c r="AW691" s="101"/>
    </row>
    <row r="692" spans="3:49" ht="16.2" thickBot="1" x14ac:dyDescent="0.35">
      <c r="F692" s="192"/>
      <c r="H692" s="110"/>
      <c r="I692" s="110"/>
      <c r="J692" s="217"/>
      <c r="K692" s="217"/>
      <c r="L692" s="192"/>
      <c r="M692" s="192"/>
      <c r="N692" s="192"/>
      <c r="O692" s="192"/>
      <c r="P692" s="192"/>
      <c r="Q692" s="192"/>
      <c r="R692" s="192"/>
      <c r="T692" s="267">
        <f>A340</f>
        <v>222</v>
      </c>
      <c r="V692" s="116" t="str">
        <f>C340</f>
        <v>TOTAL RATE LED INCLUDING RIDERS</v>
      </c>
      <c r="Y692" s="336">
        <f>Y677+Y666+Y601+Y585+Y460+Y690</f>
        <v>2283</v>
      </c>
      <c r="Z692" s="1"/>
      <c r="AA692" s="336">
        <f>AA677+AA666+AA601+AA585+AA460+AA690</f>
        <v>42161</v>
      </c>
      <c r="AB692" s="147"/>
      <c r="AC692" s="228"/>
      <c r="AD692" s="242"/>
      <c r="AE692" s="336">
        <f>AE684+AE690</f>
        <v>19918</v>
      </c>
      <c r="AF692" s="106"/>
      <c r="AG692" s="158">
        <f>ROUND((AE692/AE$692)*100,1)</f>
        <v>100</v>
      </c>
      <c r="AH692" s="175"/>
      <c r="AI692" s="336">
        <f>AI684+AI690</f>
        <v>2852.4291680000001</v>
      </c>
      <c r="AJ692" s="106"/>
      <c r="AK692" s="302">
        <f>IF(AE692=0,"0.0 ",ROUND((AI692/AE692)*100,1))</f>
        <v>14.3</v>
      </c>
      <c r="AL692" s="138"/>
      <c r="AM692" s="261">
        <f>AM684+AM690</f>
        <v>147</v>
      </c>
      <c r="AN692" s="106"/>
      <c r="AO692" s="143">
        <f>AM692+AE692</f>
        <v>20065</v>
      </c>
      <c r="AP692" s="106"/>
      <c r="AQ692" s="302">
        <f>IF(AO692=0,"0.0 ",ROUND((AI692/AO692)*100,1))</f>
        <v>14.2</v>
      </c>
      <c r="AW692" s="101"/>
    </row>
    <row r="693" spans="3:49" ht="16.2" thickTop="1" x14ac:dyDescent="0.3">
      <c r="C693" s="99"/>
      <c r="F693" s="110"/>
      <c r="H693" s="110"/>
      <c r="I693" s="110"/>
      <c r="J693" s="198"/>
      <c r="K693" s="198"/>
      <c r="L693" s="110"/>
      <c r="M693" s="110"/>
      <c r="N693" s="141"/>
      <c r="O693" s="141"/>
      <c r="P693" s="110"/>
      <c r="Q693" s="110"/>
      <c r="R693" s="110"/>
      <c r="T693" s="267"/>
      <c r="V693" s="116"/>
      <c r="AA693" s="110"/>
      <c r="AB693" s="181"/>
      <c r="AC693" s="110"/>
      <c r="AD693" s="110"/>
      <c r="AE693" s="141"/>
      <c r="AF693" s="141"/>
      <c r="AH693" s="110"/>
      <c r="AI693" s="207"/>
      <c r="AJ693" s="207"/>
      <c r="AL693" s="110"/>
      <c r="AM693" s="110"/>
      <c r="AN693" s="110"/>
      <c r="AO693" s="141"/>
      <c r="AP693" s="141"/>
      <c r="AW693" s="101"/>
    </row>
    <row r="694" spans="3:49" x14ac:dyDescent="0.3">
      <c r="F694" s="192"/>
      <c r="H694" s="110"/>
      <c r="I694" s="110"/>
      <c r="J694" s="217"/>
      <c r="K694" s="217"/>
      <c r="L694" s="192"/>
      <c r="M694" s="192"/>
      <c r="N694" s="192"/>
      <c r="O694" s="192"/>
      <c r="P694" s="192"/>
      <c r="Q694" s="192"/>
      <c r="R694" s="192"/>
      <c r="T694" s="116" t="str">
        <f>A342</f>
        <v>(1) THESE FIGURES REPRESENT NUMBER OF UNITS BILLED.</v>
      </c>
      <c r="V694" s="116"/>
      <c r="AA694" s="110"/>
      <c r="AB694" s="181"/>
      <c r="AC694" s="110"/>
      <c r="AD694" s="110"/>
      <c r="AE694" s="141"/>
      <c r="AF694" s="141"/>
      <c r="AH694" s="110"/>
      <c r="AI694" s="207"/>
      <c r="AJ694" s="207"/>
      <c r="AL694" s="110"/>
      <c r="AM694" s="110"/>
      <c r="AN694" s="110"/>
      <c r="AO694" s="141"/>
      <c r="AP694" s="141"/>
      <c r="AW694" s="101"/>
    </row>
    <row r="695" spans="3:49" x14ac:dyDescent="0.3">
      <c r="F695" s="110"/>
      <c r="R695" s="110"/>
      <c r="T695" s="116" t="str">
        <f>A343</f>
        <v>(1A) REFLECTS FUEL COST RECOVERY INCLUDED IN BASE RATES OF $0.033780  PER KWH.</v>
      </c>
      <c r="V695" s="116"/>
      <c r="AA695" s="110"/>
      <c r="AB695" s="217"/>
      <c r="AC695" s="192"/>
      <c r="AD695" s="192"/>
      <c r="AE695" s="192"/>
      <c r="AF695" s="192"/>
      <c r="AG695" s="194"/>
      <c r="AH695" s="192"/>
      <c r="AK695" s="194"/>
      <c r="AL695" s="192"/>
      <c r="AM695" s="192"/>
      <c r="AN695" s="192"/>
      <c r="AW695" s="101"/>
    </row>
    <row r="696" spans="3:49" x14ac:dyDescent="0.3">
      <c r="C696" s="99"/>
      <c r="F696" s="110"/>
      <c r="R696" s="110"/>
      <c r="T696" s="116" t="str">
        <f>A344</f>
        <v>(2) REFLECTS FUEL COMPONENT OF $0.003487  PER KWH.</v>
      </c>
      <c r="V696" s="116"/>
      <c r="AA696" s="110"/>
      <c r="AB696" s="198"/>
      <c r="AC696" s="110"/>
      <c r="AD696" s="110"/>
      <c r="AE696" s="141"/>
      <c r="AF696" s="141"/>
      <c r="AH696" s="110"/>
      <c r="AI696" s="207"/>
      <c r="AJ696" s="207"/>
      <c r="AL696" s="110"/>
      <c r="AM696" s="110"/>
      <c r="AN696" s="110"/>
      <c r="AO696" s="141"/>
      <c r="AP696" s="141"/>
      <c r="AW696" s="101"/>
    </row>
    <row r="697" spans="3:49" x14ac:dyDescent="0.3">
      <c r="F697" s="110"/>
      <c r="R697" s="110"/>
      <c r="AW697" s="101"/>
    </row>
    <row r="698" spans="3:49" x14ac:dyDescent="0.3">
      <c r="C698" s="99"/>
      <c r="F698" s="110"/>
      <c r="H698" s="172"/>
      <c r="I698" s="172"/>
      <c r="J698" s="222"/>
      <c r="K698" s="222"/>
      <c r="L698" s="110"/>
      <c r="M698" s="110"/>
      <c r="N698" s="141"/>
      <c r="O698" s="141"/>
      <c r="P698" s="172"/>
      <c r="Q698" s="172"/>
      <c r="R698" s="110"/>
      <c r="AW698" s="101"/>
    </row>
    <row r="699" spans="3:49" x14ac:dyDescent="0.3">
      <c r="H699" s="192"/>
      <c r="I699" s="192"/>
      <c r="J699" s="217"/>
      <c r="K699" s="217"/>
      <c r="L699" s="192"/>
      <c r="M699" s="192"/>
      <c r="N699" s="192"/>
      <c r="O699" s="192"/>
      <c r="P699" s="192"/>
      <c r="Q699" s="192"/>
      <c r="R699" s="192"/>
      <c r="AA699" s="99"/>
      <c r="AW699" s="101"/>
    </row>
    <row r="700" spans="3:49" x14ac:dyDescent="0.3">
      <c r="F700" s="192"/>
      <c r="AW700" s="101"/>
    </row>
    <row r="701" spans="3:49" x14ac:dyDescent="0.3">
      <c r="C701" s="99"/>
      <c r="F701" s="110"/>
      <c r="H701" s="110"/>
      <c r="I701" s="110"/>
      <c r="J701" s="209"/>
      <c r="K701" s="209"/>
      <c r="L701" s="110"/>
      <c r="M701" s="110"/>
      <c r="N701" s="141"/>
      <c r="O701" s="141"/>
      <c r="P701" s="110"/>
      <c r="Q701" s="110"/>
      <c r="R701" s="110"/>
      <c r="AC701" s="99"/>
      <c r="AD701" s="99"/>
      <c r="AW701" s="101"/>
    </row>
    <row r="702" spans="3:49" x14ac:dyDescent="0.3">
      <c r="F702" s="192"/>
      <c r="H702" s="192"/>
      <c r="I702" s="192"/>
      <c r="J702" s="217"/>
      <c r="K702" s="217"/>
      <c r="L702" s="192"/>
      <c r="M702" s="192"/>
      <c r="N702" s="192"/>
      <c r="O702" s="192"/>
      <c r="P702" s="192"/>
      <c r="Q702" s="192"/>
      <c r="R702" s="192"/>
      <c r="AM702" s="99"/>
      <c r="AN702" s="99"/>
      <c r="AW702" s="101"/>
    </row>
    <row r="703" spans="3:49" x14ac:dyDescent="0.3">
      <c r="R703" s="110"/>
      <c r="AM703" s="99"/>
      <c r="AN703" s="99"/>
      <c r="AW703" s="101"/>
    </row>
    <row r="704" spans="3:49" x14ac:dyDescent="0.3">
      <c r="F704" s="110"/>
      <c r="H704" s="110"/>
      <c r="I704" s="110"/>
      <c r="J704" s="198"/>
      <c r="K704" s="198"/>
      <c r="L704" s="110"/>
      <c r="M704" s="110"/>
      <c r="N704" s="110"/>
      <c r="O704" s="110"/>
      <c r="P704" s="110"/>
      <c r="Q704" s="110"/>
      <c r="R704" s="110"/>
      <c r="AM704" s="99"/>
      <c r="AN704" s="99"/>
      <c r="AW704" s="101"/>
    </row>
    <row r="705" spans="1:49" x14ac:dyDescent="0.3">
      <c r="C705" s="99"/>
      <c r="F705" s="110"/>
      <c r="H705" s="110"/>
      <c r="I705" s="110"/>
      <c r="J705" s="198"/>
      <c r="K705" s="198"/>
      <c r="L705" s="110"/>
      <c r="M705" s="110"/>
      <c r="N705" s="110"/>
      <c r="O705" s="110"/>
      <c r="P705" s="110"/>
      <c r="Q705" s="110"/>
      <c r="R705" s="110"/>
      <c r="AC705" s="99"/>
      <c r="AD705" s="99"/>
      <c r="AW705" s="101"/>
    </row>
    <row r="706" spans="1:49" x14ac:dyDescent="0.3">
      <c r="A706" s="99"/>
      <c r="T706" s="101"/>
      <c r="U706" s="101"/>
      <c r="V706" s="101"/>
      <c r="W706" s="101"/>
      <c r="X706" s="101"/>
      <c r="Y706" s="101"/>
      <c r="Z706" s="101"/>
      <c r="AA706" s="101"/>
      <c r="AB706" s="101"/>
      <c r="AC706" s="101"/>
      <c r="AD706" s="101"/>
      <c r="AE706" s="101"/>
      <c r="AF706" s="101"/>
      <c r="AG706" s="191"/>
      <c r="AH706" s="101"/>
      <c r="AI706" s="101"/>
      <c r="AJ706" s="101"/>
      <c r="AK706" s="191"/>
      <c r="AL706" s="101"/>
      <c r="AM706" s="101"/>
      <c r="AN706" s="101"/>
      <c r="AO706" s="101"/>
      <c r="AP706" s="101"/>
      <c r="AW706" s="101"/>
    </row>
    <row r="707" spans="1:49" x14ac:dyDescent="0.3">
      <c r="AC707" s="102"/>
      <c r="AD707" s="102"/>
      <c r="AE707" s="102"/>
      <c r="AF707" s="102"/>
      <c r="AG707" s="151"/>
      <c r="AH707" s="102"/>
      <c r="AI707" s="102"/>
      <c r="AJ707" s="102"/>
      <c r="AM707" s="102"/>
      <c r="AN707" s="102"/>
      <c r="AO707" s="102"/>
      <c r="AP707" s="102"/>
      <c r="AW707" s="101"/>
    </row>
    <row r="708" spans="1:49" x14ac:dyDescent="0.3">
      <c r="AB708" s="102"/>
      <c r="AC708" s="102"/>
      <c r="AD708" s="102"/>
      <c r="AE708" s="102"/>
      <c r="AF708" s="102"/>
      <c r="AG708" s="151"/>
      <c r="AH708" s="102"/>
      <c r="AI708" s="102"/>
      <c r="AJ708" s="102"/>
      <c r="AM708" s="102"/>
      <c r="AN708" s="102"/>
      <c r="AO708" s="102"/>
      <c r="AP708" s="102"/>
      <c r="AW708" s="101"/>
    </row>
    <row r="709" spans="1:49" x14ac:dyDescent="0.3">
      <c r="H709" s="99"/>
      <c r="I709" s="99"/>
      <c r="T709" s="102"/>
      <c r="U709" s="102"/>
      <c r="V709" s="102"/>
      <c r="AB709" s="102"/>
      <c r="AC709" s="102"/>
      <c r="AD709" s="102"/>
      <c r="AE709" s="102"/>
      <c r="AF709" s="102"/>
      <c r="AG709" s="151"/>
      <c r="AH709" s="102"/>
      <c r="AI709" s="102"/>
      <c r="AJ709" s="102"/>
      <c r="AK709" s="151"/>
      <c r="AL709" s="102"/>
      <c r="AM709" s="102"/>
      <c r="AN709" s="102"/>
      <c r="AO709" s="102"/>
      <c r="AP709" s="102"/>
      <c r="AW709" s="101"/>
    </row>
    <row r="710" spans="1:49" x14ac:dyDescent="0.3">
      <c r="T710" s="102"/>
      <c r="U710" s="102"/>
      <c r="V710" s="102"/>
      <c r="AA710" s="102"/>
      <c r="AB710" s="102"/>
      <c r="AC710" s="102"/>
      <c r="AD710" s="102"/>
      <c r="AE710" s="102"/>
      <c r="AF710" s="102"/>
      <c r="AG710" s="151"/>
      <c r="AH710" s="102"/>
      <c r="AI710" s="102"/>
      <c r="AJ710" s="102"/>
      <c r="AK710" s="151"/>
      <c r="AL710" s="102"/>
      <c r="AM710" s="102"/>
      <c r="AN710" s="102"/>
      <c r="AO710" s="102"/>
      <c r="AP710" s="102"/>
      <c r="AW710" s="101"/>
    </row>
    <row r="711" spans="1:49" x14ac:dyDescent="0.3">
      <c r="L711" s="99"/>
      <c r="M711" s="99"/>
      <c r="T711" s="102"/>
      <c r="U711" s="102"/>
      <c r="V711" s="102"/>
      <c r="AA711" s="102"/>
      <c r="AB711" s="102"/>
      <c r="AC711" s="102"/>
      <c r="AD711" s="102"/>
      <c r="AE711" s="102"/>
      <c r="AF711" s="102"/>
      <c r="AG711" s="151"/>
      <c r="AH711" s="102"/>
      <c r="AI711" s="102"/>
      <c r="AJ711" s="102"/>
      <c r="AK711" s="151"/>
      <c r="AL711" s="102"/>
      <c r="AM711" s="102"/>
      <c r="AN711" s="102"/>
      <c r="AO711" s="102"/>
      <c r="AP711" s="102"/>
      <c r="AW711" s="101"/>
    </row>
    <row r="712" spans="1:49" x14ac:dyDescent="0.3">
      <c r="R712" s="99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/>
      <c r="AD712" s="101"/>
      <c r="AE712" s="101"/>
      <c r="AF712" s="101"/>
      <c r="AG712" s="191"/>
      <c r="AH712" s="101"/>
      <c r="AI712" s="101"/>
      <c r="AJ712" s="101"/>
      <c r="AK712" s="191"/>
      <c r="AL712" s="101"/>
      <c r="AM712" s="101"/>
      <c r="AN712" s="101"/>
      <c r="AO712" s="101"/>
      <c r="AP712" s="101"/>
      <c r="AW712" s="101"/>
    </row>
    <row r="713" spans="1:49" x14ac:dyDescent="0.3">
      <c r="R713" s="99"/>
      <c r="AA713" s="102"/>
      <c r="AB713" s="102"/>
      <c r="AC713" s="102"/>
      <c r="AD713" s="102"/>
      <c r="AE713" s="102"/>
      <c r="AF713" s="102"/>
      <c r="AG713" s="151"/>
      <c r="AH713" s="102"/>
      <c r="AI713" s="102"/>
      <c r="AJ713" s="102"/>
      <c r="AK713" s="151"/>
      <c r="AL713" s="102"/>
      <c r="AM713" s="102"/>
      <c r="AN713" s="102"/>
      <c r="AO713" s="102"/>
      <c r="AP713" s="102"/>
      <c r="AW713" s="101"/>
    </row>
    <row r="714" spans="1:49" x14ac:dyDescent="0.3">
      <c r="A714" s="99"/>
      <c r="R714" s="99"/>
      <c r="T714" s="99"/>
      <c r="U714" s="99"/>
      <c r="AW714" s="101"/>
    </row>
    <row r="715" spans="1:49" x14ac:dyDescent="0.3">
      <c r="L715" s="99"/>
      <c r="M715" s="99"/>
      <c r="T715" s="99"/>
      <c r="AW715" s="101"/>
    </row>
    <row r="716" spans="1:49" x14ac:dyDescent="0.3">
      <c r="A716" s="101"/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AW716" s="101"/>
    </row>
    <row r="717" spans="1:49" x14ac:dyDescent="0.3">
      <c r="L717" s="102"/>
      <c r="M717" s="102"/>
      <c r="N717" s="102"/>
      <c r="O717" s="102"/>
      <c r="R717" s="102"/>
      <c r="T717" s="99"/>
      <c r="V717" s="110"/>
      <c r="AA717" s="172"/>
      <c r="AB717" s="181"/>
      <c r="AC717" s="110"/>
      <c r="AD717" s="110"/>
      <c r="AE717" s="141"/>
      <c r="AF717" s="141"/>
      <c r="AH717" s="110"/>
      <c r="AI717" s="207"/>
      <c r="AJ717" s="207"/>
      <c r="AM717" s="110"/>
      <c r="AN717" s="110"/>
      <c r="AO717" s="141"/>
      <c r="AP717" s="141"/>
      <c r="AW717" s="101"/>
    </row>
    <row r="718" spans="1:49" x14ac:dyDescent="0.3">
      <c r="L718" s="102"/>
      <c r="M718" s="102"/>
      <c r="N718" s="102"/>
      <c r="O718" s="102"/>
      <c r="R718" s="102"/>
      <c r="V718" s="192"/>
      <c r="AA718" s="110"/>
      <c r="AB718" s="217"/>
      <c r="AC718" s="192"/>
      <c r="AD718" s="192"/>
      <c r="AE718" s="192"/>
      <c r="AF718" s="192"/>
      <c r="AG718" s="194"/>
      <c r="AH718" s="192"/>
      <c r="AK718" s="194"/>
      <c r="AL718" s="192"/>
      <c r="AM718" s="192"/>
      <c r="AN718" s="192"/>
      <c r="AO718" s="141"/>
      <c r="AP718" s="141"/>
      <c r="AW718" s="101"/>
    </row>
    <row r="719" spans="1:49" x14ac:dyDescent="0.3">
      <c r="A719" s="102"/>
      <c r="C719" s="102"/>
      <c r="D719" s="102"/>
      <c r="E719" s="102"/>
      <c r="F719" s="102"/>
      <c r="J719" s="102"/>
      <c r="K719" s="102"/>
      <c r="L719" s="102"/>
      <c r="M719" s="102"/>
      <c r="N719" s="102"/>
      <c r="O719" s="102"/>
      <c r="P719" s="102"/>
      <c r="Q719" s="102"/>
      <c r="R719" s="102"/>
      <c r="T719" s="99"/>
      <c r="V719" s="172"/>
      <c r="AA719" s="172"/>
      <c r="AB719" s="227"/>
      <c r="AC719" s="110"/>
      <c r="AD719" s="110"/>
      <c r="AE719" s="141"/>
      <c r="AF719" s="141"/>
      <c r="AH719" s="110"/>
      <c r="AI719" s="141"/>
      <c r="AJ719" s="141"/>
      <c r="AL719" s="110"/>
      <c r="AM719" s="110"/>
      <c r="AN719" s="110"/>
      <c r="AO719" s="141"/>
      <c r="AP719" s="141"/>
      <c r="AW719" s="101"/>
    </row>
    <row r="720" spans="1:49" x14ac:dyDescent="0.3">
      <c r="A720" s="102"/>
      <c r="C720" s="102"/>
      <c r="D720" s="102"/>
      <c r="E720" s="102"/>
      <c r="F720" s="102"/>
      <c r="H720" s="102"/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T720" s="99"/>
      <c r="V720" s="172"/>
      <c r="AA720" s="110"/>
      <c r="AB720" s="181"/>
      <c r="AC720" s="110"/>
      <c r="AD720" s="110"/>
      <c r="AE720" s="141"/>
      <c r="AF720" s="141"/>
      <c r="AH720" s="110"/>
      <c r="AI720" s="207"/>
      <c r="AJ720" s="207"/>
      <c r="AL720" s="110"/>
      <c r="AM720" s="110"/>
      <c r="AN720" s="110"/>
      <c r="AO720" s="141"/>
      <c r="AP720" s="141"/>
      <c r="AW720" s="101"/>
    </row>
    <row r="721" spans="1:49" x14ac:dyDescent="0.3">
      <c r="C721" s="102"/>
      <c r="D721" s="102"/>
      <c r="E721" s="102"/>
      <c r="F721" s="102"/>
      <c r="H721" s="102"/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T721" s="99"/>
      <c r="V721" s="172"/>
      <c r="AA721" s="110"/>
      <c r="AB721" s="181"/>
      <c r="AC721" s="110"/>
      <c r="AD721" s="110"/>
      <c r="AE721" s="141"/>
      <c r="AF721" s="141"/>
      <c r="AH721" s="110"/>
      <c r="AI721" s="207"/>
      <c r="AJ721" s="207"/>
      <c r="AL721" s="110"/>
      <c r="AM721" s="110"/>
      <c r="AN721" s="110"/>
      <c r="AO721" s="141"/>
      <c r="AP721" s="141"/>
      <c r="AW721" s="101"/>
    </row>
    <row r="722" spans="1:49" x14ac:dyDescent="0.3">
      <c r="A722" s="101"/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V722" s="192"/>
      <c r="AA722" s="192"/>
      <c r="AB722" s="217"/>
      <c r="AC722" s="192"/>
      <c r="AD722" s="192"/>
      <c r="AE722" s="192"/>
      <c r="AF722" s="192"/>
      <c r="AG722" s="194"/>
      <c r="AH722" s="192"/>
      <c r="AK722" s="194"/>
      <c r="AL722" s="192"/>
      <c r="AM722" s="192"/>
      <c r="AN722" s="192"/>
      <c r="AO722" s="141"/>
      <c r="AP722" s="141"/>
      <c r="AW722" s="101"/>
    </row>
    <row r="723" spans="1:49" x14ac:dyDescent="0.3">
      <c r="H723" s="102"/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T723" s="99"/>
      <c r="V723" s="110"/>
      <c r="AA723" s="110"/>
      <c r="AB723" s="198"/>
      <c r="AC723" s="110"/>
      <c r="AD723" s="110"/>
      <c r="AE723" s="141"/>
      <c r="AF723" s="141"/>
      <c r="AH723" s="110"/>
      <c r="AI723" s="207"/>
      <c r="AJ723" s="207"/>
      <c r="AL723" s="110"/>
      <c r="AM723" s="110"/>
      <c r="AN723" s="110"/>
      <c r="AO723" s="141"/>
      <c r="AP723" s="141"/>
      <c r="AW723" s="101"/>
    </row>
    <row r="724" spans="1:49" x14ac:dyDescent="0.3">
      <c r="C724" s="99"/>
      <c r="D724" s="99"/>
      <c r="E724" s="99"/>
      <c r="V724" s="192"/>
      <c r="AA724" s="192"/>
      <c r="AB724" s="217"/>
      <c r="AC724" s="192"/>
      <c r="AD724" s="192"/>
      <c r="AE724" s="192"/>
      <c r="AF724" s="192"/>
      <c r="AG724" s="194"/>
      <c r="AH724" s="192"/>
      <c r="AK724" s="194"/>
      <c r="AL724" s="192"/>
      <c r="AM724" s="192"/>
      <c r="AN724" s="192"/>
      <c r="AO724" s="141"/>
      <c r="AP724" s="141"/>
      <c r="AW724" s="101"/>
    </row>
    <row r="725" spans="1:49" x14ac:dyDescent="0.3">
      <c r="C725" s="99"/>
      <c r="T725" s="99"/>
      <c r="V725" s="110"/>
      <c r="AA725" s="110"/>
      <c r="AB725" s="198"/>
      <c r="AC725" s="110"/>
      <c r="AD725" s="110"/>
      <c r="AE725" s="141"/>
      <c r="AF725" s="141"/>
      <c r="AH725" s="110"/>
      <c r="AI725" s="207"/>
      <c r="AJ725" s="207"/>
      <c r="AL725" s="110"/>
      <c r="AM725" s="110"/>
      <c r="AN725" s="110"/>
      <c r="AO725" s="141"/>
      <c r="AP725" s="141"/>
      <c r="AW725" s="101"/>
    </row>
    <row r="726" spans="1:49" x14ac:dyDescent="0.3">
      <c r="T726" s="99"/>
      <c r="V726" s="110"/>
      <c r="AA726" s="110"/>
      <c r="AB726" s="216"/>
      <c r="AC726" s="110"/>
      <c r="AD726" s="110"/>
      <c r="AE726" s="141"/>
      <c r="AF726" s="141"/>
      <c r="AH726" s="110"/>
      <c r="AI726" s="207"/>
      <c r="AJ726" s="207"/>
      <c r="AL726" s="110"/>
      <c r="AM726" s="110"/>
      <c r="AN726" s="110"/>
      <c r="AO726" s="141"/>
      <c r="AP726" s="141"/>
      <c r="AW726" s="101"/>
    </row>
    <row r="727" spans="1:49" x14ac:dyDescent="0.3">
      <c r="C727" s="99"/>
      <c r="F727" s="172"/>
      <c r="H727" s="172"/>
      <c r="I727" s="172"/>
      <c r="J727" s="181"/>
      <c r="K727" s="181"/>
      <c r="L727" s="110"/>
      <c r="M727" s="110"/>
      <c r="N727" s="141"/>
      <c r="O727" s="141"/>
      <c r="R727" s="110"/>
      <c r="V727" s="192"/>
      <c r="AA727" s="192"/>
      <c r="AB727" s="217"/>
      <c r="AC727" s="192"/>
      <c r="AD727" s="192"/>
      <c r="AE727" s="192"/>
      <c r="AF727" s="192"/>
      <c r="AG727" s="194"/>
      <c r="AH727" s="192"/>
      <c r="AK727" s="194"/>
      <c r="AL727" s="192"/>
      <c r="AM727" s="192"/>
      <c r="AN727" s="192"/>
      <c r="AO727" s="141"/>
      <c r="AP727" s="141"/>
      <c r="AW727" s="101"/>
    </row>
    <row r="728" spans="1:49" x14ac:dyDescent="0.3">
      <c r="F728" s="192"/>
      <c r="H728" s="110"/>
      <c r="I728" s="110"/>
      <c r="J728" s="217"/>
      <c r="K728" s="217"/>
      <c r="L728" s="192"/>
      <c r="M728" s="192"/>
      <c r="N728" s="192"/>
      <c r="O728" s="192"/>
      <c r="P728" s="192"/>
      <c r="Q728" s="192"/>
      <c r="R728" s="192"/>
      <c r="AW728" s="101"/>
    </row>
    <row r="729" spans="1:49" x14ac:dyDescent="0.3">
      <c r="C729" s="99"/>
      <c r="F729" s="172"/>
      <c r="H729" s="172"/>
      <c r="I729" s="172"/>
      <c r="J729" s="227"/>
      <c r="K729" s="227"/>
      <c r="L729" s="110"/>
      <c r="M729" s="110"/>
      <c r="N729" s="141"/>
      <c r="O729" s="141"/>
      <c r="P729" s="110"/>
      <c r="Q729" s="110"/>
      <c r="R729" s="110"/>
      <c r="S729" s="110"/>
      <c r="T729" s="99"/>
      <c r="V729" s="110"/>
      <c r="AA729" s="110"/>
      <c r="AB729" s="217"/>
      <c r="AC729" s="110"/>
      <c r="AD729" s="110"/>
      <c r="AE729" s="141"/>
      <c r="AF729" s="141"/>
      <c r="AH729" s="110"/>
      <c r="AI729" s="141"/>
      <c r="AJ729" s="141"/>
      <c r="AL729" s="110"/>
      <c r="AM729" s="110"/>
      <c r="AN729" s="110"/>
      <c r="AO729" s="141"/>
      <c r="AP729" s="141"/>
      <c r="AW729" s="101"/>
    </row>
    <row r="730" spans="1:49" x14ac:dyDescent="0.3">
      <c r="C730" s="99"/>
      <c r="F730" s="172"/>
      <c r="H730" s="172"/>
      <c r="I730" s="172"/>
      <c r="J730" s="181"/>
      <c r="K730" s="181"/>
      <c r="L730" s="110"/>
      <c r="M730" s="110"/>
      <c r="N730" s="141"/>
      <c r="O730" s="141"/>
      <c r="P730" s="110"/>
      <c r="Q730" s="110"/>
      <c r="R730" s="110"/>
      <c r="V730" s="192"/>
      <c r="AA730" s="192"/>
      <c r="AB730" s="217"/>
      <c r="AC730" s="192"/>
      <c r="AD730" s="192"/>
      <c r="AE730" s="192"/>
      <c r="AF730" s="192"/>
      <c r="AG730" s="194"/>
      <c r="AH730" s="192"/>
      <c r="AK730" s="194"/>
      <c r="AL730" s="192"/>
      <c r="AM730" s="192"/>
      <c r="AN730" s="192"/>
      <c r="AO730" s="141"/>
      <c r="AP730" s="141"/>
      <c r="AW730" s="101"/>
    </row>
    <row r="731" spans="1:49" x14ac:dyDescent="0.3">
      <c r="C731" s="99"/>
      <c r="F731" s="172"/>
      <c r="H731" s="172"/>
      <c r="I731" s="172"/>
      <c r="J731" s="181"/>
      <c r="K731" s="181"/>
      <c r="L731" s="110"/>
      <c r="M731" s="110"/>
      <c r="N731" s="141"/>
      <c r="O731" s="141"/>
      <c r="P731" s="110"/>
      <c r="Q731" s="110"/>
      <c r="R731" s="110"/>
      <c r="T731" s="99"/>
      <c r="V731" s="172"/>
      <c r="AA731" s="172"/>
      <c r="AB731" s="217"/>
      <c r="AC731" s="110"/>
      <c r="AD731" s="110"/>
      <c r="AE731" s="141"/>
      <c r="AF731" s="141"/>
      <c r="AH731" s="110"/>
      <c r="AL731" s="110"/>
      <c r="AM731" s="110"/>
      <c r="AN731" s="110"/>
      <c r="AO731" s="141"/>
      <c r="AP731" s="141"/>
      <c r="AW731" s="101"/>
    </row>
    <row r="732" spans="1:49" x14ac:dyDescent="0.3">
      <c r="F732" s="192"/>
      <c r="H732" s="192"/>
      <c r="I732" s="192"/>
      <c r="J732" s="217"/>
      <c r="K732" s="217"/>
      <c r="L732" s="192"/>
      <c r="M732" s="192"/>
      <c r="N732" s="192"/>
      <c r="O732" s="192"/>
      <c r="P732" s="192"/>
      <c r="Q732" s="192"/>
      <c r="R732" s="192"/>
      <c r="AW732" s="101"/>
    </row>
    <row r="733" spans="1:49" x14ac:dyDescent="0.3">
      <c r="C733" s="99"/>
      <c r="F733" s="110"/>
      <c r="H733" s="110"/>
      <c r="I733" s="110"/>
      <c r="J733" s="198"/>
      <c r="K733" s="198"/>
      <c r="L733" s="110"/>
      <c r="M733" s="110"/>
      <c r="N733" s="141"/>
      <c r="O733" s="141"/>
      <c r="P733" s="110"/>
      <c r="Q733" s="110"/>
      <c r="R733" s="110"/>
      <c r="T733" s="99"/>
      <c r="V733" s="110"/>
      <c r="AA733" s="172"/>
      <c r="AB733" s="181"/>
      <c r="AC733" s="110"/>
      <c r="AD733" s="110"/>
      <c r="AE733" s="141"/>
      <c r="AF733" s="141"/>
      <c r="AH733" s="110"/>
      <c r="AI733" s="207"/>
      <c r="AJ733" s="207"/>
      <c r="AM733" s="110"/>
      <c r="AN733" s="110"/>
      <c r="AO733" s="141"/>
      <c r="AP733" s="141"/>
      <c r="AW733" s="101"/>
    </row>
    <row r="734" spans="1:49" x14ac:dyDescent="0.3">
      <c r="F734" s="192"/>
      <c r="H734" s="192"/>
      <c r="I734" s="192"/>
      <c r="J734" s="217"/>
      <c r="K734" s="217"/>
      <c r="L734" s="192"/>
      <c r="M734" s="192"/>
      <c r="N734" s="192"/>
      <c r="O734" s="192"/>
      <c r="P734" s="192"/>
      <c r="Q734" s="192"/>
      <c r="R734" s="192"/>
      <c r="V734" s="192"/>
      <c r="AA734" s="110"/>
      <c r="AB734" s="217"/>
      <c r="AC734" s="192"/>
      <c r="AD734" s="192"/>
      <c r="AE734" s="192"/>
      <c r="AF734" s="192"/>
      <c r="AG734" s="194"/>
      <c r="AH734" s="192"/>
      <c r="AK734" s="194"/>
      <c r="AL734" s="192"/>
      <c r="AM734" s="192"/>
      <c r="AN734" s="192"/>
      <c r="AO734" s="141"/>
      <c r="AP734" s="141"/>
      <c r="AW734" s="101"/>
    </row>
    <row r="735" spans="1:49" x14ac:dyDescent="0.3">
      <c r="C735" s="99"/>
      <c r="F735" s="110"/>
      <c r="H735" s="110"/>
      <c r="I735" s="110"/>
      <c r="J735" s="198"/>
      <c r="K735" s="198"/>
      <c r="L735" s="110"/>
      <c r="M735" s="110"/>
      <c r="N735" s="141"/>
      <c r="O735" s="141"/>
      <c r="P735" s="110"/>
      <c r="Q735" s="110"/>
      <c r="R735" s="110"/>
      <c r="T735" s="99"/>
      <c r="V735" s="172"/>
      <c r="AA735" s="172"/>
      <c r="AB735" s="227"/>
      <c r="AC735" s="110"/>
      <c r="AD735" s="110"/>
      <c r="AE735" s="141"/>
      <c r="AF735" s="141"/>
      <c r="AH735" s="110"/>
      <c r="AI735" s="141"/>
      <c r="AJ735" s="141"/>
      <c r="AL735" s="110"/>
      <c r="AM735" s="110"/>
      <c r="AN735" s="110"/>
      <c r="AO735" s="141"/>
      <c r="AP735" s="141"/>
      <c r="AW735" s="101"/>
    </row>
    <row r="736" spans="1:49" x14ac:dyDescent="0.3">
      <c r="C736" s="99"/>
      <c r="F736" s="110"/>
      <c r="H736" s="172"/>
      <c r="I736" s="172"/>
      <c r="J736" s="222"/>
      <c r="K736" s="222"/>
      <c r="L736" s="110"/>
      <c r="M736" s="110"/>
      <c r="N736" s="141"/>
      <c r="O736" s="141"/>
      <c r="P736" s="110"/>
      <c r="Q736" s="110"/>
      <c r="R736" s="110"/>
      <c r="T736" s="99"/>
      <c r="V736" s="172"/>
      <c r="AA736" s="110"/>
      <c r="AB736" s="181"/>
      <c r="AC736" s="110"/>
      <c r="AD736" s="110"/>
      <c r="AE736" s="141"/>
      <c r="AF736" s="141"/>
      <c r="AH736" s="110"/>
      <c r="AI736" s="207"/>
      <c r="AJ736" s="207"/>
      <c r="AL736" s="110"/>
      <c r="AM736" s="110"/>
      <c r="AN736" s="110"/>
      <c r="AO736" s="141"/>
      <c r="AP736" s="141"/>
      <c r="AW736" s="101"/>
    </row>
    <row r="737" spans="3:49" x14ac:dyDescent="0.3">
      <c r="H737" s="192"/>
      <c r="I737" s="192"/>
      <c r="J737" s="217"/>
      <c r="K737" s="217"/>
      <c r="L737" s="192"/>
      <c r="M737" s="192"/>
      <c r="N737" s="192"/>
      <c r="O737" s="192"/>
      <c r="P737" s="192"/>
      <c r="Q737" s="192"/>
      <c r="R737" s="192"/>
      <c r="T737" s="99"/>
      <c r="V737" s="172"/>
      <c r="AA737" s="110"/>
      <c r="AB737" s="181"/>
      <c r="AC737" s="110"/>
      <c r="AD737" s="110"/>
      <c r="AE737" s="141"/>
      <c r="AF737" s="141"/>
      <c r="AH737" s="110"/>
      <c r="AI737" s="207"/>
      <c r="AJ737" s="207"/>
      <c r="AL737" s="110"/>
      <c r="AM737" s="110"/>
      <c r="AN737" s="110"/>
      <c r="AO737" s="141"/>
      <c r="AP737" s="141"/>
      <c r="AW737" s="101"/>
    </row>
    <row r="738" spans="3:49" x14ac:dyDescent="0.3">
      <c r="F738" s="192"/>
      <c r="V738" s="192"/>
      <c r="AA738" s="192"/>
      <c r="AB738" s="217"/>
      <c r="AC738" s="192"/>
      <c r="AD738" s="192"/>
      <c r="AE738" s="192"/>
      <c r="AF738" s="192"/>
      <c r="AG738" s="194"/>
      <c r="AH738" s="192"/>
      <c r="AK738" s="194"/>
      <c r="AL738" s="192"/>
      <c r="AM738" s="192"/>
      <c r="AN738" s="192"/>
      <c r="AO738" s="141"/>
      <c r="AP738" s="141"/>
      <c r="AW738" s="101"/>
    </row>
    <row r="739" spans="3:49" x14ac:dyDescent="0.3">
      <c r="C739" s="99"/>
      <c r="F739" s="110"/>
      <c r="H739" s="110"/>
      <c r="I739" s="110"/>
      <c r="J739" s="217"/>
      <c r="K739" s="217"/>
      <c r="L739" s="110"/>
      <c r="M739" s="110"/>
      <c r="N739" s="141"/>
      <c r="O739" s="141"/>
      <c r="P739" s="110"/>
      <c r="Q739" s="110"/>
      <c r="R739" s="110"/>
      <c r="S739" s="110"/>
      <c r="T739" s="99"/>
      <c r="V739" s="110"/>
      <c r="AA739" s="110"/>
      <c r="AB739" s="198"/>
      <c r="AC739" s="110"/>
      <c r="AD739" s="110"/>
      <c r="AE739" s="141"/>
      <c r="AF739" s="141"/>
      <c r="AH739" s="110"/>
      <c r="AI739" s="207"/>
      <c r="AJ739" s="207"/>
      <c r="AL739" s="110"/>
      <c r="AM739" s="110"/>
      <c r="AN739" s="110"/>
      <c r="AO739" s="141"/>
      <c r="AP739" s="141"/>
      <c r="AW739" s="101"/>
    </row>
    <row r="740" spans="3:49" x14ac:dyDescent="0.3">
      <c r="F740" s="192"/>
      <c r="H740" s="192"/>
      <c r="I740" s="192"/>
      <c r="J740" s="217"/>
      <c r="K740" s="217"/>
      <c r="L740" s="192"/>
      <c r="M740" s="192"/>
      <c r="N740" s="192"/>
      <c r="O740" s="192"/>
      <c r="P740" s="192"/>
      <c r="Q740" s="192"/>
      <c r="R740" s="192"/>
      <c r="S740" s="110"/>
      <c r="V740" s="192"/>
      <c r="AA740" s="192"/>
      <c r="AB740" s="217"/>
      <c r="AC740" s="192"/>
      <c r="AD740" s="192"/>
      <c r="AE740" s="192"/>
      <c r="AF740" s="192"/>
      <c r="AG740" s="194"/>
      <c r="AH740" s="192"/>
      <c r="AK740" s="194"/>
      <c r="AL740" s="192"/>
      <c r="AM740" s="192"/>
      <c r="AN740" s="192"/>
      <c r="AO740" s="141"/>
      <c r="AP740" s="141"/>
      <c r="AW740" s="101"/>
    </row>
    <row r="741" spans="3:49" x14ac:dyDescent="0.3">
      <c r="C741" s="99"/>
      <c r="H741" s="172"/>
      <c r="I741" s="172"/>
      <c r="J741" s="217"/>
      <c r="K741" s="217"/>
      <c r="L741" s="110"/>
      <c r="M741" s="110"/>
      <c r="N741" s="141"/>
      <c r="O741" s="141"/>
      <c r="P741" s="110"/>
      <c r="Q741" s="110"/>
      <c r="R741" s="110"/>
      <c r="S741" s="110"/>
      <c r="T741" s="99"/>
      <c r="V741" s="110"/>
      <c r="AA741" s="110"/>
      <c r="AB741" s="198"/>
      <c r="AC741" s="110"/>
      <c r="AD741" s="110"/>
      <c r="AE741" s="141"/>
      <c r="AF741" s="141"/>
      <c r="AH741" s="110"/>
      <c r="AI741" s="207"/>
      <c r="AJ741" s="207"/>
      <c r="AL741" s="110"/>
      <c r="AM741" s="110"/>
      <c r="AN741" s="110"/>
      <c r="AO741" s="141"/>
      <c r="AP741" s="141"/>
      <c r="AW741" s="101"/>
    </row>
    <row r="742" spans="3:49" x14ac:dyDescent="0.3">
      <c r="F742" s="172"/>
      <c r="T742" s="99"/>
      <c r="V742" s="110"/>
      <c r="AA742" s="110"/>
      <c r="AB742" s="216"/>
      <c r="AC742" s="110"/>
      <c r="AD742" s="110"/>
      <c r="AE742" s="141"/>
      <c r="AF742" s="141"/>
      <c r="AH742" s="110"/>
      <c r="AI742" s="207"/>
      <c r="AJ742" s="207"/>
      <c r="AL742" s="110"/>
      <c r="AM742" s="110"/>
      <c r="AN742" s="110"/>
      <c r="AO742" s="141"/>
      <c r="AP742" s="141"/>
      <c r="AW742" s="101"/>
    </row>
    <row r="743" spans="3:49" x14ac:dyDescent="0.3">
      <c r="C743" s="99"/>
      <c r="F743" s="172"/>
      <c r="H743" s="172"/>
      <c r="I743" s="172"/>
      <c r="J743" s="181"/>
      <c r="K743" s="181"/>
      <c r="L743" s="110"/>
      <c r="M743" s="110"/>
      <c r="N743" s="141"/>
      <c r="O743" s="141"/>
      <c r="R743" s="110"/>
      <c r="V743" s="192"/>
      <c r="AA743" s="192"/>
      <c r="AB743" s="217"/>
      <c r="AC743" s="192"/>
      <c r="AD743" s="192"/>
      <c r="AE743" s="192"/>
      <c r="AF743" s="192"/>
      <c r="AG743" s="194"/>
      <c r="AH743" s="192"/>
      <c r="AK743" s="194"/>
      <c r="AL743" s="192"/>
      <c r="AM743" s="192"/>
      <c r="AN743" s="192"/>
      <c r="AO743" s="141"/>
      <c r="AP743" s="141"/>
      <c r="AW743" s="101"/>
    </row>
    <row r="744" spans="3:49" x14ac:dyDescent="0.3">
      <c r="F744" s="192"/>
      <c r="H744" s="110"/>
      <c r="I744" s="110"/>
      <c r="J744" s="217"/>
      <c r="K744" s="217"/>
      <c r="L744" s="192"/>
      <c r="M744" s="192"/>
      <c r="N744" s="192"/>
      <c r="O744" s="192"/>
      <c r="P744" s="192"/>
      <c r="Q744" s="192"/>
      <c r="R744" s="192"/>
      <c r="AW744" s="101"/>
    </row>
    <row r="745" spans="3:49" x14ac:dyDescent="0.3">
      <c r="C745" s="99"/>
      <c r="F745" s="172"/>
      <c r="H745" s="172"/>
      <c r="I745" s="172"/>
      <c r="J745" s="227"/>
      <c r="K745" s="227"/>
      <c r="L745" s="110"/>
      <c r="M745" s="110"/>
      <c r="N745" s="141"/>
      <c r="O745" s="141"/>
      <c r="P745" s="110"/>
      <c r="Q745" s="110"/>
      <c r="R745" s="110"/>
      <c r="S745" s="110"/>
      <c r="T745" s="99"/>
      <c r="V745" s="110"/>
      <c r="AA745" s="110"/>
      <c r="AB745" s="217"/>
      <c r="AC745" s="110"/>
      <c r="AD745" s="110"/>
      <c r="AE745" s="141"/>
      <c r="AF745" s="141"/>
      <c r="AH745" s="110"/>
      <c r="AI745" s="141"/>
      <c r="AJ745" s="141"/>
      <c r="AL745" s="110"/>
      <c r="AM745" s="110"/>
      <c r="AN745" s="110"/>
      <c r="AO745" s="141"/>
      <c r="AP745" s="141"/>
      <c r="AW745" s="101"/>
    </row>
    <row r="746" spans="3:49" x14ac:dyDescent="0.3">
      <c r="C746" s="99"/>
      <c r="F746" s="172"/>
      <c r="H746" s="172"/>
      <c r="I746" s="172"/>
      <c r="J746" s="181"/>
      <c r="K746" s="181"/>
      <c r="L746" s="110"/>
      <c r="M746" s="110"/>
      <c r="N746" s="141"/>
      <c r="O746" s="141"/>
      <c r="P746" s="110"/>
      <c r="Q746" s="110"/>
      <c r="R746" s="110"/>
      <c r="V746" s="192"/>
      <c r="AA746" s="192"/>
      <c r="AB746" s="217"/>
      <c r="AC746" s="192"/>
      <c r="AD746" s="192"/>
      <c r="AE746" s="192"/>
      <c r="AF746" s="192"/>
      <c r="AG746" s="194"/>
      <c r="AH746" s="192"/>
      <c r="AK746" s="194"/>
      <c r="AL746" s="192"/>
      <c r="AM746" s="192"/>
      <c r="AN746" s="192"/>
      <c r="AO746" s="141"/>
      <c r="AP746" s="141"/>
      <c r="AW746" s="101"/>
    </row>
    <row r="747" spans="3:49" x14ac:dyDescent="0.3">
      <c r="C747" s="99"/>
      <c r="F747" s="172"/>
      <c r="H747" s="172"/>
      <c r="I747" s="172"/>
      <c r="J747" s="181"/>
      <c r="K747" s="181"/>
      <c r="L747" s="110"/>
      <c r="M747" s="110"/>
      <c r="N747" s="141"/>
      <c r="O747" s="141"/>
      <c r="P747" s="110"/>
      <c r="Q747" s="110"/>
      <c r="R747" s="110"/>
      <c r="T747" s="99"/>
      <c r="AW747" s="101"/>
    </row>
    <row r="748" spans="3:49" x14ac:dyDescent="0.3">
      <c r="F748" s="192"/>
      <c r="H748" s="192"/>
      <c r="I748" s="192"/>
      <c r="J748" s="217"/>
      <c r="K748" s="217"/>
      <c r="L748" s="192"/>
      <c r="M748" s="192"/>
      <c r="N748" s="192"/>
      <c r="O748" s="192"/>
      <c r="P748" s="192"/>
      <c r="Q748" s="192"/>
      <c r="R748" s="192"/>
      <c r="T748" s="99"/>
      <c r="V748" s="110"/>
      <c r="AA748" s="110"/>
      <c r="AC748" s="110"/>
      <c r="AD748" s="110"/>
      <c r="AE748" s="141"/>
      <c r="AF748" s="141"/>
      <c r="AH748" s="110"/>
      <c r="AI748" s="141"/>
      <c r="AJ748" s="141"/>
      <c r="AK748" s="224"/>
      <c r="AL748" s="172"/>
      <c r="AM748" s="110"/>
      <c r="AN748" s="110"/>
      <c r="AO748" s="141"/>
      <c r="AP748" s="141"/>
      <c r="AW748" s="101"/>
    </row>
    <row r="749" spans="3:49" x14ac:dyDescent="0.3">
      <c r="C749" s="99"/>
      <c r="F749" s="110"/>
      <c r="H749" s="110"/>
      <c r="I749" s="110"/>
      <c r="J749" s="198"/>
      <c r="K749" s="198"/>
      <c r="L749" s="110"/>
      <c r="M749" s="110"/>
      <c r="N749" s="141"/>
      <c r="O749" s="141"/>
      <c r="P749" s="110"/>
      <c r="Q749" s="110"/>
      <c r="R749" s="110"/>
      <c r="V749" s="192"/>
      <c r="AA749" s="192"/>
      <c r="AB749" s="217"/>
      <c r="AC749" s="192"/>
      <c r="AD749" s="192"/>
      <c r="AE749" s="192"/>
      <c r="AF749" s="192"/>
      <c r="AG749" s="194"/>
      <c r="AH749" s="192"/>
      <c r="AK749" s="194"/>
      <c r="AL749" s="192"/>
      <c r="AM749" s="192"/>
      <c r="AN749" s="192"/>
      <c r="AW749" s="101"/>
    </row>
    <row r="750" spans="3:49" x14ac:dyDescent="0.3">
      <c r="F750" s="192"/>
      <c r="H750" s="192"/>
      <c r="I750" s="192"/>
      <c r="J750" s="217"/>
      <c r="K750" s="217"/>
      <c r="L750" s="192"/>
      <c r="M750" s="192"/>
      <c r="N750" s="192"/>
      <c r="O750" s="192"/>
      <c r="P750" s="192"/>
      <c r="Q750" s="192"/>
      <c r="R750" s="192"/>
      <c r="AW750" s="101"/>
    </row>
    <row r="751" spans="3:49" x14ac:dyDescent="0.3">
      <c r="C751" s="99"/>
      <c r="F751" s="110"/>
      <c r="H751" s="110"/>
      <c r="I751" s="110"/>
      <c r="J751" s="198"/>
      <c r="K751" s="198"/>
      <c r="L751" s="110"/>
      <c r="M751" s="110"/>
      <c r="N751" s="141"/>
      <c r="O751" s="141"/>
      <c r="P751" s="110"/>
      <c r="Q751" s="110"/>
      <c r="R751" s="110"/>
      <c r="T751" s="99"/>
      <c r="AC751" s="110"/>
      <c r="AD751" s="110"/>
      <c r="AE751" s="110"/>
      <c r="AF751" s="110"/>
      <c r="AL751" s="110"/>
      <c r="AM751" s="110"/>
      <c r="AN751" s="110"/>
      <c r="AW751" s="101"/>
    </row>
    <row r="752" spans="3:49" x14ac:dyDescent="0.3">
      <c r="C752" s="99"/>
      <c r="F752" s="110"/>
      <c r="H752" s="172"/>
      <c r="I752" s="172"/>
      <c r="J752" s="222"/>
      <c r="K752" s="222"/>
      <c r="L752" s="110"/>
      <c r="M752" s="110"/>
      <c r="N752" s="141"/>
      <c r="O752" s="141"/>
      <c r="P752" s="110"/>
      <c r="Q752" s="110"/>
      <c r="R752" s="110"/>
      <c r="AW752" s="101"/>
    </row>
    <row r="753" spans="1:77" x14ac:dyDescent="0.3">
      <c r="H753" s="192"/>
      <c r="I753" s="192"/>
      <c r="J753" s="217"/>
      <c r="K753" s="217"/>
      <c r="L753" s="192"/>
      <c r="M753" s="192"/>
      <c r="N753" s="192"/>
      <c r="O753" s="192"/>
      <c r="P753" s="192"/>
      <c r="Q753" s="192"/>
      <c r="R753" s="192"/>
      <c r="AW753" s="101"/>
    </row>
    <row r="754" spans="1:77" x14ac:dyDescent="0.3">
      <c r="F754" s="192"/>
      <c r="AA754" s="99"/>
      <c r="AW754" s="101"/>
    </row>
    <row r="755" spans="1:77" x14ac:dyDescent="0.3">
      <c r="C755" s="99"/>
      <c r="F755" s="110"/>
      <c r="H755" s="110"/>
      <c r="I755" s="110"/>
      <c r="J755" s="217"/>
      <c r="K755" s="217"/>
      <c r="L755" s="110"/>
      <c r="M755" s="110"/>
      <c r="N755" s="141"/>
      <c r="O755" s="141"/>
      <c r="P755" s="110"/>
      <c r="Q755" s="110"/>
      <c r="R755" s="110"/>
      <c r="S755" s="110"/>
      <c r="AW755" s="101"/>
    </row>
    <row r="756" spans="1:77" x14ac:dyDescent="0.3">
      <c r="F756" s="192"/>
      <c r="H756" s="192"/>
      <c r="I756" s="192"/>
      <c r="J756" s="217"/>
      <c r="K756" s="217"/>
      <c r="L756" s="192"/>
      <c r="M756" s="192"/>
      <c r="N756" s="192"/>
      <c r="O756" s="192"/>
      <c r="P756" s="192"/>
      <c r="Q756" s="192"/>
      <c r="R756" s="192"/>
      <c r="S756" s="110"/>
      <c r="AC756" s="99"/>
      <c r="AD756" s="99"/>
      <c r="AW756" s="101"/>
    </row>
    <row r="757" spans="1:77" x14ac:dyDescent="0.3">
      <c r="C757" s="99"/>
      <c r="AM757" s="99"/>
      <c r="AN757" s="99"/>
      <c r="AW757" s="101"/>
    </row>
    <row r="758" spans="1:77" x14ac:dyDescent="0.3">
      <c r="C758" s="99"/>
      <c r="F758" s="110"/>
      <c r="H758" s="110"/>
      <c r="I758" s="110"/>
      <c r="L758" s="110"/>
      <c r="M758" s="110"/>
      <c r="N758" s="141"/>
      <c r="O758" s="141"/>
      <c r="P758" s="172"/>
      <c r="Q758" s="172"/>
      <c r="R758" s="110"/>
      <c r="AM758" s="99"/>
      <c r="AN758" s="99"/>
      <c r="AW758" s="101"/>
    </row>
    <row r="759" spans="1:77" x14ac:dyDescent="0.3">
      <c r="H759" s="192"/>
      <c r="I759" s="192"/>
      <c r="J759" s="217"/>
      <c r="K759" s="217"/>
      <c r="L759" s="192"/>
      <c r="M759" s="192"/>
      <c r="N759" s="192"/>
      <c r="O759" s="192"/>
      <c r="P759" s="192"/>
      <c r="Q759" s="192"/>
      <c r="R759" s="192"/>
      <c r="AM759" s="99"/>
      <c r="AN759" s="99"/>
      <c r="AW759" s="101"/>
    </row>
    <row r="760" spans="1:77" x14ac:dyDescent="0.3">
      <c r="F760" s="192"/>
      <c r="AC760" s="99"/>
      <c r="AD760" s="99"/>
      <c r="AW760" s="101"/>
    </row>
    <row r="761" spans="1:77" x14ac:dyDescent="0.3">
      <c r="C761" s="99"/>
      <c r="L761" s="110"/>
      <c r="M761" s="110"/>
      <c r="N761" s="110"/>
      <c r="O761" s="110"/>
      <c r="P761" s="110"/>
      <c r="Q761" s="110"/>
      <c r="R761" s="110"/>
      <c r="S761" s="110"/>
      <c r="T761" s="101"/>
      <c r="U761" s="101"/>
      <c r="V761" s="101"/>
      <c r="W761" s="101"/>
      <c r="X761" s="101"/>
      <c r="Y761" s="101"/>
      <c r="Z761" s="101"/>
      <c r="AA761" s="101"/>
      <c r="AB761" s="101"/>
      <c r="AC761" s="101"/>
      <c r="AD761" s="101"/>
      <c r="AE761" s="101"/>
      <c r="AF761" s="101"/>
      <c r="AG761" s="191"/>
      <c r="AH761" s="101"/>
      <c r="AI761" s="101"/>
      <c r="AJ761" s="101"/>
      <c r="AK761" s="191"/>
      <c r="AL761" s="101"/>
      <c r="AM761" s="101"/>
      <c r="AN761" s="101"/>
      <c r="AO761" s="101"/>
      <c r="AP761" s="101"/>
      <c r="AW761" s="101"/>
    </row>
    <row r="762" spans="1:77" x14ac:dyDescent="0.3">
      <c r="A762" s="99"/>
      <c r="AC762" s="102"/>
      <c r="AD762" s="102"/>
      <c r="AE762" s="102"/>
      <c r="AF762" s="102"/>
      <c r="AG762" s="151"/>
      <c r="AH762" s="102"/>
      <c r="AI762" s="102"/>
      <c r="AJ762" s="102"/>
      <c r="AM762" s="102"/>
      <c r="AN762" s="102"/>
      <c r="AO762" s="102"/>
      <c r="AP762" s="102"/>
      <c r="AW762" s="101"/>
    </row>
    <row r="763" spans="1:77" s="194" customFormat="1" x14ac:dyDescent="0.3">
      <c r="A763" s="98"/>
      <c r="B763" s="98"/>
      <c r="C763" s="98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102"/>
      <c r="AC763" s="102"/>
      <c r="AD763" s="102"/>
      <c r="AE763" s="102"/>
      <c r="AF763" s="102"/>
      <c r="AG763" s="151"/>
      <c r="AH763" s="102"/>
      <c r="AI763" s="102"/>
      <c r="AJ763" s="102"/>
      <c r="AK763" s="148"/>
      <c r="AL763" s="98"/>
      <c r="AM763" s="102"/>
      <c r="AN763" s="102"/>
      <c r="AO763" s="102"/>
      <c r="AP763" s="102"/>
      <c r="AR763" s="98"/>
      <c r="AS763" s="98"/>
      <c r="AT763" s="98"/>
      <c r="AU763" s="98"/>
      <c r="AV763" s="98"/>
      <c r="AW763" s="101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98"/>
      <c r="BY763" s="98"/>
    </row>
    <row r="764" spans="1:77" s="194" customFormat="1" x14ac:dyDescent="0.3">
      <c r="A764" s="98"/>
      <c r="B764" s="98"/>
      <c r="C764" s="98"/>
      <c r="D764" s="98"/>
      <c r="E764" s="98"/>
      <c r="F764" s="98"/>
      <c r="G764" s="98"/>
      <c r="H764" s="99"/>
      <c r="I764" s="99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102"/>
      <c r="U764" s="102"/>
      <c r="V764" s="102"/>
      <c r="W764" s="98"/>
      <c r="X764" s="98"/>
      <c r="Y764" s="98"/>
      <c r="Z764" s="98"/>
      <c r="AA764" s="98"/>
      <c r="AB764" s="102"/>
      <c r="AC764" s="102"/>
      <c r="AD764" s="102"/>
      <c r="AE764" s="102"/>
      <c r="AF764" s="102"/>
      <c r="AG764" s="151"/>
      <c r="AH764" s="102"/>
      <c r="AI764" s="102"/>
      <c r="AJ764" s="102"/>
      <c r="AK764" s="151"/>
      <c r="AL764" s="102"/>
      <c r="AM764" s="102"/>
      <c r="AN764" s="102"/>
      <c r="AO764" s="102"/>
      <c r="AP764" s="102"/>
      <c r="AR764" s="98"/>
      <c r="AS764" s="98"/>
      <c r="AT764" s="98"/>
      <c r="AU764" s="98"/>
      <c r="AV764" s="98"/>
      <c r="AW764" s="101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  <c r="BX764" s="98"/>
      <c r="BY764" s="98"/>
    </row>
    <row r="765" spans="1:77" s="194" customFormat="1" x14ac:dyDescent="0.3">
      <c r="A765" s="98"/>
      <c r="B765" s="98"/>
      <c r="C765" s="98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102"/>
      <c r="U765" s="102"/>
      <c r="V765" s="102"/>
      <c r="W765" s="98"/>
      <c r="X765" s="98"/>
      <c r="Y765" s="98"/>
      <c r="Z765" s="98"/>
      <c r="AA765" s="102"/>
      <c r="AB765" s="102"/>
      <c r="AC765" s="102"/>
      <c r="AD765" s="102"/>
      <c r="AE765" s="102"/>
      <c r="AF765" s="102"/>
      <c r="AG765" s="151"/>
      <c r="AH765" s="102"/>
      <c r="AI765" s="102"/>
      <c r="AJ765" s="102"/>
      <c r="AK765" s="151"/>
      <c r="AL765" s="102"/>
      <c r="AM765" s="102"/>
      <c r="AN765" s="102"/>
      <c r="AO765" s="102"/>
      <c r="AP765" s="102"/>
      <c r="AR765" s="98"/>
      <c r="AS765" s="98"/>
      <c r="AT765" s="98"/>
      <c r="AU765" s="98"/>
      <c r="AV765" s="98"/>
      <c r="AW765" s="101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  <c r="BX765" s="98"/>
      <c r="BY765" s="98"/>
    </row>
    <row r="766" spans="1:77" s="194" customFormat="1" x14ac:dyDescent="0.3">
      <c r="A766" s="98"/>
      <c r="B766" s="98"/>
      <c r="C766" s="98"/>
      <c r="D766" s="98"/>
      <c r="E766" s="98"/>
      <c r="F766" s="98"/>
      <c r="G766" s="98"/>
      <c r="H766" s="98"/>
      <c r="I766" s="98"/>
      <c r="J766" s="98"/>
      <c r="K766" s="98"/>
      <c r="L766" s="99"/>
      <c r="M766" s="99"/>
      <c r="N766" s="98"/>
      <c r="O766" s="98"/>
      <c r="P766" s="98"/>
      <c r="Q766" s="98"/>
      <c r="R766" s="98"/>
      <c r="S766" s="98"/>
      <c r="T766" s="102"/>
      <c r="U766" s="102"/>
      <c r="V766" s="102"/>
      <c r="W766" s="98"/>
      <c r="X766" s="98"/>
      <c r="Y766" s="98"/>
      <c r="Z766" s="98"/>
      <c r="AA766" s="102"/>
      <c r="AB766" s="102"/>
      <c r="AC766" s="102"/>
      <c r="AD766" s="102"/>
      <c r="AE766" s="102"/>
      <c r="AF766" s="102"/>
      <c r="AG766" s="151"/>
      <c r="AH766" s="102"/>
      <c r="AI766" s="102"/>
      <c r="AJ766" s="102"/>
      <c r="AK766" s="151"/>
      <c r="AL766" s="102"/>
      <c r="AM766" s="102"/>
      <c r="AN766" s="102"/>
      <c r="AO766" s="102"/>
      <c r="AP766" s="102"/>
      <c r="AR766" s="98"/>
      <c r="AS766" s="98"/>
      <c r="AT766" s="98"/>
      <c r="AU766" s="98"/>
      <c r="AV766" s="98"/>
      <c r="AW766" s="101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98"/>
      <c r="BY766" s="98"/>
    </row>
    <row r="767" spans="1:77" s="194" customFormat="1" x14ac:dyDescent="0.3">
      <c r="A767" s="98"/>
      <c r="B767" s="98"/>
      <c r="C767" s="98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9"/>
      <c r="S767" s="98"/>
      <c r="T767" s="101"/>
      <c r="U767" s="101"/>
      <c r="V767" s="101"/>
      <c r="W767" s="101"/>
      <c r="X767" s="101"/>
      <c r="Y767" s="101"/>
      <c r="Z767" s="101"/>
      <c r="AA767" s="101"/>
      <c r="AB767" s="101"/>
      <c r="AC767" s="101"/>
      <c r="AD767" s="101"/>
      <c r="AE767" s="101"/>
      <c r="AF767" s="101"/>
      <c r="AG767" s="191"/>
      <c r="AH767" s="101"/>
      <c r="AI767" s="101"/>
      <c r="AJ767" s="101"/>
      <c r="AK767" s="191"/>
      <c r="AL767" s="101"/>
      <c r="AM767" s="101"/>
      <c r="AN767" s="101"/>
      <c r="AO767" s="101"/>
      <c r="AP767" s="101"/>
      <c r="AR767" s="98"/>
      <c r="AS767" s="98"/>
      <c r="AT767" s="98"/>
      <c r="AU767" s="98"/>
      <c r="AV767" s="98"/>
      <c r="AW767" s="101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</row>
    <row r="768" spans="1:77" s="194" customFormat="1" x14ac:dyDescent="0.3">
      <c r="A768" s="98"/>
      <c r="B768" s="98"/>
      <c r="C768" s="98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9"/>
      <c r="S768" s="98"/>
      <c r="T768" s="98"/>
      <c r="U768" s="98"/>
      <c r="V768" s="98"/>
      <c r="W768" s="98"/>
      <c r="X768" s="98"/>
      <c r="Y768" s="98"/>
      <c r="Z768" s="98"/>
      <c r="AA768" s="102"/>
      <c r="AB768" s="102"/>
      <c r="AC768" s="102"/>
      <c r="AD768" s="102"/>
      <c r="AE768" s="102"/>
      <c r="AF768" s="102"/>
      <c r="AG768" s="151"/>
      <c r="AH768" s="102"/>
      <c r="AI768" s="102"/>
      <c r="AJ768" s="102"/>
      <c r="AK768" s="151"/>
      <c r="AL768" s="102"/>
      <c r="AM768" s="102"/>
      <c r="AN768" s="102"/>
      <c r="AO768" s="102"/>
      <c r="AP768" s="102"/>
      <c r="AR768" s="98"/>
      <c r="AS768" s="98"/>
      <c r="AT768" s="98"/>
      <c r="AU768" s="98"/>
      <c r="AV768" s="98"/>
      <c r="AW768" s="101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98"/>
      <c r="BY768" s="98"/>
    </row>
    <row r="769" spans="1:77" s="194" customFormat="1" x14ac:dyDescent="0.3">
      <c r="A769" s="99"/>
      <c r="B769" s="98"/>
      <c r="C769" s="98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9"/>
      <c r="S769" s="98"/>
      <c r="T769" s="99"/>
      <c r="U769" s="99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148"/>
      <c r="AH769" s="98"/>
      <c r="AI769" s="98"/>
      <c r="AJ769" s="98"/>
      <c r="AK769" s="148"/>
      <c r="AL769" s="98"/>
      <c r="AM769" s="98"/>
      <c r="AN769" s="98"/>
      <c r="AO769" s="98"/>
      <c r="AP769" s="98"/>
      <c r="AR769" s="98"/>
      <c r="AS769" s="98"/>
      <c r="AT769" s="98"/>
      <c r="AU769" s="98"/>
      <c r="AV769" s="98"/>
      <c r="AW769" s="101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  <c r="BX769" s="98"/>
      <c r="BY769" s="98"/>
    </row>
    <row r="770" spans="1:77" s="194" customFormat="1" x14ac:dyDescent="0.3">
      <c r="A770" s="98"/>
      <c r="B770" s="98"/>
      <c r="C770" s="98"/>
      <c r="D770" s="98"/>
      <c r="E770" s="98"/>
      <c r="F770" s="98"/>
      <c r="G770" s="98"/>
      <c r="H770" s="98"/>
      <c r="I770" s="98"/>
      <c r="J770" s="98"/>
      <c r="K770" s="98"/>
      <c r="L770" s="99"/>
      <c r="M770" s="99"/>
      <c r="N770" s="98"/>
      <c r="O770" s="98"/>
      <c r="P770" s="98"/>
      <c r="Q770" s="98"/>
      <c r="R770" s="98"/>
      <c r="S770" s="98"/>
      <c r="T770" s="98"/>
      <c r="U770" s="99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148"/>
      <c r="AH770" s="98"/>
      <c r="AI770" s="98"/>
      <c r="AJ770" s="98"/>
      <c r="AK770" s="148"/>
      <c r="AL770" s="98"/>
      <c r="AM770" s="98"/>
      <c r="AN770" s="98"/>
      <c r="AO770" s="98"/>
      <c r="AP770" s="98"/>
      <c r="AR770" s="98"/>
      <c r="AS770" s="98"/>
      <c r="AT770" s="98"/>
      <c r="AU770" s="98"/>
      <c r="AV770" s="98"/>
      <c r="AW770" s="101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  <c r="BX770" s="98"/>
      <c r="BY770" s="98"/>
    </row>
    <row r="771" spans="1:77" s="194" customFormat="1" x14ac:dyDescent="0.3">
      <c r="A771" s="101"/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148"/>
      <c r="AH771" s="98"/>
      <c r="AI771" s="98"/>
      <c r="AJ771" s="98"/>
      <c r="AK771" s="148"/>
      <c r="AL771" s="98"/>
      <c r="AM771" s="98"/>
      <c r="AN771" s="98"/>
      <c r="AO771" s="98"/>
      <c r="AP771" s="98"/>
      <c r="AR771" s="98"/>
      <c r="AS771" s="98"/>
      <c r="AT771" s="98"/>
      <c r="AU771" s="98"/>
      <c r="AV771" s="98"/>
      <c r="AW771" s="101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  <c r="BX771" s="98"/>
      <c r="BY771" s="98"/>
    </row>
    <row r="772" spans="1:77" s="194" customFormat="1" x14ac:dyDescent="0.3">
      <c r="A772" s="98"/>
      <c r="B772" s="98"/>
      <c r="C772" s="98"/>
      <c r="D772" s="98"/>
      <c r="E772" s="98"/>
      <c r="F772" s="98"/>
      <c r="G772" s="98"/>
      <c r="H772" s="98"/>
      <c r="I772" s="98"/>
      <c r="J772" s="98"/>
      <c r="K772" s="98"/>
      <c r="L772" s="102"/>
      <c r="M772" s="102"/>
      <c r="N772" s="102"/>
      <c r="O772" s="102"/>
      <c r="P772" s="98"/>
      <c r="Q772" s="98"/>
      <c r="R772" s="102"/>
      <c r="S772" s="98"/>
      <c r="T772" s="99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148"/>
      <c r="AH772" s="98"/>
      <c r="AI772" s="98"/>
      <c r="AJ772" s="98"/>
      <c r="AK772" s="148"/>
      <c r="AL772" s="98"/>
      <c r="AM772" s="98"/>
      <c r="AN772" s="98"/>
      <c r="AO772" s="98"/>
      <c r="AP772" s="98"/>
      <c r="AR772" s="98"/>
      <c r="AS772" s="98"/>
      <c r="AT772" s="98"/>
      <c r="AU772" s="98"/>
      <c r="AV772" s="98"/>
      <c r="AW772" s="101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98"/>
      <c r="BY772" s="98"/>
    </row>
    <row r="773" spans="1:77" s="194" customFormat="1" x14ac:dyDescent="0.3">
      <c r="A773" s="98"/>
      <c r="B773" s="98"/>
      <c r="C773" s="98"/>
      <c r="D773" s="98"/>
      <c r="E773" s="98"/>
      <c r="F773" s="98"/>
      <c r="G773" s="98"/>
      <c r="H773" s="98"/>
      <c r="I773" s="98"/>
      <c r="J773" s="98"/>
      <c r="K773" s="98"/>
      <c r="L773" s="102"/>
      <c r="M773" s="102"/>
      <c r="N773" s="102"/>
      <c r="O773" s="102"/>
      <c r="P773" s="98"/>
      <c r="Q773" s="98"/>
      <c r="R773" s="102"/>
      <c r="S773" s="98"/>
      <c r="T773" s="99"/>
      <c r="U773" s="98"/>
      <c r="V773" s="172"/>
      <c r="W773" s="110"/>
      <c r="X773" s="110"/>
      <c r="Y773" s="110"/>
      <c r="Z773" s="110"/>
      <c r="AA773" s="172"/>
      <c r="AB773" s="228"/>
      <c r="AC773" s="110"/>
      <c r="AD773" s="110"/>
      <c r="AE773" s="141"/>
      <c r="AF773" s="141"/>
      <c r="AG773" s="148"/>
      <c r="AH773" s="110"/>
      <c r="AI773" s="207"/>
      <c r="AJ773" s="207"/>
      <c r="AK773" s="148"/>
      <c r="AL773" s="110"/>
      <c r="AM773" s="110"/>
      <c r="AN773" s="110"/>
      <c r="AO773" s="141"/>
      <c r="AP773" s="141"/>
      <c r="AR773" s="98"/>
      <c r="AS773" s="98"/>
      <c r="AT773" s="98"/>
      <c r="AU773" s="98"/>
      <c r="AV773" s="98"/>
      <c r="AW773" s="101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  <c r="BX773" s="98"/>
      <c r="BY773" s="98"/>
    </row>
    <row r="774" spans="1:77" s="194" customFormat="1" x14ac:dyDescent="0.3">
      <c r="A774" s="102"/>
      <c r="B774" s="98"/>
      <c r="C774" s="102"/>
      <c r="D774" s="102"/>
      <c r="E774" s="102"/>
      <c r="F774" s="102"/>
      <c r="G774" s="98"/>
      <c r="H774" s="98"/>
      <c r="I774" s="98"/>
      <c r="J774" s="102"/>
      <c r="K774" s="102"/>
      <c r="L774" s="102"/>
      <c r="M774" s="102"/>
      <c r="N774" s="102"/>
      <c r="O774" s="102"/>
      <c r="P774" s="102"/>
      <c r="Q774" s="102"/>
      <c r="R774" s="102"/>
      <c r="S774" s="98"/>
      <c r="T774" s="99"/>
      <c r="U774" s="98"/>
      <c r="V774" s="172"/>
      <c r="W774" s="110"/>
      <c r="X774" s="110"/>
      <c r="Y774" s="110"/>
      <c r="Z774" s="110"/>
      <c r="AA774" s="172"/>
      <c r="AB774" s="217"/>
      <c r="AC774" s="110"/>
      <c r="AD774" s="110"/>
      <c r="AE774" s="141"/>
      <c r="AF774" s="141"/>
      <c r="AG774" s="148"/>
      <c r="AH774" s="110"/>
      <c r="AI774" s="207"/>
      <c r="AJ774" s="207"/>
      <c r="AK774" s="148"/>
      <c r="AL774" s="110"/>
      <c r="AM774" s="110"/>
      <c r="AN774" s="110"/>
      <c r="AO774" s="141"/>
      <c r="AP774" s="141"/>
      <c r="AR774" s="98"/>
      <c r="AS774" s="98"/>
      <c r="AT774" s="98"/>
      <c r="AU774" s="98"/>
      <c r="AV774" s="98"/>
      <c r="AW774" s="101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  <c r="BX774" s="98"/>
      <c r="BY774" s="98"/>
    </row>
    <row r="775" spans="1:77" s="194" customFormat="1" x14ac:dyDescent="0.3">
      <c r="A775" s="102"/>
      <c r="B775" s="98"/>
      <c r="C775" s="102"/>
      <c r="D775" s="102"/>
      <c r="E775" s="102"/>
      <c r="F775" s="102"/>
      <c r="G775" s="98"/>
      <c r="H775" s="102"/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98"/>
      <c r="T775" s="99"/>
      <c r="U775" s="98"/>
      <c r="V775" s="172"/>
      <c r="W775" s="110"/>
      <c r="X775" s="110"/>
      <c r="Y775" s="110"/>
      <c r="Z775" s="110"/>
      <c r="AA775" s="172"/>
      <c r="AB775" s="228"/>
      <c r="AC775" s="110"/>
      <c r="AD775" s="110"/>
      <c r="AE775" s="141"/>
      <c r="AF775" s="141"/>
      <c r="AG775" s="148"/>
      <c r="AH775" s="110"/>
      <c r="AI775" s="207"/>
      <c r="AJ775" s="207"/>
      <c r="AK775" s="148"/>
      <c r="AL775" s="110"/>
      <c r="AM775" s="110"/>
      <c r="AN775" s="110"/>
      <c r="AO775" s="141"/>
      <c r="AP775" s="141"/>
      <c r="AR775" s="98"/>
      <c r="AS775" s="98"/>
      <c r="AT775" s="98"/>
      <c r="AU775" s="98"/>
      <c r="AV775" s="98"/>
      <c r="AW775" s="101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98"/>
      <c r="BY775" s="98"/>
    </row>
    <row r="776" spans="1:77" s="194" customFormat="1" x14ac:dyDescent="0.3">
      <c r="A776" s="98"/>
      <c r="B776" s="98"/>
      <c r="C776" s="102"/>
      <c r="D776" s="102"/>
      <c r="E776" s="102"/>
      <c r="F776" s="102"/>
      <c r="G776" s="98"/>
      <c r="H776" s="102"/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98"/>
      <c r="T776" s="99"/>
      <c r="U776" s="98"/>
      <c r="V776" s="172"/>
      <c r="W776" s="110"/>
      <c r="X776" s="110"/>
      <c r="Y776" s="110"/>
      <c r="Z776" s="110"/>
      <c r="AA776" s="172"/>
      <c r="AB776" s="228"/>
      <c r="AC776" s="110"/>
      <c r="AD776" s="110"/>
      <c r="AE776" s="141"/>
      <c r="AF776" s="141"/>
      <c r="AG776" s="148"/>
      <c r="AH776" s="110"/>
      <c r="AI776" s="207"/>
      <c r="AJ776" s="207"/>
      <c r="AK776" s="148"/>
      <c r="AL776" s="110"/>
      <c r="AM776" s="110"/>
      <c r="AN776" s="110"/>
      <c r="AO776" s="141"/>
      <c r="AP776" s="141"/>
      <c r="AR776" s="98"/>
      <c r="AS776" s="98"/>
      <c r="AT776" s="98"/>
      <c r="AU776" s="98"/>
      <c r="AV776" s="98"/>
      <c r="AW776" s="101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  <c r="BX776" s="98"/>
      <c r="BY776" s="98"/>
    </row>
    <row r="777" spans="1:77" s="194" customFormat="1" x14ac:dyDescent="0.3">
      <c r="A777" s="101"/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98"/>
      <c r="T777" s="99"/>
      <c r="U777" s="98"/>
      <c r="V777" s="172"/>
      <c r="W777" s="110"/>
      <c r="X777" s="110"/>
      <c r="Y777" s="110"/>
      <c r="Z777" s="110"/>
      <c r="AA777" s="172"/>
      <c r="AB777" s="228"/>
      <c r="AC777" s="110"/>
      <c r="AD777" s="110"/>
      <c r="AE777" s="141"/>
      <c r="AF777" s="141"/>
      <c r="AG777" s="148"/>
      <c r="AH777" s="110"/>
      <c r="AI777" s="207"/>
      <c r="AJ777" s="207"/>
      <c r="AK777" s="148"/>
      <c r="AL777" s="110"/>
      <c r="AM777" s="110"/>
      <c r="AN777" s="110"/>
      <c r="AO777" s="141"/>
      <c r="AP777" s="141"/>
      <c r="AR777" s="98"/>
      <c r="AS777" s="98"/>
      <c r="AT777" s="98"/>
      <c r="AU777" s="98"/>
      <c r="AV777" s="98"/>
      <c r="AW777" s="101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  <c r="BX777" s="98"/>
      <c r="BY777" s="98"/>
    </row>
    <row r="778" spans="1:77" s="194" customFormat="1" x14ac:dyDescent="0.3">
      <c r="A778" s="98"/>
      <c r="B778" s="98"/>
      <c r="C778" s="98"/>
      <c r="D778" s="98"/>
      <c r="E778" s="98"/>
      <c r="F778" s="98"/>
      <c r="G778" s="98"/>
      <c r="H778" s="102"/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98"/>
      <c r="T778" s="99"/>
      <c r="U778" s="98"/>
      <c r="V778" s="172"/>
      <c r="W778" s="110"/>
      <c r="X778" s="110"/>
      <c r="Y778" s="110"/>
      <c r="Z778" s="110"/>
      <c r="AA778" s="172"/>
      <c r="AB778" s="228"/>
      <c r="AC778" s="110"/>
      <c r="AD778" s="110"/>
      <c r="AE778" s="141"/>
      <c r="AF778" s="141"/>
      <c r="AG778" s="148"/>
      <c r="AH778" s="110"/>
      <c r="AI778" s="207"/>
      <c r="AJ778" s="207"/>
      <c r="AK778" s="148"/>
      <c r="AL778" s="110"/>
      <c r="AM778" s="110"/>
      <c r="AN778" s="110"/>
      <c r="AO778" s="141"/>
      <c r="AP778" s="141"/>
      <c r="AR778" s="98"/>
      <c r="AS778" s="98"/>
      <c r="AT778" s="98"/>
      <c r="AU778" s="98"/>
      <c r="AV778" s="98"/>
      <c r="AW778" s="101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  <c r="BX778" s="98"/>
      <c r="BY778" s="98"/>
    </row>
    <row r="779" spans="1:77" s="194" customFormat="1" x14ac:dyDescent="0.3">
      <c r="A779" s="98"/>
      <c r="B779" s="98"/>
      <c r="C779" s="99"/>
      <c r="D779" s="99"/>
      <c r="E779" s="99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9"/>
      <c r="U779" s="98"/>
      <c r="V779" s="172"/>
      <c r="W779" s="110"/>
      <c r="X779" s="110"/>
      <c r="Y779" s="110"/>
      <c r="Z779" s="110"/>
      <c r="AA779" s="172"/>
      <c r="AB779" s="228"/>
      <c r="AC779" s="110"/>
      <c r="AD779" s="110"/>
      <c r="AE779" s="141"/>
      <c r="AF779" s="141"/>
      <c r="AG779" s="148"/>
      <c r="AH779" s="110"/>
      <c r="AI779" s="207"/>
      <c r="AJ779" s="207"/>
      <c r="AK779" s="148"/>
      <c r="AL779" s="110"/>
      <c r="AM779" s="110"/>
      <c r="AN779" s="110"/>
      <c r="AO779" s="141"/>
      <c r="AP779" s="141"/>
      <c r="AR779" s="98"/>
      <c r="AS779" s="98"/>
      <c r="AT779" s="98"/>
      <c r="AU779" s="98"/>
      <c r="AV779" s="98"/>
      <c r="AW779" s="101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  <c r="BX779" s="98"/>
      <c r="BY779" s="98"/>
    </row>
    <row r="780" spans="1:77" s="194" customFormat="1" x14ac:dyDescent="0.3">
      <c r="A780" s="98"/>
      <c r="B780" s="98"/>
      <c r="C780" s="98"/>
      <c r="D780" s="99"/>
      <c r="E780" s="99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210"/>
      <c r="W780" s="110"/>
      <c r="X780" s="110"/>
      <c r="Y780" s="110"/>
      <c r="Z780" s="110"/>
      <c r="AA780" s="210"/>
      <c r="AB780" s="228"/>
      <c r="AC780" s="210"/>
      <c r="AD780" s="210"/>
      <c r="AE780" s="211"/>
      <c r="AF780" s="211"/>
      <c r="AG780" s="191"/>
      <c r="AH780" s="210"/>
      <c r="AI780" s="207"/>
      <c r="AJ780" s="207"/>
      <c r="AK780" s="191"/>
      <c r="AL780" s="210"/>
      <c r="AM780" s="210"/>
      <c r="AN780" s="210"/>
      <c r="AO780" s="141"/>
      <c r="AP780" s="141"/>
      <c r="AR780" s="98"/>
      <c r="AS780" s="98"/>
      <c r="AT780" s="98"/>
      <c r="AU780" s="98"/>
      <c r="AV780" s="98"/>
      <c r="AW780" s="101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  <c r="BX780" s="98"/>
      <c r="BY780" s="98"/>
    </row>
    <row r="781" spans="1:77" x14ac:dyDescent="0.3">
      <c r="T781" s="102"/>
      <c r="V781" s="110"/>
      <c r="W781" s="110"/>
      <c r="X781" s="110"/>
      <c r="Y781" s="110"/>
      <c r="Z781" s="110"/>
      <c r="AA781" s="110"/>
      <c r="AB781" s="228"/>
      <c r="AC781" s="110"/>
      <c r="AD781" s="110"/>
      <c r="AE781" s="207"/>
      <c r="AF781" s="207"/>
      <c r="AH781" s="110"/>
      <c r="AI781" s="207"/>
      <c r="AJ781" s="207"/>
      <c r="AL781" s="110"/>
      <c r="AM781" s="110"/>
      <c r="AN781" s="110"/>
      <c r="AO781" s="141"/>
      <c r="AP781" s="141"/>
      <c r="AW781" s="101"/>
    </row>
    <row r="782" spans="1:77" s="194" customFormat="1" x14ac:dyDescent="0.3">
      <c r="A782" s="98"/>
      <c r="B782" s="98"/>
      <c r="C782" s="99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210"/>
      <c r="W782" s="98"/>
      <c r="X782" s="98"/>
      <c r="Y782" s="98"/>
      <c r="Z782" s="98"/>
      <c r="AA782" s="210"/>
      <c r="AB782" s="217"/>
      <c r="AC782" s="210"/>
      <c r="AD782" s="210"/>
      <c r="AE782" s="210"/>
      <c r="AF782" s="210"/>
      <c r="AG782" s="191"/>
      <c r="AH782" s="210"/>
      <c r="AI782" s="98"/>
      <c r="AJ782" s="98"/>
      <c r="AK782" s="191"/>
      <c r="AL782" s="210"/>
      <c r="AM782" s="210"/>
      <c r="AN782" s="210"/>
      <c r="AO782" s="211"/>
      <c r="AP782" s="211"/>
      <c r="AR782" s="98"/>
      <c r="AS782" s="98"/>
      <c r="AT782" s="98"/>
      <c r="AU782" s="98"/>
      <c r="AV782" s="98"/>
      <c r="AW782" s="101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  <c r="BX782" s="98"/>
      <c r="BY782" s="98"/>
    </row>
    <row r="783" spans="1:77" s="194" customFormat="1" x14ac:dyDescent="0.3">
      <c r="A783" s="98"/>
      <c r="B783" s="98"/>
      <c r="C783" s="99"/>
      <c r="D783" s="98"/>
      <c r="E783" s="98"/>
      <c r="F783" s="172"/>
      <c r="G783" s="98"/>
      <c r="H783" s="172"/>
      <c r="I783" s="172"/>
      <c r="J783" s="228"/>
      <c r="K783" s="228"/>
      <c r="L783" s="110"/>
      <c r="M783" s="110"/>
      <c r="N783" s="141"/>
      <c r="O783" s="141"/>
      <c r="P783" s="110"/>
      <c r="Q783" s="110"/>
      <c r="R783" s="110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148"/>
      <c r="AH783" s="98"/>
      <c r="AI783" s="98"/>
      <c r="AJ783" s="98"/>
      <c r="AK783" s="148"/>
      <c r="AL783" s="98"/>
      <c r="AM783" s="98"/>
      <c r="AN783" s="98"/>
      <c r="AO783" s="98"/>
      <c r="AP783" s="98"/>
      <c r="AR783" s="98"/>
      <c r="AS783" s="98"/>
      <c r="AT783" s="98"/>
      <c r="AU783" s="98"/>
      <c r="AV783" s="98"/>
      <c r="AW783" s="101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  <c r="BX783" s="98"/>
      <c r="BY783" s="98"/>
    </row>
    <row r="784" spans="1:77" s="194" customFormat="1" x14ac:dyDescent="0.3">
      <c r="A784" s="98"/>
      <c r="B784" s="98"/>
      <c r="C784" s="99"/>
      <c r="D784" s="98"/>
      <c r="E784" s="98"/>
      <c r="F784" s="110"/>
      <c r="G784" s="98"/>
      <c r="H784" s="110"/>
      <c r="I784" s="110"/>
      <c r="J784" s="217"/>
      <c r="K784" s="217"/>
      <c r="L784" s="110"/>
      <c r="M784" s="110"/>
      <c r="N784" s="141"/>
      <c r="O784" s="141"/>
      <c r="P784" s="110"/>
      <c r="Q784" s="110"/>
      <c r="R784" s="110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148"/>
      <c r="AH784" s="98"/>
      <c r="AI784" s="98"/>
      <c r="AJ784" s="98"/>
      <c r="AK784" s="148"/>
      <c r="AL784" s="98"/>
      <c r="AM784" s="98"/>
      <c r="AN784" s="98"/>
      <c r="AO784" s="98"/>
      <c r="AP784" s="98"/>
      <c r="AR784" s="98"/>
      <c r="AS784" s="98"/>
      <c r="AT784" s="98"/>
      <c r="AU784" s="98"/>
      <c r="AV784" s="98"/>
      <c r="AW784" s="101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  <c r="BX784" s="98"/>
      <c r="BY784" s="98"/>
    </row>
    <row r="785" spans="1:77" s="194" customFormat="1" x14ac:dyDescent="0.3">
      <c r="A785" s="98"/>
      <c r="B785" s="98"/>
      <c r="C785" s="99"/>
      <c r="D785" s="98"/>
      <c r="E785" s="98"/>
      <c r="F785" s="172"/>
      <c r="G785" s="98"/>
      <c r="H785" s="172"/>
      <c r="I785" s="172"/>
      <c r="J785" s="228"/>
      <c r="K785" s="228"/>
      <c r="L785" s="110"/>
      <c r="M785" s="110"/>
      <c r="N785" s="141"/>
      <c r="O785" s="141"/>
      <c r="P785" s="110"/>
      <c r="Q785" s="110"/>
      <c r="R785" s="110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148"/>
      <c r="AH785" s="98"/>
      <c r="AI785" s="98"/>
      <c r="AJ785" s="98"/>
      <c r="AK785" s="148"/>
      <c r="AL785" s="98"/>
      <c r="AM785" s="98"/>
      <c r="AN785" s="98"/>
      <c r="AO785" s="98"/>
      <c r="AP785" s="98"/>
      <c r="AR785" s="98"/>
      <c r="AS785" s="98"/>
      <c r="AT785" s="98"/>
      <c r="AU785" s="98"/>
      <c r="AV785" s="98"/>
      <c r="AW785" s="101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98"/>
      <c r="BY785" s="98"/>
    </row>
    <row r="786" spans="1:77" s="194" customFormat="1" x14ac:dyDescent="0.3">
      <c r="A786" s="98"/>
      <c r="B786" s="98"/>
      <c r="C786" s="99"/>
      <c r="D786" s="98"/>
      <c r="E786" s="98"/>
      <c r="F786" s="172"/>
      <c r="G786" s="98"/>
      <c r="H786" s="172"/>
      <c r="I786" s="172"/>
      <c r="J786" s="228"/>
      <c r="K786" s="228"/>
      <c r="L786" s="110"/>
      <c r="M786" s="110"/>
      <c r="N786" s="141"/>
      <c r="O786" s="141"/>
      <c r="P786" s="110"/>
      <c r="Q786" s="110"/>
      <c r="R786" s="110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148"/>
      <c r="AH786" s="98"/>
      <c r="AI786" s="98"/>
      <c r="AJ786" s="98"/>
      <c r="AK786" s="148"/>
      <c r="AL786" s="98"/>
      <c r="AM786" s="98"/>
      <c r="AN786" s="98"/>
      <c r="AO786" s="98"/>
      <c r="AP786" s="98"/>
      <c r="AR786" s="98"/>
      <c r="AS786" s="98"/>
      <c r="AT786" s="98"/>
      <c r="AU786" s="98"/>
      <c r="AV786" s="98"/>
      <c r="AW786" s="101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  <c r="BY786" s="98"/>
    </row>
    <row r="787" spans="1:77" s="194" customFormat="1" x14ac:dyDescent="0.3">
      <c r="A787" s="98"/>
      <c r="B787" s="98"/>
      <c r="C787" s="99"/>
      <c r="D787" s="98"/>
      <c r="E787" s="98"/>
      <c r="F787" s="172"/>
      <c r="G787" s="98"/>
      <c r="H787" s="172"/>
      <c r="I787" s="172"/>
      <c r="J787" s="228"/>
      <c r="K787" s="228"/>
      <c r="L787" s="110"/>
      <c r="M787" s="110"/>
      <c r="N787" s="141"/>
      <c r="O787" s="141"/>
      <c r="P787" s="110"/>
      <c r="Q787" s="110"/>
      <c r="R787" s="110"/>
      <c r="S787" s="98"/>
      <c r="T787" s="98"/>
      <c r="U787" s="98"/>
      <c r="V787" s="110"/>
      <c r="W787" s="98"/>
      <c r="X787" s="98"/>
      <c r="Y787" s="98"/>
      <c r="Z787" s="98"/>
      <c r="AA787" s="110"/>
      <c r="AB787" s="198"/>
      <c r="AC787" s="110"/>
      <c r="AD787" s="110"/>
      <c r="AE787" s="141"/>
      <c r="AF787" s="141"/>
      <c r="AG787" s="148"/>
      <c r="AH787" s="110"/>
      <c r="AI787" s="207"/>
      <c r="AJ787" s="207"/>
      <c r="AK787" s="148"/>
      <c r="AL787" s="110"/>
      <c r="AM787" s="110"/>
      <c r="AN787" s="110"/>
      <c r="AO787" s="141"/>
      <c r="AP787" s="141"/>
      <c r="AR787" s="98"/>
      <c r="AS787" s="98"/>
      <c r="AT787" s="98"/>
      <c r="AU787" s="98"/>
      <c r="AV787" s="98"/>
      <c r="AW787" s="101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  <c r="BX787" s="98"/>
      <c r="BY787" s="98"/>
    </row>
    <row r="788" spans="1:77" s="194" customFormat="1" x14ac:dyDescent="0.3">
      <c r="A788" s="98"/>
      <c r="B788" s="98"/>
      <c r="C788" s="99"/>
      <c r="D788" s="98"/>
      <c r="E788" s="98"/>
      <c r="F788" s="110"/>
      <c r="G788" s="98"/>
      <c r="H788" s="110"/>
      <c r="I788" s="110"/>
      <c r="J788" s="228"/>
      <c r="K788" s="228"/>
      <c r="L788" s="110"/>
      <c r="M788" s="110"/>
      <c r="N788" s="141"/>
      <c r="O788" s="141"/>
      <c r="P788" s="110"/>
      <c r="Q788" s="110"/>
      <c r="R788" s="110"/>
      <c r="S788" s="98"/>
      <c r="T788" s="99"/>
      <c r="U788" s="99"/>
      <c r="V788" s="98"/>
      <c r="W788" s="98"/>
      <c r="X788" s="98"/>
      <c r="Y788" s="98"/>
      <c r="Z788" s="98"/>
      <c r="AA788" s="98"/>
      <c r="AB788" s="163"/>
      <c r="AC788" s="98"/>
      <c r="AD788" s="98"/>
      <c r="AE788" s="98"/>
      <c r="AF788" s="98"/>
      <c r="AG788" s="148"/>
      <c r="AH788" s="110"/>
      <c r="AI788" s="98"/>
      <c r="AJ788" s="98"/>
      <c r="AK788" s="148"/>
      <c r="AL788" s="110"/>
      <c r="AM788" s="110"/>
      <c r="AN788" s="110"/>
      <c r="AO788" s="141"/>
      <c r="AP788" s="141"/>
      <c r="AR788" s="98"/>
      <c r="AS788" s="98"/>
      <c r="AT788" s="98"/>
      <c r="AU788" s="98"/>
      <c r="AV788" s="98"/>
      <c r="AW788" s="101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98"/>
      <c r="BY788" s="98"/>
    </row>
    <row r="789" spans="1:77" s="194" customFormat="1" x14ac:dyDescent="0.3">
      <c r="A789" s="98"/>
      <c r="B789" s="98"/>
      <c r="C789" s="99"/>
      <c r="D789" s="98"/>
      <c r="E789" s="98"/>
      <c r="F789" s="110"/>
      <c r="G789" s="98"/>
      <c r="H789" s="110"/>
      <c r="I789" s="110"/>
      <c r="J789" s="228"/>
      <c r="K789" s="228"/>
      <c r="L789" s="110"/>
      <c r="M789" s="110"/>
      <c r="N789" s="141"/>
      <c r="O789" s="141"/>
      <c r="P789" s="110"/>
      <c r="Q789" s="110"/>
      <c r="R789" s="110"/>
      <c r="S789" s="98"/>
      <c r="T789" s="98"/>
      <c r="U789" s="99"/>
      <c r="V789" s="110"/>
      <c r="W789" s="98"/>
      <c r="X789" s="98"/>
      <c r="Y789" s="98"/>
      <c r="Z789" s="98"/>
      <c r="AA789" s="110"/>
      <c r="AB789" s="228"/>
      <c r="AC789" s="110"/>
      <c r="AD789" s="110"/>
      <c r="AE789" s="141"/>
      <c r="AF789" s="141"/>
      <c r="AG789" s="148"/>
      <c r="AH789" s="110"/>
      <c r="AI789" s="207"/>
      <c r="AJ789" s="207"/>
      <c r="AK789" s="148"/>
      <c r="AL789" s="110"/>
      <c r="AM789" s="110"/>
      <c r="AN789" s="110"/>
      <c r="AO789" s="141"/>
      <c r="AP789" s="141"/>
      <c r="AR789" s="98"/>
      <c r="AS789" s="98"/>
      <c r="AT789" s="98"/>
      <c r="AU789" s="98"/>
      <c r="AV789" s="98"/>
      <c r="AW789" s="101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  <c r="BX789" s="98"/>
      <c r="BY789" s="98"/>
    </row>
    <row r="790" spans="1:77" s="194" customFormat="1" x14ac:dyDescent="0.3">
      <c r="A790" s="98"/>
      <c r="B790" s="98"/>
      <c r="C790" s="98"/>
      <c r="D790" s="98"/>
      <c r="E790" s="98"/>
      <c r="F790" s="210"/>
      <c r="G790" s="98"/>
      <c r="H790" s="230"/>
      <c r="I790" s="230"/>
      <c r="J790" s="228"/>
      <c r="K790" s="228"/>
      <c r="L790" s="210"/>
      <c r="M790" s="210"/>
      <c r="N790" s="192"/>
      <c r="O790" s="192"/>
      <c r="P790" s="210"/>
      <c r="Q790" s="210"/>
      <c r="R790" s="210"/>
      <c r="S790" s="98"/>
      <c r="T790" s="98"/>
      <c r="U790" s="98"/>
      <c r="V790" s="110"/>
      <c r="W790" s="98"/>
      <c r="X790" s="98"/>
      <c r="Y790" s="98"/>
      <c r="Z790" s="98"/>
      <c r="AA790" s="110"/>
      <c r="AB790" s="217"/>
      <c r="AC790" s="110"/>
      <c r="AD790" s="110"/>
      <c r="AE790" s="110"/>
      <c r="AF790" s="110"/>
      <c r="AG790" s="148"/>
      <c r="AH790" s="110"/>
      <c r="AI790" s="207"/>
      <c r="AJ790" s="207"/>
      <c r="AK790" s="224"/>
      <c r="AL790" s="172"/>
      <c r="AM790" s="110"/>
      <c r="AN790" s="110"/>
      <c r="AO790" s="141"/>
      <c r="AP790" s="141"/>
      <c r="AR790" s="98"/>
      <c r="AS790" s="98"/>
      <c r="AT790" s="98"/>
      <c r="AU790" s="98"/>
      <c r="AV790" s="98"/>
      <c r="AW790" s="101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  <c r="BX790" s="98"/>
      <c r="BY790" s="98"/>
    </row>
    <row r="791" spans="1:77" s="194" customFormat="1" x14ac:dyDescent="0.3">
      <c r="A791" s="98"/>
      <c r="B791" s="98"/>
      <c r="C791" s="99"/>
      <c r="D791" s="98"/>
      <c r="E791" s="98"/>
      <c r="F791" s="110"/>
      <c r="G791" s="98"/>
      <c r="H791" s="110"/>
      <c r="I791" s="110"/>
      <c r="J791" s="228"/>
      <c r="K791" s="228"/>
      <c r="L791" s="110"/>
      <c r="M791" s="110"/>
      <c r="N791" s="207"/>
      <c r="O791" s="207"/>
      <c r="P791" s="110"/>
      <c r="Q791" s="110"/>
      <c r="R791" s="110"/>
      <c r="S791" s="98"/>
      <c r="T791" s="99"/>
      <c r="U791" s="98"/>
      <c r="V791" s="172"/>
      <c r="W791" s="98"/>
      <c r="X791" s="98"/>
      <c r="Y791" s="98"/>
      <c r="Z791" s="98"/>
      <c r="AA791" s="172"/>
      <c r="AB791" s="216"/>
      <c r="AC791" s="110"/>
      <c r="AD791" s="110"/>
      <c r="AE791" s="141"/>
      <c r="AF791" s="141"/>
      <c r="AG791" s="148"/>
      <c r="AH791" s="110"/>
      <c r="AI791" s="207"/>
      <c r="AJ791" s="207"/>
      <c r="AK791" s="148"/>
      <c r="AL791" s="110"/>
      <c r="AM791" s="110"/>
      <c r="AN791" s="110"/>
      <c r="AO791" s="141"/>
      <c r="AP791" s="141"/>
      <c r="AR791" s="98"/>
      <c r="AS791" s="98"/>
      <c r="AT791" s="98"/>
      <c r="AU791" s="98"/>
      <c r="AV791" s="98"/>
      <c r="AW791" s="101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  <c r="BY791" s="98"/>
    </row>
    <row r="792" spans="1:77" s="194" customFormat="1" x14ac:dyDescent="0.3">
      <c r="A792" s="98"/>
      <c r="B792" s="98"/>
      <c r="C792" s="98"/>
      <c r="D792" s="98"/>
      <c r="E792" s="98"/>
      <c r="F792" s="101"/>
      <c r="G792" s="98"/>
      <c r="H792" s="101"/>
      <c r="I792" s="101"/>
      <c r="J792" s="98"/>
      <c r="K792" s="98"/>
      <c r="L792" s="101"/>
      <c r="M792" s="101"/>
      <c r="N792" s="211"/>
      <c r="O792" s="211"/>
      <c r="P792" s="210"/>
      <c r="Q792" s="210"/>
      <c r="R792" s="210"/>
      <c r="S792" s="98"/>
      <c r="T792" s="98"/>
      <c r="U792" s="98"/>
      <c r="V792" s="101"/>
      <c r="W792" s="98"/>
      <c r="X792" s="98"/>
      <c r="Y792" s="98"/>
      <c r="Z792" s="98"/>
      <c r="AA792" s="101"/>
      <c r="AB792" s="98"/>
      <c r="AC792" s="101"/>
      <c r="AD792" s="101"/>
      <c r="AE792" s="101"/>
      <c r="AF792" s="101"/>
      <c r="AG792" s="191"/>
      <c r="AH792" s="101"/>
      <c r="AI792" s="101"/>
      <c r="AJ792" s="101"/>
      <c r="AK792" s="191"/>
      <c r="AL792" s="101"/>
      <c r="AM792" s="101"/>
      <c r="AN792" s="101"/>
      <c r="AO792" s="101"/>
      <c r="AP792" s="101"/>
      <c r="AR792" s="98"/>
      <c r="AS792" s="98"/>
      <c r="AT792" s="98"/>
      <c r="AU792" s="98"/>
      <c r="AV792" s="98"/>
      <c r="AW792" s="101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98"/>
      <c r="BY792" s="98"/>
    </row>
    <row r="793" spans="1:77" s="194" customFormat="1" x14ac:dyDescent="0.3">
      <c r="A793" s="98"/>
      <c r="B793" s="98"/>
      <c r="C793" s="98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102"/>
      <c r="U793" s="98"/>
      <c r="V793" s="110"/>
      <c r="W793" s="98"/>
      <c r="X793" s="98"/>
      <c r="Y793" s="98"/>
      <c r="Z793" s="98"/>
      <c r="AA793" s="110"/>
      <c r="AB793" s="198"/>
      <c r="AC793" s="110"/>
      <c r="AD793" s="110"/>
      <c r="AE793" s="141"/>
      <c r="AF793" s="141"/>
      <c r="AG793" s="148"/>
      <c r="AH793" s="98"/>
      <c r="AI793" s="207"/>
      <c r="AJ793" s="207"/>
      <c r="AK793" s="148"/>
      <c r="AL793" s="110"/>
      <c r="AM793" s="110"/>
      <c r="AN793" s="110"/>
      <c r="AO793" s="141"/>
      <c r="AP793" s="141"/>
      <c r="AR793" s="98"/>
      <c r="AS793" s="98"/>
      <c r="AT793" s="98"/>
      <c r="AU793" s="98"/>
      <c r="AV793" s="98"/>
      <c r="AW793" s="101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  <c r="BX793" s="98"/>
      <c r="BY793" s="98"/>
    </row>
    <row r="794" spans="1:77" x14ac:dyDescent="0.3">
      <c r="V794" s="101"/>
      <c r="AA794" s="101"/>
      <c r="AC794" s="101"/>
      <c r="AD794" s="101"/>
      <c r="AE794" s="101"/>
      <c r="AF794" s="101"/>
      <c r="AG794" s="191"/>
      <c r="AH794" s="101"/>
      <c r="AI794" s="101"/>
      <c r="AJ794" s="101"/>
      <c r="AK794" s="191"/>
      <c r="AL794" s="101"/>
      <c r="AM794" s="101"/>
      <c r="AN794" s="101"/>
      <c r="AO794" s="101"/>
      <c r="AP794" s="101"/>
      <c r="AW794" s="101"/>
    </row>
    <row r="795" spans="1:77" x14ac:dyDescent="0.3">
      <c r="AW795" s="101"/>
    </row>
    <row r="796" spans="1:77" x14ac:dyDescent="0.3">
      <c r="AW796" s="101"/>
    </row>
    <row r="797" spans="1:77" s="194" customFormat="1" x14ac:dyDescent="0.3">
      <c r="A797" s="98"/>
      <c r="B797" s="98"/>
      <c r="C797" s="98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110"/>
      <c r="O797" s="110"/>
      <c r="P797" s="110"/>
      <c r="Q797" s="110"/>
      <c r="R797" s="110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148"/>
      <c r="AH797" s="98"/>
      <c r="AI797" s="98"/>
      <c r="AJ797" s="98"/>
      <c r="AK797" s="148"/>
      <c r="AL797" s="98"/>
      <c r="AM797" s="98"/>
      <c r="AN797" s="98"/>
      <c r="AO797" s="98"/>
      <c r="AP797" s="98"/>
      <c r="AR797" s="98"/>
      <c r="AS797" s="98"/>
      <c r="AT797" s="98"/>
      <c r="AU797" s="98"/>
      <c r="AV797" s="98"/>
      <c r="AW797" s="101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  <c r="BX797" s="98"/>
      <c r="BY797" s="98"/>
    </row>
    <row r="798" spans="1:77" s="194" customFormat="1" x14ac:dyDescent="0.3">
      <c r="A798" s="98"/>
      <c r="B798" s="98"/>
      <c r="C798" s="99"/>
      <c r="D798" s="99"/>
      <c r="E798" s="99"/>
      <c r="F798" s="98"/>
      <c r="G798" s="98"/>
      <c r="H798" s="98"/>
      <c r="I798" s="98"/>
      <c r="J798" s="163"/>
      <c r="K798" s="163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148"/>
      <c r="AH798" s="98"/>
      <c r="AI798" s="98"/>
      <c r="AJ798" s="98"/>
      <c r="AK798" s="148"/>
      <c r="AL798" s="98"/>
      <c r="AM798" s="98"/>
      <c r="AN798" s="98"/>
      <c r="AO798" s="98"/>
      <c r="AP798" s="98"/>
      <c r="AR798" s="98"/>
      <c r="AS798" s="98"/>
      <c r="AT798" s="98"/>
      <c r="AU798" s="98"/>
      <c r="AV798" s="98"/>
      <c r="AW798" s="101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98"/>
      <c r="BY798" s="98"/>
    </row>
    <row r="799" spans="1:77" s="194" customFormat="1" x14ac:dyDescent="0.3">
      <c r="A799" s="98"/>
      <c r="B799" s="98"/>
      <c r="C799" s="98"/>
      <c r="D799" s="99"/>
      <c r="E799" s="99"/>
      <c r="F799" s="110"/>
      <c r="G799" s="98"/>
      <c r="H799" s="110"/>
      <c r="I799" s="110"/>
      <c r="J799" s="228"/>
      <c r="K799" s="228"/>
      <c r="L799" s="110"/>
      <c r="M799" s="110"/>
      <c r="N799" s="141"/>
      <c r="O799" s="141"/>
      <c r="P799" s="110"/>
      <c r="Q799" s="110"/>
      <c r="R799" s="110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148"/>
      <c r="AH799" s="98"/>
      <c r="AI799" s="98"/>
      <c r="AJ799" s="98"/>
      <c r="AK799" s="148"/>
      <c r="AL799" s="98"/>
      <c r="AM799" s="98"/>
      <c r="AN799" s="98"/>
      <c r="AO799" s="98"/>
      <c r="AP799" s="98"/>
      <c r="AR799" s="98"/>
      <c r="AS799" s="98"/>
      <c r="AT799" s="98"/>
      <c r="AU799" s="98"/>
      <c r="AV799" s="98"/>
      <c r="AW799" s="101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  <c r="BX799" s="98"/>
      <c r="BY799" s="98"/>
    </row>
    <row r="800" spans="1:77" s="194" customFormat="1" x14ac:dyDescent="0.3">
      <c r="A800" s="98"/>
      <c r="B800" s="98"/>
      <c r="C800" s="98"/>
      <c r="D800" s="98"/>
      <c r="E800" s="98"/>
      <c r="F800" s="110"/>
      <c r="G800" s="98"/>
      <c r="H800" s="110"/>
      <c r="I800" s="110"/>
      <c r="J800" s="217"/>
      <c r="K800" s="217"/>
      <c r="L800" s="110"/>
      <c r="M800" s="110"/>
      <c r="N800" s="110"/>
      <c r="O800" s="110"/>
      <c r="P800" s="110"/>
      <c r="Q800" s="110"/>
      <c r="R800" s="110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148"/>
      <c r="AH800" s="98"/>
      <c r="AI800" s="98"/>
      <c r="AJ800" s="98"/>
      <c r="AK800" s="148"/>
      <c r="AL800" s="98"/>
      <c r="AM800" s="98"/>
      <c r="AN800" s="98"/>
      <c r="AO800" s="98"/>
      <c r="AP800" s="98"/>
      <c r="AR800" s="98"/>
      <c r="AS800" s="98"/>
      <c r="AT800" s="98"/>
      <c r="AU800" s="98"/>
      <c r="AV800" s="98"/>
      <c r="AW800" s="101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  <c r="BX800" s="98"/>
      <c r="BY800" s="98"/>
    </row>
    <row r="801" spans="1:77" s="194" customFormat="1" x14ac:dyDescent="0.3">
      <c r="A801" s="98"/>
      <c r="B801" s="98"/>
      <c r="C801" s="99"/>
      <c r="D801" s="98"/>
      <c r="E801" s="98"/>
      <c r="F801" s="172"/>
      <c r="G801" s="98"/>
      <c r="H801" s="172"/>
      <c r="I801" s="172"/>
      <c r="J801" s="216"/>
      <c r="K801" s="216"/>
      <c r="L801" s="110"/>
      <c r="M801" s="110"/>
      <c r="N801" s="141"/>
      <c r="O801" s="141"/>
      <c r="P801" s="110"/>
      <c r="Q801" s="110"/>
      <c r="R801" s="110"/>
      <c r="S801" s="98"/>
      <c r="T801" s="98"/>
      <c r="U801" s="98"/>
      <c r="V801" s="98"/>
      <c r="W801" s="98"/>
      <c r="X801" s="98"/>
      <c r="Y801" s="98"/>
      <c r="Z801" s="98"/>
      <c r="AA801" s="99"/>
      <c r="AB801" s="98"/>
      <c r="AC801" s="98"/>
      <c r="AD801" s="98"/>
      <c r="AE801" s="98"/>
      <c r="AF801" s="98"/>
      <c r="AG801" s="148"/>
      <c r="AH801" s="98"/>
      <c r="AI801" s="98"/>
      <c r="AJ801" s="98"/>
      <c r="AK801" s="148"/>
      <c r="AL801" s="98"/>
      <c r="AM801" s="98"/>
      <c r="AN801" s="98"/>
      <c r="AO801" s="98"/>
      <c r="AP801" s="98"/>
      <c r="AR801" s="98"/>
      <c r="AS801" s="98"/>
      <c r="AT801" s="98"/>
      <c r="AU801" s="98"/>
      <c r="AV801" s="98"/>
      <c r="AW801" s="101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  <c r="BX801" s="98"/>
      <c r="BY801" s="98"/>
    </row>
    <row r="802" spans="1:77" s="194" customFormat="1" x14ac:dyDescent="0.3">
      <c r="A802" s="98"/>
      <c r="B802" s="98"/>
      <c r="C802" s="98"/>
      <c r="D802" s="98"/>
      <c r="E802" s="98"/>
      <c r="F802" s="101"/>
      <c r="G802" s="98"/>
      <c r="H802" s="101"/>
      <c r="I802" s="101"/>
      <c r="J802" s="98"/>
      <c r="K802" s="98"/>
      <c r="L802" s="101"/>
      <c r="M802" s="101"/>
      <c r="N802" s="101"/>
      <c r="O802" s="101"/>
      <c r="P802" s="101"/>
      <c r="Q802" s="101"/>
      <c r="R802" s="101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148"/>
      <c r="AH802" s="98"/>
      <c r="AI802" s="98"/>
      <c r="AJ802" s="98"/>
      <c r="AK802" s="148"/>
      <c r="AL802" s="98"/>
      <c r="AM802" s="98"/>
      <c r="AN802" s="98"/>
      <c r="AO802" s="98"/>
      <c r="AP802" s="98"/>
      <c r="AR802" s="98"/>
      <c r="AS802" s="98"/>
      <c r="AT802" s="98"/>
      <c r="AU802" s="98"/>
      <c r="AV802" s="98"/>
      <c r="AW802" s="101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98"/>
      <c r="BY802" s="98"/>
    </row>
    <row r="803" spans="1:77" s="194" customFormat="1" x14ac:dyDescent="0.3">
      <c r="A803" s="98"/>
      <c r="B803" s="98"/>
      <c r="C803" s="102"/>
      <c r="D803" s="98"/>
      <c r="E803" s="98"/>
      <c r="F803" s="172"/>
      <c r="G803" s="98"/>
      <c r="H803" s="172"/>
      <c r="I803" s="172"/>
      <c r="J803" s="181"/>
      <c r="K803" s="181"/>
      <c r="L803" s="172"/>
      <c r="M803" s="172"/>
      <c r="N803" s="141"/>
      <c r="O803" s="141"/>
      <c r="P803" s="172"/>
      <c r="Q803" s="172"/>
      <c r="R803" s="172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9"/>
      <c r="AD803" s="99"/>
      <c r="AE803" s="98"/>
      <c r="AF803" s="98"/>
      <c r="AG803" s="148"/>
      <c r="AH803" s="98"/>
      <c r="AI803" s="98"/>
      <c r="AJ803" s="98"/>
      <c r="AK803" s="148"/>
      <c r="AL803" s="98"/>
      <c r="AM803" s="98"/>
      <c r="AN803" s="98"/>
      <c r="AO803" s="98"/>
      <c r="AP803" s="98"/>
      <c r="AR803" s="98"/>
      <c r="AS803" s="98"/>
      <c r="AT803" s="98"/>
      <c r="AU803" s="98"/>
      <c r="AV803" s="98"/>
      <c r="AW803" s="101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98"/>
      <c r="BY803" s="98"/>
    </row>
    <row r="804" spans="1:77" s="194" customFormat="1" x14ac:dyDescent="0.3">
      <c r="A804" s="98"/>
      <c r="B804" s="98"/>
      <c r="C804" s="98"/>
      <c r="D804" s="98"/>
      <c r="E804" s="98"/>
      <c r="F804" s="210"/>
      <c r="G804" s="98"/>
      <c r="H804" s="210"/>
      <c r="I804" s="210"/>
      <c r="J804" s="217"/>
      <c r="K804" s="217"/>
      <c r="L804" s="210"/>
      <c r="M804" s="210"/>
      <c r="N804" s="210"/>
      <c r="O804" s="210"/>
      <c r="P804" s="210"/>
      <c r="Q804" s="210"/>
      <c r="R804" s="210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148"/>
      <c r="AH804" s="98"/>
      <c r="AI804" s="98"/>
      <c r="AJ804" s="98"/>
      <c r="AK804" s="148"/>
      <c r="AL804" s="98"/>
      <c r="AM804" s="99"/>
      <c r="AN804" s="99"/>
      <c r="AO804" s="98"/>
      <c r="AP804" s="98"/>
      <c r="AR804" s="98"/>
      <c r="AS804" s="98"/>
      <c r="AT804" s="98"/>
      <c r="AU804" s="98"/>
      <c r="AV804" s="98"/>
      <c r="AW804" s="101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  <c r="BX804" s="98"/>
      <c r="BY804" s="98"/>
    </row>
    <row r="805" spans="1:77" s="194" customFormat="1" x14ac:dyDescent="0.3">
      <c r="A805" s="98"/>
      <c r="B805" s="98"/>
      <c r="C805" s="98"/>
      <c r="D805" s="98"/>
      <c r="E805" s="98"/>
      <c r="F805" s="172"/>
      <c r="G805" s="98"/>
      <c r="H805" s="172"/>
      <c r="I805" s="172"/>
      <c r="J805" s="227"/>
      <c r="K805" s="227"/>
      <c r="L805" s="110"/>
      <c r="M805" s="110"/>
      <c r="N805" s="141"/>
      <c r="O805" s="141"/>
      <c r="P805" s="110"/>
      <c r="Q805" s="110"/>
      <c r="R805" s="110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148"/>
      <c r="AH805" s="98"/>
      <c r="AI805" s="98"/>
      <c r="AJ805" s="98"/>
      <c r="AK805" s="148"/>
      <c r="AL805" s="98"/>
      <c r="AM805" s="99"/>
      <c r="AN805" s="99"/>
      <c r="AO805" s="98"/>
      <c r="AP805" s="98"/>
      <c r="AR805" s="98"/>
      <c r="AS805" s="98"/>
      <c r="AT805" s="98"/>
      <c r="AU805" s="98"/>
      <c r="AV805" s="98"/>
      <c r="AW805" s="101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  <c r="BX805" s="98"/>
      <c r="BY805" s="98"/>
    </row>
    <row r="806" spans="1:77" s="194" customFormat="1" x14ac:dyDescent="0.3">
      <c r="A806" s="99"/>
      <c r="B806" s="98"/>
      <c r="C806" s="98"/>
      <c r="D806" s="98"/>
      <c r="E806" s="98"/>
      <c r="F806" s="172"/>
      <c r="G806" s="98"/>
      <c r="H806" s="172"/>
      <c r="I806" s="172"/>
      <c r="J806" s="181"/>
      <c r="K806" s="181"/>
      <c r="L806" s="110"/>
      <c r="M806" s="110"/>
      <c r="N806" s="141"/>
      <c r="O806" s="141"/>
      <c r="P806" s="110"/>
      <c r="Q806" s="110"/>
      <c r="R806" s="110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148"/>
      <c r="AH806" s="98"/>
      <c r="AI806" s="98"/>
      <c r="AJ806" s="98"/>
      <c r="AK806" s="148"/>
      <c r="AL806" s="98"/>
      <c r="AM806" s="99"/>
      <c r="AN806" s="99"/>
      <c r="AO806" s="98"/>
      <c r="AP806" s="98"/>
      <c r="AR806" s="98"/>
      <c r="AS806" s="98"/>
      <c r="AT806" s="98"/>
      <c r="AU806" s="98"/>
      <c r="AV806" s="98"/>
      <c r="AW806" s="101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  <c r="BX806" s="98"/>
      <c r="BY806" s="98"/>
    </row>
    <row r="807" spans="1:77" s="194" customFormat="1" x14ac:dyDescent="0.3">
      <c r="A807" s="98"/>
      <c r="B807" s="98"/>
      <c r="C807" s="98"/>
      <c r="D807" s="98"/>
      <c r="E807" s="98"/>
      <c r="F807" s="172"/>
      <c r="G807" s="98"/>
      <c r="H807" s="172"/>
      <c r="I807" s="172"/>
      <c r="J807" s="181"/>
      <c r="K807" s="181"/>
      <c r="L807" s="110"/>
      <c r="M807" s="110"/>
      <c r="N807" s="141"/>
      <c r="O807" s="141"/>
      <c r="P807" s="110"/>
      <c r="Q807" s="110"/>
      <c r="R807" s="110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9"/>
      <c r="AD807" s="99"/>
      <c r="AE807" s="98"/>
      <c r="AF807" s="98"/>
      <c r="AG807" s="148"/>
      <c r="AH807" s="98"/>
      <c r="AI807" s="98"/>
      <c r="AJ807" s="98"/>
      <c r="AK807" s="148"/>
      <c r="AL807" s="98"/>
      <c r="AM807" s="98"/>
      <c r="AN807" s="98"/>
      <c r="AO807" s="98"/>
      <c r="AP807" s="98"/>
      <c r="AR807" s="98"/>
      <c r="AS807" s="98"/>
      <c r="AT807" s="98"/>
      <c r="AU807" s="98"/>
      <c r="AV807" s="98"/>
      <c r="AW807" s="101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98"/>
      <c r="BY807" s="98"/>
    </row>
    <row r="808" spans="1:77" s="194" customFormat="1" x14ac:dyDescent="0.3">
      <c r="A808" s="99"/>
      <c r="B808" s="98"/>
      <c r="C808" s="98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101"/>
      <c r="U808" s="101"/>
      <c r="V808" s="101"/>
      <c r="W808" s="101"/>
      <c r="X808" s="101"/>
      <c r="Y808" s="101"/>
      <c r="Z808" s="101"/>
      <c r="AA808" s="101"/>
      <c r="AB808" s="101"/>
      <c r="AC808" s="101"/>
      <c r="AD808" s="101"/>
      <c r="AE808" s="101"/>
      <c r="AF808" s="101"/>
      <c r="AG808" s="191"/>
      <c r="AH808" s="101"/>
      <c r="AI808" s="101"/>
      <c r="AJ808" s="101"/>
      <c r="AK808" s="191"/>
      <c r="AL808" s="101"/>
      <c r="AM808" s="101"/>
      <c r="AN808" s="101"/>
      <c r="AO808" s="101"/>
      <c r="AP808" s="101"/>
      <c r="AR808" s="98"/>
      <c r="AS808" s="98"/>
      <c r="AT808" s="98"/>
      <c r="AU808" s="98"/>
      <c r="AV808" s="98"/>
      <c r="AW808" s="101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  <c r="BX808" s="98"/>
      <c r="BY808" s="98"/>
    </row>
    <row r="809" spans="1:77" x14ac:dyDescent="0.3">
      <c r="AC809" s="102"/>
      <c r="AD809" s="102"/>
      <c r="AE809" s="102"/>
      <c r="AF809" s="102"/>
      <c r="AG809" s="151"/>
      <c r="AH809" s="102"/>
      <c r="AI809" s="102"/>
      <c r="AJ809" s="102"/>
      <c r="AM809" s="102"/>
      <c r="AN809" s="102"/>
      <c r="AO809" s="102"/>
      <c r="AP809" s="102"/>
      <c r="AW809" s="101"/>
    </row>
    <row r="810" spans="1:77" s="194" customFormat="1" x14ac:dyDescent="0.3">
      <c r="A810" s="98"/>
      <c r="B810" s="98"/>
      <c r="C810" s="98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102"/>
      <c r="AC810" s="102"/>
      <c r="AD810" s="102"/>
      <c r="AE810" s="102"/>
      <c r="AF810" s="102"/>
      <c r="AG810" s="151"/>
      <c r="AH810" s="102"/>
      <c r="AI810" s="102"/>
      <c r="AJ810" s="102"/>
      <c r="AK810" s="148"/>
      <c r="AL810" s="98"/>
      <c r="AM810" s="102"/>
      <c r="AN810" s="102"/>
      <c r="AO810" s="102"/>
      <c r="AP810" s="102"/>
      <c r="AR810" s="98"/>
      <c r="AS810" s="98"/>
      <c r="AT810" s="98"/>
      <c r="AU810" s="98"/>
      <c r="AV810" s="98"/>
      <c r="AW810" s="101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  <c r="BX810" s="98"/>
      <c r="BY810" s="98"/>
    </row>
    <row r="811" spans="1:77" s="194" customFormat="1" x14ac:dyDescent="0.3">
      <c r="A811" s="98"/>
      <c r="B811" s="98"/>
      <c r="C811" s="98"/>
      <c r="D811" s="98"/>
      <c r="E811" s="98"/>
      <c r="F811" s="98"/>
      <c r="G811" s="98"/>
      <c r="H811" s="99"/>
      <c r="I811" s="99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102"/>
      <c r="U811" s="102"/>
      <c r="V811" s="102"/>
      <c r="W811" s="98"/>
      <c r="X811" s="98"/>
      <c r="Y811" s="98"/>
      <c r="Z811" s="98"/>
      <c r="AA811" s="98"/>
      <c r="AB811" s="102"/>
      <c r="AC811" s="102"/>
      <c r="AD811" s="102"/>
      <c r="AE811" s="102"/>
      <c r="AF811" s="102"/>
      <c r="AG811" s="151"/>
      <c r="AH811" s="102"/>
      <c r="AI811" s="102"/>
      <c r="AJ811" s="102"/>
      <c r="AK811" s="151"/>
      <c r="AL811" s="102"/>
      <c r="AM811" s="102"/>
      <c r="AN811" s="102"/>
      <c r="AO811" s="102"/>
      <c r="AP811" s="102"/>
      <c r="AR811" s="98"/>
      <c r="AS811" s="98"/>
      <c r="AT811" s="98"/>
      <c r="AU811" s="98"/>
      <c r="AV811" s="98"/>
      <c r="AW811" s="101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  <c r="BX811" s="98"/>
      <c r="BY811" s="98"/>
    </row>
    <row r="812" spans="1:77" s="194" customFormat="1" x14ac:dyDescent="0.3">
      <c r="A812" s="98"/>
      <c r="B812" s="98"/>
      <c r="C812" s="98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102"/>
      <c r="U812" s="102"/>
      <c r="V812" s="102"/>
      <c r="W812" s="98"/>
      <c r="X812" s="98"/>
      <c r="Y812" s="98"/>
      <c r="Z812" s="98"/>
      <c r="AA812" s="102"/>
      <c r="AB812" s="102"/>
      <c r="AC812" s="102"/>
      <c r="AD812" s="102"/>
      <c r="AE812" s="102"/>
      <c r="AF812" s="102"/>
      <c r="AG812" s="151"/>
      <c r="AH812" s="102"/>
      <c r="AI812" s="102"/>
      <c r="AJ812" s="102"/>
      <c r="AK812" s="151"/>
      <c r="AL812" s="102"/>
      <c r="AM812" s="102"/>
      <c r="AN812" s="102"/>
      <c r="AO812" s="102"/>
      <c r="AP812" s="102"/>
      <c r="AR812" s="98"/>
      <c r="AS812" s="98"/>
      <c r="AT812" s="98"/>
      <c r="AU812" s="98"/>
      <c r="AV812" s="98"/>
      <c r="AW812" s="101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98"/>
      <c r="BY812" s="98"/>
    </row>
    <row r="813" spans="1:77" s="194" customFormat="1" x14ac:dyDescent="0.3">
      <c r="A813" s="98"/>
      <c r="B813" s="98"/>
      <c r="C813" s="98"/>
      <c r="D813" s="98"/>
      <c r="E813" s="98"/>
      <c r="F813" s="98"/>
      <c r="G813" s="98"/>
      <c r="H813" s="98"/>
      <c r="I813" s="98"/>
      <c r="J813" s="98"/>
      <c r="K813" s="98"/>
      <c r="L813" s="99"/>
      <c r="M813" s="99"/>
      <c r="N813" s="98"/>
      <c r="O813" s="98"/>
      <c r="P813" s="98"/>
      <c r="Q813" s="98"/>
      <c r="R813" s="98"/>
      <c r="S813" s="98"/>
      <c r="T813" s="102"/>
      <c r="U813" s="102"/>
      <c r="V813" s="102"/>
      <c r="W813" s="98"/>
      <c r="X813" s="98"/>
      <c r="Y813" s="98"/>
      <c r="Z813" s="98"/>
      <c r="AA813" s="102"/>
      <c r="AB813" s="102"/>
      <c r="AC813" s="102"/>
      <c r="AD813" s="102"/>
      <c r="AE813" s="102"/>
      <c r="AF813" s="102"/>
      <c r="AG813" s="151"/>
      <c r="AH813" s="102"/>
      <c r="AI813" s="102"/>
      <c r="AJ813" s="102"/>
      <c r="AK813" s="151"/>
      <c r="AL813" s="102"/>
      <c r="AM813" s="102"/>
      <c r="AN813" s="102"/>
      <c r="AO813" s="102"/>
      <c r="AP813" s="102"/>
      <c r="AR813" s="98"/>
      <c r="AS813" s="98"/>
      <c r="AT813" s="98"/>
      <c r="AU813" s="98"/>
      <c r="AV813" s="98"/>
      <c r="AW813" s="101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98"/>
      <c r="BY813" s="98"/>
    </row>
    <row r="814" spans="1:77" s="194" customFormat="1" x14ac:dyDescent="0.3">
      <c r="A814" s="98"/>
      <c r="B814" s="98"/>
      <c r="C814" s="98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9"/>
      <c r="S814" s="98"/>
      <c r="T814" s="101"/>
      <c r="U814" s="101"/>
      <c r="V814" s="101"/>
      <c r="W814" s="101"/>
      <c r="X814" s="101"/>
      <c r="Y814" s="101"/>
      <c r="Z814" s="101"/>
      <c r="AA814" s="101"/>
      <c r="AB814" s="101"/>
      <c r="AC814" s="101"/>
      <c r="AD814" s="101"/>
      <c r="AE814" s="101"/>
      <c r="AF814" s="101"/>
      <c r="AG814" s="191"/>
      <c r="AH814" s="101"/>
      <c r="AI814" s="101"/>
      <c r="AJ814" s="101"/>
      <c r="AK814" s="191"/>
      <c r="AL814" s="101"/>
      <c r="AM814" s="101"/>
      <c r="AN814" s="101"/>
      <c r="AO814" s="101"/>
      <c r="AP814" s="101"/>
      <c r="AR814" s="98"/>
      <c r="AS814" s="98"/>
      <c r="AT814" s="98"/>
      <c r="AU814" s="98"/>
      <c r="AV814" s="98"/>
      <c r="AW814" s="101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  <c r="BX814" s="98"/>
      <c r="BY814" s="98"/>
    </row>
    <row r="815" spans="1:77" s="194" customFormat="1" x14ac:dyDescent="0.3">
      <c r="A815" s="98"/>
      <c r="B815" s="98"/>
      <c r="C815" s="98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9"/>
      <c r="S815" s="98"/>
      <c r="T815" s="98"/>
      <c r="U815" s="98"/>
      <c r="V815" s="98"/>
      <c r="W815" s="98"/>
      <c r="X815" s="98"/>
      <c r="Y815" s="98"/>
      <c r="Z815" s="98"/>
      <c r="AA815" s="102"/>
      <c r="AB815" s="102"/>
      <c r="AC815" s="102"/>
      <c r="AD815" s="102"/>
      <c r="AE815" s="102"/>
      <c r="AF815" s="102"/>
      <c r="AG815" s="151"/>
      <c r="AH815" s="102"/>
      <c r="AI815" s="102"/>
      <c r="AJ815" s="102"/>
      <c r="AK815" s="151"/>
      <c r="AL815" s="102"/>
      <c r="AM815" s="102"/>
      <c r="AN815" s="102"/>
      <c r="AO815" s="102"/>
      <c r="AP815" s="102"/>
      <c r="AR815" s="98"/>
      <c r="AS815" s="98"/>
      <c r="AT815" s="98"/>
      <c r="AU815" s="98"/>
      <c r="AV815" s="98"/>
      <c r="AW815" s="101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  <c r="BX815" s="98"/>
      <c r="BY815" s="98"/>
    </row>
    <row r="816" spans="1:77" s="194" customFormat="1" x14ac:dyDescent="0.3">
      <c r="A816" s="99"/>
      <c r="B816" s="98"/>
      <c r="C816" s="98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9"/>
      <c r="S816" s="98"/>
      <c r="T816" s="99"/>
      <c r="U816" s="99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148"/>
      <c r="AH816" s="98"/>
      <c r="AI816" s="98"/>
      <c r="AJ816" s="98"/>
      <c r="AK816" s="148"/>
      <c r="AL816" s="98"/>
      <c r="AM816" s="98"/>
      <c r="AN816" s="98"/>
      <c r="AO816" s="98"/>
      <c r="AP816" s="98"/>
      <c r="AR816" s="98"/>
      <c r="AS816" s="98"/>
      <c r="AT816" s="98"/>
      <c r="AU816" s="98"/>
      <c r="AV816" s="98"/>
      <c r="AW816" s="101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98"/>
      <c r="BY816" s="98"/>
    </row>
    <row r="817" spans="1:77" s="194" customFormat="1" x14ac:dyDescent="0.3">
      <c r="A817" s="98"/>
      <c r="B817" s="98"/>
      <c r="C817" s="98"/>
      <c r="D817" s="98"/>
      <c r="E817" s="98"/>
      <c r="F817" s="98"/>
      <c r="G817" s="98"/>
      <c r="H817" s="98"/>
      <c r="I817" s="98"/>
      <c r="J817" s="98"/>
      <c r="K817" s="98"/>
      <c r="L817" s="99"/>
      <c r="M817" s="99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148"/>
      <c r="AH817" s="98"/>
      <c r="AI817" s="98"/>
      <c r="AJ817" s="98"/>
      <c r="AK817" s="148"/>
      <c r="AL817" s="98"/>
      <c r="AM817" s="98"/>
      <c r="AN817" s="98"/>
      <c r="AO817" s="98"/>
      <c r="AP817" s="98"/>
      <c r="AR817" s="98"/>
      <c r="AS817" s="98"/>
      <c r="AT817" s="98"/>
      <c r="AU817" s="98"/>
      <c r="AV817" s="98"/>
      <c r="AW817" s="101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98"/>
      <c r="BY817" s="98"/>
    </row>
    <row r="818" spans="1:77" s="194" customFormat="1" x14ac:dyDescent="0.3">
      <c r="A818" s="101"/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98"/>
      <c r="T818" s="99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148"/>
      <c r="AH818" s="98"/>
      <c r="AI818" s="98"/>
      <c r="AJ818" s="98"/>
      <c r="AK818" s="148"/>
      <c r="AL818" s="98"/>
      <c r="AM818" s="98"/>
      <c r="AN818" s="98"/>
      <c r="AO818" s="98"/>
      <c r="AP818" s="98"/>
      <c r="AR818" s="98"/>
      <c r="AS818" s="98"/>
      <c r="AT818" s="98"/>
      <c r="AU818" s="98"/>
      <c r="AV818" s="98"/>
      <c r="AW818" s="101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  <c r="BY818" s="98"/>
    </row>
    <row r="819" spans="1:77" s="194" customFormat="1" x14ac:dyDescent="0.3">
      <c r="A819" s="98"/>
      <c r="B819" s="98"/>
      <c r="C819" s="98"/>
      <c r="D819" s="98"/>
      <c r="E819" s="98"/>
      <c r="F819" s="98"/>
      <c r="G819" s="98"/>
      <c r="H819" s="98"/>
      <c r="I819" s="98"/>
      <c r="J819" s="98"/>
      <c r="K819" s="98"/>
      <c r="L819" s="102"/>
      <c r="M819" s="102"/>
      <c r="N819" s="102"/>
      <c r="O819" s="102"/>
      <c r="P819" s="98"/>
      <c r="Q819" s="98"/>
      <c r="R819" s="102"/>
      <c r="S819" s="98"/>
      <c r="T819" s="99"/>
      <c r="U819" s="98"/>
      <c r="V819" s="172"/>
      <c r="W819" s="98"/>
      <c r="X819" s="98"/>
      <c r="Y819" s="98"/>
      <c r="Z819" s="98"/>
      <c r="AA819" s="172"/>
      <c r="AB819" s="217"/>
      <c r="AC819" s="110"/>
      <c r="AD819" s="110"/>
      <c r="AE819" s="141"/>
      <c r="AF819" s="141"/>
      <c r="AG819" s="148"/>
      <c r="AH819" s="110"/>
      <c r="AI819" s="207"/>
      <c r="AJ819" s="207"/>
      <c r="AK819" s="148"/>
      <c r="AL819" s="110"/>
      <c r="AM819" s="110"/>
      <c r="AN819" s="110"/>
      <c r="AO819" s="141"/>
      <c r="AP819" s="141"/>
      <c r="AR819" s="98"/>
      <c r="AS819" s="98"/>
      <c r="AT819" s="98"/>
      <c r="AU819" s="98"/>
      <c r="AV819" s="98"/>
      <c r="AW819" s="101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  <c r="BY819" s="98"/>
    </row>
    <row r="820" spans="1:77" s="194" customFormat="1" x14ac:dyDescent="0.3">
      <c r="A820" s="98"/>
      <c r="B820" s="98"/>
      <c r="C820" s="98"/>
      <c r="D820" s="98"/>
      <c r="E820" s="98"/>
      <c r="F820" s="98"/>
      <c r="G820" s="98"/>
      <c r="H820" s="98"/>
      <c r="I820" s="98"/>
      <c r="J820" s="98"/>
      <c r="K820" s="98"/>
      <c r="L820" s="102"/>
      <c r="M820" s="102"/>
      <c r="N820" s="102"/>
      <c r="O820" s="102"/>
      <c r="P820" s="98"/>
      <c r="Q820" s="98"/>
      <c r="R820" s="102"/>
      <c r="S820" s="98"/>
      <c r="T820" s="99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148"/>
      <c r="AH820" s="98"/>
      <c r="AI820" s="98"/>
      <c r="AJ820" s="98"/>
      <c r="AK820" s="148"/>
      <c r="AL820" s="98"/>
      <c r="AM820" s="98"/>
      <c r="AN820" s="98"/>
      <c r="AO820" s="98"/>
      <c r="AP820" s="98"/>
      <c r="AR820" s="98"/>
      <c r="AS820" s="98"/>
      <c r="AT820" s="98"/>
      <c r="AU820" s="98"/>
      <c r="AV820" s="98"/>
      <c r="AW820" s="101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98"/>
      <c r="BY820" s="98"/>
    </row>
    <row r="821" spans="1:77" s="194" customFormat="1" x14ac:dyDescent="0.3">
      <c r="A821" s="102"/>
      <c r="B821" s="98"/>
      <c r="C821" s="102"/>
      <c r="D821" s="102"/>
      <c r="E821" s="102"/>
      <c r="F821" s="102"/>
      <c r="G821" s="98"/>
      <c r="H821" s="98"/>
      <c r="I821" s="98"/>
      <c r="J821" s="102"/>
      <c r="K821" s="102"/>
      <c r="L821" s="102"/>
      <c r="M821" s="102"/>
      <c r="N821" s="102"/>
      <c r="O821" s="102"/>
      <c r="P821" s="102"/>
      <c r="Q821" s="102"/>
      <c r="R821" s="102"/>
      <c r="S821" s="98"/>
      <c r="T821" s="99"/>
      <c r="U821" s="98"/>
      <c r="V821" s="110"/>
      <c r="W821" s="98"/>
      <c r="X821" s="98"/>
      <c r="Y821" s="98"/>
      <c r="Z821" s="98"/>
      <c r="AA821" s="110"/>
      <c r="AB821" s="228"/>
      <c r="AC821" s="110"/>
      <c r="AD821" s="110"/>
      <c r="AE821" s="141"/>
      <c r="AF821" s="141"/>
      <c r="AG821" s="148"/>
      <c r="AH821" s="110"/>
      <c r="AI821" s="207"/>
      <c r="AJ821" s="207"/>
      <c r="AK821" s="148"/>
      <c r="AL821" s="110"/>
      <c r="AM821" s="110"/>
      <c r="AN821" s="110"/>
      <c r="AO821" s="141"/>
      <c r="AP821" s="141"/>
      <c r="AR821" s="98"/>
      <c r="AS821" s="98"/>
      <c r="AT821" s="98"/>
      <c r="AU821" s="98"/>
      <c r="AV821" s="98"/>
      <c r="AW821" s="101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98"/>
      <c r="BY821" s="98"/>
    </row>
    <row r="822" spans="1:77" s="194" customFormat="1" x14ac:dyDescent="0.3">
      <c r="A822" s="102"/>
      <c r="B822" s="98"/>
      <c r="C822" s="102"/>
      <c r="D822" s="102"/>
      <c r="E822" s="102"/>
      <c r="F822" s="102"/>
      <c r="G822" s="98"/>
      <c r="H822" s="102"/>
      <c r="I822" s="102"/>
      <c r="J822" s="102"/>
      <c r="K822" s="102"/>
      <c r="L822" s="102"/>
      <c r="M822" s="102"/>
      <c r="N822" s="102"/>
      <c r="O822" s="102"/>
      <c r="P822" s="102"/>
      <c r="Q822" s="102"/>
      <c r="R822" s="102"/>
      <c r="S822" s="98"/>
      <c r="T822" s="99"/>
      <c r="U822" s="98"/>
      <c r="V822" s="110"/>
      <c r="W822" s="98"/>
      <c r="X822" s="98"/>
      <c r="Y822" s="98"/>
      <c r="Z822" s="98"/>
      <c r="AA822" s="110"/>
      <c r="AB822" s="228"/>
      <c r="AC822" s="110"/>
      <c r="AD822" s="110"/>
      <c r="AE822" s="141"/>
      <c r="AF822" s="141"/>
      <c r="AG822" s="148"/>
      <c r="AH822" s="110"/>
      <c r="AI822" s="207"/>
      <c r="AJ822" s="207"/>
      <c r="AK822" s="148"/>
      <c r="AL822" s="110"/>
      <c r="AM822" s="110"/>
      <c r="AN822" s="110"/>
      <c r="AO822" s="141"/>
      <c r="AP822" s="141"/>
      <c r="AR822" s="98"/>
      <c r="AS822" s="98"/>
      <c r="AT822" s="98"/>
      <c r="AU822" s="98"/>
      <c r="AV822" s="98"/>
      <c r="AW822" s="101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98"/>
      <c r="BY822" s="98"/>
    </row>
    <row r="823" spans="1:77" s="194" customFormat="1" x14ac:dyDescent="0.3">
      <c r="A823" s="98"/>
      <c r="B823" s="98"/>
      <c r="C823" s="102"/>
      <c r="D823" s="102"/>
      <c r="E823" s="102"/>
      <c r="F823" s="102"/>
      <c r="G823" s="98"/>
      <c r="H823" s="102"/>
      <c r="I823" s="102"/>
      <c r="J823" s="102"/>
      <c r="K823" s="102"/>
      <c r="L823" s="102"/>
      <c r="M823" s="102"/>
      <c r="N823" s="102"/>
      <c r="O823" s="102"/>
      <c r="P823" s="102"/>
      <c r="Q823" s="102"/>
      <c r="R823" s="102"/>
      <c r="S823" s="98"/>
      <c r="T823" s="99"/>
      <c r="U823" s="98"/>
      <c r="V823" s="110"/>
      <c r="W823" s="98"/>
      <c r="X823" s="98"/>
      <c r="Y823" s="98"/>
      <c r="Z823" s="98"/>
      <c r="AA823" s="110"/>
      <c r="AB823" s="228"/>
      <c r="AC823" s="110"/>
      <c r="AD823" s="110"/>
      <c r="AE823" s="141"/>
      <c r="AF823" s="141"/>
      <c r="AG823" s="148"/>
      <c r="AH823" s="110"/>
      <c r="AI823" s="207"/>
      <c r="AJ823" s="207"/>
      <c r="AK823" s="148"/>
      <c r="AL823" s="110"/>
      <c r="AM823" s="110"/>
      <c r="AN823" s="110"/>
      <c r="AO823" s="141"/>
      <c r="AP823" s="141"/>
      <c r="AR823" s="98"/>
      <c r="AS823" s="98"/>
      <c r="AT823" s="98"/>
      <c r="AU823" s="98"/>
      <c r="AV823" s="98"/>
      <c r="AW823" s="101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98"/>
      <c r="BY823" s="98"/>
    </row>
    <row r="824" spans="1:77" s="194" customFormat="1" x14ac:dyDescent="0.3">
      <c r="A824" s="101"/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98"/>
      <c r="T824" s="99"/>
      <c r="U824" s="98"/>
      <c r="V824" s="110"/>
      <c r="W824" s="98"/>
      <c r="X824" s="98"/>
      <c r="Y824" s="98"/>
      <c r="Z824" s="98"/>
      <c r="AA824" s="110"/>
      <c r="AB824" s="228"/>
      <c r="AC824" s="110"/>
      <c r="AD824" s="110"/>
      <c r="AE824" s="141"/>
      <c r="AF824" s="141"/>
      <c r="AG824" s="148"/>
      <c r="AH824" s="110"/>
      <c r="AI824" s="207"/>
      <c r="AJ824" s="207"/>
      <c r="AK824" s="148"/>
      <c r="AL824" s="110"/>
      <c r="AM824" s="110"/>
      <c r="AN824" s="110"/>
      <c r="AO824" s="141"/>
      <c r="AP824" s="141"/>
      <c r="AR824" s="98"/>
      <c r="AS824" s="98"/>
      <c r="AT824" s="98"/>
      <c r="AU824" s="98"/>
      <c r="AV824" s="98"/>
      <c r="AW824" s="101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98"/>
      <c r="BY824" s="98"/>
    </row>
    <row r="825" spans="1:77" s="194" customFormat="1" x14ac:dyDescent="0.3">
      <c r="A825" s="98"/>
      <c r="B825" s="98"/>
      <c r="C825" s="98"/>
      <c r="D825" s="98"/>
      <c r="E825" s="98"/>
      <c r="F825" s="98"/>
      <c r="G825" s="98"/>
      <c r="H825" s="102"/>
      <c r="I825" s="102"/>
      <c r="J825" s="102"/>
      <c r="K825" s="102"/>
      <c r="L825" s="102"/>
      <c r="M825" s="102"/>
      <c r="N825" s="102"/>
      <c r="O825" s="102"/>
      <c r="P825" s="102"/>
      <c r="Q825" s="102"/>
      <c r="R825" s="102"/>
      <c r="S825" s="98"/>
      <c r="T825" s="99"/>
      <c r="U825" s="98"/>
      <c r="V825" s="98"/>
      <c r="W825" s="98"/>
      <c r="X825" s="98"/>
      <c r="Y825" s="98"/>
      <c r="Z825" s="98"/>
      <c r="AA825" s="98"/>
      <c r="AB825" s="163"/>
      <c r="AC825" s="98"/>
      <c r="AD825" s="98"/>
      <c r="AE825" s="98"/>
      <c r="AF825" s="98"/>
      <c r="AG825" s="148"/>
      <c r="AH825" s="98"/>
      <c r="AI825" s="98"/>
      <c r="AJ825" s="98"/>
      <c r="AK825" s="148"/>
      <c r="AL825" s="98"/>
      <c r="AM825" s="98"/>
      <c r="AN825" s="98"/>
      <c r="AO825" s="98"/>
      <c r="AP825" s="98"/>
      <c r="AR825" s="98"/>
      <c r="AS825" s="98"/>
      <c r="AT825" s="98"/>
      <c r="AU825" s="98"/>
      <c r="AV825" s="98"/>
      <c r="AW825" s="101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  <c r="BX825" s="98"/>
      <c r="BY825" s="98"/>
    </row>
    <row r="826" spans="1:77" s="194" customFormat="1" x14ac:dyDescent="0.3">
      <c r="A826" s="98"/>
      <c r="B826" s="98"/>
      <c r="C826" s="99"/>
      <c r="D826" s="99"/>
      <c r="E826" s="99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9"/>
      <c r="U826" s="98"/>
      <c r="V826" s="110"/>
      <c r="W826" s="98"/>
      <c r="X826" s="98"/>
      <c r="Y826" s="98"/>
      <c r="Z826" s="98"/>
      <c r="AA826" s="110"/>
      <c r="AB826" s="228"/>
      <c r="AC826" s="110"/>
      <c r="AD826" s="110"/>
      <c r="AE826" s="141"/>
      <c r="AF826" s="141"/>
      <c r="AG826" s="148"/>
      <c r="AH826" s="110"/>
      <c r="AI826" s="207"/>
      <c r="AJ826" s="207"/>
      <c r="AK826" s="148"/>
      <c r="AL826" s="110"/>
      <c r="AM826" s="110"/>
      <c r="AN826" s="110"/>
      <c r="AO826" s="141"/>
      <c r="AP826" s="141"/>
      <c r="AR826" s="98"/>
      <c r="AS826" s="98"/>
      <c r="AT826" s="98"/>
      <c r="AU826" s="98"/>
      <c r="AV826" s="98"/>
      <c r="AW826" s="101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  <c r="BY826" s="98"/>
    </row>
    <row r="827" spans="1:77" x14ac:dyDescent="0.3">
      <c r="T827" s="99"/>
      <c r="V827" s="110"/>
      <c r="AA827" s="110"/>
      <c r="AB827" s="228"/>
      <c r="AC827" s="110"/>
      <c r="AD827" s="110"/>
      <c r="AE827" s="141"/>
      <c r="AF827" s="141"/>
      <c r="AH827" s="110"/>
      <c r="AI827" s="207"/>
      <c r="AJ827" s="207"/>
      <c r="AL827" s="110"/>
      <c r="AM827" s="110"/>
      <c r="AN827" s="110"/>
      <c r="AO827" s="141"/>
      <c r="AP827" s="141"/>
      <c r="AW827" s="101"/>
    </row>
    <row r="828" spans="1:77" s="194" customFormat="1" x14ac:dyDescent="0.3">
      <c r="A828" s="98"/>
      <c r="B828" s="98"/>
      <c r="C828" s="99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9"/>
      <c r="U828" s="98"/>
      <c r="V828" s="110"/>
      <c r="W828" s="98"/>
      <c r="X828" s="98"/>
      <c r="Y828" s="98"/>
      <c r="Z828" s="98"/>
      <c r="AA828" s="110"/>
      <c r="AB828" s="228"/>
      <c r="AC828" s="110"/>
      <c r="AD828" s="110"/>
      <c r="AE828" s="141"/>
      <c r="AF828" s="141"/>
      <c r="AG828" s="148"/>
      <c r="AH828" s="110"/>
      <c r="AI828" s="207"/>
      <c r="AJ828" s="207"/>
      <c r="AK828" s="148"/>
      <c r="AL828" s="110"/>
      <c r="AM828" s="110"/>
      <c r="AN828" s="110"/>
      <c r="AO828" s="141"/>
      <c r="AP828" s="141"/>
      <c r="AR828" s="98"/>
      <c r="AS828" s="98"/>
      <c r="AT828" s="98"/>
      <c r="AU828" s="98"/>
      <c r="AV828" s="98"/>
      <c r="AW828" s="101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  <c r="BX828" s="98"/>
      <c r="BY828" s="98"/>
    </row>
    <row r="829" spans="1:77" s="194" customFormat="1" x14ac:dyDescent="0.3">
      <c r="A829" s="98"/>
      <c r="B829" s="98"/>
      <c r="C829" s="99"/>
      <c r="D829" s="98"/>
      <c r="E829" s="98"/>
      <c r="F829" s="172"/>
      <c r="G829" s="98"/>
      <c r="H829" s="172"/>
      <c r="I829" s="172"/>
      <c r="J829" s="217"/>
      <c r="K829" s="217"/>
      <c r="L829" s="110"/>
      <c r="M829" s="110"/>
      <c r="N829" s="141"/>
      <c r="O829" s="141"/>
      <c r="P829" s="110"/>
      <c r="Q829" s="110"/>
      <c r="R829" s="110"/>
      <c r="S829" s="98"/>
      <c r="T829" s="99"/>
      <c r="U829" s="98"/>
      <c r="V829" s="98"/>
      <c r="W829" s="98"/>
      <c r="X829" s="98"/>
      <c r="Y829" s="98"/>
      <c r="Z829" s="98"/>
      <c r="AA829" s="98"/>
      <c r="AB829" s="163"/>
      <c r="AC829" s="98"/>
      <c r="AD829" s="98"/>
      <c r="AE829" s="98"/>
      <c r="AF829" s="98"/>
      <c r="AG829" s="148"/>
      <c r="AH829" s="98"/>
      <c r="AI829" s="98"/>
      <c r="AJ829" s="98"/>
      <c r="AK829" s="148"/>
      <c r="AL829" s="98"/>
      <c r="AM829" s="98"/>
      <c r="AN829" s="98"/>
      <c r="AO829" s="98"/>
      <c r="AP829" s="98"/>
      <c r="AR829" s="98"/>
      <c r="AS829" s="98"/>
      <c r="AT829" s="98"/>
      <c r="AU829" s="98"/>
      <c r="AV829" s="98"/>
      <c r="AW829" s="101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98"/>
      <c r="BY829" s="98"/>
    </row>
    <row r="830" spans="1:77" s="194" customFormat="1" x14ac:dyDescent="0.3">
      <c r="A830" s="98"/>
      <c r="B830" s="98"/>
      <c r="C830" s="99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9"/>
      <c r="U830" s="98"/>
      <c r="V830" s="110"/>
      <c r="W830" s="98"/>
      <c r="X830" s="98"/>
      <c r="Y830" s="98"/>
      <c r="Z830" s="98"/>
      <c r="AA830" s="110"/>
      <c r="AB830" s="228"/>
      <c r="AC830" s="110"/>
      <c r="AD830" s="110"/>
      <c r="AE830" s="141"/>
      <c r="AF830" s="141"/>
      <c r="AG830" s="148"/>
      <c r="AH830" s="110"/>
      <c r="AI830" s="207"/>
      <c r="AJ830" s="207"/>
      <c r="AK830" s="148"/>
      <c r="AL830" s="110"/>
      <c r="AM830" s="110"/>
      <c r="AN830" s="110"/>
      <c r="AO830" s="141"/>
      <c r="AP830" s="141"/>
      <c r="AR830" s="98"/>
      <c r="AS830" s="98"/>
      <c r="AT830" s="98"/>
      <c r="AU830" s="98"/>
      <c r="AV830" s="98"/>
      <c r="AW830" s="101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98"/>
      <c r="BY830" s="98"/>
    </row>
    <row r="831" spans="1:77" s="194" customFormat="1" x14ac:dyDescent="0.3">
      <c r="A831" s="98"/>
      <c r="B831" s="98"/>
      <c r="C831" s="99"/>
      <c r="D831" s="98"/>
      <c r="E831" s="98"/>
      <c r="F831" s="172"/>
      <c r="G831" s="98"/>
      <c r="H831" s="172"/>
      <c r="I831" s="172"/>
      <c r="J831" s="228"/>
      <c r="K831" s="228"/>
      <c r="L831" s="110"/>
      <c r="M831" s="110"/>
      <c r="N831" s="141"/>
      <c r="O831" s="141"/>
      <c r="P831" s="110"/>
      <c r="Q831" s="110"/>
      <c r="R831" s="110"/>
      <c r="S831" s="98"/>
      <c r="T831" s="99"/>
      <c r="U831" s="98"/>
      <c r="V831" s="110"/>
      <c r="W831" s="98"/>
      <c r="X831" s="98"/>
      <c r="Y831" s="98"/>
      <c r="Z831" s="98"/>
      <c r="AA831" s="110"/>
      <c r="AB831" s="228"/>
      <c r="AC831" s="110"/>
      <c r="AD831" s="110"/>
      <c r="AE831" s="141"/>
      <c r="AF831" s="141"/>
      <c r="AG831" s="148"/>
      <c r="AH831" s="110"/>
      <c r="AI831" s="207"/>
      <c r="AJ831" s="207"/>
      <c r="AK831" s="148"/>
      <c r="AL831" s="110"/>
      <c r="AM831" s="110"/>
      <c r="AN831" s="110"/>
      <c r="AO831" s="141"/>
      <c r="AP831" s="141"/>
      <c r="AR831" s="98"/>
      <c r="AS831" s="98"/>
      <c r="AT831" s="98"/>
      <c r="AU831" s="98"/>
      <c r="AV831" s="98"/>
      <c r="AW831" s="101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98"/>
      <c r="BY831" s="98"/>
    </row>
    <row r="832" spans="1:77" s="194" customFormat="1" x14ac:dyDescent="0.3">
      <c r="A832" s="98"/>
      <c r="B832" s="98"/>
      <c r="C832" s="99"/>
      <c r="D832" s="98"/>
      <c r="E832" s="98"/>
      <c r="F832" s="172"/>
      <c r="G832" s="98"/>
      <c r="H832" s="172"/>
      <c r="I832" s="172"/>
      <c r="J832" s="228"/>
      <c r="K832" s="228"/>
      <c r="L832" s="110"/>
      <c r="M832" s="110"/>
      <c r="N832" s="141"/>
      <c r="O832" s="141"/>
      <c r="P832" s="110"/>
      <c r="Q832" s="110"/>
      <c r="R832" s="110"/>
      <c r="S832" s="98"/>
      <c r="T832" s="99"/>
      <c r="U832" s="98"/>
      <c r="V832" s="98"/>
      <c r="W832" s="98"/>
      <c r="X832" s="98"/>
      <c r="Y832" s="98"/>
      <c r="Z832" s="98"/>
      <c r="AA832" s="98"/>
      <c r="AB832" s="163"/>
      <c r="AC832" s="98"/>
      <c r="AD832" s="98"/>
      <c r="AE832" s="98"/>
      <c r="AF832" s="98"/>
      <c r="AG832" s="148"/>
      <c r="AH832" s="98"/>
      <c r="AI832" s="98"/>
      <c r="AJ832" s="98"/>
      <c r="AK832" s="148"/>
      <c r="AL832" s="98"/>
      <c r="AM832" s="98"/>
      <c r="AN832" s="98"/>
      <c r="AO832" s="98"/>
      <c r="AP832" s="98"/>
      <c r="AR832" s="98"/>
      <c r="AS832" s="98"/>
      <c r="AT832" s="98"/>
      <c r="AU832" s="98"/>
      <c r="AV832" s="98"/>
      <c r="AW832" s="101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  <c r="BX832" s="98"/>
      <c r="BY832" s="98"/>
    </row>
    <row r="833" spans="1:77" s="194" customFormat="1" x14ac:dyDescent="0.3">
      <c r="A833" s="98"/>
      <c r="B833" s="98"/>
      <c r="C833" s="99"/>
      <c r="D833" s="98"/>
      <c r="E833" s="98"/>
      <c r="F833" s="172"/>
      <c r="G833" s="98"/>
      <c r="H833" s="172"/>
      <c r="I833" s="172"/>
      <c r="J833" s="228"/>
      <c r="K833" s="228"/>
      <c r="L833" s="110"/>
      <c r="M833" s="110"/>
      <c r="N833" s="141"/>
      <c r="O833" s="141"/>
      <c r="P833" s="110"/>
      <c r="Q833" s="110"/>
      <c r="R833" s="110"/>
      <c r="S833" s="98"/>
      <c r="T833" s="99"/>
      <c r="U833" s="98"/>
      <c r="V833" s="110"/>
      <c r="W833" s="98"/>
      <c r="X833" s="98"/>
      <c r="Y833" s="98"/>
      <c r="Z833" s="98"/>
      <c r="AA833" s="110"/>
      <c r="AB833" s="228"/>
      <c r="AC833" s="110"/>
      <c r="AD833" s="110"/>
      <c r="AE833" s="141"/>
      <c r="AF833" s="141"/>
      <c r="AG833" s="148"/>
      <c r="AH833" s="110"/>
      <c r="AI833" s="207"/>
      <c r="AJ833" s="207"/>
      <c r="AK833" s="148"/>
      <c r="AL833" s="110"/>
      <c r="AM833" s="110"/>
      <c r="AN833" s="110"/>
      <c r="AO833" s="141"/>
      <c r="AP833" s="141"/>
      <c r="AR833" s="98"/>
      <c r="AS833" s="98"/>
      <c r="AT833" s="98"/>
      <c r="AU833" s="98"/>
      <c r="AV833" s="98"/>
      <c r="AW833" s="101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98"/>
      <c r="BY833" s="98"/>
    </row>
    <row r="834" spans="1:77" s="194" customFormat="1" x14ac:dyDescent="0.3">
      <c r="A834" s="98"/>
      <c r="B834" s="98"/>
      <c r="C834" s="99"/>
      <c r="D834" s="98"/>
      <c r="E834" s="98"/>
      <c r="F834" s="172"/>
      <c r="G834" s="98"/>
      <c r="H834" s="172"/>
      <c r="I834" s="172"/>
      <c r="J834" s="228"/>
      <c r="K834" s="228"/>
      <c r="L834" s="110"/>
      <c r="M834" s="110"/>
      <c r="N834" s="141"/>
      <c r="O834" s="141"/>
      <c r="P834" s="110"/>
      <c r="Q834" s="110"/>
      <c r="R834" s="110"/>
      <c r="S834" s="98"/>
      <c r="T834" s="99"/>
      <c r="U834" s="98"/>
      <c r="V834" s="110"/>
      <c r="W834" s="98"/>
      <c r="X834" s="98"/>
      <c r="Y834" s="98"/>
      <c r="Z834" s="98"/>
      <c r="AA834" s="110"/>
      <c r="AB834" s="228"/>
      <c r="AC834" s="110"/>
      <c r="AD834" s="110"/>
      <c r="AE834" s="141"/>
      <c r="AF834" s="141"/>
      <c r="AG834" s="148"/>
      <c r="AH834" s="110"/>
      <c r="AI834" s="207"/>
      <c r="AJ834" s="207"/>
      <c r="AK834" s="148"/>
      <c r="AL834" s="110"/>
      <c r="AM834" s="110"/>
      <c r="AN834" s="110"/>
      <c r="AO834" s="141"/>
      <c r="AP834" s="141"/>
      <c r="AR834" s="98"/>
      <c r="AS834" s="98"/>
      <c r="AT834" s="98"/>
      <c r="AU834" s="98"/>
      <c r="AV834" s="98"/>
      <c r="AW834" s="101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98"/>
      <c r="BY834" s="98"/>
    </row>
    <row r="835" spans="1:77" s="194" customFormat="1" x14ac:dyDescent="0.3">
      <c r="A835" s="98"/>
      <c r="B835" s="98"/>
      <c r="C835" s="99"/>
      <c r="D835" s="98"/>
      <c r="E835" s="98"/>
      <c r="F835" s="98"/>
      <c r="G835" s="98"/>
      <c r="H835" s="98"/>
      <c r="I835" s="98"/>
      <c r="J835" s="163"/>
      <c r="K835" s="163"/>
      <c r="L835" s="98"/>
      <c r="M835" s="98"/>
      <c r="N835" s="98"/>
      <c r="O835" s="98"/>
      <c r="P835" s="98"/>
      <c r="Q835" s="98"/>
      <c r="R835" s="98"/>
      <c r="S835" s="98"/>
      <c r="T835" s="99"/>
      <c r="U835" s="98"/>
      <c r="V835" s="110"/>
      <c r="W835" s="98"/>
      <c r="X835" s="98"/>
      <c r="Y835" s="98"/>
      <c r="Z835" s="98"/>
      <c r="AA835" s="110"/>
      <c r="AB835" s="228"/>
      <c r="AC835" s="110"/>
      <c r="AD835" s="110"/>
      <c r="AE835" s="141"/>
      <c r="AF835" s="141"/>
      <c r="AG835" s="148"/>
      <c r="AH835" s="110"/>
      <c r="AI835" s="207"/>
      <c r="AJ835" s="207"/>
      <c r="AK835" s="148"/>
      <c r="AL835" s="110"/>
      <c r="AM835" s="110"/>
      <c r="AN835" s="110"/>
      <c r="AO835" s="141"/>
      <c r="AP835" s="141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98"/>
      <c r="BY835" s="98"/>
    </row>
    <row r="836" spans="1:77" s="194" customFormat="1" x14ac:dyDescent="0.3">
      <c r="A836" s="98"/>
      <c r="B836" s="98"/>
      <c r="C836" s="99"/>
      <c r="D836" s="98"/>
      <c r="E836" s="98"/>
      <c r="F836" s="172"/>
      <c r="G836" s="98"/>
      <c r="H836" s="172"/>
      <c r="I836" s="172"/>
      <c r="J836" s="228"/>
      <c r="K836" s="228"/>
      <c r="L836" s="110"/>
      <c r="M836" s="110"/>
      <c r="N836" s="141"/>
      <c r="O836" s="141"/>
      <c r="P836" s="110"/>
      <c r="Q836" s="110"/>
      <c r="R836" s="110"/>
      <c r="S836" s="98"/>
      <c r="T836" s="98"/>
      <c r="U836" s="98"/>
      <c r="V836" s="192"/>
      <c r="W836" s="98"/>
      <c r="X836" s="98"/>
      <c r="Y836" s="98"/>
      <c r="Z836" s="98"/>
      <c r="AA836" s="192"/>
      <c r="AB836" s="228"/>
      <c r="AC836" s="192"/>
      <c r="AD836" s="192"/>
      <c r="AE836" s="192"/>
      <c r="AF836" s="192"/>
      <c r="AH836" s="192"/>
      <c r="AI836" s="98"/>
      <c r="AJ836" s="98"/>
      <c r="AL836" s="192"/>
      <c r="AM836" s="192"/>
      <c r="AN836" s="192"/>
      <c r="AO836" s="98"/>
      <c r="AP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  <c r="BX836" s="98"/>
      <c r="BY836" s="98"/>
    </row>
    <row r="837" spans="1:77" s="194" customFormat="1" x14ac:dyDescent="0.3">
      <c r="A837" s="98"/>
      <c r="B837" s="98"/>
      <c r="C837" s="99"/>
      <c r="D837" s="98"/>
      <c r="E837" s="98"/>
      <c r="F837" s="172"/>
      <c r="G837" s="98"/>
      <c r="H837" s="172"/>
      <c r="I837" s="172"/>
      <c r="J837" s="228"/>
      <c r="K837" s="228"/>
      <c r="L837" s="110"/>
      <c r="M837" s="110"/>
      <c r="N837" s="141"/>
      <c r="O837" s="141"/>
      <c r="P837" s="110"/>
      <c r="Q837" s="110"/>
      <c r="R837" s="110"/>
      <c r="S837" s="98"/>
      <c r="T837" s="102"/>
      <c r="U837" s="98"/>
      <c r="V837" s="110"/>
      <c r="W837" s="98"/>
      <c r="X837" s="98"/>
      <c r="Y837" s="98"/>
      <c r="Z837" s="98"/>
      <c r="AA837" s="110"/>
      <c r="AB837" s="163"/>
      <c r="AC837" s="110"/>
      <c r="AD837" s="110"/>
      <c r="AE837" s="110"/>
      <c r="AF837" s="110"/>
      <c r="AG837" s="148"/>
      <c r="AH837" s="110"/>
      <c r="AI837" s="207"/>
      <c r="AJ837" s="207"/>
      <c r="AK837" s="148"/>
      <c r="AL837" s="110"/>
      <c r="AM837" s="110"/>
      <c r="AN837" s="110"/>
      <c r="AO837" s="141"/>
      <c r="AP837" s="141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  <c r="BX837" s="98"/>
      <c r="BY837" s="98"/>
    </row>
    <row r="838" spans="1:77" s="194" customFormat="1" x14ac:dyDescent="0.3">
      <c r="A838" s="98"/>
      <c r="B838" s="98"/>
      <c r="C838" s="99"/>
      <c r="D838" s="98"/>
      <c r="E838" s="98"/>
      <c r="F838" s="172"/>
      <c r="G838" s="98"/>
      <c r="H838" s="172"/>
      <c r="I838" s="172"/>
      <c r="J838" s="228"/>
      <c r="K838" s="228"/>
      <c r="L838" s="110"/>
      <c r="M838" s="110"/>
      <c r="N838" s="141"/>
      <c r="O838" s="141"/>
      <c r="P838" s="110"/>
      <c r="Q838" s="110"/>
      <c r="R838" s="110"/>
      <c r="S838" s="98"/>
      <c r="T838" s="98"/>
      <c r="U838" s="98"/>
      <c r="V838" s="192"/>
      <c r="W838" s="98"/>
      <c r="X838" s="98"/>
      <c r="Y838" s="98"/>
      <c r="Z838" s="98"/>
      <c r="AA838" s="192"/>
      <c r="AB838" s="228"/>
      <c r="AC838" s="192"/>
      <c r="AD838" s="192"/>
      <c r="AE838" s="192"/>
      <c r="AF838" s="192"/>
      <c r="AH838" s="192"/>
      <c r="AI838" s="98"/>
      <c r="AJ838" s="98"/>
      <c r="AL838" s="192"/>
      <c r="AM838" s="192"/>
      <c r="AN838" s="192"/>
      <c r="AO838" s="98"/>
      <c r="AP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  <c r="BX838" s="98"/>
      <c r="BY838" s="98"/>
    </row>
    <row r="839" spans="1:77" s="194" customFormat="1" x14ac:dyDescent="0.3">
      <c r="A839" s="98"/>
      <c r="B839" s="98"/>
      <c r="C839" s="99"/>
      <c r="D839" s="98"/>
      <c r="E839" s="98"/>
      <c r="F839" s="98"/>
      <c r="G839" s="98"/>
      <c r="H839" s="98"/>
      <c r="I839" s="98"/>
      <c r="J839" s="163"/>
      <c r="K839" s="163"/>
      <c r="L839" s="98"/>
      <c r="M839" s="98"/>
      <c r="N839" s="98"/>
      <c r="O839" s="98"/>
      <c r="P839" s="98"/>
      <c r="Q839" s="98"/>
      <c r="R839" s="98"/>
      <c r="S839" s="98"/>
      <c r="T839" s="99"/>
      <c r="U839" s="98"/>
      <c r="V839" s="98"/>
      <c r="W839" s="98"/>
      <c r="X839" s="98"/>
      <c r="Y839" s="98"/>
      <c r="Z839" s="98"/>
      <c r="AA839" s="98"/>
      <c r="AB839" s="163"/>
      <c r="AC839" s="98"/>
      <c r="AD839" s="98"/>
      <c r="AE839" s="98"/>
      <c r="AF839" s="98"/>
      <c r="AG839" s="148"/>
      <c r="AH839" s="98"/>
      <c r="AI839" s="98"/>
      <c r="AJ839" s="98"/>
      <c r="AK839" s="148"/>
      <c r="AL839" s="98"/>
      <c r="AM839" s="98"/>
      <c r="AN839" s="98"/>
      <c r="AO839" s="98"/>
      <c r="AP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  <c r="BX839" s="98"/>
      <c r="BY839" s="98"/>
    </row>
    <row r="840" spans="1:77" s="194" customFormat="1" x14ac:dyDescent="0.3">
      <c r="A840" s="98"/>
      <c r="B840" s="98"/>
      <c r="C840" s="99"/>
      <c r="D840" s="98"/>
      <c r="E840" s="98"/>
      <c r="F840" s="172"/>
      <c r="G840" s="98"/>
      <c r="H840" s="172"/>
      <c r="I840" s="172"/>
      <c r="J840" s="228"/>
      <c r="K840" s="228"/>
      <c r="L840" s="110"/>
      <c r="M840" s="110"/>
      <c r="N840" s="141"/>
      <c r="O840" s="141"/>
      <c r="P840" s="110"/>
      <c r="Q840" s="110"/>
      <c r="R840" s="110"/>
      <c r="S840" s="98"/>
      <c r="T840" s="99"/>
      <c r="U840" s="98"/>
      <c r="V840" s="98"/>
      <c r="W840" s="98"/>
      <c r="X840" s="98"/>
      <c r="Y840" s="98"/>
      <c r="Z840" s="98"/>
      <c r="AA840" s="98"/>
      <c r="AB840" s="163"/>
      <c r="AC840" s="98"/>
      <c r="AD840" s="98"/>
      <c r="AE840" s="98"/>
      <c r="AF840" s="98"/>
      <c r="AG840" s="148"/>
      <c r="AH840" s="98"/>
      <c r="AI840" s="98"/>
      <c r="AJ840" s="98"/>
      <c r="AK840" s="148"/>
      <c r="AL840" s="98"/>
      <c r="AM840" s="98"/>
      <c r="AN840" s="98"/>
      <c r="AO840" s="98"/>
      <c r="AP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98"/>
      <c r="BY840" s="98"/>
    </row>
    <row r="841" spans="1:77" s="194" customFormat="1" x14ac:dyDescent="0.3">
      <c r="A841" s="98"/>
      <c r="B841" s="98"/>
      <c r="C841" s="99"/>
      <c r="D841" s="98"/>
      <c r="E841" s="98"/>
      <c r="F841" s="172"/>
      <c r="G841" s="98"/>
      <c r="H841" s="172"/>
      <c r="I841" s="172"/>
      <c r="J841" s="228"/>
      <c r="K841" s="228"/>
      <c r="L841" s="110"/>
      <c r="M841" s="110"/>
      <c r="N841" s="141"/>
      <c r="O841" s="141"/>
      <c r="P841" s="110"/>
      <c r="Q841" s="110"/>
      <c r="R841" s="110"/>
      <c r="S841" s="98"/>
      <c r="T841" s="99"/>
      <c r="U841" s="98"/>
      <c r="V841" s="110"/>
      <c r="W841" s="98"/>
      <c r="X841" s="98"/>
      <c r="Y841" s="98"/>
      <c r="Z841" s="98"/>
      <c r="AA841" s="110"/>
      <c r="AB841" s="228"/>
      <c r="AC841" s="110"/>
      <c r="AD841" s="110"/>
      <c r="AE841" s="141"/>
      <c r="AF841" s="141"/>
      <c r="AG841" s="148"/>
      <c r="AH841" s="110"/>
      <c r="AI841" s="207"/>
      <c r="AJ841" s="207"/>
      <c r="AK841" s="148"/>
      <c r="AL841" s="110"/>
      <c r="AM841" s="110"/>
      <c r="AN841" s="110"/>
      <c r="AO841" s="141"/>
      <c r="AP841" s="141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98"/>
      <c r="BY841" s="98"/>
    </row>
    <row r="842" spans="1:77" s="194" customFormat="1" x14ac:dyDescent="0.3">
      <c r="A842" s="98"/>
      <c r="B842" s="98"/>
      <c r="C842" s="99"/>
      <c r="D842" s="98"/>
      <c r="E842" s="98"/>
      <c r="F842" s="98"/>
      <c r="G842" s="98"/>
      <c r="H842" s="98"/>
      <c r="I842" s="98"/>
      <c r="J842" s="163"/>
      <c r="K842" s="163"/>
      <c r="L842" s="98"/>
      <c r="M842" s="98"/>
      <c r="N842" s="98"/>
      <c r="O842" s="98"/>
      <c r="P842" s="98"/>
      <c r="Q842" s="98"/>
      <c r="R842" s="98"/>
      <c r="S842" s="98"/>
      <c r="T842" s="99"/>
      <c r="U842" s="98"/>
      <c r="V842" s="110"/>
      <c r="W842" s="98"/>
      <c r="X842" s="98"/>
      <c r="Y842" s="98"/>
      <c r="Z842" s="98"/>
      <c r="AA842" s="110"/>
      <c r="AB842" s="228"/>
      <c r="AC842" s="110"/>
      <c r="AD842" s="110"/>
      <c r="AE842" s="141"/>
      <c r="AF842" s="141"/>
      <c r="AG842" s="148"/>
      <c r="AH842" s="110"/>
      <c r="AI842" s="207"/>
      <c r="AJ842" s="207"/>
      <c r="AK842" s="148"/>
      <c r="AL842" s="110"/>
      <c r="AM842" s="110"/>
      <c r="AN842" s="110"/>
      <c r="AO842" s="141"/>
      <c r="AP842" s="141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98"/>
      <c r="BY842" s="98"/>
    </row>
    <row r="843" spans="1:77" s="194" customFormat="1" x14ac:dyDescent="0.3">
      <c r="A843" s="98"/>
      <c r="B843" s="98"/>
      <c r="C843" s="99"/>
      <c r="D843" s="98"/>
      <c r="E843" s="98"/>
      <c r="F843" s="172"/>
      <c r="G843" s="98"/>
      <c r="H843" s="172"/>
      <c r="I843" s="172"/>
      <c r="J843" s="228"/>
      <c r="K843" s="228"/>
      <c r="L843" s="110"/>
      <c r="M843" s="110"/>
      <c r="N843" s="141"/>
      <c r="O843" s="141"/>
      <c r="P843" s="110"/>
      <c r="Q843" s="110"/>
      <c r="R843" s="110"/>
      <c r="S843" s="98"/>
      <c r="T843" s="99"/>
      <c r="U843" s="98"/>
      <c r="V843" s="110"/>
      <c r="W843" s="98"/>
      <c r="X843" s="98"/>
      <c r="Y843" s="98"/>
      <c r="Z843" s="98"/>
      <c r="AA843" s="110"/>
      <c r="AB843" s="228"/>
      <c r="AC843" s="110"/>
      <c r="AD843" s="110"/>
      <c r="AE843" s="141"/>
      <c r="AF843" s="141"/>
      <c r="AG843" s="148"/>
      <c r="AH843" s="110"/>
      <c r="AI843" s="207"/>
      <c r="AJ843" s="207"/>
      <c r="AK843" s="148"/>
      <c r="AL843" s="110"/>
      <c r="AM843" s="110"/>
      <c r="AN843" s="110"/>
      <c r="AO843" s="141"/>
      <c r="AP843" s="141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98"/>
      <c r="BY843" s="98"/>
    </row>
    <row r="844" spans="1:77" s="194" customFormat="1" x14ac:dyDescent="0.3">
      <c r="A844" s="98"/>
      <c r="B844" s="98"/>
      <c r="C844" s="99"/>
      <c r="D844" s="98"/>
      <c r="E844" s="98"/>
      <c r="F844" s="172"/>
      <c r="G844" s="98"/>
      <c r="H844" s="172"/>
      <c r="I844" s="172"/>
      <c r="J844" s="228"/>
      <c r="K844" s="228"/>
      <c r="L844" s="110"/>
      <c r="M844" s="110"/>
      <c r="N844" s="141"/>
      <c r="O844" s="141"/>
      <c r="P844" s="110"/>
      <c r="Q844" s="110"/>
      <c r="R844" s="110"/>
      <c r="S844" s="98"/>
      <c r="T844" s="99"/>
      <c r="U844" s="98"/>
      <c r="V844" s="110"/>
      <c r="W844" s="98"/>
      <c r="X844" s="98"/>
      <c r="Y844" s="98"/>
      <c r="Z844" s="98"/>
      <c r="AA844" s="110"/>
      <c r="AB844" s="228"/>
      <c r="AC844" s="110"/>
      <c r="AD844" s="110"/>
      <c r="AE844" s="141"/>
      <c r="AF844" s="141"/>
      <c r="AG844" s="148"/>
      <c r="AH844" s="110"/>
      <c r="AI844" s="207"/>
      <c r="AJ844" s="207"/>
      <c r="AK844" s="148"/>
      <c r="AL844" s="110"/>
      <c r="AM844" s="110"/>
      <c r="AN844" s="110"/>
      <c r="AO844" s="141"/>
      <c r="AP844" s="141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  <c r="BX844" s="98"/>
      <c r="BY844" s="98"/>
    </row>
    <row r="845" spans="1:77" s="194" customFormat="1" x14ac:dyDescent="0.3">
      <c r="A845" s="98"/>
      <c r="B845" s="98"/>
      <c r="C845" s="99"/>
      <c r="D845" s="98"/>
      <c r="E845" s="98"/>
      <c r="F845" s="172"/>
      <c r="G845" s="98"/>
      <c r="H845" s="172"/>
      <c r="I845" s="172"/>
      <c r="J845" s="228"/>
      <c r="K845" s="228"/>
      <c r="L845" s="110"/>
      <c r="M845" s="110"/>
      <c r="N845" s="141"/>
      <c r="O845" s="141"/>
      <c r="P845" s="110"/>
      <c r="Q845" s="110"/>
      <c r="R845" s="110"/>
      <c r="S845" s="98"/>
      <c r="T845" s="99"/>
      <c r="U845" s="98"/>
      <c r="V845" s="110"/>
      <c r="W845" s="98"/>
      <c r="X845" s="98"/>
      <c r="Y845" s="98"/>
      <c r="Z845" s="98"/>
      <c r="AA845" s="110"/>
      <c r="AB845" s="228"/>
      <c r="AC845" s="110"/>
      <c r="AD845" s="110"/>
      <c r="AE845" s="141"/>
      <c r="AF845" s="141"/>
      <c r="AG845" s="148"/>
      <c r="AH845" s="110"/>
      <c r="AI845" s="207"/>
      <c r="AJ845" s="207"/>
      <c r="AK845" s="148"/>
      <c r="AL845" s="110"/>
      <c r="AM845" s="110"/>
      <c r="AN845" s="110"/>
      <c r="AO845" s="141"/>
      <c r="AP845" s="141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  <c r="BY845" s="98"/>
    </row>
    <row r="846" spans="1:77" s="194" customFormat="1" x14ac:dyDescent="0.3">
      <c r="A846" s="98"/>
      <c r="B846" s="98"/>
      <c r="C846" s="98"/>
      <c r="D846" s="98"/>
      <c r="E846" s="98"/>
      <c r="F846" s="192"/>
      <c r="G846" s="98"/>
      <c r="H846" s="192"/>
      <c r="I846" s="192"/>
      <c r="J846" s="228"/>
      <c r="K846" s="228"/>
      <c r="L846" s="192"/>
      <c r="M846" s="192"/>
      <c r="N846" s="192"/>
      <c r="O846" s="192"/>
      <c r="P846" s="192"/>
      <c r="Q846" s="192"/>
      <c r="R846" s="192"/>
      <c r="S846" s="98"/>
      <c r="T846" s="99"/>
      <c r="U846" s="98"/>
      <c r="V846" s="110"/>
      <c r="W846" s="98"/>
      <c r="X846" s="98"/>
      <c r="Y846" s="98"/>
      <c r="Z846" s="98"/>
      <c r="AA846" s="110"/>
      <c r="AB846" s="228"/>
      <c r="AC846" s="110"/>
      <c r="AD846" s="110"/>
      <c r="AE846" s="141"/>
      <c r="AF846" s="141"/>
      <c r="AG846" s="148"/>
      <c r="AH846" s="110"/>
      <c r="AI846" s="207"/>
      <c r="AJ846" s="207"/>
      <c r="AK846" s="148"/>
      <c r="AL846" s="110"/>
      <c r="AM846" s="110"/>
      <c r="AN846" s="110"/>
      <c r="AO846" s="141"/>
      <c r="AP846" s="141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98"/>
      <c r="BY846" s="98"/>
    </row>
    <row r="847" spans="1:77" s="194" customFormat="1" x14ac:dyDescent="0.3">
      <c r="A847" s="98"/>
      <c r="B847" s="98"/>
      <c r="C847" s="102"/>
      <c r="D847" s="98"/>
      <c r="E847" s="98"/>
      <c r="F847" s="110"/>
      <c r="G847" s="98"/>
      <c r="H847" s="110"/>
      <c r="I847" s="110"/>
      <c r="J847" s="163"/>
      <c r="K847" s="163"/>
      <c r="L847" s="110"/>
      <c r="M847" s="110"/>
      <c r="N847" s="207"/>
      <c r="O847" s="207"/>
      <c r="P847" s="110"/>
      <c r="Q847" s="110"/>
      <c r="R847" s="110"/>
      <c r="S847" s="98"/>
      <c r="T847" s="99"/>
      <c r="U847" s="98"/>
      <c r="V847" s="110"/>
      <c r="W847" s="98"/>
      <c r="X847" s="98"/>
      <c r="Y847" s="98"/>
      <c r="Z847" s="98"/>
      <c r="AA847" s="110"/>
      <c r="AB847" s="228"/>
      <c r="AC847" s="110"/>
      <c r="AD847" s="110"/>
      <c r="AE847" s="141"/>
      <c r="AF847" s="141"/>
      <c r="AG847" s="148"/>
      <c r="AH847" s="110"/>
      <c r="AI847" s="207"/>
      <c r="AJ847" s="207"/>
      <c r="AK847" s="148"/>
      <c r="AL847" s="110"/>
      <c r="AM847" s="110"/>
      <c r="AN847" s="110"/>
      <c r="AO847" s="141"/>
      <c r="AP847" s="141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  <c r="BY847" s="98"/>
    </row>
    <row r="848" spans="1:77" s="194" customFormat="1" x14ac:dyDescent="0.3">
      <c r="A848" s="98"/>
      <c r="B848" s="98"/>
      <c r="C848" s="98"/>
      <c r="D848" s="98"/>
      <c r="E848" s="98"/>
      <c r="F848" s="192"/>
      <c r="G848" s="98"/>
      <c r="H848" s="192"/>
      <c r="I848" s="192"/>
      <c r="J848" s="228"/>
      <c r="K848" s="228"/>
      <c r="L848" s="192"/>
      <c r="M848" s="192"/>
      <c r="N848" s="192"/>
      <c r="O848" s="192"/>
      <c r="P848" s="192"/>
      <c r="Q848" s="192"/>
      <c r="R848" s="192"/>
      <c r="S848" s="98"/>
      <c r="T848" s="99"/>
      <c r="U848" s="98"/>
      <c r="V848" s="98"/>
      <c r="W848" s="98"/>
      <c r="X848" s="98"/>
      <c r="Y848" s="98"/>
      <c r="Z848" s="98"/>
      <c r="AA848" s="98"/>
      <c r="AB848" s="163"/>
      <c r="AC848" s="98"/>
      <c r="AD848" s="98"/>
      <c r="AE848" s="98"/>
      <c r="AF848" s="98"/>
      <c r="AG848" s="148"/>
      <c r="AH848" s="98"/>
      <c r="AI848" s="98"/>
      <c r="AJ848" s="98"/>
      <c r="AK848" s="148"/>
      <c r="AL848" s="98"/>
      <c r="AM848" s="98"/>
      <c r="AN848" s="98"/>
      <c r="AO848" s="98"/>
      <c r="AP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98"/>
      <c r="BY848" s="98"/>
    </row>
    <row r="849" spans="1:77" s="194" customFormat="1" x14ac:dyDescent="0.3">
      <c r="A849" s="98"/>
      <c r="B849" s="98"/>
      <c r="C849" s="99"/>
      <c r="D849" s="98"/>
      <c r="E849" s="98"/>
      <c r="F849" s="98"/>
      <c r="G849" s="98"/>
      <c r="H849" s="98"/>
      <c r="I849" s="98"/>
      <c r="J849" s="163"/>
      <c r="K849" s="163"/>
      <c r="L849" s="98"/>
      <c r="M849" s="98"/>
      <c r="N849" s="98"/>
      <c r="O849" s="98"/>
      <c r="P849" s="98"/>
      <c r="Q849" s="98"/>
      <c r="R849" s="98"/>
      <c r="S849" s="98"/>
      <c r="T849" s="99"/>
      <c r="U849" s="98"/>
      <c r="V849" s="110"/>
      <c r="W849" s="98"/>
      <c r="X849" s="98"/>
      <c r="Y849" s="98"/>
      <c r="Z849" s="98"/>
      <c r="AA849" s="110"/>
      <c r="AB849" s="228"/>
      <c r="AC849" s="110"/>
      <c r="AD849" s="110"/>
      <c r="AE849" s="141"/>
      <c r="AF849" s="141"/>
      <c r="AG849" s="148"/>
      <c r="AH849" s="110"/>
      <c r="AI849" s="207"/>
      <c r="AJ849" s="207"/>
      <c r="AK849" s="148"/>
      <c r="AL849" s="110"/>
      <c r="AM849" s="110"/>
      <c r="AN849" s="110"/>
      <c r="AO849" s="141"/>
      <c r="AP849" s="141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  <c r="BY849" s="98"/>
    </row>
    <row r="850" spans="1:77" s="194" customFormat="1" x14ac:dyDescent="0.3">
      <c r="A850" s="98"/>
      <c r="B850" s="98"/>
      <c r="C850" s="99"/>
      <c r="D850" s="98"/>
      <c r="E850" s="98"/>
      <c r="F850" s="98"/>
      <c r="G850" s="98"/>
      <c r="H850" s="98"/>
      <c r="I850" s="98"/>
      <c r="J850" s="163"/>
      <c r="K850" s="163"/>
      <c r="L850" s="98"/>
      <c r="M850" s="98"/>
      <c r="N850" s="98"/>
      <c r="O850" s="98"/>
      <c r="P850" s="98"/>
      <c r="Q850" s="98"/>
      <c r="R850" s="98"/>
      <c r="S850" s="98"/>
      <c r="T850" s="99"/>
      <c r="U850" s="98"/>
      <c r="V850" s="110"/>
      <c r="W850" s="98"/>
      <c r="X850" s="98"/>
      <c r="Y850" s="98"/>
      <c r="Z850" s="98"/>
      <c r="AA850" s="110"/>
      <c r="AB850" s="228"/>
      <c r="AC850" s="110"/>
      <c r="AD850" s="110"/>
      <c r="AE850" s="141"/>
      <c r="AF850" s="141"/>
      <c r="AG850" s="148"/>
      <c r="AH850" s="110"/>
      <c r="AI850" s="207"/>
      <c r="AJ850" s="207"/>
      <c r="AK850" s="148"/>
      <c r="AL850" s="110"/>
      <c r="AM850" s="110"/>
      <c r="AN850" s="110"/>
      <c r="AO850" s="141"/>
      <c r="AP850" s="141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  <c r="BX850" s="98"/>
      <c r="BY850" s="98"/>
    </row>
    <row r="851" spans="1:77" s="194" customFormat="1" x14ac:dyDescent="0.3">
      <c r="A851" s="98"/>
      <c r="B851" s="98"/>
      <c r="C851" s="99"/>
      <c r="D851" s="98"/>
      <c r="E851" s="98"/>
      <c r="F851" s="172"/>
      <c r="G851" s="98"/>
      <c r="H851" s="172"/>
      <c r="I851" s="172"/>
      <c r="J851" s="228"/>
      <c r="K851" s="228"/>
      <c r="L851" s="110"/>
      <c r="M851" s="110"/>
      <c r="N851" s="141"/>
      <c r="O851" s="141"/>
      <c r="P851" s="110"/>
      <c r="Q851" s="110"/>
      <c r="R851" s="110"/>
      <c r="S851" s="98"/>
      <c r="T851" s="99"/>
      <c r="U851" s="98"/>
      <c r="V851" s="110"/>
      <c r="W851" s="98"/>
      <c r="X851" s="98"/>
      <c r="Y851" s="98"/>
      <c r="Z851" s="98"/>
      <c r="AA851" s="110"/>
      <c r="AB851" s="228"/>
      <c r="AC851" s="110"/>
      <c r="AD851" s="110"/>
      <c r="AE851" s="141"/>
      <c r="AF851" s="141"/>
      <c r="AG851" s="148"/>
      <c r="AH851" s="110"/>
      <c r="AI851" s="207"/>
      <c r="AJ851" s="207"/>
      <c r="AK851" s="148"/>
      <c r="AL851" s="110"/>
      <c r="AM851" s="110"/>
      <c r="AN851" s="110"/>
      <c r="AO851" s="141"/>
      <c r="AP851" s="141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  <c r="BX851" s="98"/>
      <c r="BY851" s="98"/>
    </row>
    <row r="852" spans="1:77" s="194" customFormat="1" x14ac:dyDescent="0.3">
      <c r="A852" s="98"/>
      <c r="B852" s="98"/>
      <c r="C852" s="99"/>
      <c r="D852" s="98"/>
      <c r="E852" s="98"/>
      <c r="F852" s="172"/>
      <c r="G852" s="98"/>
      <c r="H852" s="172"/>
      <c r="I852" s="172"/>
      <c r="J852" s="228"/>
      <c r="K852" s="228"/>
      <c r="L852" s="110"/>
      <c r="M852" s="110"/>
      <c r="N852" s="141"/>
      <c r="O852" s="141"/>
      <c r="P852" s="110"/>
      <c r="Q852" s="110"/>
      <c r="R852" s="110"/>
      <c r="S852" s="98"/>
      <c r="T852" s="99"/>
      <c r="U852" s="98"/>
      <c r="V852" s="110"/>
      <c r="W852" s="98"/>
      <c r="X852" s="98"/>
      <c r="Y852" s="98"/>
      <c r="Z852" s="98"/>
      <c r="AA852" s="110"/>
      <c r="AB852" s="228"/>
      <c r="AC852" s="110"/>
      <c r="AD852" s="110"/>
      <c r="AE852" s="141"/>
      <c r="AF852" s="141"/>
      <c r="AG852" s="148"/>
      <c r="AH852" s="110"/>
      <c r="AI852" s="207"/>
      <c r="AJ852" s="207"/>
      <c r="AK852" s="148"/>
      <c r="AL852" s="110"/>
      <c r="AM852" s="110"/>
      <c r="AN852" s="110"/>
      <c r="AO852" s="141"/>
      <c r="AP852" s="141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98"/>
      <c r="BY852" s="98"/>
    </row>
    <row r="853" spans="1:77" s="194" customFormat="1" x14ac:dyDescent="0.3">
      <c r="A853" s="98"/>
      <c r="B853" s="98"/>
      <c r="C853" s="99"/>
      <c r="D853" s="98"/>
      <c r="E853" s="98"/>
      <c r="F853" s="172"/>
      <c r="G853" s="98"/>
      <c r="H853" s="172"/>
      <c r="I853" s="172"/>
      <c r="J853" s="228"/>
      <c r="K853" s="228"/>
      <c r="L853" s="110"/>
      <c r="M853" s="110"/>
      <c r="N853" s="141"/>
      <c r="O853" s="141"/>
      <c r="P853" s="110"/>
      <c r="Q853" s="110"/>
      <c r="R853" s="110"/>
      <c r="S853" s="98"/>
      <c r="T853" s="99"/>
      <c r="U853" s="98"/>
      <c r="V853" s="98"/>
      <c r="W853" s="98"/>
      <c r="X853" s="98"/>
      <c r="Y853" s="98"/>
      <c r="Z853" s="98"/>
      <c r="AA853" s="98"/>
      <c r="AB853" s="163"/>
      <c r="AC853" s="98"/>
      <c r="AD853" s="98"/>
      <c r="AE853" s="98"/>
      <c r="AF853" s="98"/>
      <c r="AG853" s="148"/>
      <c r="AH853" s="98"/>
      <c r="AI853" s="98"/>
      <c r="AJ853" s="98"/>
      <c r="AK853" s="148"/>
      <c r="AL853" s="98"/>
      <c r="AM853" s="98"/>
      <c r="AN853" s="98"/>
      <c r="AO853" s="98"/>
      <c r="AP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  <c r="BX853" s="98"/>
      <c r="BY853" s="98"/>
    </row>
    <row r="854" spans="1:77" s="194" customFormat="1" x14ac:dyDescent="0.3">
      <c r="A854" s="98"/>
      <c r="B854" s="98"/>
      <c r="C854" s="99"/>
      <c r="D854" s="98"/>
      <c r="E854" s="98"/>
      <c r="F854" s="172"/>
      <c r="G854" s="98"/>
      <c r="H854" s="172"/>
      <c r="I854" s="172"/>
      <c r="J854" s="228"/>
      <c r="K854" s="228"/>
      <c r="L854" s="110"/>
      <c r="M854" s="110"/>
      <c r="N854" s="141"/>
      <c r="O854" s="141"/>
      <c r="P854" s="110"/>
      <c r="Q854" s="110"/>
      <c r="R854" s="110"/>
      <c r="S854" s="98"/>
      <c r="T854" s="99"/>
      <c r="U854" s="98"/>
      <c r="V854" s="110"/>
      <c r="W854" s="98"/>
      <c r="X854" s="98"/>
      <c r="Y854" s="98"/>
      <c r="Z854" s="98"/>
      <c r="AA854" s="110"/>
      <c r="AB854" s="228"/>
      <c r="AC854" s="110"/>
      <c r="AD854" s="110"/>
      <c r="AE854" s="141"/>
      <c r="AF854" s="141"/>
      <c r="AG854" s="148"/>
      <c r="AH854" s="110"/>
      <c r="AI854" s="207"/>
      <c r="AJ854" s="207"/>
      <c r="AK854" s="148"/>
      <c r="AL854" s="110"/>
      <c r="AM854" s="110"/>
      <c r="AN854" s="110"/>
      <c r="AO854" s="141"/>
      <c r="AP854" s="141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98"/>
      <c r="BY854" s="98"/>
    </row>
    <row r="855" spans="1:77" s="194" customFormat="1" x14ac:dyDescent="0.3">
      <c r="A855" s="98"/>
      <c r="B855" s="98"/>
      <c r="C855" s="99"/>
      <c r="D855" s="98"/>
      <c r="E855" s="98"/>
      <c r="F855" s="172"/>
      <c r="G855" s="98"/>
      <c r="H855" s="172"/>
      <c r="I855" s="172"/>
      <c r="J855" s="228"/>
      <c r="K855" s="228"/>
      <c r="L855" s="110"/>
      <c r="M855" s="110"/>
      <c r="N855" s="141"/>
      <c r="O855" s="141"/>
      <c r="P855" s="110"/>
      <c r="Q855" s="110"/>
      <c r="R855" s="110"/>
      <c r="S855" s="98"/>
      <c r="T855" s="99"/>
      <c r="U855" s="98"/>
      <c r="V855" s="110"/>
      <c r="W855" s="98"/>
      <c r="X855" s="98"/>
      <c r="Y855" s="98"/>
      <c r="Z855" s="98"/>
      <c r="AA855" s="110"/>
      <c r="AB855" s="228"/>
      <c r="AC855" s="110"/>
      <c r="AD855" s="110"/>
      <c r="AE855" s="141"/>
      <c r="AF855" s="141"/>
      <c r="AG855" s="148"/>
      <c r="AH855" s="110"/>
      <c r="AI855" s="207"/>
      <c r="AJ855" s="207"/>
      <c r="AK855" s="148"/>
      <c r="AL855" s="110"/>
      <c r="AM855" s="110"/>
      <c r="AN855" s="110"/>
      <c r="AO855" s="141"/>
      <c r="AP855" s="141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98"/>
      <c r="BY855" s="98"/>
    </row>
    <row r="856" spans="1:77" s="194" customFormat="1" x14ac:dyDescent="0.3">
      <c r="A856" s="98"/>
      <c r="B856" s="98"/>
      <c r="C856" s="99"/>
      <c r="D856" s="98"/>
      <c r="E856" s="98"/>
      <c r="F856" s="172"/>
      <c r="G856" s="98"/>
      <c r="H856" s="172"/>
      <c r="I856" s="172"/>
      <c r="J856" s="228"/>
      <c r="K856" s="228"/>
      <c r="L856" s="110"/>
      <c r="M856" s="110"/>
      <c r="N856" s="141"/>
      <c r="O856" s="141"/>
      <c r="P856" s="110"/>
      <c r="Q856" s="110"/>
      <c r="R856" s="110"/>
      <c r="S856" s="98"/>
      <c r="T856" s="99"/>
      <c r="U856" s="98"/>
      <c r="V856" s="110"/>
      <c r="W856" s="98"/>
      <c r="X856" s="98"/>
      <c r="Y856" s="98"/>
      <c r="Z856" s="98"/>
      <c r="AA856" s="110"/>
      <c r="AB856" s="228"/>
      <c r="AC856" s="110"/>
      <c r="AD856" s="110"/>
      <c r="AE856" s="141"/>
      <c r="AF856" s="141"/>
      <c r="AG856" s="148"/>
      <c r="AH856" s="110"/>
      <c r="AI856" s="207"/>
      <c r="AJ856" s="207"/>
      <c r="AK856" s="148"/>
      <c r="AL856" s="110"/>
      <c r="AM856" s="110"/>
      <c r="AN856" s="110"/>
      <c r="AO856" s="141"/>
      <c r="AP856" s="141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98"/>
      <c r="BY856" s="98"/>
    </row>
    <row r="857" spans="1:77" s="194" customFormat="1" x14ac:dyDescent="0.3">
      <c r="A857" s="98"/>
      <c r="B857" s="98"/>
      <c r="C857" s="99"/>
      <c r="D857" s="98"/>
      <c r="E857" s="98"/>
      <c r="F857" s="172"/>
      <c r="G857" s="98"/>
      <c r="H857" s="172"/>
      <c r="I857" s="172"/>
      <c r="J857" s="228"/>
      <c r="K857" s="228"/>
      <c r="L857" s="110"/>
      <c r="M857" s="110"/>
      <c r="N857" s="141"/>
      <c r="O857" s="141"/>
      <c r="P857" s="110"/>
      <c r="Q857" s="110"/>
      <c r="R857" s="110"/>
      <c r="S857" s="98"/>
      <c r="T857" s="99"/>
      <c r="U857" s="98"/>
      <c r="V857" s="110"/>
      <c r="W857" s="98"/>
      <c r="X857" s="98"/>
      <c r="Y857" s="98"/>
      <c r="Z857" s="98"/>
      <c r="AA857" s="110"/>
      <c r="AB857" s="228"/>
      <c r="AC857" s="110"/>
      <c r="AD857" s="110"/>
      <c r="AE857" s="141"/>
      <c r="AF857" s="141"/>
      <c r="AG857" s="148"/>
      <c r="AH857" s="110"/>
      <c r="AI857" s="207"/>
      <c r="AJ857" s="207"/>
      <c r="AK857" s="148"/>
      <c r="AL857" s="110"/>
      <c r="AM857" s="110"/>
      <c r="AN857" s="110"/>
      <c r="AO857" s="141"/>
      <c r="AP857" s="141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  <c r="BY857" s="98"/>
    </row>
    <row r="858" spans="1:77" s="194" customFormat="1" x14ac:dyDescent="0.3">
      <c r="A858" s="98"/>
      <c r="B858" s="98"/>
      <c r="C858" s="99"/>
      <c r="D858" s="98"/>
      <c r="E858" s="98"/>
      <c r="F858" s="98"/>
      <c r="G858" s="98"/>
      <c r="H858" s="98"/>
      <c r="I858" s="98"/>
      <c r="J858" s="163"/>
      <c r="K858" s="163"/>
      <c r="L858" s="98"/>
      <c r="M858" s="98"/>
      <c r="N858" s="98"/>
      <c r="O858" s="98"/>
      <c r="P858" s="98"/>
      <c r="Q858" s="98"/>
      <c r="R858" s="98"/>
      <c r="S858" s="98"/>
      <c r="T858" s="99"/>
      <c r="U858" s="98"/>
      <c r="V858" s="110"/>
      <c r="W858" s="98"/>
      <c r="X858" s="98"/>
      <c r="Y858" s="98"/>
      <c r="Z858" s="98"/>
      <c r="AA858" s="110"/>
      <c r="AB858" s="228"/>
      <c r="AC858" s="110"/>
      <c r="AD858" s="110"/>
      <c r="AE858" s="141"/>
      <c r="AF858" s="141"/>
      <c r="AG858" s="148"/>
      <c r="AH858" s="110"/>
      <c r="AI858" s="207"/>
      <c r="AJ858" s="207"/>
      <c r="AK858" s="148"/>
      <c r="AL858" s="110"/>
      <c r="AM858" s="110"/>
      <c r="AN858" s="110"/>
      <c r="AO858" s="141"/>
      <c r="AP858" s="141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  <c r="BX858" s="98"/>
      <c r="BY858" s="98"/>
    </row>
    <row r="859" spans="1:77" s="194" customFormat="1" x14ac:dyDescent="0.3">
      <c r="A859" s="98"/>
      <c r="B859" s="98"/>
      <c r="C859" s="99"/>
      <c r="D859" s="98"/>
      <c r="E859" s="98"/>
      <c r="F859" s="172"/>
      <c r="G859" s="98"/>
      <c r="H859" s="172"/>
      <c r="I859" s="172"/>
      <c r="J859" s="228"/>
      <c r="K859" s="228"/>
      <c r="L859" s="110"/>
      <c r="M859" s="110"/>
      <c r="N859" s="141"/>
      <c r="O859" s="141"/>
      <c r="P859" s="110"/>
      <c r="Q859" s="110"/>
      <c r="R859" s="110"/>
      <c r="S859" s="98"/>
      <c r="T859" s="98"/>
      <c r="U859" s="98"/>
      <c r="V859" s="192"/>
      <c r="W859" s="98"/>
      <c r="X859" s="98"/>
      <c r="Y859" s="98"/>
      <c r="Z859" s="98"/>
      <c r="AA859" s="192"/>
      <c r="AB859" s="228"/>
      <c r="AC859" s="192"/>
      <c r="AD859" s="192"/>
      <c r="AE859" s="192"/>
      <c r="AF859" s="192"/>
      <c r="AH859" s="192"/>
      <c r="AI859" s="98"/>
      <c r="AJ859" s="98"/>
      <c r="AL859" s="192"/>
      <c r="AM859" s="192"/>
      <c r="AN859" s="192"/>
      <c r="AO859" s="98"/>
      <c r="AP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  <c r="BY859" s="98"/>
    </row>
    <row r="860" spans="1:77" s="194" customFormat="1" x14ac:dyDescent="0.3">
      <c r="A860" s="98"/>
      <c r="B860" s="98"/>
      <c r="C860" s="99"/>
      <c r="D860" s="98"/>
      <c r="E860" s="98"/>
      <c r="F860" s="172"/>
      <c r="G860" s="98"/>
      <c r="H860" s="172"/>
      <c r="I860" s="172"/>
      <c r="J860" s="228"/>
      <c r="K860" s="228"/>
      <c r="L860" s="110"/>
      <c r="M860" s="110"/>
      <c r="N860" s="141"/>
      <c r="O860" s="141"/>
      <c r="P860" s="110"/>
      <c r="Q860" s="110"/>
      <c r="R860" s="110"/>
      <c r="S860" s="98"/>
      <c r="T860" s="99"/>
      <c r="U860" s="98"/>
      <c r="V860" s="110"/>
      <c r="W860" s="98"/>
      <c r="X860" s="98"/>
      <c r="Y860" s="98"/>
      <c r="Z860" s="98"/>
      <c r="AA860" s="110"/>
      <c r="AB860" s="98"/>
      <c r="AC860" s="110"/>
      <c r="AD860" s="110"/>
      <c r="AE860" s="141"/>
      <c r="AF860" s="141"/>
      <c r="AG860" s="148"/>
      <c r="AH860" s="110"/>
      <c r="AI860" s="207"/>
      <c r="AJ860" s="207"/>
      <c r="AK860" s="148"/>
      <c r="AL860" s="110"/>
      <c r="AM860" s="110"/>
      <c r="AN860" s="110"/>
      <c r="AO860" s="141"/>
      <c r="AP860" s="141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98"/>
      <c r="BY860" s="98"/>
    </row>
    <row r="861" spans="1:77" s="194" customFormat="1" x14ac:dyDescent="0.3">
      <c r="A861" s="98"/>
      <c r="B861" s="98"/>
      <c r="C861" s="99"/>
      <c r="D861" s="98"/>
      <c r="E861" s="98"/>
      <c r="F861" s="172"/>
      <c r="G861" s="98"/>
      <c r="H861" s="172"/>
      <c r="I861" s="172"/>
      <c r="J861" s="228"/>
      <c r="K861" s="228"/>
      <c r="L861" s="110"/>
      <c r="M861" s="110"/>
      <c r="N861" s="141"/>
      <c r="O861" s="141"/>
      <c r="P861" s="110"/>
      <c r="Q861" s="110"/>
      <c r="R861" s="110"/>
      <c r="S861" s="98"/>
      <c r="T861" s="98"/>
      <c r="U861" s="98"/>
      <c r="V861" s="192"/>
      <c r="W861" s="98"/>
      <c r="X861" s="98"/>
      <c r="Y861" s="98"/>
      <c r="Z861" s="98"/>
      <c r="AA861" s="192"/>
      <c r="AB861" s="217"/>
      <c r="AC861" s="192"/>
      <c r="AD861" s="192"/>
      <c r="AE861" s="192"/>
      <c r="AF861" s="192"/>
      <c r="AH861" s="192"/>
      <c r="AI861" s="98"/>
      <c r="AJ861" s="98"/>
      <c r="AL861" s="192"/>
      <c r="AM861" s="192"/>
      <c r="AN861" s="192"/>
      <c r="AO861" s="98"/>
      <c r="AP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98"/>
      <c r="BY861" s="98"/>
    </row>
    <row r="862" spans="1:77" s="194" customFormat="1" x14ac:dyDescent="0.3">
      <c r="A862" s="98"/>
      <c r="B862" s="98"/>
      <c r="C862" s="99"/>
      <c r="D862" s="98"/>
      <c r="E862" s="98"/>
      <c r="F862" s="172"/>
      <c r="G862" s="98"/>
      <c r="H862" s="172"/>
      <c r="I862" s="172"/>
      <c r="J862" s="228"/>
      <c r="K862" s="228"/>
      <c r="L862" s="110"/>
      <c r="M862" s="110"/>
      <c r="N862" s="141"/>
      <c r="O862" s="141"/>
      <c r="P862" s="110"/>
      <c r="Q862" s="110"/>
      <c r="R862" s="110"/>
      <c r="S862" s="98"/>
      <c r="T862" s="99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148"/>
      <c r="AH862" s="98"/>
      <c r="AI862" s="98"/>
      <c r="AJ862" s="98"/>
      <c r="AK862" s="148"/>
      <c r="AL862" s="98"/>
      <c r="AM862" s="98"/>
      <c r="AN862" s="98"/>
      <c r="AO862" s="98"/>
      <c r="AP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  <c r="BY862" s="98"/>
    </row>
    <row r="863" spans="1:77" s="194" customFormat="1" x14ac:dyDescent="0.3">
      <c r="A863" s="98"/>
      <c r="B863" s="98"/>
      <c r="C863" s="99"/>
      <c r="D863" s="98"/>
      <c r="E863" s="98"/>
      <c r="F863" s="98"/>
      <c r="G863" s="98"/>
      <c r="H863" s="98"/>
      <c r="I863" s="98"/>
      <c r="J863" s="163"/>
      <c r="K863" s="163"/>
      <c r="L863" s="98"/>
      <c r="M863" s="98"/>
      <c r="N863" s="98"/>
      <c r="O863" s="98"/>
      <c r="P863" s="98"/>
      <c r="Q863" s="98"/>
      <c r="R863" s="98"/>
      <c r="S863" s="98"/>
      <c r="T863" s="99"/>
      <c r="U863" s="98"/>
      <c r="V863" s="110"/>
      <c r="W863" s="98"/>
      <c r="X863" s="98"/>
      <c r="Y863" s="98"/>
      <c r="Z863" s="98"/>
      <c r="AA863" s="110"/>
      <c r="AB863" s="181"/>
      <c r="AC863" s="110"/>
      <c r="AD863" s="110"/>
      <c r="AE863" s="141"/>
      <c r="AF863" s="141"/>
      <c r="AG863" s="148"/>
      <c r="AH863" s="110"/>
      <c r="AI863" s="207"/>
      <c r="AJ863" s="207"/>
      <c r="AK863" s="148"/>
      <c r="AL863" s="110"/>
      <c r="AM863" s="110"/>
      <c r="AN863" s="110"/>
      <c r="AO863" s="141"/>
      <c r="AP863" s="141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98"/>
      <c r="BY863" s="98"/>
    </row>
    <row r="864" spans="1:77" s="194" customFormat="1" x14ac:dyDescent="0.3">
      <c r="A864" s="98"/>
      <c r="B864" s="98"/>
      <c r="C864" s="99"/>
      <c r="D864" s="98"/>
      <c r="E864" s="98"/>
      <c r="F864" s="172"/>
      <c r="G864" s="98"/>
      <c r="H864" s="172"/>
      <c r="I864" s="172"/>
      <c r="J864" s="228"/>
      <c r="K864" s="228"/>
      <c r="L864" s="110"/>
      <c r="M864" s="110"/>
      <c r="N864" s="141"/>
      <c r="O864" s="141"/>
      <c r="P864" s="110"/>
      <c r="Q864" s="110"/>
      <c r="R864" s="110"/>
      <c r="S864" s="98"/>
      <c r="T864" s="99"/>
      <c r="U864" s="98"/>
      <c r="V864" s="110"/>
      <c r="W864" s="98"/>
      <c r="X864" s="98"/>
      <c r="Y864" s="98"/>
      <c r="Z864" s="98"/>
      <c r="AA864" s="110"/>
      <c r="AB864" s="181"/>
      <c r="AC864" s="110"/>
      <c r="AD864" s="110"/>
      <c r="AE864" s="141"/>
      <c r="AF864" s="141"/>
      <c r="AG864" s="148"/>
      <c r="AH864" s="110"/>
      <c r="AI864" s="207"/>
      <c r="AJ864" s="207"/>
      <c r="AK864" s="148"/>
      <c r="AL864" s="110"/>
      <c r="AM864" s="110"/>
      <c r="AN864" s="110"/>
      <c r="AO864" s="141"/>
      <c r="AP864" s="141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98"/>
      <c r="BY864" s="98"/>
    </row>
    <row r="865" spans="1:77" s="194" customFormat="1" x14ac:dyDescent="0.3">
      <c r="A865" s="98"/>
      <c r="B865" s="98"/>
      <c r="C865" s="99"/>
      <c r="D865" s="98"/>
      <c r="E865" s="98"/>
      <c r="F865" s="172"/>
      <c r="G865" s="98"/>
      <c r="H865" s="172"/>
      <c r="I865" s="172"/>
      <c r="J865" s="228"/>
      <c r="K865" s="228"/>
      <c r="L865" s="110"/>
      <c r="M865" s="110"/>
      <c r="N865" s="141"/>
      <c r="O865" s="141"/>
      <c r="P865" s="110"/>
      <c r="Q865" s="110"/>
      <c r="R865" s="110"/>
      <c r="S865" s="98"/>
      <c r="T865" s="98"/>
      <c r="U865" s="98"/>
      <c r="V865" s="192"/>
      <c r="W865" s="98"/>
      <c r="X865" s="98"/>
      <c r="Y865" s="98"/>
      <c r="Z865" s="98"/>
      <c r="AA865" s="110"/>
      <c r="AB865" s="217"/>
      <c r="AC865" s="192"/>
      <c r="AD865" s="192"/>
      <c r="AE865" s="192"/>
      <c r="AF865" s="192"/>
      <c r="AH865" s="192"/>
      <c r="AI865" s="98"/>
      <c r="AJ865" s="98"/>
      <c r="AL865" s="192"/>
      <c r="AM865" s="192"/>
      <c r="AN865" s="192"/>
      <c r="AO865" s="98"/>
      <c r="AP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98"/>
      <c r="BY865" s="98"/>
    </row>
    <row r="866" spans="1:77" s="194" customFormat="1" x14ac:dyDescent="0.3">
      <c r="A866" s="98"/>
      <c r="B866" s="98"/>
      <c r="C866" s="99"/>
      <c r="D866" s="98"/>
      <c r="E866" s="98"/>
      <c r="F866" s="172"/>
      <c r="G866" s="98"/>
      <c r="H866" s="172"/>
      <c r="I866" s="172"/>
      <c r="J866" s="228"/>
      <c r="K866" s="228"/>
      <c r="L866" s="110"/>
      <c r="M866" s="110"/>
      <c r="N866" s="141"/>
      <c r="O866" s="141"/>
      <c r="P866" s="110"/>
      <c r="Q866" s="110"/>
      <c r="R866" s="110"/>
      <c r="S866" s="98"/>
      <c r="T866" s="98"/>
      <c r="U866" s="98"/>
      <c r="V866" s="110"/>
      <c r="W866" s="98"/>
      <c r="X866" s="98"/>
      <c r="Y866" s="98"/>
      <c r="Z866" s="98"/>
      <c r="AA866" s="110"/>
      <c r="AB866" s="217"/>
      <c r="AC866" s="110"/>
      <c r="AD866" s="110"/>
      <c r="AE866" s="110"/>
      <c r="AF866" s="110"/>
      <c r="AG866" s="148"/>
      <c r="AH866" s="110"/>
      <c r="AI866" s="98"/>
      <c r="AJ866" s="98"/>
      <c r="AK866" s="148"/>
      <c r="AL866" s="110"/>
      <c r="AM866" s="110"/>
      <c r="AN866" s="110"/>
      <c r="AO866" s="98"/>
      <c r="AP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  <c r="BX866" s="98"/>
      <c r="BY866" s="98"/>
    </row>
    <row r="867" spans="1:77" s="194" customFormat="1" x14ac:dyDescent="0.3">
      <c r="A867" s="98"/>
      <c r="B867" s="98"/>
      <c r="C867" s="99"/>
      <c r="D867" s="98"/>
      <c r="E867" s="98"/>
      <c r="F867" s="172"/>
      <c r="G867" s="98"/>
      <c r="H867" s="172"/>
      <c r="I867" s="172"/>
      <c r="J867" s="228"/>
      <c r="K867" s="228"/>
      <c r="L867" s="110"/>
      <c r="M867" s="110"/>
      <c r="N867" s="141"/>
      <c r="O867" s="141"/>
      <c r="P867" s="110"/>
      <c r="Q867" s="110"/>
      <c r="R867" s="110"/>
      <c r="S867" s="98"/>
      <c r="T867" s="99"/>
      <c r="U867" s="98"/>
      <c r="V867" s="110"/>
      <c r="W867" s="98"/>
      <c r="X867" s="98"/>
      <c r="Y867" s="98"/>
      <c r="Z867" s="98"/>
      <c r="AA867" s="110"/>
      <c r="AB867" s="98"/>
      <c r="AC867" s="110"/>
      <c r="AD867" s="110"/>
      <c r="AE867" s="141"/>
      <c r="AF867" s="141"/>
      <c r="AG867" s="148"/>
      <c r="AH867" s="110"/>
      <c r="AI867" s="207"/>
      <c r="AJ867" s="207"/>
      <c r="AK867" s="224"/>
      <c r="AL867" s="172"/>
      <c r="AM867" s="110"/>
      <c r="AN867" s="110"/>
      <c r="AO867" s="141"/>
      <c r="AP867" s="141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  <c r="BX867" s="98"/>
      <c r="BY867" s="98"/>
    </row>
    <row r="868" spans="1:77" s="194" customFormat="1" x14ac:dyDescent="0.3">
      <c r="A868" s="98"/>
      <c r="B868" s="98"/>
      <c r="C868" s="99"/>
      <c r="D868" s="98"/>
      <c r="E868" s="98"/>
      <c r="F868" s="172"/>
      <c r="G868" s="98"/>
      <c r="H868" s="172"/>
      <c r="I868" s="172"/>
      <c r="J868" s="228"/>
      <c r="K868" s="228"/>
      <c r="L868" s="110"/>
      <c r="M868" s="110"/>
      <c r="N868" s="141"/>
      <c r="O868" s="141"/>
      <c r="P868" s="110"/>
      <c r="Q868" s="110"/>
      <c r="R868" s="110"/>
      <c r="S868" s="98"/>
      <c r="T868" s="98"/>
      <c r="U868" s="98"/>
      <c r="V868" s="192"/>
      <c r="W868" s="98"/>
      <c r="X868" s="98"/>
      <c r="Y868" s="98"/>
      <c r="Z868" s="98"/>
      <c r="AA868" s="192"/>
      <c r="AB868" s="217"/>
      <c r="AC868" s="192"/>
      <c r="AD868" s="192"/>
      <c r="AE868" s="192"/>
      <c r="AF868" s="192"/>
      <c r="AH868" s="192"/>
      <c r="AI868" s="98"/>
      <c r="AJ868" s="98"/>
      <c r="AL868" s="192"/>
      <c r="AM868" s="192"/>
      <c r="AN868" s="192"/>
      <c r="AO868" s="98"/>
      <c r="AP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  <c r="BY868" s="98"/>
    </row>
    <row r="869" spans="1:77" s="194" customFormat="1" x14ac:dyDescent="0.3">
      <c r="A869" s="98"/>
      <c r="B869" s="98"/>
      <c r="C869" s="98"/>
      <c r="D869" s="98"/>
      <c r="E869" s="98"/>
      <c r="F869" s="192"/>
      <c r="G869" s="98"/>
      <c r="H869" s="192"/>
      <c r="I869" s="192"/>
      <c r="J869" s="217"/>
      <c r="K869" s="217"/>
      <c r="L869" s="192"/>
      <c r="M869" s="192"/>
      <c r="N869" s="192"/>
      <c r="O869" s="192"/>
      <c r="P869" s="192"/>
      <c r="Q869" s="192"/>
      <c r="R869" s="192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148"/>
      <c r="AH869" s="98"/>
      <c r="AI869" s="98"/>
      <c r="AJ869" s="98"/>
      <c r="AK869" s="148"/>
      <c r="AL869" s="98"/>
      <c r="AM869" s="98"/>
      <c r="AN869" s="98"/>
      <c r="AO869" s="98"/>
      <c r="AP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  <c r="BY869" s="98"/>
    </row>
    <row r="870" spans="1:77" s="194" customFormat="1" x14ac:dyDescent="0.3">
      <c r="A870" s="98"/>
      <c r="B870" s="98"/>
      <c r="C870" s="99"/>
      <c r="D870" s="98"/>
      <c r="E870" s="98"/>
      <c r="F870" s="110"/>
      <c r="G870" s="98"/>
      <c r="H870" s="110"/>
      <c r="I870" s="110"/>
      <c r="J870" s="98"/>
      <c r="K870" s="98"/>
      <c r="L870" s="110"/>
      <c r="M870" s="110"/>
      <c r="N870" s="207"/>
      <c r="O870" s="207"/>
      <c r="P870" s="110"/>
      <c r="Q870" s="110"/>
      <c r="R870" s="110"/>
      <c r="S870" s="98"/>
      <c r="T870" s="99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148"/>
      <c r="AH870" s="98"/>
      <c r="AI870" s="98"/>
      <c r="AJ870" s="98"/>
      <c r="AK870" s="148"/>
      <c r="AL870" s="98"/>
      <c r="AM870" s="98"/>
      <c r="AN870" s="98"/>
      <c r="AO870" s="98"/>
      <c r="AP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98"/>
      <c r="BY870" s="98"/>
    </row>
    <row r="871" spans="1:77" s="194" customFormat="1" x14ac:dyDescent="0.3">
      <c r="A871" s="98"/>
      <c r="B871" s="98"/>
      <c r="C871" s="98"/>
      <c r="D871" s="98"/>
      <c r="E871" s="98"/>
      <c r="F871" s="192"/>
      <c r="G871" s="98"/>
      <c r="H871" s="192"/>
      <c r="I871" s="192"/>
      <c r="J871" s="217"/>
      <c r="K871" s="217"/>
      <c r="L871" s="192"/>
      <c r="M871" s="192"/>
      <c r="N871" s="192"/>
      <c r="O871" s="192"/>
      <c r="P871" s="192"/>
      <c r="Q871" s="192"/>
      <c r="R871" s="192"/>
      <c r="S871" s="98"/>
      <c r="T871" s="99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148"/>
      <c r="AH871" s="98"/>
      <c r="AI871" s="98"/>
      <c r="AJ871" s="98"/>
      <c r="AK871" s="148"/>
      <c r="AL871" s="98"/>
      <c r="AM871" s="98"/>
      <c r="AN871" s="98"/>
      <c r="AO871" s="98"/>
      <c r="AP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  <c r="BY871" s="98"/>
    </row>
    <row r="872" spans="1:77" s="194" customFormat="1" x14ac:dyDescent="0.3">
      <c r="A872" s="98"/>
      <c r="B872" s="98"/>
      <c r="C872" s="99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9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148"/>
      <c r="AH872" s="98"/>
      <c r="AI872" s="98"/>
      <c r="AJ872" s="98"/>
      <c r="AK872" s="148"/>
      <c r="AL872" s="98"/>
      <c r="AM872" s="98"/>
      <c r="AN872" s="98"/>
      <c r="AO872" s="98"/>
      <c r="AP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98"/>
      <c r="BY872" s="98"/>
    </row>
    <row r="873" spans="1:77" s="194" customFormat="1" x14ac:dyDescent="0.3">
      <c r="A873" s="98"/>
      <c r="B873" s="98"/>
      <c r="C873" s="99"/>
      <c r="D873" s="98"/>
      <c r="E873" s="98"/>
      <c r="F873" s="172"/>
      <c r="G873" s="98"/>
      <c r="H873" s="172"/>
      <c r="I873" s="172"/>
      <c r="J873" s="181"/>
      <c r="K873" s="181"/>
      <c r="L873" s="110"/>
      <c r="M873" s="110"/>
      <c r="N873" s="141"/>
      <c r="O873" s="141"/>
      <c r="P873" s="110"/>
      <c r="Q873" s="110"/>
      <c r="R873" s="110"/>
      <c r="S873" s="98"/>
      <c r="T873" s="99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148"/>
      <c r="AH873" s="98"/>
      <c r="AI873" s="98"/>
      <c r="AJ873" s="98"/>
      <c r="AK873" s="148"/>
      <c r="AL873" s="98"/>
      <c r="AM873" s="98"/>
      <c r="AN873" s="98"/>
      <c r="AO873" s="98"/>
      <c r="AP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  <c r="BX873" s="98"/>
      <c r="BY873" s="98"/>
    </row>
    <row r="874" spans="1:77" s="194" customFormat="1" x14ac:dyDescent="0.3">
      <c r="A874" s="98"/>
      <c r="B874" s="98"/>
      <c r="C874" s="99"/>
      <c r="D874" s="98"/>
      <c r="E874" s="98"/>
      <c r="F874" s="172"/>
      <c r="G874" s="98"/>
      <c r="H874" s="172"/>
      <c r="I874" s="172"/>
      <c r="J874" s="181"/>
      <c r="K874" s="181"/>
      <c r="L874" s="110"/>
      <c r="M874" s="110"/>
      <c r="N874" s="141"/>
      <c r="O874" s="141"/>
      <c r="P874" s="110"/>
      <c r="Q874" s="110"/>
      <c r="R874" s="110"/>
      <c r="S874" s="98"/>
      <c r="T874" s="99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148"/>
      <c r="AH874" s="98"/>
      <c r="AI874" s="98"/>
      <c r="AJ874" s="98"/>
      <c r="AK874" s="148"/>
      <c r="AL874" s="98"/>
      <c r="AM874" s="98"/>
      <c r="AN874" s="98"/>
      <c r="AO874" s="98"/>
      <c r="AP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  <c r="BX874" s="98"/>
      <c r="BY874" s="98"/>
    </row>
    <row r="875" spans="1:77" s="194" customFormat="1" x14ac:dyDescent="0.3">
      <c r="A875" s="98"/>
      <c r="B875" s="98"/>
      <c r="C875" s="98"/>
      <c r="D875" s="98"/>
      <c r="E875" s="98"/>
      <c r="F875" s="192"/>
      <c r="G875" s="98"/>
      <c r="H875" s="110"/>
      <c r="I875" s="110"/>
      <c r="J875" s="217"/>
      <c r="K875" s="217"/>
      <c r="L875" s="192"/>
      <c r="M875" s="192"/>
      <c r="N875" s="192"/>
      <c r="O875" s="192"/>
      <c r="P875" s="192"/>
      <c r="Q875" s="192"/>
      <c r="R875" s="192"/>
      <c r="S875" s="98"/>
      <c r="T875" s="99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148"/>
      <c r="AH875" s="98"/>
      <c r="AI875" s="98"/>
      <c r="AJ875" s="98"/>
      <c r="AK875" s="148"/>
      <c r="AL875" s="98"/>
      <c r="AM875" s="98"/>
      <c r="AN875" s="98"/>
      <c r="AO875" s="98"/>
      <c r="AP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  <c r="BX875" s="98"/>
      <c r="BY875" s="98"/>
    </row>
    <row r="876" spans="1:77" s="194" customFormat="1" x14ac:dyDescent="0.3">
      <c r="A876" s="98"/>
      <c r="B876" s="98"/>
      <c r="C876" s="98"/>
      <c r="D876" s="98"/>
      <c r="E876" s="98"/>
      <c r="F876" s="110"/>
      <c r="G876" s="98"/>
      <c r="H876" s="110"/>
      <c r="I876" s="110"/>
      <c r="J876" s="217"/>
      <c r="K876" s="217"/>
      <c r="L876" s="110"/>
      <c r="M876" s="110"/>
      <c r="N876" s="110"/>
      <c r="O876" s="110"/>
      <c r="P876" s="110"/>
      <c r="Q876" s="110"/>
      <c r="R876" s="110"/>
      <c r="S876" s="98"/>
      <c r="T876" s="99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148"/>
      <c r="AH876" s="98"/>
      <c r="AI876" s="98"/>
      <c r="AJ876" s="98"/>
      <c r="AK876" s="148"/>
      <c r="AL876" s="98"/>
      <c r="AM876" s="98"/>
      <c r="AN876" s="98"/>
      <c r="AO876" s="98"/>
      <c r="AP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  <c r="BX876" s="98"/>
      <c r="BY876" s="98"/>
    </row>
    <row r="877" spans="1:77" s="194" customFormat="1" x14ac:dyDescent="0.3">
      <c r="A877" s="98"/>
      <c r="B877" s="98"/>
      <c r="C877" s="99"/>
      <c r="D877" s="98"/>
      <c r="E877" s="98"/>
      <c r="F877" s="110"/>
      <c r="G877" s="98"/>
      <c r="H877" s="110"/>
      <c r="I877" s="110"/>
      <c r="J877" s="98"/>
      <c r="K877" s="98"/>
      <c r="L877" s="110"/>
      <c r="M877" s="110"/>
      <c r="N877" s="141"/>
      <c r="O877" s="141"/>
      <c r="P877" s="110"/>
      <c r="Q877" s="110"/>
      <c r="R877" s="110"/>
      <c r="S877" s="98"/>
      <c r="T877" s="99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148"/>
      <c r="AH877" s="98"/>
      <c r="AI877" s="98"/>
      <c r="AJ877" s="98"/>
      <c r="AK877" s="148"/>
      <c r="AL877" s="98"/>
      <c r="AM877" s="98"/>
      <c r="AN877" s="98"/>
      <c r="AO877" s="98"/>
      <c r="AP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  <c r="BX877" s="98"/>
      <c r="BY877" s="98"/>
    </row>
    <row r="878" spans="1:77" s="194" customFormat="1" x14ac:dyDescent="0.3">
      <c r="A878" s="98"/>
      <c r="B878" s="98"/>
      <c r="C878" s="98"/>
      <c r="D878" s="98"/>
      <c r="E878" s="98"/>
      <c r="F878" s="98"/>
      <c r="G878" s="98"/>
      <c r="H878" s="192"/>
      <c r="I878" s="192"/>
      <c r="J878" s="217"/>
      <c r="K878" s="217"/>
      <c r="L878" s="192"/>
      <c r="M878" s="192"/>
      <c r="N878" s="192"/>
      <c r="O878" s="192"/>
      <c r="P878" s="192"/>
      <c r="Q878" s="192"/>
      <c r="R878" s="192"/>
      <c r="S878" s="98"/>
      <c r="T878" s="99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148"/>
      <c r="AH878" s="98"/>
      <c r="AI878" s="98"/>
      <c r="AJ878" s="98"/>
      <c r="AK878" s="148"/>
      <c r="AL878" s="98"/>
      <c r="AM878" s="98"/>
      <c r="AN878" s="98"/>
      <c r="AO878" s="98"/>
      <c r="AP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  <c r="BX878" s="98"/>
      <c r="BY878" s="98"/>
    </row>
    <row r="879" spans="1:77" s="194" customFormat="1" x14ac:dyDescent="0.3">
      <c r="A879" s="98"/>
      <c r="B879" s="98"/>
      <c r="C879" s="98"/>
      <c r="D879" s="98"/>
      <c r="E879" s="98"/>
      <c r="F879" s="192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148"/>
      <c r="AH879" s="98"/>
      <c r="AI879" s="98"/>
      <c r="AJ879" s="98"/>
      <c r="AK879" s="148"/>
      <c r="AL879" s="98"/>
      <c r="AM879" s="98"/>
      <c r="AN879" s="98"/>
      <c r="AO879" s="98"/>
      <c r="AP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  <c r="BX879" s="98"/>
      <c r="BY879" s="98"/>
    </row>
    <row r="880" spans="1:77" s="194" customFormat="1" x14ac:dyDescent="0.3">
      <c r="A880" s="99"/>
      <c r="B880" s="98"/>
      <c r="C880" s="98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148"/>
      <c r="AH880" s="98"/>
      <c r="AI880" s="98"/>
      <c r="AJ880" s="98"/>
      <c r="AK880" s="148"/>
      <c r="AL880" s="98"/>
      <c r="AM880" s="98"/>
      <c r="AN880" s="98"/>
      <c r="AO880" s="98"/>
      <c r="AP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  <c r="BX880" s="98"/>
      <c r="BY880" s="98"/>
    </row>
    <row r="881" spans="1:77" s="194" customFormat="1" x14ac:dyDescent="0.3">
      <c r="A881" s="99"/>
      <c r="B881" s="98"/>
      <c r="C881" s="98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148"/>
      <c r="AH881" s="98"/>
      <c r="AI881" s="98"/>
      <c r="AJ881" s="98"/>
      <c r="AK881" s="148"/>
      <c r="AL881" s="98"/>
      <c r="AM881" s="98"/>
      <c r="AN881" s="98"/>
      <c r="AO881" s="98"/>
      <c r="AP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  <c r="BX881" s="98"/>
      <c r="BY881" s="98"/>
    </row>
    <row r="882" spans="1:77" s="194" customFormat="1" x14ac:dyDescent="0.3">
      <c r="A882" s="99"/>
      <c r="B882" s="98"/>
      <c r="C882" s="98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9"/>
      <c r="AB882" s="98"/>
      <c r="AC882" s="98"/>
      <c r="AD882" s="98"/>
      <c r="AE882" s="98"/>
      <c r="AF882" s="98"/>
      <c r="AG882" s="148"/>
      <c r="AH882" s="98"/>
      <c r="AI882" s="98"/>
      <c r="AJ882" s="98"/>
      <c r="AK882" s="148"/>
      <c r="AL882" s="98"/>
      <c r="AM882" s="98"/>
      <c r="AN882" s="98"/>
      <c r="AO882" s="98"/>
      <c r="AP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  <c r="BX882" s="98"/>
      <c r="BY882" s="98"/>
    </row>
    <row r="883" spans="1:77" s="194" customFormat="1" x14ac:dyDescent="0.3">
      <c r="A883" s="99"/>
      <c r="B883" s="98"/>
      <c r="C883" s="98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148"/>
      <c r="AH883" s="98"/>
      <c r="AI883" s="98"/>
      <c r="AJ883" s="98"/>
      <c r="AK883" s="148"/>
      <c r="AL883" s="98"/>
      <c r="AM883" s="98"/>
      <c r="AN883" s="98"/>
      <c r="AO883" s="98"/>
      <c r="AP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  <c r="BX883" s="98"/>
      <c r="BY883" s="98"/>
    </row>
    <row r="884" spans="1:77" s="194" customFormat="1" x14ac:dyDescent="0.3">
      <c r="A884" s="99"/>
      <c r="B884" s="98"/>
      <c r="C884" s="98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9"/>
      <c r="AD884" s="99"/>
      <c r="AE884" s="98"/>
      <c r="AF884" s="98"/>
      <c r="AG884" s="148"/>
      <c r="AH884" s="98"/>
      <c r="AI884" s="98"/>
      <c r="AJ884" s="98"/>
      <c r="AK884" s="148"/>
      <c r="AL884" s="98"/>
      <c r="AM884" s="98"/>
      <c r="AN884" s="98"/>
      <c r="AO884" s="98"/>
      <c r="AP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  <c r="BX884" s="98"/>
      <c r="BY884" s="98"/>
    </row>
    <row r="885" spans="1:77" s="194" customFormat="1" x14ac:dyDescent="0.3">
      <c r="A885" s="99"/>
      <c r="B885" s="98"/>
      <c r="C885" s="98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148"/>
      <c r="AH885" s="98"/>
      <c r="AI885" s="98"/>
      <c r="AJ885" s="98"/>
      <c r="AK885" s="148"/>
      <c r="AL885" s="98"/>
      <c r="AM885" s="99"/>
      <c r="AN885" s="99"/>
      <c r="AO885" s="98"/>
      <c r="AP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  <c r="BX885" s="98"/>
      <c r="BY885" s="98"/>
    </row>
    <row r="886" spans="1:77" s="194" customFormat="1" x14ac:dyDescent="0.3">
      <c r="A886" s="99"/>
      <c r="B886" s="98"/>
      <c r="C886" s="98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148"/>
      <c r="AH886" s="98"/>
      <c r="AI886" s="98"/>
      <c r="AJ886" s="98"/>
      <c r="AK886" s="148"/>
      <c r="AL886" s="98"/>
      <c r="AM886" s="99"/>
      <c r="AN886" s="99"/>
      <c r="AO886" s="98"/>
      <c r="AP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98"/>
      <c r="BY886" s="98"/>
    </row>
    <row r="887" spans="1:77" s="194" customFormat="1" x14ac:dyDescent="0.3">
      <c r="A887" s="99"/>
      <c r="B887" s="98"/>
      <c r="C887" s="98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148"/>
      <c r="AH887" s="98"/>
      <c r="AI887" s="98"/>
      <c r="AJ887" s="98"/>
      <c r="AK887" s="148"/>
      <c r="AL887" s="98"/>
      <c r="AM887" s="99"/>
      <c r="AN887" s="99"/>
      <c r="AO887" s="98"/>
      <c r="AP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  <c r="BX887" s="98"/>
      <c r="BY887" s="98"/>
    </row>
    <row r="888" spans="1:77" s="194" customFormat="1" x14ac:dyDescent="0.3">
      <c r="A888" s="99"/>
      <c r="B888" s="98"/>
      <c r="C888" s="98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9"/>
      <c r="AD888" s="99"/>
      <c r="AE888" s="98"/>
      <c r="AF888" s="98"/>
      <c r="AG888" s="148"/>
      <c r="AH888" s="98"/>
      <c r="AI888" s="98"/>
      <c r="AJ888" s="98"/>
      <c r="AK888" s="148"/>
      <c r="AL888" s="98"/>
      <c r="AM888" s="98"/>
      <c r="AN888" s="98"/>
      <c r="AO888" s="98"/>
      <c r="AP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  <c r="BX888" s="98"/>
      <c r="BY888" s="98"/>
    </row>
    <row r="889" spans="1:77" x14ac:dyDescent="0.3">
      <c r="T889" s="101"/>
      <c r="U889" s="101"/>
      <c r="V889" s="101"/>
      <c r="W889" s="101"/>
      <c r="X889" s="101"/>
      <c r="Y889" s="101"/>
      <c r="Z889" s="101"/>
      <c r="AA889" s="101"/>
      <c r="AB889" s="101"/>
      <c r="AC889" s="101"/>
      <c r="AD889" s="101"/>
      <c r="AE889" s="101"/>
      <c r="AF889" s="101"/>
      <c r="AG889" s="191"/>
      <c r="AH889" s="101"/>
      <c r="AI889" s="101"/>
      <c r="AJ889" s="101"/>
      <c r="AK889" s="191"/>
      <c r="AL889" s="101"/>
      <c r="AM889" s="101"/>
      <c r="AN889" s="101"/>
      <c r="AO889" s="101"/>
      <c r="AP889" s="101"/>
    </row>
    <row r="890" spans="1:77" s="194" customFormat="1" x14ac:dyDescent="0.3">
      <c r="A890" s="99"/>
      <c r="B890" s="98"/>
      <c r="C890" s="98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102"/>
      <c r="AD890" s="102"/>
      <c r="AE890" s="102"/>
      <c r="AF890" s="102"/>
      <c r="AG890" s="151"/>
      <c r="AH890" s="102"/>
      <c r="AI890" s="102"/>
      <c r="AJ890" s="102"/>
      <c r="AK890" s="148"/>
      <c r="AL890" s="98"/>
      <c r="AM890" s="102"/>
      <c r="AN890" s="102"/>
      <c r="AO890" s="102"/>
      <c r="AP890" s="102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  <c r="BX890" s="98"/>
      <c r="BY890" s="98"/>
    </row>
    <row r="891" spans="1:77" s="194" customFormat="1" x14ac:dyDescent="0.3">
      <c r="A891" s="98"/>
      <c r="B891" s="98"/>
      <c r="C891" s="98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102"/>
      <c r="AC891" s="102"/>
      <c r="AD891" s="102"/>
      <c r="AE891" s="102"/>
      <c r="AF891" s="102"/>
      <c r="AG891" s="151"/>
      <c r="AH891" s="102"/>
      <c r="AI891" s="102"/>
      <c r="AJ891" s="102"/>
      <c r="AK891" s="148"/>
      <c r="AL891" s="98"/>
      <c r="AM891" s="102"/>
      <c r="AN891" s="102"/>
      <c r="AO891" s="102"/>
      <c r="AP891" s="102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  <c r="BX891" s="98"/>
      <c r="BY891" s="98"/>
    </row>
    <row r="892" spans="1:77" s="194" customFormat="1" x14ac:dyDescent="0.3">
      <c r="A892" s="98"/>
      <c r="B892" s="98"/>
      <c r="C892" s="98"/>
      <c r="D892" s="98"/>
      <c r="E892" s="98"/>
      <c r="F892" s="98"/>
      <c r="G892" s="98"/>
      <c r="H892" s="99"/>
      <c r="I892" s="99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102"/>
      <c r="U892" s="102"/>
      <c r="V892" s="102"/>
      <c r="W892" s="98"/>
      <c r="X892" s="98"/>
      <c r="Y892" s="98"/>
      <c r="Z892" s="98"/>
      <c r="AA892" s="98"/>
      <c r="AB892" s="102"/>
      <c r="AC892" s="102"/>
      <c r="AD892" s="102"/>
      <c r="AE892" s="102"/>
      <c r="AF892" s="102"/>
      <c r="AG892" s="151"/>
      <c r="AH892" s="102"/>
      <c r="AI892" s="102"/>
      <c r="AJ892" s="102"/>
      <c r="AK892" s="151"/>
      <c r="AL892" s="102"/>
      <c r="AM892" s="102"/>
      <c r="AN892" s="102"/>
      <c r="AO892" s="102"/>
      <c r="AP892" s="102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98"/>
      <c r="BY892" s="98"/>
    </row>
    <row r="893" spans="1:77" s="194" customFormat="1" x14ac:dyDescent="0.3">
      <c r="A893" s="98"/>
      <c r="B893" s="98"/>
      <c r="C893" s="98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102"/>
      <c r="U893" s="102"/>
      <c r="V893" s="102"/>
      <c r="W893" s="98"/>
      <c r="X893" s="98"/>
      <c r="Y893" s="98"/>
      <c r="Z893" s="98"/>
      <c r="AA893" s="102"/>
      <c r="AB893" s="102"/>
      <c r="AC893" s="102"/>
      <c r="AD893" s="102"/>
      <c r="AE893" s="102"/>
      <c r="AF893" s="102"/>
      <c r="AG893" s="151"/>
      <c r="AH893" s="102"/>
      <c r="AI893" s="102"/>
      <c r="AJ893" s="102"/>
      <c r="AK893" s="151"/>
      <c r="AL893" s="102"/>
      <c r="AM893" s="102"/>
      <c r="AN893" s="102"/>
      <c r="AO893" s="102"/>
      <c r="AP893" s="102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  <c r="BX893" s="98"/>
      <c r="BY893" s="98"/>
    </row>
    <row r="894" spans="1:77" s="194" customFormat="1" x14ac:dyDescent="0.3">
      <c r="A894" s="98"/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99"/>
      <c r="N894" s="98"/>
      <c r="O894" s="98"/>
      <c r="P894" s="98"/>
      <c r="Q894" s="98"/>
      <c r="R894" s="98"/>
      <c r="S894" s="98"/>
      <c r="T894" s="102"/>
      <c r="U894" s="102"/>
      <c r="V894" s="102"/>
      <c r="W894" s="98"/>
      <c r="X894" s="98"/>
      <c r="Y894" s="98"/>
      <c r="Z894" s="98"/>
      <c r="AA894" s="102"/>
      <c r="AB894" s="102"/>
      <c r="AC894" s="102"/>
      <c r="AD894" s="102"/>
      <c r="AE894" s="102"/>
      <c r="AF894" s="102"/>
      <c r="AG894" s="151"/>
      <c r="AH894" s="102"/>
      <c r="AI894" s="102"/>
      <c r="AJ894" s="102"/>
      <c r="AK894" s="151"/>
      <c r="AL894" s="102"/>
      <c r="AM894" s="102"/>
      <c r="AN894" s="102"/>
      <c r="AO894" s="102"/>
      <c r="AP894" s="102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  <c r="BX894" s="98"/>
      <c r="BY894" s="98"/>
    </row>
    <row r="895" spans="1:77" s="194" customFormat="1" x14ac:dyDescent="0.3">
      <c r="A895" s="98"/>
      <c r="B895" s="98"/>
      <c r="C895" s="98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9"/>
      <c r="S895" s="98"/>
      <c r="T895" s="101"/>
      <c r="U895" s="101"/>
      <c r="V895" s="101"/>
      <c r="W895" s="101"/>
      <c r="X895" s="101"/>
      <c r="Y895" s="101"/>
      <c r="Z895" s="101"/>
      <c r="AA895" s="101"/>
      <c r="AB895" s="101"/>
      <c r="AC895" s="101"/>
      <c r="AD895" s="101"/>
      <c r="AE895" s="101"/>
      <c r="AF895" s="101"/>
      <c r="AG895" s="191"/>
      <c r="AH895" s="101"/>
      <c r="AI895" s="101"/>
      <c r="AJ895" s="101"/>
      <c r="AK895" s="191"/>
      <c r="AL895" s="101"/>
      <c r="AM895" s="101"/>
      <c r="AN895" s="101"/>
      <c r="AO895" s="101"/>
      <c r="AP895" s="101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  <c r="BX895" s="98"/>
      <c r="BY895" s="98"/>
    </row>
    <row r="896" spans="1:77" s="194" customFormat="1" x14ac:dyDescent="0.3">
      <c r="A896" s="98"/>
      <c r="B896" s="98"/>
      <c r="C896" s="98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9"/>
      <c r="S896" s="98"/>
      <c r="T896" s="98"/>
      <c r="U896" s="98"/>
      <c r="V896" s="98"/>
      <c r="W896" s="98"/>
      <c r="X896" s="98"/>
      <c r="Y896" s="98"/>
      <c r="Z896" s="98"/>
      <c r="AA896" s="102"/>
      <c r="AB896" s="102"/>
      <c r="AC896" s="102"/>
      <c r="AD896" s="102"/>
      <c r="AE896" s="102"/>
      <c r="AF896" s="102"/>
      <c r="AG896" s="151"/>
      <c r="AH896" s="102"/>
      <c r="AI896" s="102"/>
      <c r="AJ896" s="102"/>
      <c r="AK896" s="151"/>
      <c r="AL896" s="102"/>
      <c r="AM896" s="102"/>
      <c r="AN896" s="102"/>
      <c r="AO896" s="102"/>
      <c r="AP896" s="102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98"/>
      <c r="BY896" s="98"/>
    </row>
    <row r="897" spans="1:77" s="194" customFormat="1" x14ac:dyDescent="0.3">
      <c r="A897" s="99"/>
      <c r="B897" s="98"/>
      <c r="C897" s="98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9"/>
      <c r="S897" s="98"/>
      <c r="T897" s="99"/>
      <c r="U897" s="99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148"/>
      <c r="AH897" s="98"/>
      <c r="AI897" s="98"/>
      <c r="AJ897" s="98"/>
      <c r="AK897" s="148"/>
      <c r="AL897" s="98"/>
      <c r="AM897" s="98"/>
      <c r="AN897" s="98"/>
      <c r="AO897" s="98"/>
      <c r="AP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  <c r="BX897" s="98"/>
      <c r="BY897" s="98"/>
    </row>
    <row r="898" spans="1:77" s="194" customFormat="1" x14ac:dyDescent="0.3">
      <c r="A898" s="98"/>
      <c r="B898" s="98"/>
      <c r="C898" s="98"/>
      <c r="D898" s="98"/>
      <c r="E898" s="98"/>
      <c r="F898" s="98"/>
      <c r="G898" s="98"/>
      <c r="H898" s="98"/>
      <c r="I898" s="98"/>
      <c r="J898" s="98"/>
      <c r="K898" s="98"/>
      <c r="L898" s="99"/>
      <c r="M898" s="99"/>
      <c r="N898" s="98"/>
      <c r="O898" s="98"/>
      <c r="P898" s="98"/>
      <c r="Q898" s="98"/>
      <c r="R898" s="98"/>
      <c r="S898" s="98"/>
      <c r="T898" s="98"/>
      <c r="U898" s="99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148"/>
      <c r="AH898" s="98"/>
      <c r="AI898" s="98"/>
      <c r="AJ898" s="98"/>
      <c r="AK898" s="148"/>
      <c r="AL898" s="98"/>
      <c r="AM898" s="98"/>
      <c r="AN898" s="98"/>
      <c r="AO898" s="98"/>
      <c r="AP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  <c r="BX898" s="98"/>
      <c r="BY898" s="98"/>
    </row>
    <row r="899" spans="1:77" s="194" customFormat="1" x14ac:dyDescent="0.3">
      <c r="A899" s="101"/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148"/>
      <c r="AH899" s="98"/>
      <c r="AI899" s="98"/>
      <c r="AJ899" s="98"/>
      <c r="AK899" s="148"/>
      <c r="AL899" s="98"/>
      <c r="AM899" s="98"/>
      <c r="AN899" s="98"/>
      <c r="AO899" s="98"/>
      <c r="AP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  <c r="BX899" s="98"/>
      <c r="BY899" s="98"/>
    </row>
    <row r="900" spans="1:77" s="194" customFormat="1" x14ac:dyDescent="0.3">
      <c r="A900" s="98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102"/>
      <c r="M900" s="102"/>
      <c r="N900" s="102"/>
      <c r="O900" s="102"/>
      <c r="P900" s="98"/>
      <c r="Q900" s="98"/>
      <c r="R900" s="102"/>
      <c r="S900" s="98"/>
      <c r="T900" s="99"/>
      <c r="U900" s="98"/>
      <c r="V900" s="110"/>
      <c r="W900" s="98"/>
      <c r="X900" s="98"/>
      <c r="Y900" s="98"/>
      <c r="Z900" s="98"/>
      <c r="AA900" s="98"/>
      <c r="AB900" s="209"/>
      <c r="AC900" s="110"/>
      <c r="AD900" s="110"/>
      <c r="AE900" s="98"/>
      <c r="AF900" s="98"/>
      <c r="AG900" s="148"/>
      <c r="AH900" s="98"/>
      <c r="AI900" s="110"/>
      <c r="AJ900" s="110"/>
      <c r="AK900" s="148"/>
      <c r="AL900" s="98"/>
      <c r="AM900" s="110"/>
      <c r="AN900" s="110"/>
      <c r="AO900" s="98"/>
      <c r="AP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  <c r="BX900" s="98"/>
      <c r="BY900" s="98"/>
    </row>
    <row r="901" spans="1:77" s="194" customFormat="1" x14ac:dyDescent="0.3">
      <c r="A901" s="98"/>
      <c r="B901" s="98"/>
      <c r="C901" s="98"/>
      <c r="D901" s="98"/>
      <c r="E901" s="98"/>
      <c r="F901" s="98"/>
      <c r="G901" s="98"/>
      <c r="H901" s="98"/>
      <c r="I901" s="98"/>
      <c r="J901" s="98"/>
      <c r="K901" s="98"/>
      <c r="L901" s="102"/>
      <c r="M901" s="102"/>
      <c r="N901" s="102"/>
      <c r="O901" s="102"/>
      <c r="P901" s="98"/>
      <c r="Q901" s="98"/>
      <c r="R901" s="102"/>
      <c r="S901" s="98"/>
      <c r="T901" s="99"/>
      <c r="U901" s="98"/>
      <c r="V901" s="110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148"/>
      <c r="AH901" s="98"/>
      <c r="AI901" s="110"/>
      <c r="AJ901" s="110"/>
      <c r="AK901" s="148"/>
      <c r="AL901" s="98"/>
      <c r="AM901" s="110"/>
      <c r="AN901" s="110"/>
      <c r="AO901" s="98"/>
      <c r="AP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  <c r="BX901" s="98"/>
      <c r="BY901" s="98"/>
    </row>
    <row r="902" spans="1:77" s="194" customFormat="1" x14ac:dyDescent="0.3">
      <c r="A902" s="102"/>
      <c r="B902" s="98"/>
      <c r="C902" s="102"/>
      <c r="D902" s="102"/>
      <c r="E902" s="102"/>
      <c r="F902" s="102"/>
      <c r="G902" s="98"/>
      <c r="H902" s="98"/>
      <c r="I902" s="98"/>
      <c r="J902" s="102"/>
      <c r="K902" s="102"/>
      <c r="L902" s="102"/>
      <c r="M902" s="102"/>
      <c r="N902" s="102"/>
      <c r="O902" s="102"/>
      <c r="P902" s="102"/>
      <c r="Q902" s="102"/>
      <c r="R902" s="102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148"/>
      <c r="AH902" s="98"/>
      <c r="AI902" s="98"/>
      <c r="AJ902" s="98"/>
      <c r="AK902" s="148"/>
      <c r="AL902" s="110"/>
      <c r="AM902" s="110"/>
      <c r="AN902" s="110"/>
      <c r="AO902" s="141"/>
      <c r="AP902" s="141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  <c r="BX902" s="98"/>
      <c r="BY902" s="98"/>
    </row>
    <row r="903" spans="1:77" s="194" customFormat="1" x14ac:dyDescent="0.3">
      <c r="A903" s="102"/>
      <c r="B903" s="98"/>
      <c r="C903" s="102"/>
      <c r="D903" s="102"/>
      <c r="E903" s="102"/>
      <c r="F903" s="102"/>
      <c r="G903" s="98"/>
      <c r="H903" s="102"/>
      <c r="I903" s="102"/>
      <c r="J903" s="102"/>
      <c r="K903" s="102"/>
      <c r="L903" s="102"/>
      <c r="M903" s="102"/>
      <c r="N903" s="102"/>
      <c r="O903" s="102"/>
      <c r="P903" s="102"/>
      <c r="Q903" s="102"/>
      <c r="R903" s="102"/>
      <c r="S903" s="98"/>
      <c r="T903" s="99"/>
      <c r="U903" s="98"/>
      <c r="V903" s="110"/>
      <c r="W903" s="98"/>
      <c r="X903" s="98"/>
      <c r="Y903" s="98"/>
      <c r="Z903" s="98"/>
      <c r="AA903" s="110"/>
      <c r="AB903" s="227"/>
      <c r="AC903" s="110"/>
      <c r="AD903" s="110"/>
      <c r="AE903" s="141"/>
      <c r="AF903" s="141"/>
      <c r="AG903" s="148"/>
      <c r="AH903" s="110"/>
      <c r="AI903" s="207"/>
      <c r="AJ903" s="207"/>
      <c r="AK903" s="148"/>
      <c r="AL903" s="110"/>
      <c r="AM903" s="110"/>
      <c r="AN903" s="110"/>
      <c r="AO903" s="141"/>
      <c r="AP903" s="141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  <c r="BX903" s="98"/>
      <c r="BY903" s="98"/>
    </row>
    <row r="904" spans="1:77" s="194" customFormat="1" x14ac:dyDescent="0.3">
      <c r="A904" s="98"/>
      <c r="B904" s="98"/>
      <c r="C904" s="102"/>
      <c r="D904" s="102"/>
      <c r="E904" s="102"/>
      <c r="F904" s="102"/>
      <c r="G904" s="98"/>
      <c r="H904" s="102"/>
      <c r="I904" s="102"/>
      <c r="J904" s="102"/>
      <c r="K904" s="102"/>
      <c r="L904" s="102"/>
      <c r="M904" s="102"/>
      <c r="N904" s="102"/>
      <c r="O904" s="102"/>
      <c r="P904" s="102"/>
      <c r="Q904" s="102"/>
      <c r="R904" s="102"/>
      <c r="S904" s="98"/>
      <c r="T904" s="98"/>
      <c r="U904" s="98"/>
      <c r="V904" s="110"/>
      <c r="W904" s="98"/>
      <c r="X904" s="98"/>
      <c r="Y904" s="98"/>
      <c r="Z904" s="98"/>
      <c r="AA904" s="110"/>
      <c r="AB904" s="198"/>
      <c r="AC904" s="110"/>
      <c r="AD904" s="110"/>
      <c r="AE904" s="98"/>
      <c r="AF904" s="98"/>
      <c r="AG904" s="148"/>
      <c r="AH904" s="98"/>
      <c r="AI904" s="98"/>
      <c r="AJ904" s="98"/>
      <c r="AK904" s="148"/>
      <c r="AL904" s="110"/>
      <c r="AM904" s="110"/>
      <c r="AN904" s="110"/>
      <c r="AO904" s="141"/>
      <c r="AP904" s="141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  <c r="BX904" s="98"/>
      <c r="BY904" s="98"/>
    </row>
    <row r="905" spans="1:77" s="194" customFormat="1" x14ac:dyDescent="0.3">
      <c r="A905" s="101"/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98"/>
      <c r="T905" s="98"/>
      <c r="U905" s="98"/>
      <c r="V905" s="110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148"/>
      <c r="AH905" s="98"/>
      <c r="AI905" s="98"/>
      <c r="AJ905" s="98"/>
      <c r="AK905" s="148"/>
      <c r="AL905" s="98"/>
      <c r="AM905" s="110"/>
      <c r="AN905" s="110"/>
      <c r="AO905" s="141"/>
      <c r="AP905" s="141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98"/>
      <c r="BY905" s="98"/>
    </row>
    <row r="906" spans="1:77" s="194" customFormat="1" x14ac:dyDescent="0.3">
      <c r="A906" s="98"/>
      <c r="B906" s="98"/>
      <c r="C906" s="98"/>
      <c r="D906" s="98"/>
      <c r="E906" s="98"/>
      <c r="F906" s="98"/>
      <c r="G906" s="98"/>
      <c r="H906" s="102"/>
      <c r="I906" s="102"/>
      <c r="J906" s="102"/>
      <c r="K906" s="102"/>
      <c r="L906" s="102"/>
      <c r="M906" s="102"/>
      <c r="N906" s="102"/>
      <c r="O906" s="102"/>
      <c r="P906" s="102"/>
      <c r="Q906" s="102"/>
      <c r="R906" s="102"/>
      <c r="S906" s="98"/>
      <c r="T906" s="99"/>
      <c r="U906" s="98"/>
      <c r="V906" s="110"/>
      <c r="W906" s="98"/>
      <c r="X906" s="98"/>
      <c r="Y906" s="98"/>
      <c r="Z906" s="98"/>
      <c r="AA906" s="98"/>
      <c r="AB906" s="209"/>
      <c r="AC906" s="110"/>
      <c r="AD906" s="110"/>
      <c r="AE906" s="141"/>
      <c r="AF906" s="141"/>
      <c r="AG906" s="148"/>
      <c r="AH906" s="98"/>
      <c r="AI906" s="98"/>
      <c r="AJ906" s="98"/>
      <c r="AK906" s="148"/>
      <c r="AL906" s="98"/>
      <c r="AM906" s="110"/>
      <c r="AN906" s="110"/>
      <c r="AO906" s="141"/>
      <c r="AP906" s="141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  <c r="BX906" s="98"/>
      <c r="BY906" s="98"/>
    </row>
    <row r="907" spans="1:77" s="194" customFormat="1" x14ac:dyDescent="0.3">
      <c r="A907" s="98"/>
      <c r="B907" s="98"/>
      <c r="C907" s="99"/>
      <c r="D907" s="99"/>
      <c r="E907" s="99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9"/>
      <c r="U907" s="98"/>
      <c r="V907" s="110"/>
      <c r="W907" s="98"/>
      <c r="X907" s="98"/>
      <c r="Y907" s="98"/>
      <c r="Z907" s="98"/>
      <c r="AA907" s="110"/>
      <c r="AB907" s="209"/>
      <c r="AC907" s="110"/>
      <c r="AD907" s="110"/>
      <c r="AE907" s="141"/>
      <c r="AF907" s="141"/>
      <c r="AG907" s="148"/>
      <c r="AH907" s="98"/>
      <c r="AI907" s="98"/>
      <c r="AJ907" s="98"/>
      <c r="AK907" s="148"/>
      <c r="AL907" s="110"/>
      <c r="AM907" s="110"/>
      <c r="AN907" s="110"/>
      <c r="AO907" s="141"/>
      <c r="AP907" s="141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  <c r="BX907" s="98"/>
      <c r="BY907" s="98"/>
    </row>
    <row r="908" spans="1:77" s="194" customFormat="1" x14ac:dyDescent="0.3">
      <c r="A908" s="98"/>
      <c r="B908" s="98"/>
      <c r="C908" s="98"/>
      <c r="D908" s="99"/>
      <c r="E908" s="99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9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148"/>
      <c r="AH908" s="98"/>
      <c r="AI908" s="98"/>
      <c r="AJ908" s="98"/>
      <c r="AK908" s="148"/>
      <c r="AL908" s="98"/>
      <c r="AM908" s="98"/>
      <c r="AN908" s="98"/>
      <c r="AO908" s="141"/>
      <c r="AP908" s="141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  <c r="BX908" s="98"/>
      <c r="BY908" s="98"/>
    </row>
    <row r="909" spans="1:77" x14ac:dyDescent="0.3">
      <c r="T909" s="99"/>
      <c r="AO909" s="141"/>
      <c r="AP909" s="141"/>
    </row>
    <row r="910" spans="1:77" s="194" customFormat="1" x14ac:dyDescent="0.3">
      <c r="A910" s="98"/>
      <c r="B910" s="98"/>
      <c r="C910" s="99"/>
      <c r="D910" s="98"/>
      <c r="E910" s="98"/>
      <c r="F910" s="110"/>
      <c r="G910" s="98"/>
      <c r="H910" s="98"/>
      <c r="I910" s="98"/>
      <c r="J910" s="209"/>
      <c r="K910" s="209"/>
      <c r="L910" s="110"/>
      <c r="M910" s="110"/>
      <c r="N910" s="98"/>
      <c r="O910" s="98"/>
      <c r="P910" s="98"/>
      <c r="Q910" s="98"/>
      <c r="R910" s="110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148"/>
      <c r="AH910" s="98"/>
      <c r="AI910" s="98"/>
      <c r="AJ910" s="98"/>
      <c r="AK910" s="148"/>
      <c r="AL910" s="98"/>
      <c r="AM910" s="98"/>
      <c r="AN910" s="98"/>
      <c r="AO910" s="141"/>
      <c r="AP910" s="141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98"/>
      <c r="BY910" s="98"/>
    </row>
    <row r="911" spans="1:77" s="194" customFormat="1" x14ac:dyDescent="0.3">
      <c r="A911" s="98"/>
      <c r="B911" s="98"/>
      <c r="C911" s="99"/>
      <c r="D911" s="98"/>
      <c r="E911" s="98"/>
      <c r="F911" s="110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110"/>
      <c r="S911" s="98"/>
      <c r="T911" s="99"/>
      <c r="U911" s="98"/>
      <c r="V911" s="110"/>
      <c r="W911" s="98"/>
      <c r="X911" s="98"/>
      <c r="Y911" s="98"/>
      <c r="Z911" s="98"/>
      <c r="AA911" s="110"/>
      <c r="AB911" s="227"/>
      <c r="AC911" s="110"/>
      <c r="AD911" s="110"/>
      <c r="AE911" s="141"/>
      <c r="AF911" s="141"/>
      <c r="AG911" s="148"/>
      <c r="AH911" s="110"/>
      <c r="AI911" s="207"/>
      <c r="AJ911" s="207"/>
      <c r="AK911" s="148"/>
      <c r="AL911" s="110"/>
      <c r="AM911" s="110"/>
      <c r="AN911" s="110"/>
      <c r="AO911" s="141"/>
      <c r="AP911" s="141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  <c r="BY911" s="98"/>
    </row>
    <row r="912" spans="1:77" s="194" customFormat="1" x14ac:dyDescent="0.3">
      <c r="A912" s="98"/>
      <c r="B912" s="98"/>
      <c r="C912" s="98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192"/>
      <c r="W912" s="98"/>
      <c r="X912" s="98"/>
      <c r="Y912" s="98"/>
      <c r="Z912" s="98"/>
      <c r="AA912" s="192"/>
      <c r="AB912" s="217"/>
      <c r="AC912" s="192"/>
      <c r="AD912" s="192"/>
      <c r="AE912" s="192"/>
      <c r="AF912" s="192"/>
      <c r="AH912" s="192"/>
      <c r="AI912" s="98"/>
      <c r="AJ912" s="98"/>
      <c r="AL912" s="192"/>
      <c r="AM912" s="192"/>
      <c r="AN912" s="192"/>
      <c r="AO912" s="141"/>
      <c r="AP912" s="141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  <c r="BX912" s="98"/>
      <c r="BY912" s="98"/>
    </row>
    <row r="913" spans="1:77" s="194" customFormat="1" x14ac:dyDescent="0.3">
      <c r="A913" s="98"/>
      <c r="B913" s="98"/>
      <c r="C913" s="99"/>
      <c r="D913" s="98"/>
      <c r="E913" s="98"/>
      <c r="F913" s="172"/>
      <c r="G913" s="98"/>
      <c r="H913" s="172"/>
      <c r="I913" s="172"/>
      <c r="J913" s="227"/>
      <c r="K913" s="227"/>
      <c r="L913" s="110"/>
      <c r="M913" s="110"/>
      <c r="N913" s="141"/>
      <c r="O913" s="141"/>
      <c r="P913" s="110"/>
      <c r="Q913" s="110"/>
      <c r="R913" s="110"/>
      <c r="S913" s="98"/>
      <c r="T913" s="98"/>
      <c r="U913" s="98"/>
      <c r="V913" s="98"/>
      <c r="W913" s="98"/>
      <c r="X913" s="98"/>
      <c r="Y913" s="98"/>
      <c r="Z913" s="98"/>
      <c r="AA913" s="110"/>
      <c r="AB913" s="98"/>
      <c r="AC913" s="98"/>
      <c r="AD913" s="98"/>
      <c r="AE913" s="98"/>
      <c r="AF913" s="98"/>
      <c r="AG913" s="148"/>
      <c r="AH913" s="98"/>
      <c r="AI913" s="98"/>
      <c r="AJ913" s="98"/>
      <c r="AK913" s="148"/>
      <c r="AL913" s="98"/>
      <c r="AM913" s="98"/>
      <c r="AN913" s="98"/>
      <c r="AO913" s="141"/>
      <c r="AP913" s="141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98"/>
      <c r="BY913" s="98"/>
    </row>
    <row r="914" spans="1:77" s="194" customFormat="1" x14ac:dyDescent="0.3">
      <c r="A914" s="98"/>
      <c r="B914" s="98"/>
      <c r="C914" s="98"/>
      <c r="D914" s="98"/>
      <c r="E914" s="98"/>
      <c r="F914" s="110"/>
      <c r="G914" s="98"/>
      <c r="H914" s="110"/>
      <c r="I914" s="110"/>
      <c r="J914" s="198"/>
      <c r="K914" s="198"/>
      <c r="L914" s="110"/>
      <c r="M914" s="110"/>
      <c r="N914" s="98"/>
      <c r="O914" s="98"/>
      <c r="P914" s="110"/>
      <c r="Q914" s="110"/>
      <c r="R914" s="110"/>
      <c r="S914" s="98"/>
      <c r="T914" s="99"/>
      <c r="U914" s="98"/>
      <c r="V914" s="110"/>
      <c r="W914" s="98"/>
      <c r="X914" s="98"/>
      <c r="Y914" s="98"/>
      <c r="Z914" s="98"/>
      <c r="AA914" s="110"/>
      <c r="AB914" s="98"/>
      <c r="AC914" s="110"/>
      <c r="AD914" s="110"/>
      <c r="AE914" s="141"/>
      <c r="AF914" s="141"/>
      <c r="AG914" s="148"/>
      <c r="AH914" s="110"/>
      <c r="AI914" s="207"/>
      <c r="AJ914" s="207"/>
      <c r="AK914" s="224"/>
      <c r="AL914" s="172"/>
      <c r="AM914" s="110"/>
      <c r="AN914" s="110"/>
      <c r="AO914" s="141"/>
      <c r="AP914" s="141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</row>
    <row r="915" spans="1:77" s="194" customFormat="1" x14ac:dyDescent="0.3">
      <c r="A915" s="98"/>
      <c r="B915" s="98"/>
      <c r="C915" s="98"/>
      <c r="D915" s="98"/>
      <c r="E915" s="98"/>
      <c r="F915" s="110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110"/>
      <c r="S915" s="98"/>
      <c r="T915" s="98"/>
      <c r="U915" s="98"/>
      <c r="V915" s="192"/>
      <c r="W915" s="98"/>
      <c r="X915" s="98"/>
      <c r="Y915" s="98"/>
      <c r="Z915" s="98"/>
      <c r="AA915" s="192"/>
      <c r="AB915" s="217"/>
      <c r="AC915" s="192"/>
      <c r="AD915" s="192"/>
      <c r="AE915" s="192"/>
      <c r="AF915" s="192"/>
      <c r="AH915" s="192"/>
      <c r="AI915" s="98"/>
      <c r="AJ915" s="98"/>
      <c r="AL915" s="192"/>
      <c r="AM915" s="192"/>
      <c r="AN915" s="192"/>
      <c r="AO915" s="141"/>
      <c r="AP915" s="141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  <c r="BY915" s="98"/>
    </row>
    <row r="916" spans="1:77" s="194" customFormat="1" x14ac:dyDescent="0.3">
      <c r="A916" s="98"/>
      <c r="B916" s="98"/>
      <c r="C916" s="99"/>
      <c r="D916" s="98"/>
      <c r="E916" s="98"/>
      <c r="F916" s="110"/>
      <c r="G916" s="98"/>
      <c r="H916" s="98"/>
      <c r="I916" s="98"/>
      <c r="J916" s="209"/>
      <c r="K916" s="209"/>
      <c r="L916" s="110"/>
      <c r="M916" s="110"/>
      <c r="N916" s="141"/>
      <c r="O916" s="141"/>
      <c r="P916" s="98"/>
      <c r="Q916" s="98"/>
      <c r="R916" s="110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148"/>
      <c r="AH916" s="98"/>
      <c r="AI916" s="98"/>
      <c r="AJ916" s="98"/>
      <c r="AK916" s="148"/>
      <c r="AL916" s="98"/>
      <c r="AM916" s="98"/>
      <c r="AN916" s="98"/>
      <c r="AO916" s="98"/>
      <c r="AP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  <c r="BY916" s="98"/>
    </row>
    <row r="917" spans="1:77" s="194" customFormat="1" x14ac:dyDescent="0.3">
      <c r="A917" s="98"/>
      <c r="B917" s="98"/>
      <c r="C917" s="99"/>
      <c r="D917" s="98"/>
      <c r="E917" s="98"/>
      <c r="F917" s="110"/>
      <c r="G917" s="98"/>
      <c r="H917" s="110"/>
      <c r="I917" s="110"/>
      <c r="J917" s="209"/>
      <c r="K917" s="209"/>
      <c r="L917" s="110"/>
      <c r="M917" s="110"/>
      <c r="N917" s="141"/>
      <c r="O917" s="141"/>
      <c r="P917" s="110"/>
      <c r="Q917" s="110"/>
      <c r="R917" s="110"/>
      <c r="S917" s="98"/>
      <c r="T917" s="98"/>
      <c r="U917" s="98"/>
      <c r="V917" s="110"/>
      <c r="W917" s="98"/>
      <c r="X917" s="98"/>
      <c r="Y917" s="98"/>
      <c r="Z917" s="98"/>
      <c r="AA917" s="110"/>
      <c r="AB917" s="198"/>
      <c r="AC917" s="110"/>
      <c r="AD917" s="110"/>
      <c r="AE917" s="110"/>
      <c r="AF917" s="110"/>
      <c r="AG917" s="148"/>
      <c r="AH917" s="110"/>
      <c r="AI917" s="110"/>
      <c r="AJ917" s="110"/>
      <c r="AK917" s="148"/>
      <c r="AL917" s="110"/>
      <c r="AM917" s="110"/>
      <c r="AN917" s="110"/>
      <c r="AO917" s="98"/>
      <c r="AP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98"/>
      <c r="BY917" s="98"/>
    </row>
    <row r="918" spans="1:77" s="194" customFormat="1" x14ac:dyDescent="0.3">
      <c r="A918" s="98"/>
      <c r="B918" s="98"/>
      <c r="C918" s="99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148"/>
      <c r="AH918" s="98"/>
      <c r="AI918" s="98"/>
      <c r="AJ918" s="98"/>
      <c r="AK918" s="148"/>
      <c r="AL918" s="98"/>
      <c r="AM918" s="98"/>
      <c r="AN918" s="98"/>
      <c r="AO918" s="98"/>
      <c r="AP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98"/>
      <c r="BY918" s="98"/>
    </row>
    <row r="919" spans="1:77" s="194" customFormat="1" x14ac:dyDescent="0.3">
      <c r="A919" s="98"/>
      <c r="B919" s="98"/>
      <c r="C919" s="99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148"/>
      <c r="AH919" s="98"/>
      <c r="AI919" s="98"/>
      <c r="AJ919" s="98"/>
      <c r="AK919" s="148"/>
      <c r="AL919" s="98"/>
      <c r="AM919" s="98"/>
      <c r="AN919" s="98"/>
      <c r="AO919" s="98"/>
      <c r="AP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  <c r="BY919" s="98"/>
    </row>
    <row r="920" spans="1:77" s="194" customFormat="1" x14ac:dyDescent="0.3">
      <c r="A920" s="98"/>
      <c r="B920" s="98"/>
      <c r="C920" s="98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9"/>
      <c r="AB920" s="98"/>
      <c r="AC920" s="98"/>
      <c r="AD920" s="98"/>
      <c r="AE920" s="98"/>
      <c r="AF920" s="98"/>
      <c r="AG920" s="148"/>
      <c r="AH920" s="98"/>
      <c r="AI920" s="98"/>
      <c r="AJ920" s="98"/>
      <c r="AK920" s="148"/>
      <c r="AL920" s="98"/>
      <c r="AM920" s="98"/>
      <c r="AN920" s="98"/>
      <c r="AO920" s="98"/>
      <c r="AP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</row>
    <row r="921" spans="1:77" s="194" customFormat="1" x14ac:dyDescent="0.3">
      <c r="A921" s="98"/>
      <c r="B921" s="98"/>
      <c r="C921" s="99"/>
      <c r="D921" s="98"/>
      <c r="E921" s="98"/>
      <c r="F921" s="172"/>
      <c r="G921" s="98"/>
      <c r="H921" s="172"/>
      <c r="I921" s="172"/>
      <c r="J921" s="227"/>
      <c r="K921" s="227"/>
      <c r="L921" s="110"/>
      <c r="M921" s="110"/>
      <c r="N921" s="141"/>
      <c r="O921" s="141"/>
      <c r="P921" s="110"/>
      <c r="Q921" s="110"/>
      <c r="R921" s="110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148"/>
      <c r="AH921" s="98"/>
      <c r="AI921" s="98"/>
      <c r="AJ921" s="98"/>
      <c r="AK921" s="148"/>
      <c r="AL921" s="98"/>
      <c r="AM921" s="98"/>
      <c r="AN921" s="98"/>
      <c r="AO921" s="98"/>
      <c r="AP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  <c r="BY921" s="98"/>
    </row>
    <row r="922" spans="1:77" s="194" customFormat="1" x14ac:dyDescent="0.3">
      <c r="A922" s="98"/>
      <c r="B922" s="98"/>
      <c r="C922" s="98"/>
      <c r="D922" s="98"/>
      <c r="E922" s="98"/>
      <c r="F922" s="192"/>
      <c r="G922" s="98"/>
      <c r="H922" s="192"/>
      <c r="I922" s="192"/>
      <c r="J922" s="217"/>
      <c r="K922" s="217"/>
      <c r="L922" s="192"/>
      <c r="M922" s="192"/>
      <c r="N922" s="192"/>
      <c r="O922" s="192"/>
      <c r="P922" s="192"/>
      <c r="Q922" s="192"/>
      <c r="R922" s="192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9"/>
      <c r="AD922" s="99"/>
      <c r="AE922" s="98"/>
      <c r="AF922" s="98"/>
      <c r="AG922" s="148"/>
      <c r="AH922" s="98"/>
      <c r="AI922" s="98"/>
      <c r="AJ922" s="98"/>
      <c r="AK922" s="148"/>
      <c r="AL922" s="98"/>
      <c r="AM922" s="98"/>
      <c r="AN922" s="98"/>
      <c r="AO922" s="98"/>
      <c r="AP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98"/>
      <c r="BY922" s="98"/>
    </row>
    <row r="923" spans="1:77" s="194" customFormat="1" x14ac:dyDescent="0.3">
      <c r="A923" s="98"/>
      <c r="B923" s="98"/>
      <c r="C923" s="98"/>
      <c r="D923" s="98"/>
      <c r="E923" s="98"/>
      <c r="F923" s="98"/>
      <c r="G923" s="98"/>
      <c r="H923" s="110"/>
      <c r="I923" s="110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148"/>
      <c r="AH923" s="98"/>
      <c r="AI923" s="98"/>
      <c r="AJ923" s="98"/>
      <c r="AK923" s="148"/>
      <c r="AL923" s="98"/>
      <c r="AM923" s="99"/>
      <c r="AN923" s="99"/>
      <c r="AO923" s="98"/>
      <c r="AP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98"/>
      <c r="BY923" s="98"/>
    </row>
    <row r="924" spans="1:77" s="194" customFormat="1" x14ac:dyDescent="0.3">
      <c r="A924" s="98"/>
      <c r="B924" s="98"/>
      <c r="C924" s="99"/>
      <c r="D924" s="98"/>
      <c r="E924" s="98"/>
      <c r="F924" s="110"/>
      <c r="G924" s="98"/>
      <c r="H924" s="110"/>
      <c r="I924" s="110"/>
      <c r="J924" s="98"/>
      <c r="K924" s="98"/>
      <c r="L924" s="110"/>
      <c r="M924" s="110"/>
      <c r="N924" s="141"/>
      <c r="O924" s="141"/>
      <c r="P924" s="172"/>
      <c r="Q924" s="172"/>
      <c r="R924" s="110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148"/>
      <c r="AH924" s="98"/>
      <c r="AI924" s="98"/>
      <c r="AJ924" s="98"/>
      <c r="AK924" s="148"/>
      <c r="AL924" s="98"/>
      <c r="AM924" s="99"/>
      <c r="AN924" s="99"/>
      <c r="AO924" s="98"/>
      <c r="AP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98"/>
      <c r="BY924" s="98"/>
    </row>
    <row r="925" spans="1:77" s="194" customFormat="1" x14ac:dyDescent="0.3">
      <c r="A925" s="98"/>
      <c r="B925" s="98"/>
      <c r="C925" s="98"/>
      <c r="D925" s="98"/>
      <c r="E925" s="98"/>
      <c r="F925" s="98"/>
      <c r="G925" s="98"/>
      <c r="H925" s="192"/>
      <c r="I925" s="192"/>
      <c r="J925" s="217"/>
      <c r="K925" s="217"/>
      <c r="L925" s="192"/>
      <c r="M925" s="192"/>
      <c r="N925" s="192"/>
      <c r="O925" s="192"/>
      <c r="P925" s="192"/>
      <c r="Q925" s="192"/>
      <c r="R925" s="192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148"/>
      <c r="AH925" s="98"/>
      <c r="AI925" s="98"/>
      <c r="AJ925" s="98"/>
      <c r="AK925" s="148"/>
      <c r="AL925" s="98"/>
      <c r="AM925" s="99"/>
      <c r="AN925" s="99"/>
      <c r="AO925" s="98"/>
      <c r="AP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</row>
    <row r="926" spans="1:77" s="194" customFormat="1" x14ac:dyDescent="0.3">
      <c r="A926" s="98"/>
      <c r="B926" s="98"/>
      <c r="C926" s="98"/>
      <c r="D926" s="98"/>
      <c r="E926" s="98"/>
      <c r="F926" s="192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9"/>
      <c r="AD926" s="99"/>
      <c r="AE926" s="98"/>
      <c r="AF926" s="98"/>
      <c r="AG926" s="148"/>
      <c r="AH926" s="98"/>
      <c r="AI926" s="98"/>
      <c r="AJ926" s="98"/>
      <c r="AK926" s="148"/>
      <c r="AL926" s="98"/>
      <c r="AM926" s="98"/>
      <c r="AN926" s="98"/>
      <c r="AO926" s="98"/>
      <c r="AP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</row>
    <row r="927" spans="1:77" s="194" customFormat="1" x14ac:dyDescent="0.3">
      <c r="A927" s="98"/>
      <c r="B927" s="98"/>
      <c r="C927" s="98"/>
      <c r="D927" s="98"/>
      <c r="E927" s="98"/>
      <c r="F927" s="110"/>
      <c r="G927" s="98"/>
      <c r="H927" s="110"/>
      <c r="I927" s="110"/>
      <c r="J927" s="198"/>
      <c r="K927" s="198"/>
      <c r="L927" s="110"/>
      <c r="M927" s="110"/>
      <c r="N927" s="110"/>
      <c r="O927" s="110"/>
      <c r="P927" s="110"/>
      <c r="Q927" s="110"/>
      <c r="R927" s="110"/>
      <c r="S927" s="98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/>
      <c r="AD927" s="101"/>
      <c r="AE927" s="101"/>
      <c r="AF927" s="101"/>
      <c r="AG927" s="191"/>
      <c r="AH927" s="101"/>
      <c r="AI927" s="101"/>
      <c r="AJ927" s="101"/>
      <c r="AK927" s="191"/>
      <c r="AL927" s="101"/>
      <c r="AM927" s="101"/>
      <c r="AN927" s="101"/>
      <c r="AO927" s="101"/>
      <c r="AP927" s="101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98"/>
      <c r="BY927" s="98"/>
    </row>
    <row r="928" spans="1:77" s="194" customFormat="1" x14ac:dyDescent="0.3">
      <c r="A928" s="99"/>
      <c r="B928" s="98"/>
      <c r="C928" s="98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102"/>
      <c r="AD928" s="102"/>
      <c r="AE928" s="102"/>
      <c r="AF928" s="102"/>
      <c r="AG928" s="151"/>
      <c r="AH928" s="102"/>
      <c r="AI928" s="102"/>
      <c r="AJ928" s="102"/>
      <c r="AK928" s="148"/>
      <c r="AL928" s="98"/>
      <c r="AM928" s="102"/>
      <c r="AN928" s="102"/>
      <c r="AO928" s="102"/>
      <c r="AP928" s="102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98"/>
      <c r="BY928" s="98"/>
    </row>
    <row r="929" spans="1:77" s="194" customFormat="1" x14ac:dyDescent="0.3">
      <c r="A929" s="98"/>
      <c r="B929" s="98"/>
      <c r="C929" s="98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102"/>
      <c r="AC929" s="102"/>
      <c r="AD929" s="102"/>
      <c r="AE929" s="102"/>
      <c r="AF929" s="102"/>
      <c r="AG929" s="151"/>
      <c r="AH929" s="102"/>
      <c r="AI929" s="102"/>
      <c r="AJ929" s="102"/>
      <c r="AK929" s="148"/>
      <c r="AL929" s="98"/>
      <c r="AM929" s="102"/>
      <c r="AN929" s="102"/>
      <c r="AO929" s="102"/>
      <c r="AP929" s="102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98"/>
      <c r="BY929" s="98"/>
    </row>
    <row r="930" spans="1:77" s="194" customFormat="1" x14ac:dyDescent="0.3">
      <c r="A930" s="98"/>
      <c r="B930" s="98"/>
      <c r="C930" s="98"/>
      <c r="D930" s="98"/>
      <c r="E930" s="98"/>
      <c r="F930" s="98"/>
      <c r="G930" s="98"/>
      <c r="H930" s="99"/>
      <c r="I930" s="99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102"/>
      <c r="U930" s="102"/>
      <c r="V930" s="102"/>
      <c r="W930" s="98"/>
      <c r="X930" s="98"/>
      <c r="Y930" s="98"/>
      <c r="Z930" s="98"/>
      <c r="AA930" s="98"/>
      <c r="AB930" s="102"/>
      <c r="AC930" s="102"/>
      <c r="AD930" s="102"/>
      <c r="AE930" s="102"/>
      <c r="AF930" s="102"/>
      <c r="AG930" s="151"/>
      <c r="AH930" s="102"/>
      <c r="AI930" s="102"/>
      <c r="AJ930" s="102"/>
      <c r="AK930" s="151"/>
      <c r="AL930" s="102"/>
      <c r="AM930" s="102"/>
      <c r="AN930" s="102"/>
      <c r="AO930" s="102"/>
      <c r="AP930" s="102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98"/>
      <c r="BY930" s="98"/>
    </row>
    <row r="931" spans="1:77" s="194" customFormat="1" x14ac:dyDescent="0.3">
      <c r="A931" s="98"/>
      <c r="B931" s="98"/>
      <c r="C931" s="98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102"/>
      <c r="U931" s="102"/>
      <c r="V931" s="102"/>
      <c r="W931" s="98"/>
      <c r="X931" s="98"/>
      <c r="Y931" s="98"/>
      <c r="Z931" s="98"/>
      <c r="AA931" s="102"/>
      <c r="AB931" s="102"/>
      <c r="AC931" s="102"/>
      <c r="AD931" s="102"/>
      <c r="AE931" s="102"/>
      <c r="AF931" s="102"/>
      <c r="AG931" s="151"/>
      <c r="AH931" s="102"/>
      <c r="AI931" s="102"/>
      <c r="AJ931" s="102"/>
      <c r="AK931" s="151"/>
      <c r="AL931" s="102"/>
      <c r="AM931" s="102"/>
      <c r="AN931" s="102"/>
      <c r="AO931" s="102"/>
      <c r="AP931" s="102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</row>
    <row r="932" spans="1:77" s="194" customFormat="1" x14ac:dyDescent="0.3">
      <c r="A932" s="98"/>
      <c r="B932" s="98"/>
      <c r="C932" s="98"/>
      <c r="D932" s="98"/>
      <c r="E932" s="98"/>
      <c r="F932" s="98"/>
      <c r="G932" s="98"/>
      <c r="H932" s="98"/>
      <c r="I932" s="98"/>
      <c r="J932" s="98"/>
      <c r="K932" s="98"/>
      <c r="L932" s="99"/>
      <c r="M932" s="99"/>
      <c r="N932" s="98"/>
      <c r="O932" s="98"/>
      <c r="P932" s="98"/>
      <c r="Q932" s="98"/>
      <c r="R932" s="98"/>
      <c r="S932" s="98"/>
      <c r="T932" s="102"/>
      <c r="U932" s="102"/>
      <c r="V932" s="102"/>
      <c r="W932" s="98"/>
      <c r="X932" s="98"/>
      <c r="Y932" s="98"/>
      <c r="Z932" s="98"/>
      <c r="AA932" s="102"/>
      <c r="AB932" s="102"/>
      <c r="AC932" s="102"/>
      <c r="AD932" s="102"/>
      <c r="AE932" s="102"/>
      <c r="AF932" s="102"/>
      <c r="AG932" s="151"/>
      <c r="AH932" s="102"/>
      <c r="AI932" s="102"/>
      <c r="AJ932" s="102"/>
      <c r="AK932" s="151"/>
      <c r="AL932" s="102"/>
      <c r="AM932" s="102"/>
      <c r="AN932" s="102"/>
      <c r="AO932" s="102"/>
      <c r="AP932" s="102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  <c r="BY932" s="98"/>
    </row>
    <row r="933" spans="1:77" s="194" customFormat="1" x14ac:dyDescent="0.3">
      <c r="A933" s="98"/>
      <c r="B933" s="98"/>
      <c r="C933" s="98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9"/>
      <c r="S933" s="98"/>
      <c r="T933" s="101"/>
      <c r="U933" s="101"/>
      <c r="V933" s="101"/>
      <c r="W933" s="101"/>
      <c r="X933" s="101"/>
      <c r="Y933" s="101"/>
      <c r="Z933" s="101"/>
      <c r="AA933" s="101"/>
      <c r="AB933" s="101"/>
      <c r="AC933" s="101"/>
      <c r="AD933" s="101"/>
      <c r="AE933" s="101"/>
      <c r="AF933" s="101"/>
      <c r="AG933" s="191"/>
      <c r="AH933" s="101"/>
      <c r="AI933" s="101"/>
      <c r="AJ933" s="101"/>
      <c r="AK933" s="191"/>
      <c r="AL933" s="101"/>
      <c r="AM933" s="101"/>
      <c r="AN933" s="101"/>
      <c r="AO933" s="101"/>
      <c r="AP933" s="101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98"/>
      <c r="BY933" s="98"/>
    </row>
    <row r="934" spans="1:77" s="194" customFormat="1" x14ac:dyDescent="0.3">
      <c r="A934" s="98"/>
      <c r="B934" s="98"/>
      <c r="C934" s="98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9"/>
      <c r="S934" s="98"/>
      <c r="T934" s="98"/>
      <c r="U934" s="98"/>
      <c r="V934" s="98"/>
      <c r="W934" s="98"/>
      <c r="X934" s="98"/>
      <c r="Y934" s="98"/>
      <c r="Z934" s="98"/>
      <c r="AA934" s="102"/>
      <c r="AB934" s="102"/>
      <c r="AC934" s="102"/>
      <c r="AD934" s="102"/>
      <c r="AE934" s="102"/>
      <c r="AF934" s="102"/>
      <c r="AG934" s="151"/>
      <c r="AH934" s="102"/>
      <c r="AI934" s="102"/>
      <c r="AJ934" s="102"/>
      <c r="AK934" s="151"/>
      <c r="AL934" s="102"/>
      <c r="AM934" s="102"/>
      <c r="AN934" s="102"/>
      <c r="AO934" s="102"/>
      <c r="AP934" s="102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  <c r="BY934" s="98"/>
    </row>
    <row r="935" spans="1:77" s="194" customFormat="1" x14ac:dyDescent="0.3">
      <c r="A935" s="99"/>
      <c r="B935" s="98"/>
      <c r="C935" s="98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9"/>
      <c r="S935" s="98"/>
      <c r="T935" s="99"/>
      <c r="U935" s="99"/>
      <c r="V935" s="110"/>
      <c r="W935" s="110"/>
      <c r="X935" s="110"/>
      <c r="Y935" s="110"/>
      <c r="Z935" s="110"/>
      <c r="AA935" s="110"/>
      <c r="AB935" s="227"/>
      <c r="AC935" s="98"/>
      <c r="AD935" s="98"/>
      <c r="AE935" s="98"/>
      <c r="AF935" s="98"/>
      <c r="AG935" s="148"/>
      <c r="AH935" s="98"/>
      <c r="AI935" s="98"/>
      <c r="AJ935" s="98"/>
      <c r="AK935" s="148"/>
      <c r="AL935" s="98"/>
      <c r="AM935" s="98"/>
      <c r="AN935" s="98"/>
      <c r="AO935" s="98"/>
      <c r="AP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  <c r="BY935" s="98"/>
    </row>
    <row r="936" spans="1:77" s="194" customFormat="1" x14ac:dyDescent="0.3">
      <c r="A936" s="98"/>
      <c r="B936" s="98"/>
      <c r="C936" s="98"/>
      <c r="D936" s="98"/>
      <c r="E936" s="98"/>
      <c r="F936" s="98"/>
      <c r="G936" s="98"/>
      <c r="H936" s="98"/>
      <c r="I936" s="98"/>
      <c r="J936" s="98"/>
      <c r="K936" s="98"/>
      <c r="L936" s="99"/>
      <c r="M936" s="99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148"/>
      <c r="AH936" s="98"/>
      <c r="AI936" s="98"/>
      <c r="AJ936" s="98"/>
      <c r="AK936" s="148"/>
      <c r="AL936" s="98"/>
      <c r="AM936" s="98"/>
      <c r="AN936" s="98"/>
      <c r="AO936" s="98"/>
      <c r="AP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98"/>
      <c r="BY936" s="98"/>
    </row>
    <row r="937" spans="1:77" s="194" customFormat="1" x14ac:dyDescent="0.3">
      <c r="A937" s="101"/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98"/>
      <c r="T937" s="99"/>
      <c r="U937" s="98"/>
      <c r="V937" s="110"/>
      <c r="W937" s="110"/>
      <c r="X937" s="110"/>
      <c r="Y937" s="110"/>
      <c r="Z937" s="110"/>
      <c r="AA937" s="110"/>
      <c r="AB937" s="227"/>
      <c r="AC937" s="98"/>
      <c r="AD937" s="98"/>
      <c r="AE937" s="98"/>
      <c r="AF937" s="98"/>
      <c r="AG937" s="148"/>
      <c r="AH937" s="98"/>
      <c r="AI937" s="98"/>
      <c r="AJ937" s="98"/>
      <c r="AK937" s="148"/>
      <c r="AL937" s="98"/>
      <c r="AM937" s="98"/>
      <c r="AN937" s="98"/>
      <c r="AO937" s="98"/>
      <c r="AP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  <c r="BY937" s="98"/>
    </row>
    <row r="938" spans="1:77" s="194" customFormat="1" x14ac:dyDescent="0.3">
      <c r="A938" s="98"/>
      <c r="B938" s="98"/>
      <c r="C938" s="98"/>
      <c r="D938" s="98"/>
      <c r="E938" s="98"/>
      <c r="F938" s="98"/>
      <c r="G938" s="98"/>
      <c r="H938" s="98"/>
      <c r="I938" s="98"/>
      <c r="J938" s="98"/>
      <c r="K938" s="98"/>
      <c r="L938" s="102"/>
      <c r="M938" s="102"/>
      <c r="N938" s="102"/>
      <c r="O938" s="102"/>
      <c r="P938" s="98"/>
      <c r="Q938" s="98"/>
      <c r="R938" s="102"/>
      <c r="S938" s="98"/>
      <c r="T938" s="99"/>
      <c r="U938" s="98"/>
      <c r="V938" s="110"/>
      <c r="W938" s="110"/>
      <c r="X938" s="110"/>
      <c r="Y938" s="110"/>
      <c r="Z938" s="110"/>
      <c r="AA938" s="110"/>
      <c r="AB938" s="228"/>
      <c r="AC938" s="110"/>
      <c r="AD938" s="110"/>
      <c r="AE938" s="141"/>
      <c r="AF938" s="141"/>
      <c r="AG938" s="148"/>
      <c r="AH938" s="110"/>
      <c r="AI938" s="207"/>
      <c r="AJ938" s="207"/>
      <c r="AK938" s="148"/>
      <c r="AL938" s="110"/>
      <c r="AM938" s="110"/>
      <c r="AN938" s="110"/>
      <c r="AO938" s="141"/>
      <c r="AP938" s="141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98"/>
      <c r="BY938" s="98"/>
    </row>
    <row r="939" spans="1:77" s="194" customFormat="1" x14ac:dyDescent="0.3">
      <c r="A939" s="98"/>
      <c r="B939" s="98"/>
      <c r="C939" s="98"/>
      <c r="D939" s="98"/>
      <c r="E939" s="98"/>
      <c r="F939" s="98"/>
      <c r="G939" s="98"/>
      <c r="H939" s="98"/>
      <c r="I939" s="98"/>
      <c r="J939" s="98"/>
      <c r="K939" s="98"/>
      <c r="L939" s="102"/>
      <c r="M939" s="102"/>
      <c r="N939" s="102"/>
      <c r="O939" s="102"/>
      <c r="P939" s="98"/>
      <c r="Q939" s="98"/>
      <c r="R939" s="102"/>
      <c r="S939" s="98"/>
      <c r="T939" s="99"/>
      <c r="U939" s="98"/>
      <c r="V939" s="110"/>
      <c r="W939" s="110"/>
      <c r="X939" s="110"/>
      <c r="Y939" s="110"/>
      <c r="Z939" s="110"/>
      <c r="AA939" s="110"/>
      <c r="AB939" s="228"/>
      <c r="AC939" s="110"/>
      <c r="AD939" s="110"/>
      <c r="AE939" s="141"/>
      <c r="AF939" s="141"/>
      <c r="AG939" s="148"/>
      <c r="AH939" s="110"/>
      <c r="AI939" s="207"/>
      <c r="AJ939" s="207"/>
      <c r="AK939" s="148"/>
      <c r="AL939" s="110"/>
      <c r="AM939" s="110"/>
      <c r="AN939" s="110"/>
      <c r="AO939" s="141"/>
      <c r="AP939" s="141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  <c r="BY939" s="98"/>
    </row>
    <row r="940" spans="1:77" s="194" customFormat="1" x14ac:dyDescent="0.3">
      <c r="A940" s="102"/>
      <c r="B940" s="98"/>
      <c r="C940" s="102"/>
      <c r="D940" s="102"/>
      <c r="E940" s="102"/>
      <c r="F940" s="102"/>
      <c r="G940" s="98"/>
      <c r="H940" s="98"/>
      <c r="I940" s="98"/>
      <c r="J940" s="102"/>
      <c r="K940" s="102"/>
      <c r="L940" s="102"/>
      <c r="M940" s="102"/>
      <c r="N940" s="102"/>
      <c r="O940" s="102"/>
      <c r="P940" s="102"/>
      <c r="Q940" s="102"/>
      <c r="R940" s="102"/>
      <c r="S940" s="98"/>
      <c r="T940" s="99"/>
      <c r="U940" s="98"/>
      <c r="V940" s="110"/>
      <c r="W940" s="110"/>
      <c r="X940" s="110"/>
      <c r="Y940" s="110"/>
      <c r="Z940" s="110"/>
      <c r="AA940" s="110"/>
      <c r="AB940" s="228"/>
      <c r="AC940" s="110"/>
      <c r="AD940" s="110"/>
      <c r="AE940" s="141"/>
      <c r="AF940" s="141"/>
      <c r="AG940" s="148"/>
      <c r="AH940" s="110"/>
      <c r="AI940" s="207"/>
      <c r="AJ940" s="207"/>
      <c r="AK940" s="148"/>
      <c r="AL940" s="110"/>
      <c r="AM940" s="110"/>
      <c r="AN940" s="110"/>
      <c r="AO940" s="141"/>
      <c r="AP940" s="141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98"/>
      <c r="BY940" s="98"/>
    </row>
    <row r="941" spans="1:77" s="194" customFormat="1" x14ac:dyDescent="0.3">
      <c r="A941" s="102"/>
      <c r="B941" s="98"/>
      <c r="C941" s="102"/>
      <c r="D941" s="102"/>
      <c r="E941" s="102"/>
      <c r="F941" s="102"/>
      <c r="G941" s="98"/>
      <c r="H941" s="102"/>
      <c r="I941" s="102"/>
      <c r="J941" s="102"/>
      <c r="K941" s="102"/>
      <c r="L941" s="102"/>
      <c r="M941" s="102"/>
      <c r="N941" s="102"/>
      <c r="O941" s="102"/>
      <c r="P941" s="102"/>
      <c r="Q941" s="102"/>
      <c r="R941" s="102"/>
      <c r="S941" s="98"/>
      <c r="T941" s="99"/>
      <c r="U941" s="98"/>
      <c r="V941" s="110"/>
      <c r="W941" s="110"/>
      <c r="X941" s="110"/>
      <c r="Y941" s="110"/>
      <c r="Z941" s="110"/>
      <c r="AA941" s="110"/>
      <c r="AB941" s="228"/>
      <c r="AC941" s="110"/>
      <c r="AD941" s="110"/>
      <c r="AE941" s="141"/>
      <c r="AF941" s="141"/>
      <c r="AG941" s="148"/>
      <c r="AH941" s="110"/>
      <c r="AI941" s="207"/>
      <c r="AJ941" s="207"/>
      <c r="AK941" s="148"/>
      <c r="AL941" s="110"/>
      <c r="AM941" s="110"/>
      <c r="AN941" s="110"/>
      <c r="AO941" s="141"/>
      <c r="AP941" s="141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98"/>
      <c r="BY941" s="98"/>
    </row>
    <row r="942" spans="1:77" s="194" customFormat="1" x14ac:dyDescent="0.3">
      <c r="A942" s="98"/>
      <c r="B942" s="98"/>
      <c r="C942" s="102"/>
      <c r="D942" s="102"/>
      <c r="E942" s="102"/>
      <c r="F942" s="102"/>
      <c r="G942" s="98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98"/>
      <c r="T942" s="98"/>
      <c r="U942" s="98"/>
      <c r="V942" s="110"/>
      <c r="W942" s="110"/>
      <c r="X942" s="110"/>
      <c r="Y942" s="110"/>
      <c r="Z942" s="110"/>
      <c r="AA942" s="110"/>
      <c r="AB942" s="228"/>
      <c r="AC942" s="98"/>
      <c r="AD942" s="98"/>
      <c r="AE942" s="98"/>
      <c r="AF942" s="98"/>
      <c r="AG942" s="148"/>
      <c r="AH942" s="98"/>
      <c r="AI942" s="98"/>
      <c r="AJ942" s="98"/>
      <c r="AK942" s="148"/>
      <c r="AL942" s="98"/>
      <c r="AM942" s="98"/>
      <c r="AN942" s="98"/>
      <c r="AO942" s="98"/>
      <c r="AP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98"/>
      <c r="BY942" s="98"/>
    </row>
    <row r="943" spans="1:77" s="194" customFormat="1" x14ac:dyDescent="0.3">
      <c r="A943" s="101"/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98"/>
      <c r="T943" s="99"/>
      <c r="U943" s="98"/>
      <c r="V943" s="110"/>
      <c r="W943" s="110"/>
      <c r="X943" s="110"/>
      <c r="Y943" s="110"/>
      <c r="Z943" s="110"/>
      <c r="AA943" s="110"/>
      <c r="AB943" s="228"/>
      <c r="AC943" s="110"/>
      <c r="AD943" s="110"/>
      <c r="AE943" s="141"/>
      <c r="AF943" s="141"/>
      <c r="AG943" s="148"/>
      <c r="AH943" s="110"/>
      <c r="AI943" s="207"/>
      <c r="AJ943" s="207"/>
      <c r="AK943" s="148"/>
      <c r="AL943" s="110"/>
      <c r="AM943" s="110"/>
      <c r="AN943" s="110"/>
      <c r="AO943" s="207"/>
      <c r="AP943" s="207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  <c r="BY943" s="98"/>
    </row>
    <row r="944" spans="1:77" s="194" customFormat="1" x14ac:dyDescent="0.3">
      <c r="A944" s="98"/>
      <c r="B944" s="98"/>
      <c r="C944" s="98"/>
      <c r="D944" s="98"/>
      <c r="E944" s="98"/>
      <c r="F944" s="98"/>
      <c r="G944" s="98"/>
      <c r="H944" s="102"/>
      <c r="I944" s="102"/>
      <c r="J944" s="102"/>
      <c r="K944" s="102"/>
      <c r="L944" s="102"/>
      <c r="M944" s="102"/>
      <c r="N944" s="102"/>
      <c r="O944" s="102"/>
      <c r="P944" s="102"/>
      <c r="Q944" s="102"/>
      <c r="R944" s="102"/>
      <c r="S944" s="98"/>
      <c r="T944" s="99"/>
      <c r="U944" s="98"/>
      <c r="V944" s="110"/>
      <c r="W944" s="110"/>
      <c r="X944" s="110"/>
      <c r="Y944" s="110"/>
      <c r="Z944" s="110"/>
      <c r="AA944" s="110"/>
      <c r="AB944" s="228"/>
      <c r="AC944" s="98"/>
      <c r="AD944" s="98"/>
      <c r="AE944" s="98"/>
      <c r="AF944" s="98"/>
      <c r="AG944" s="148"/>
      <c r="AH944" s="98"/>
      <c r="AI944" s="98"/>
      <c r="AJ944" s="98"/>
      <c r="AK944" s="148"/>
      <c r="AL944" s="98"/>
      <c r="AM944" s="98"/>
      <c r="AN944" s="98"/>
      <c r="AO944" s="98"/>
      <c r="AP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98"/>
      <c r="BY944" s="98"/>
    </row>
    <row r="945" spans="1:77" s="194" customFormat="1" x14ac:dyDescent="0.3">
      <c r="A945" s="98"/>
      <c r="B945" s="98"/>
      <c r="C945" s="99"/>
      <c r="D945" s="99"/>
      <c r="E945" s="99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9"/>
      <c r="U945" s="98"/>
      <c r="V945" s="110"/>
      <c r="W945" s="110"/>
      <c r="X945" s="110"/>
      <c r="Y945" s="110"/>
      <c r="Z945" s="110"/>
      <c r="AA945" s="110"/>
      <c r="AB945" s="228"/>
      <c r="AC945" s="110"/>
      <c r="AD945" s="110"/>
      <c r="AE945" s="141"/>
      <c r="AF945" s="141"/>
      <c r="AG945" s="148"/>
      <c r="AH945" s="110"/>
      <c r="AI945" s="207"/>
      <c r="AJ945" s="207"/>
      <c r="AK945" s="148"/>
      <c r="AL945" s="110"/>
      <c r="AM945" s="110"/>
      <c r="AN945" s="110"/>
      <c r="AO945" s="207"/>
      <c r="AP945" s="207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98"/>
      <c r="BY945" s="98"/>
    </row>
    <row r="946" spans="1:77" x14ac:dyDescent="0.3">
      <c r="AB946" s="163"/>
    </row>
    <row r="947" spans="1:77" s="194" customFormat="1" x14ac:dyDescent="0.3">
      <c r="A947" s="98"/>
      <c r="B947" s="98"/>
      <c r="C947" s="99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9"/>
      <c r="U947" s="98"/>
      <c r="V947" s="110"/>
      <c r="W947" s="110"/>
      <c r="X947" s="110"/>
      <c r="Y947" s="110"/>
      <c r="Z947" s="110"/>
      <c r="AA947" s="110"/>
      <c r="AB947" s="228"/>
      <c r="AC947" s="98"/>
      <c r="AD947" s="98"/>
      <c r="AE947" s="98"/>
      <c r="AF947" s="98"/>
      <c r="AG947" s="148"/>
      <c r="AH947" s="98"/>
      <c r="AI947" s="98"/>
      <c r="AJ947" s="98"/>
      <c r="AK947" s="148"/>
      <c r="AL947" s="98"/>
      <c r="AM947" s="98"/>
      <c r="AN947" s="98"/>
      <c r="AO947" s="98"/>
      <c r="AP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98"/>
      <c r="BY947" s="98"/>
    </row>
    <row r="948" spans="1:77" s="194" customFormat="1" x14ac:dyDescent="0.3">
      <c r="A948" s="98"/>
      <c r="B948" s="98"/>
      <c r="C948" s="99"/>
      <c r="D948" s="98"/>
      <c r="E948" s="98"/>
      <c r="F948" s="172"/>
      <c r="G948" s="98"/>
      <c r="H948" s="172"/>
      <c r="I948" s="172"/>
      <c r="J948" s="228"/>
      <c r="K948" s="228"/>
      <c r="L948" s="110"/>
      <c r="M948" s="110"/>
      <c r="N948" s="141"/>
      <c r="O948" s="141"/>
      <c r="P948" s="110"/>
      <c r="Q948" s="110"/>
      <c r="R948" s="110"/>
      <c r="S948" s="98"/>
      <c r="T948" s="99"/>
      <c r="U948" s="98"/>
      <c r="V948" s="110"/>
      <c r="W948" s="110"/>
      <c r="X948" s="110"/>
      <c r="Y948" s="110"/>
      <c r="Z948" s="110"/>
      <c r="AA948" s="110"/>
      <c r="AB948" s="228"/>
      <c r="AC948" s="110"/>
      <c r="AD948" s="110"/>
      <c r="AE948" s="141"/>
      <c r="AF948" s="141"/>
      <c r="AG948" s="148"/>
      <c r="AH948" s="110"/>
      <c r="AI948" s="207"/>
      <c r="AJ948" s="207"/>
      <c r="AK948" s="148"/>
      <c r="AL948" s="110"/>
      <c r="AM948" s="110"/>
      <c r="AN948" s="110"/>
      <c r="AO948" s="207"/>
      <c r="AP948" s="207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98"/>
      <c r="BY948" s="98"/>
    </row>
    <row r="949" spans="1:77" s="194" customFormat="1" x14ac:dyDescent="0.3">
      <c r="A949" s="98"/>
      <c r="B949" s="98"/>
      <c r="C949" s="99"/>
      <c r="D949" s="98"/>
      <c r="E949" s="98"/>
      <c r="F949" s="172"/>
      <c r="G949" s="98"/>
      <c r="H949" s="172"/>
      <c r="I949" s="172"/>
      <c r="J949" s="228"/>
      <c r="K949" s="228"/>
      <c r="L949" s="110"/>
      <c r="M949" s="110"/>
      <c r="N949" s="141"/>
      <c r="O949" s="141"/>
      <c r="P949" s="110"/>
      <c r="Q949" s="110"/>
      <c r="R949" s="110"/>
      <c r="S949" s="98"/>
      <c r="T949" s="99"/>
      <c r="U949" s="98"/>
      <c r="V949" s="110"/>
      <c r="W949" s="110"/>
      <c r="X949" s="110"/>
      <c r="Y949" s="110"/>
      <c r="Z949" s="110"/>
      <c r="AA949" s="110"/>
      <c r="AB949" s="228"/>
      <c r="AC949" s="110"/>
      <c r="AD949" s="110"/>
      <c r="AE949" s="141"/>
      <c r="AF949" s="141"/>
      <c r="AG949" s="148"/>
      <c r="AH949" s="110"/>
      <c r="AI949" s="207"/>
      <c r="AJ949" s="207"/>
      <c r="AK949" s="148"/>
      <c r="AL949" s="110"/>
      <c r="AM949" s="110"/>
      <c r="AN949" s="110"/>
      <c r="AO949" s="207"/>
      <c r="AP949" s="207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98"/>
      <c r="BY949" s="98"/>
    </row>
    <row r="950" spans="1:77" s="194" customFormat="1" x14ac:dyDescent="0.3">
      <c r="A950" s="98"/>
      <c r="B950" s="98"/>
      <c r="C950" s="99"/>
      <c r="D950" s="98"/>
      <c r="E950" s="98"/>
      <c r="F950" s="172"/>
      <c r="G950" s="98"/>
      <c r="H950" s="172"/>
      <c r="I950" s="172"/>
      <c r="J950" s="228"/>
      <c r="K950" s="228"/>
      <c r="L950" s="110"/>
      <c r="M950" s="110"/>
      <c r="N950" s="141"/>
      <c r="O950" s="141"/>
      <c r="P950" s="110"/>
      <c r="Q950" s="110"/>
      <c r="R950" s="110"/>
      <c r="S950" s="98"/>
      <c r="T950" s="98"/>
      <c r="U950" s="98"/>
      <c r="V950" s="192"/>
      <c r="W950" s="98"/>
      <c r="X950" s="98"/>
      <c r="Y950" s="98"/>
      <c r="Z950" s="98"/>
      <c r="AA950" s="192"/>
      <c r="AB950" s="217"/>
      <c r="AC950" s="192"/>
      <c r="AD950" s="192"/>
      <c r="AE950" s="192"/>
      <c r="AF950" s="192"/>
      <c r="AH950" s="192"/>
      <c r="AI950" s="98"/>
      <c r="AJ950" s="98"/>
      <c r="AL950" s="192"/>
      <c r="AM950" s="192"/>
      <c r="AN950" s="192"/>
      <c r="AO950" s="98"/>
      <c r="AP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  <c r="BY950" s="98"/>
    </row>
    <row r="951" spans="1:77" s="194" customFormat="1" x14ac:dyDescent="0.3">
      <c r="A951" s="98"/>
      <c r="B951" s="98"/>
      <c r="C951" s="99"/>
      <c r="D951" s="98"/>
      <c r="E951" s="98"/>
      <c r="F951" s="172"/>
      <c r="G951" s="98"/>
      <c r="H951" s="172"/>
      <c r="I951" s="172"/>
      <c r="J951" s="228"/>
      <c r="K951" s="228"/>
      <c r="L951" s="110"/>
      <c r="M951" s="110"/>
      <c r="N951" s="141"/>
      <c r="O951" s="141"/>
      <c r="P951" s="110"/>
      <c r="Q951" s="110"/>
      <c r="R951" s="110"/>
      <c r="S951" s="98"/>
      <c r="T951" s="99"/>
      <c r="U951" s="98"/>
      <c r="V951" s="110"/>
      <c r="W951" s="110"/>
      <c r="X951" s="110"/>
      <c r="Y951" s="110"/>
      <c r="Z951" s="110"/>
      <c r="AA951" s="110"/>
      <c r="AB951" s="227"/>
      <c r="AC951" s="110"/>
      <c r="AD951" s="110"/>
      <c r="AE951" s="141"/>
      <c r="AF951" s="141"/>
      <c r="AG951" s="148"/>
      <c r="AH951" s="110"/>
      <c r="AI951" s="207"/>
      <c r="AJ951" s="207"/>
      <c r="AK951" s="224"/>
      <c r="AL951" s="172"/>
      <c r="AM951" s="110"/>
      <c r="AN951" s="110"/>
      <c r="AO951" s="207"/>
      <c r="AP951" s="207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  <c r="BY951" s="98"/>
    </row>
    <row r="952" spans="1:77" s="194" customFormat="1" x14ac:dyDescent="0.3">
      <c r="A952" s="98"/>
      <c r="B952" s="98"/>
      <c r="C952" s="98"/>
      <c r="D952" s="98"/>
      <c r="E952" s="98"/>
      <c r="F952" s="98"/>
      <c r="G952" s="98"/>
      <c r="H952" s="98"/>
      <c r="I952" s="98"/>
      <c r="J952" s="163"/>
      <c r="K952" s="163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192"/>
      <c r="W952" s="98"/>
      <c r="X952" s="98"/>
      <c r="Y952" s="98"/>
      <c r="Z952" s="98"/>
      <c r="AA952" s="192"/>
      <c r="AB952" s="217"/>
      <c r="AC952" s="192"/>
      <c r="AD952" s="192"/>
      <c r="AE952" s="192"/>
      <c r="AF952" s="192"/>
      <c r="AH952" s="192"/>
      <c r="AI952" s="98"/>
      <c r="AJ952" s="98"/>
      <c r="AL952" s="192"/>
      <c r="AM952" s="192"/>
      <c r="AN952" s="192"/>
      <c r="AO952" s="98"/>
      <c r="AP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  <c r="BY952" s="98"/>
    </row>
    <row r="953" spans="1:77" s="194" customFormat="1" x14ac:dyDescent="0.3">
      <c r="A953" s="98"/>
      <c r="B953" s="98"/>
      <c r="C953" s="99"/>
      <c r="D953" s="98"/>
      <c r="E953" s="98"/>
      <c r="F953" s="172"/>
      <c r="G953" s="98"/>
      <c r="H953" s="172"/>
      <c r="I953" s="172"/>
      <c r="J953" s="228"/>
      <c r="K953" s="228"/>
      <c r="L953" s="110"/>
      <c r="M953" s="110"/>
      <c r="N953" s="141"/>
      <c r="O953" s="141"/>
      <c r="P953" s="110"/>
      <c r="Q953" s="110"/>
      <c r="R953" s="110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148"/>
      <c r="AH953" s="98"/>
      <c r="AI953" s="98"/>
      <c r="AJ953" s="98"/>
      <c r="AK953" s="148"/>
      <c r="AL953" s="98"/>
      <c r="AM953" s="98"/>
      <c r="AN953" s="98"/>
      <c r="AO953" s="98"/>
      <c r="AP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  <c r="BX953" s="98"/>
      <c r="BY953" s="98"/>
    </row>
    <row r="954" spans="1:77" s="194" customFormat="1" x14ac:dyDescent="0.3">
      <c r="A954" s="98"/>
      <c r="B954" s="98"/>
      <c r="C954" s="99"/>
      <c r="D954" s="98"/>
      <c r="E954" s="98"/>
      <c r="F954" s="98"/>
      <c r="G954" s="98"/>
      <c r="H954" s="98"/>
      <c r="I954" s="98"/>
      <c r="J954" s="163"/>
      <c r="K954" s="163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148"/>
      <c r="AH954" s="98"/>
      <c r="AI954" s="98"/>
      <c r="AJ954" s="98"/>
      <c r="AK954" s="148"/>
      <c r="AL954" s="98"/>
      <c r="AM954" s="98"/>
      <c r="AN954" s="98"/>
      <c r="AO954" s="98"/>
      <c r="AP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98"/>
      <c r="BY954" s="98"/>
    </row>
    <row r="955" spans="1:77" s="194" customFormat="1" x14ac:dyDescent="0.3">
      <c r="A955" s="98"/>
      <c r="B955" s="98"/>
      <c r="C955" s="99"/>
      <c r="D955" s="98"/>
      <c r="E955" s="98"/>
      <c r="F955" s="172"/>
      <c r="G955" s="98"/>
      <c r="H955" s="172"/>
      <c r="I955" s="172"/>
      <c r="J955" s="228"/>
      <c r="K955" s="228"/>
      <c r="L955" s="110"/>
      <c r="M955" s="110"/>
      <c r="N955" s="141"/>
      <c r="O955" s="141"/>
      <c r="P955" s="110"/>
      <c r="Q955" s="110"/>
      <c r="R955" s="110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148"/>
      <c r="AH955" s="98"/>
      <c r="AI955" s="98"/>
      <c r="AJ955" s="98"/>
      <c r="AK955" s="148"/>
      <c r="AL955" s="98"/>
      <c r="AM955" s="98"/>
      <c r="AN955" s="98"/>
      <c r="AO955" s="98"/>
      <c r="AP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  <c r="BY955" s="98"/>
    </row>
    <row r="956" spans="1:77" s="194" customFormat="1" x14ac:dyDescent="0.3">
      <c r="A956" s="98"/>
      <c r="B956" s="98"/>
      <c r="C956" s="98"/>
      <c r="D956" s="98"/>
      <c r="E956" s="98"/>
      <c r="F956" s="98"/>
      <c r="G956" s="98"/>
      <c r="H956" s="98"/>
      <c r="I956" s="98"/>
      <c r="J956" s="163"/>
      <c r="K956" s="163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148"/>
      <c r="AH956" s="98"/>
      <c r="AI956" s="98"/>
      <c r="AJ956" s="98"/>
      <c r="AK956" s="148"/>
      <c r="AL956" s="98"/>
      <c r="AM956" s="98"/>
      <c r="AN956" s="98"/>
      <c r="AO956" s="98"/>
      <c r="AP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  <c r="BY956" s="98"/>
    </row>
    <row r="957" spans="1:77" s="194" customFormat="1" x14ac:dyDescent="0.3">
      <c r="A957" s="98"/>
      <c r="B957" s="98"/>
      <c r="C957" s="99"/>
      <c r="D957" s="98"/>
      <c r="E957" s="98"/>
      <c r="F957" s="98"/>
      <c r="G957" s="98"/>
      <c r="H957" s="98"/>
      <c r="I957" s="98"/>
      <c r="J957" s="163"/>
      <c r="K957" s="163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9"/>
      <c r="AB957" s="98"/>
      <c r="AC957" s="98"/>
      <c r="AD957" s="98"/>
      <c r="AE957" s="98"/>
      <c r="AF957" s="98"/>
      <c r="AG957" s="148"/>
      <c r="AH957" s="98"/>
      <c r="AI957" s="98"/>
      <c r="AJ957" s="98"/>
      <c r="AK957" s="148"/>
      <c r="AL957" s="98"/>
      <c r="AM957" s="98"/>
      <c r="AN957" s="98"/>
      <c r="AO957" s="98"/>
      <c r="AP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98"/>
      <c r="BY957" s="98"/>
    </row>
    <row r="958" spans="1:77" s="194" customFormat="1" x14ac:dyDescent="0.3">
      <c r="A958" s="98"/>
      <c r="B958" s="98"/>
      <c r="C958" s="99"/>
      <c r="D958" s="98"/>
      <c r="E958" s="98"/>
      <c r="F958" s="172"/>
      <c r="G958" s="98"/>
      <c r="H958" s="172"/>
      <c r="I958" s="172"/>
      <c r="J958" s="228"/>
      <c r="K958" s="228"/>
      <c r="L958" s="110"/>
      <c r="M958" s="110"/>
      <c r="N958" s="141"/>
      <c r="O958" s="141"/>
      <c r="P958" s="110"/>
      <c r="Q958" s="110"/>
      <c r="R958" s="110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148"/>
      <c r="AH958" s="98"/>
      <c r="AI958" s="98"/>
      <c r="AJ958" s="98"/>
      <c r="AK958" s="148"/>
      <c r="AL958" s="98"/>
      <c r="AM958" s="98"/>
      <c r="AN958" s="98"/>
      <c r="AO958" s="98"/>
      <c r="AP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  <c r="BY958" s="98"/>
    </row>
    <row r="959" spans="1:77" s="194" customFormat="1" x14ac:dyDescent="0.3">
      <c r="A959" s="98"/>
      <c r="B959" s="98"/>
      <c r="C959" s="99"/>
      <c r="D959" s="98"/>
      <c r="E959" s="98"/>
      <c r="F959" s="172"/>
      <c r="G959" s="98"/>
      <c r="H959" s="172"/>
      <c r="I959" s="172"/>
      <c r="J959" s="228"/>
      <c r="K959" s="228"/>
      <c r="L959" s="110"/>
      <c r="M959" s="110"/>
      <c r="N959" s="141"/>
      <c r="O959" s="141"/>
      <c r="P959" s="110"/>
      <c r="Q959" s="110"/>
      <c r="R959" s="110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9"/>
      <c r="AD959" s="99"/>
      <c r="AE959" s="98"/>
      <c r="AF959" s="98"/>
      <c r="AG959" s="148"/>
      <c r="AH959" s="98"/>
      <c r="AI959" s="98"/>
      <c r="AJ959" s="98"/>
      <c r="AK959" s="148"/>
      <c r="AL959" s="98"/>
      <c r="AM959" s="98"/>
      <c r="AN959" s="98"/>
      <c r="AO959" s="98"/>
      <c r="AP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98"/>
      <c r="BY959" s="98"/>
    </row>
    <row r="960" spans="1:77" s="194" customFormat="1" x14ac:dyDescent="0.3">
      <c r="A960" s="98"/>
      <c r="B960" s="98"/>
      <c r="C960" s="98"/>
      <c r="D960" s="98"/>
      <c r="E960" s="98"/>
      <c r="F960" s="192"/>
      <c r="G960" s="98"/>
      <c r="H960" s="192"/>
      <c r="I960" s="192"/>
      <c r="J960" s="228"/>
      <c r="K960" s="228"/>
      <c r="L960" s="192"/>
      <c r="M960" s="192"/>
      <c r="N960" s="192"/>
      <c r="O960" s="192"/>
      <c r="P960" s="192"/>
      <c r="Q960" s="192"/>
      <c r="R960" s="192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148"/>
      <c r="AH960" s="98"/>
      <c r="AI960" s="98"/>
      <c r="AJ960" s="98"/>
      <c r="AK960" s="148"/>
      <c r="AL960" s="98"/>
      <c r="AM960" s="99"/>
      <c r="AN960" s="99"/>
      <c r="AO960" s="98"/>
      <c r="AP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98"/>
      <c r="BY960" s="98"/>
    </row>
    <row r="961" spans="1:77" s="194" customFormat="1" x14ac:dyDescent="0.3">
      <c r="A961" s="98"/>
      <c r="B961" s="98"/>
      <c r="C961" s="99"/>
      <c r="D961" s="98"/>
      <c r="E961" s="98"/>
      <c r="F961" s="110"/>
      <c r="G961" s="98"/>
      <c r="H961" s="110"/>
      <c r="I961" s="110"/>
      <c r="J961" s="98"/>
      <c r="K961" s="98"/>
      <c r="L961" s="110"/>
      <c r="M961" s="110"/>
      <c r="N961" s="141"/>
      <c r="O961" s="141"/>
      <c r="P961" s="172"/>
      <c r="Q961" s="172"/>
      <c r="R961" s="110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148"/>
      <c r="AH961" s="98"/>
      <c r="AI961" s="98"/>
      <c r="AJ961" s="98"/>
      <c r="AK961" s="148"/>
      <c r="AL961" s="98"/>
      <c r="AM961" s="99"/>
      <c r="AN961" s="99"/>
      <c r="AO961" s="98"/>
      <c r="AP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98"/>
      <c r="BY961" s="98"/>
    </row>
    <row r="962" spans="1:77" s="194" customFormat="1" x14ac:dyDescent="0.3">
      <c r="A962" s="98"/>
      <c r="B962" s="98"/>
      <c r="C962" s="98"/>
      <c r="D962" s="98"/>
      <c r="E962" s="98"/>
      <c r="F962" s="98"/>
      <c r="G962" s="98"/>
      <c r="H962" s="192"/>
      <c r="I962" s="192"/>
      <c r="J962" s="217"/>
      <c r="K962" s="217"/>
      <c r="L962" s="192"/>
      <c r="M962" s="192"/>
      <c r="N962" s="192"/>
      <c r="O962" s="192"/>
      <c r="P962" s="192"/>
      <c r="Q962" s="192"/>
      <c r="R962" s="192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148"/>
      <c r="AH962" s="98"/>
      <c r="AI962" s="98"/>
      <c r="AJ962" s="98"/>
      <c r="AK962" s="148"/>
      <c r="AL962" s="98"/>
      <c r="AM962" s="99"/>
      <c r="AN962" s="99"/>
      <c r="AO962" s="98"/>
      <c r="AP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98"/>
      <c r="BY962" s="98"/>
    </row>
    <row r="963" spans="1:77" s="194" customFormat="1" x14ac:dyDescent="0.3">
      <c r="A963" s="98"/>
      <c r="B963" s="98"/>
      <c r="C963" s="98"/>
      <c r="D963" s="98"/>
      <c r="E963" s="98"/>
      <c r="F963" s="192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9"/>
      <c r="AD963" s="99"/>
      <c r="AE963" s="98"/>
      <c r="AF963" s="98"/>
      <c r="AG963" s="148"/>
      <c r="AH963" s="98"/>
      <c r="AI963" s="98"/>
      <c r="AJ963" s="98"/>
      <c r="AK963" s="148"/>
      <c r="AL963" s="98"/>
      <c r="AM963" s="98"/>
      <c r="AN963" s="98"/>
      <c r="AO963" s="98"/>
      <c r="AP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98"/>
      <c r="BY963" s="98"/>
    </row>
    <row r="964" spans="1:77" s="194" customFormat="1" x14ac:dyDescent="0.3">
      <c r="A964" s="98"/>
      <c r="B964" s="98"/>
      <c r="C964" s="98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101"/>
      <c r="U964" s="101"/>
      <c r="V964" s="101"/>
      <c r="W964" s="101"/>
      <c r="X964" s="101"/>
      <c r="Y964" s="101"/>
      <c r="Z964" s="101"/>
      <c r="AA964" s="101"/>
      <c r="AB964" s="101"/>
      <c r="AC964" s="101"/>
      <c r="AD964" s="101"/>
      <c r="AE964" s="101"/>
      <c r="AF964" s="101"/>
      <c r="AG964" s="191"/>
      <c r="AH964" s="101"/>
      <c r="AI964" s="101"/>
      <c r="AJ964" s="101"/>
      <c r="AK964" s="191"/>
      <c r="AL964" s="101"/>
      <c r="AM964" s="101"/>
      <c r="AN964" s="101"/>
      <c r="AO964" s="101"/>
      <c r="AP964" s="101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98"/>
      <c r="BY964" s="98"/>
    </row>
    <row r="965" spans="1:77" s="194" customFormat="1" x14ac:dyDescent="0.3">
      <c r="A965" s="99"/>
      <c r="B965" s="98"/>
      <c r="C965" s="98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102"/>
      <c r="AD965" s="102"/>
      <c r="AE965" s="102"/>
      <c r="AF965" s="102"/>
      <c r="AG965" s="151"/>
      <c r="AH965" s="102"/>
      <c r="AI965" s="102"/>
      <c r="AJ965" s="102"/>
      <c r="AK965" s="148"/>
      <c r="AL965" s="98"/>
      <c r="AM965" s="102"/>
      <c r="AN965" s="102"/>
      <c r="AO965" s="102"/>
      <c r="AP965" s="102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98"/>
      <c r="BY965" s="98"/>
    </row>
    <row r="966" spans="1:77" s="194" customFormat="1" x14ac:dyDescent="0.3">
      <c r="A966" s="98"/>
      <c r="B966" s="98"/>
      <c r="C966" s="98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102"/>
      <c r="AC966" s="102"/>
      <c r="AD966" s="102"/>
      <c r="AE966" s="102"/>
      <c r="AF966" s="102"/>
      <c r="AG966" s="151"/>
      <c r="AH966" s="102"/>
      <c r="AI966" s="102"/>
      <c r="AJ966" s="102"/>
      <c r="AK966" s="148"/>
      <c r="AL966" s="98"/>
      <c r="AM966" s="102"/>
      <c r="AN966" s="102"/>
      <c r="AO966" s="102"/>
      <c r="AP966" s="102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  <c r="BY966" s="98"/>
    </row>
    <row r="967" spans="1:77" s="194" customFormat="1" x14ac:dyDescent="0.3">
      <c r="A967" s="98"/>
      <c r="B967" s="98"/>
      <c r="C967" s="98"/>
      <c r="D967" s="98"/>
      <c r="E967" s="98"/>
      <c r="F967" s="98"/>
      <c r="G967" s="98"/>
      <c r="H967" s="99"/>
      <c r="I967" s="99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102"/>
      <c r="U967" s="102"/>
      <c r="V967" s="102"/>
      <c r="W967" s="98"/>
      <c r="X967" s="98"/>
      <c r="Y967" s="98"/>
      <c r="Z967" s="98"/>
      <c r="AA967" s="98"/>
      <c r="AB967" s="102"/>
      <c r="AC967" s="102"/>
      <c r="AD967" s="102"/>
      <c r="AE967" s="102"/>
      <c r="AF967" s="102"/>
      <c r="AG967" s="151"/>
      <c r="AH967" s="102"/>
      <c r="AI967" s="102"/>
      <c r="AJ967" s="102"/>
      <c r="AK967" s="151"/>
      <c r="AL967" s="102"/>
      <c r="AM967" s="102"/>
      <c r="AN967" s="102"/>
      <c r="AO967" s="102"/>
      <c r="AP967" s="102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  <c r="BY967" s="98"/>
    </row>
    <row r="968" spans="1:77" s="194" customFormat="1" x14ac:dyDescent="0.3">
      <c r="A968" s="98"/>
      <c r="B968" s="98"/>
      <c r="C968" s="98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102"/>
      <c r="U968" s="102"/>
      <c r="V968" s="102"/>
      <c r="W968" s="98"/>
      <c r="X968" s="98"/>
      <c r="Y968" s="98"/>
      <c r="Z968" s="98"/>
      <c r="AA968" s="102"/>
      <c r="AB968" s="102"/>
      <c r="AC968" s="102"/>
      <c r="AD968" s="102"/>
      <c r="AE968" s="102"/>
      <c r="AF968" s="102"/>
      <c r="AG968" s="151"/>
      <c r="AH968" s="102"/>
      <c r="AI968" s="102"/>
      <c r="AJ968" s="102"/>
      <c r="AK968" s="151"/>
      <c r="AL968" s="102"/>
      <c r="AM968" s="102"/>
      <c r="AN968" s="102"/>
      <c r="AO968" s="102"/>
      <c r="AP968" s="102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98"/>
      <c r="BY968" s="98"/>
    </row>
    <row r="969" spans="1:77" s="194" customFormat="1" x14ac:dyDescent="0.3">
      <c r="A969" s="98"/>
      <c r="B969" s="98"/>
      <c r="C969" s="98"/>
      <c r="D969" s="98"/>
      <c r="E969" s="98"/>
      <c r="F969" s="98"/>
      <c r="G969" s="98"/>
      <c r="H969" s="98"/>
      <c r="I969" s="98"/>
      <c r="J969" s="98"/>
      <c r="K969" s="98"/>
      <c r="L969" s="99"/>
      <c r="M969" s="99"/>
      <c r="N969" s="98"/>
      <c r="O969" s="98"/>
      <c r="P969" s="98"/>
      <c r="Q969" s="98"/>
      <c r="R969" s="98"/>
      <c r="S969" s="98"/>
      <c r="T969" s="102"/>
      <c r="U969" s="102"/>
      <c r="V969" s="102"/>
      <c r="W969" s="98"/>
      <c r="X969" s="98"/>
      <c r="Y969" s="98"/>
      <c r="Z969" s="98"/>
      <c r="AA969" s="102"/>
      <c r="AB969" s="102"/>
      <c r="AC969" s="102"/>
      <c r="AD969" s="102"/>
      <c r="AE969" s="102"/>
      <c r="AF969" s="102"/>
      <c r="AG969" s="151"/>
      <c r="AH969" s="102"/>
      <c r="AI969" s="102"/>
      <c r="AJ969" s="102"/>
      <c r="AK969" s="151"/>
      <c r="AL969" s="102"/>
      <c r="AM969" s="102"/>
      <c r="AN969" s="102"/>
      <c r="AO969" s="102"/>
      <c r="AP969" s="102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98"/>
      <c r="BY969" s="98"/>
    </row>
    <row r="970" spans="1:77" s="194" customFormat="1" x14ac:dyDescent="0.3">
      <c r="A970" s="98"/>
      <c r="B970" s="98"/>
      <c r="C970" s="98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9"/>
      <c r="S970" s="98"/>
      <c r="T970" s="101"/>
      <c r="U970" s="101"/>
      <c r="V970" s="101"/>
      <c r="W970" s="101"/>
      <c r="X970" s="101"/>
      <c r="Y970" s="101"/>
      <c r="Z970" s="101"/>
      <c r="AA970" s="101"/>
      <c r="AB970" s="101"/>
      <c r="AC970" s="101"/>
      <c r="AD970" s="101"/>
      <c r="AE970" s="101"/>
      <c r="AF970" s="101"/>
      <c r="AG970" s="191"/>
      <c r="AH970" s="101"/>
      <c r="AI970" s="101"/>
      <c r="AJ970" s="101"/>
      <c r="AK970" s="191"/>
      <c r="AL970" s="101"/>
      <c r="AM970" s="101"/>
      <c r="AN970" s="101"/>
      <c r="AO970" s="101"/>
      <c r="AP970" s="101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  <c r="BY970" s="98"/>
    </row>
    <row r="971" spans="1:77" s="194" customFormat="1" x14ac:dyDescent="0.3">
      <c r="A971" s="98"/>
      <c r="B971" s="98"/>
      <c r="C971" s="98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9"/>
      <c r="S971" s="98"/>
      <c r="T971" s="98"/>
      <c r="U971" s="98"/>
      <c r="V971" s="98"/>
      <c r="W971" s="98"/>
      <c r="X971" s="98"/>
      <c r="Y971" s="98"/>
      <c r="Z971" s="98"/>
      <c r="AA971" s="102"/>
      <c r="AB971" s="102"/>
      <c r="AC971" s="102"/>
      <c r="AD971" s="102"/>
      <c r="AE971" s="102"/>
      <c r="AF971" s="102"/>
      <c r="AG971" s="151"/>
      <c r="AH971" s="102"/>
      <c r="AI971" s="102"/>
      <c r="AJ971" s="102"/>
      <c r="AK971" s="151"/>
      <c r="AL971" s="102"/>
      <c r="AM971" s="102"/>
      <c r="AN971" s="102"/>
      <c r="AO971" s="102"/>
      <c r="AP971" s="102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</row>
    <row r="972" spans="1:77" s="194" customFormat="1" x14ac:dyDescent="0.3">
      <c r="A972" s="99"/>
      <c r="B972" s="98"/>
      <c r="C972" s="98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9"/>
      <c r="S972" s="98"/>
      <c r="T972" s="99"/>
      <c r="U972" s="99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148"/>
      <c r="AH972" s="98"/>
      <c r="AI972" s="98"/>
      <c r="AJ972" s="98"/>
      <c r="AK972" s="148"/>
      <c r="AL972" s="98"/>
      <c r="AM972" s="98"/>
      <c r="AN972" s="98"/>
      <c r="AO972" s="98"/>
      <c r="AP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  <c r="BY972" s="98"/>
    </row>
    <row r="973" spans="1:77" s="194" customFormat="1" x14ac:dyDescent="0.3">
      <c r="A973" s="98"/>
      <c r="B973" s="98"/>
      <c r="C973" s="98"/>
      <c r="D973" s="98"/>
      <c r="E973" s="98"/>
      <c r="F973" s="98"/>
      <c r="G973" s="98"/>
      <c r="H973" s="98"/>
      <c r="I973" s="98"/>
      <c r="J973" s="98"/>
      <c r="K973" s="98"/>
      <c r="L973" s="99"/>
      <c r="M973" s="99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148"/>
      <c r="AH973" s="98"/>
      <c r="AI973" s="98"/>
      <c r="AJ973" s="98"/>
      <c r="AK973" s="148"/>
      <c r="AL973" s="98"/>
      <c r="AM973" s="98"/>
      <c r="AN973" s="98"/>
      <c r="AO973" s="98"/>
      <c r="AP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  <c r="BY973" s="98"/>
    </row>
    <row r="974" spans="1:77" s="194" customFormat="1" x14ac:dyDescent="0.3">
      <c r="A974" s="101"/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98"/>
      <c r="T974" s="99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148"/>
      <c r="AH974" s="98"/>
      <c r="AI974" s="98"/>
      <c r="AJ974" s="98"/>
      <c r="AK974" s="148"/>
      <c r="AL974" s="98"/>
      <c r="AM974" s="98"/>
      <c r="AN974" s="98"/>
      <c r="AO974" s="98"/>
      <c r="AP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98"/>
      <c r="BY974" s="98"/>
    </row>
    <row r="975" spans="1:77" s="194" customFormat="1" x14ac:dyDescent="0.3">
      <c r="A975" s="98"/>
      <c r="B975" s="98"/>
      <c r="C975" s="98"/>
      <c r="D975" s="98"/>
      <c r="E975" s="98"/>
      <c r="F975" s="98"/>
      <c r="G975" s="98"/>
      <c r="H975" s="98"/>
      <c r="I975" s="98"/>
      <c r="J975" s="98"/>
      <c r="K975" s="98"/>
      <c r="L975" s="102"/>
      <c r="M975" s="102"/>
      <c r="N975" s="102"/>
      <c r="O975" s="102"/>
      <c r="P975" s="98"/>
      <c r="Q975" s="98"/>
      <c r="R975" s="102"/>
      <c r="S975" s="98"/>
      <c r="T975" s="99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148"/>
      <c r="AH975" s="98"/>
      <c r="AI975" s="98"/>
      <c r="AJ975" s="98"/>
      <c r="AK975" s="148"/>
      <c r="AL975" s="98"/>
      <c r="AM975" s="98"/>
      <c r="AN975" s="98"/>
      <c r="AO975" s="98"/>
      <c r="AP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98"/>
      <c r="BY975" s="98"/>
    </row>
    <row r="976" spans="1:77" s="194" customFormat="1" x14ac:dyDescent="0.3">
      <c r="A976" s="98"/>
      <c r="B976" s="98"/>
      <c r="C976" s="98"/>
      <c r="D976" s="98"/>
      <c r="E976" s="98"/>
      <c r="F976" s="98"/>
      <c r="G976" s="98"/>
      <c r="H976" s="98"/>
      <c r="I976" s="98"/>
      <c r="J976" s="98"/>
      <c r="K976" s="98"/>
      <c r="L976" s="102"/>
      <c r="M976" s="102"/>
      <c r="N976" s="102"/>
      <c r="O976" s="102"/>
      <c r="P976" s="98"/>
      <c r="Q976" s="98"/>
      <c r="R976" s="102"/>
      <c r="S976" s="98"/>
      <c r="T976" s="99"/>
      <c r="U976" s="98"/>
      <c r="V976" s="110"/>
      <c r="W976" s="110"/>
      <c r="X976" s="110"/>
      <c r="Y976" s="110"/>
      <c r="Z976" s="110"/>
      <c r="AA976" s="110"/>
      <c r="AB976" s="228"/>
      <c r="AC976" s="110"/>
      <c r="AD976" s="110"/>
      <c r="AE976" s="141"/>
      <c r="AF976" s="141"/>
      <c r="AG976" s="148"/>
      <c r="AH976" s="110"/>
      <c r="AI976" s="207"/>
      <c r="AJ976" s="207"/>
      <c r="AK976" s="148"/>
      <c r="AL976" s="110"/>
      <c r="AM976" s="110"/>
      <c r="AN976" s="110"/>
      <c r="AO976" s="207"/>
      <c r="AP976" s="207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98"/>
      <c r="BY976" s="98"/>
    </row>
    <row r="977" spans="1:77" s="194" customFormat="1" x14ac:dyDescent="0.3">
      <c r="A977" s="102"/>
      <c r="B977" s="98"/>
      <c r="C977" s="102"/>
      <c r="D977" s="102"/>
      <c r="E977" s="102"/>
      <c r="F977" s="102"/>
      <c r="G977" s="98"/>
      <c r="H977" s="98"/>
      <c r="I977" s="98"/>
      <c r="J977" s="102"/>
      <c r="K977" s="102"/>
      <c r="L977" s="102"/>
      <c r="M977" s="102"/>
      <c r="N977" s="102"/>
      <c r="O977" s="102"/>
      <c r="P977" s="102"/>
      <c r="Q977" s="102"/>
      <c r="R977" s="102"/>
      <c r="S977" s="98"/>
      <c r="T977" s="99"/>
      <c r="U977" s="98"/>
      <c r="V977" s="110"/>
      <c r="W977" s="110"/>
      <c r="X977" s="110"/>
      <c r="Y977" s="110"/>
      <c r="Z977" s="110"/>
      <c r="AA977" s="110"/>
      <c r="AB977" s="163"/>
      <c r="AC977" s="110"/>
      <c r="AD977" s="110"/>
      <c r="AE977" s="141"/>
      <c r="AF977" s="141"/>
      <c r="AG977" s="148"/>
      <c r="AH977" s="110"/>
      <c r="AI977" s="207"/>
      <c r="AJ977" s="207"/>
      <c r="AK977" s="148"/>
      <c r="AL977" s="110"/>
      <c r="AM977" s="110"/>
      <c r="AN977" s="110"/>
      <c r="AO977" s="207"/>
      <c r="AP977" s="207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  <c r="BX977" s="98"/>
      <c r="BY977" s="98"/>
    </row>
    <row r="978" spans="1:77" s="194" customFormat="1" x14ac:dyDescent="0.3">
      <c r="A978" s="102"/>
      <c r="B978" s="98"/>
      <c r="C978" s="102"/>
      <c r="D978" s="102"/>
      <c r="E978" s="102"/>
      <c r="F978" s="102"/>
      <c r="G978" s="98"/>
      <c r="H978" s="102"/>
      <c r="I978" s="102"/>
      <c r="J978" s="102"/>
      <c r="K978" s="102"/>
      <c r="L978" s="102"/>
      <c r="M978" s="102"/>
      <c r="N978" s="102"/>
      <c r="O978" s="102"/>
      <c r="P978" s="102"/>
      <c r="Q978" s="102"/>
      <c r="R978" s="102"/>
      <c r="S978" s="98"/>
      <c r="T978" s="99"/>
      <c r="U978" s="98"/>
      <c r="V978" s="110"/>
      <c r="W978" s="110"/>
      <c r="X978" s="110"/>
      <c r="Y978" s="110"/>
      <c r="Z978" s="110"/>
      <c r="AA978" s="110"/>
      <c r="AB978" s="163"/>
      <c r="AC978" s="110"/>
      <c r="AD978" s="110"/>
      <c r="AE978" s="141"/>
      <c r="AF978" s="141"/>
      <c r="AG978" s="148"/>
      <c r="AH978" s="110"/>
      <c r="AI978" s="207"/>
      <c r="AJ978" s="207"/>
      <c r="AK978" s="148"/>
      <c r="AL978" s="110"/>
      <c r="AM978" s="110"/>
      <c r="AN978" s="110"/>
      <c r="AO978" s="207"/>
      <c r="AP978" s="207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98"/>
      <c r="BY978" s="98"/>
    </row>
    <row r="979" spans="1:77" s="194" customFormat="1" x14ac:dyDescent="0.3">
      <c r="A979" s="98"/>
      <c r="B979" s="98"/>
      <c r="C979" s="102"/>
      <c r="D979" s="102"/>
      <c r="E979" s="102"/>
      <c r="F979" s="102"/>
      <c r="G979" s="98"/>
      <c r="H979" s="102"/>
      <c r="I979" s="102"/>
      <c r="J979" s="102"/>
      <c r="K979" s="102"/>
      <c r="L979" s="102"/>
      <c r="M979" s="102"/>
      <c r="N979" s="102"/>
      <c r="O979" s="102"/>
      <c r="P979" s="102"/>
      <c r="Q979" s="102"/>
      <c r="R979" s="102"/>
      <c r="S979" s="98"/>
      <c r="T979" s="99"/>
      <c r="U979" s="98"/>
      <c r="V979" s="110"/>
      <c r="W979" s="98"/>
      <c r="X979" s="98"/>
      <c r="Y979" s="98"/>
      <c r="Z979" s="98"/>
      <c r="AA979" s="98"/>
      <c r="AB979" s="163"/>
      <c r="AC979" s="98"/>
      <c r="AD979" s="98"/>
      <c r="AE979" s="98"/>
      <c r="AF979" s="98"/>
      <c r="AG979" s="148"/>
      <c r="AH979" s="98"/>
      <c r="AI979" s="98"/>
      <c r="AJ979" s="98"/>
      <c r="AK979" s="148"/>
      <c r="AL979" s="98"/>
      <c r="AM979" s="98"/>
      <c r="AN979" s="98"/>
      <c r="AO979" s="98"/>
      <c r="AP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  <c r="BY979" s="98"/>
    </row>
    <row r="980" spans="1:77" s="194" customFormat="1" x14ac:dyDescent="0.3">
      <c r="A980" s="101"/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98"/>
      <c r="T980" s="99"/>
      <c r="U980" s="98"/>
      <c r="V980" s="110"/>
      <c r="W980" s="110"/>
      <c r="X980" s="110"/>
      <c r="Y980" s="110"/>
      <c r="Z980" s="110"/>
      <c r="AA980" s="110"/>
      <c r="AB980" s="228"/>
      <c r="AC980" s="110"/>
      <c r="AD980" s="110"/>
      <c r="AE980" s="141"/>
      <c r="AF980" s="141"/>
      <c r="AG980" s="148"/>
      <c r="AH980" s="110"/>
      <c r="AI980" s="207"/>
      <c r="AJ980" s="207"/>
      <c r="AK980" s="148"/>
      <c r="AL980" s="110"/>
      <c r="AM980" s="110"/>
      <c r="AN980" s="110"/>
      <c r="AO980" s="207"/>
      <c r="AP980" s="207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  <c r="BY980" s="98"/>
    </row>
    <row r="981" spans="1:77" s="194" customFormat="1" x14ac:dyDescent="0.3">
      <c r="A981" s="98"/>
      <c r="B981" s="98"/>
      <c r="C981" s="98"/>
      <c r="D981" s="98"/>
      <c r="E981" s="98"/>
      <c r="F981" s="98"/>
      <c r="G981" s="98"/>
      <c r="H981" s="102"/>
      <c r="I981" s="102"/>
      <c r="J981" s="102"/>
      <c r="K981" s="102"/>
      <c r="L981" s="102"/>
      <c r="M981" s="102"/>
      <c r="N981" s="102"/>
      <c r="O981" s="102"/>
      <c r="P981" s="102"/>
      <c r="Q981" s="102"/>
      <c r="R981" s="102"/>
      <c r="S981" s="98"/>
      <c r="T981" s="99"/>
      <c r="U981" s="98"/>
      <c r="V981" s="110"/>
      <c r="W981" s="110"/>
      <c r="X981" s="110"/>
      <c r="Y981" s="110"/>
      <c r="Z981" s="110"/>
      <c r="AA981" s="110"/>
      <c r="AB981" s="163"/>
      <c r="AC981" s="98"/>
      <c r="AD981" s="98"/>
      <c r="AE981" s="141"/>
      <c r="AF981" s="141"/>
      <c r="AG981" s="148"/>
      <c r="AH981" s="110"/>
      <c r="AI981" s="207"/>
      <c r="AJ981" s="207"/>
      <c r="AK981" s="148"/>
      <c r="AL981" s="110"/>
      <c r="AM981" s="110"/>
      <c r="AN981" s="110"/>
      <c r="AO981" s="207"/>
      <c r="AP981" s="207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</row>
    <row r="982" spans="1:77" s="194" customFormat="1" x14ac:dyDescent="0.3">
      <c r="A982" s="98"/>
      <c r="B982" s="98"/>
      <c r="C982" s="99"/>
      <c r="D982" s="99"/>
      <c r="E982" s="99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9"/>
      <c r="U982" s="98"/>
      <c r="V982" s="110"/>
      <c r="W982" s="110"/>
      <c r="X982" s="110"/>
      <c r="Y982" s="110"/>
      <c r="Z982" s="110"/>
      <c r="AA982" s="110"/>
      <c r="AB982" s="228"/>
      <c r="AC982" s="110"/>
      <c r="AD982" s="110"/>
      <c r="AE982" s="141"/>
      <c r="AF982" s="141"/>
      <c r="AG982" s="148"/>
      <c r="AH982" s="110"/>
      <c r="AI982" s="207"/>
      <c r="AJ982" s="207"/>
      <c r="AK982" s="148"/>
      <c r="AL982" s="110"/>
      <c r="AM982" s="110"/>
      <c r="AN982" s="110"/>
      <c r="AO982" s="207"/>
      <c r="AP982" s="207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98"/>
      <c r="BY982" s="98"/>
    </row>
    <row r="983" spans="1:77" x14ac:dyDescent="0.3">
      <c r="T983" s="99"/>
      <c r="V983" s="110"/>
      <c r="W983" s="110"/>
      <c r="X983" s="110"/>
      <c r="Y983" s="110"/>
      <c r="Z983" s="110"/>
      <c r="AA983" s="110"/>
      <c r="AB983" s="163"/>
      <c r="AC983" s="110"/>
      <c r="AD983" s="110"/>
      <c r="AE983" s="141"/>
      <c r="AF983" s="141"/>
      <c r="AH983" s="110"/>
      <c r="AI983" s="207"/>
      <c r="AJ983" s="207"/>
      <c r="AL983" s="110"/>
      <c r="AM983" s="110"/>
      <c r="AN983" s="110"/>
      <c r="AO983" s="207"/>
      <c r="AP983" s="207"/>
    </row>
    <row r="984" spans="1:77" s="194" customFormat="1" x14ac:dyDescent="0.3">
      <c r="A984" s="98"/>
      <c r="B984" s="98"/>
      <c r="C984" s="99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163"/>
      <c r="AC984" s="98"/>
      <c r="AD984" s="98"/>
      <c r="AE984" s="98"/>
      <c r="AF984" s="98"/>
      <c r="AG984" s="148"/>
      <c r="AH984" s="98"/>
      <c r="AI984" s="98"/>
      <c r="AJ984" s="98"/>
      <c r="AK984" s="148"/>
      <c r="AL984" s="98"/>
      <c r="AM984" s="98"/>
      <c r="AN984" s="98"/>
      <c r="AO984" s="98"/>
      <c r="AP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98"/>
      <c r="BY984" s="98"/>
    </row>
    <row r="985" spans="1:77" s="194" customFormat="1" x14ac:dyDescent="0.3">
      <c r="A985" s="98"/>
      <c r="B985" s="98"/>
      <c r="C985" s="99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9"/>
      <c r="U985" s="98"/>
      <c r="V985" s="110"/>
      <c r="W985" s="110"/>
      <c r="X985" s="110"/>
      <c r="Y985" s="110"/>
      <c r="Z985" s="110"/>
      <c r="AA985" s="110"/>
      <c r="AB985" s="228"/>
      <c r="AC985" s="110"/>
      <c r="AD985" s="110"/>
      <c r="AE985" s="141"/>
      <c r="AF985" s="141"/>
      <c r="AG985" s="148"/>
      <c r="AH985" s="110"/>
      <c r="AI985" s="207"/>
      <c r="AJ985" s="207"/>
      <c r="AK985" s="148"/>
      <c r="AL985" s="110"/>
      <c r="AM985" s="110"/>
      <c r="AN985" s="110"/>
      <c r="AO985" s="207"/>
      <c r="AP985" s="207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98"/>
      <c r="BY985" s="98"/>
    </row>
    <row r="986" spans="1:77" s="194" customFormat="1" x14ac:dyDescent="0.3">
      <c r="A986" s="98"/>
      <c r="B986" s="98"/>
      <c r="C986" s="99"/>
      <c r="D986" s="98"/>
      <c r="E986" s="98"/>
      <c r="F986" s="172"/>
      <c r="G986" s="98"/>
      <c r="H986" s="172"/>
      <c r="I986" s="172"/>
      <c r="J986" s="228"/>
      <c r="K986" s="228"/>
      <c r="L986" s="110"/>
      <c r="M986" s="110"/>
      <c r="N986" s="141"/>
      <c r="O986" s="141"/>
      <c r="P986" s="110"/>
      <c r="Q986" s="110"/>
      <c r="R986" s="110"/>
      <c r="S986" s="98"/>
      <c r="T986" s="98"/>
      <c r="U986" s="98"/>
      <c r="V986" s="192"/>
      <c r="W986" s="98"/>
      <c r="X986" s="98"/>
      <c r="Y986" s="98"/>
      <c r="Z986" s="98"/>
      <c r="AA986" s="192"/>
      <c r="AB986" s="228"/>
      <c r="AC986" s="192"/>
      <c r="AD986" s="192"/>
      <c r="AE986" s="192"/>
      <c r="AF986" s="192"/>
      <c r="AH986" s="192"/>
      <c r="AI986" s="98"/>
      <c r="AJ986" s="98"/>
      <c r="AL986" s="192"/>
      <c r="AM986" s="192"/>
      <c r="AN986" s="192"/>
      <c r="AO986" s="98"/>
      <c r="AP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98"/>
      <c r="BY986" s="98"/>
    </row>
    <row r="987" spans="1:77" s="194" customFormat="1" x14ac:dyDescent="0.3">
      <c r="A987" s="98"/>
      <c r="B987" s="98"/>
      <c r="C987" s="99"/>
      <c r="D987" s="98"/>
      <c r="E987" s="98"/>
      <c r="F987" s="110"/>
      <c r="G987" s="98"/>
      <c r="H987" s="110"/>
      <c r="I987" s="110"/>
      <c r="J987" s="163"/>
      <c r="K987" s="163"/>
      <c r="L987" s="110"/>
      <c r="M987" s="110"/>
      <c r="N987" s="141"/>
      <c r="O987" s="141"/>
      <c r="P987" s="110"/>
      <c r="Q987" s="110"/>
      <c r="R987" s="110"/>
      <c r="S987" s="98"/>
      <c r="T987" s="99"/>
      <c r="U987" s="98"/>
      <c r="V987" s="110"/>
      <c r="W987" s="98"/>
      <c r="X987" s="98"/>
      <c r="Y987" s="98"/>
      <c r="Z987" s="98"/>
      <c r="AA987" s="110"/>
      <c r="AB987" s="163"/>
      <c r="AC987" s="110"/>
      <c r="AD987" s="110"/>
      <c r="AE987" s="207"/>
      <c r="AF987" s="207"/>
      <c r="AG987" s="148"/>
      <c r="AH987" s="110"/>
      <c r="AI987" s="207"/>
      <c r="AJ987" s="207"/>
      <c r="AK987" s="148"/>
      <c r="AL987" s="110"/>
      <c r="AM987" s="110"/>
      <c r="AN987" s="110"/>
      <c r="AO987" s="207"/>
      <c r="AP987" s="207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  <c r="BY987" s="98"/>
    </row>
    <row r="988" spans="1:77" s="194" customFormat="1" x14ac:dyDescent="0.3">
      <c r="A988" s="98"/>
      <c r="B988" s="98"/>
      <c r="C988" s="99"/>
      <c r="D988" s="98"/>
      <c r="E988" s="98"/>
      <c r="F988" s="110"/>
      <c r="G988" s="98"/>
      <c r="H988" s="110"/>
      <c r="I988" s="110"/>
      <c r="J988" s="163"/>
      <c r="K988" s="163"/>
      <c r="L988" s="110"/>
      <c r="M988" s="110"/>
      <c r="N988" s="141"/>
      <c r="O988" s="141"/>
      <c r="P988" s="110"/>
      <c r="Q988" s="110"/>
      <c r="R988" s="110"/>
      <c r="S988" s="98"/>
      <c r="T988" s="98"/>
      <c r="U988" s="98"/>
      <c r="V988" s="192"/>
      <c r="W988" s="98"/>
      <c r="X988" s="98"/>
      <c r="Y988" s="98"/>
      <c r="Z988" s="98"/>
      <c r="AA988" s="192"/>
      <c r="AB988" s="228"/>
      <c r="AC988" s="192"/>
      <c r="AD988" s="192"/>
      <c r="AE988" s="192"/>
      <c r="AF988" s="192"/>
      <c r="AH988" s="192"/>
      <c r="AI988" s="98"/>
      <c r="AJ988" s="98"/>
      <c r="AL988" s="192"/>
      <c r="AM988" s="192"/>
      <c r="AN988" s="192"/>
      <c r="AO988" s="98"/>
      <c r="AP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98"/>
      <c r="BY988" s="98"/>
    </row>
    <row r="989" spans="1:77" s="194" customFormat="1" x14ac:dyDescent="0.3">
      <c r="A989" s="98"/>
      <c r="B989" s="98"/>
      <c r="C989" s="99"/>
      <c r="D989" s="98"/>
      <c r="E989" s="98"/>
      <c r="F989" s="110"/>
      <c r="G989" s="98"/>
      <c r="H989" s="110"/>
      <c r="I989" s="110"/>
      <c r="J989" s="163"/>
      <c r="K989" s="163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163"/>
      <c r="AC989" s="98"/>
      <c r="AD989" s="98"/>
      <c r="AE989" s="98"/>
      <c r="AF989" s="98"/>
      <c r="AG989" s="148"/>
      <c r="AH989" s="98"/>
      <c r="AI989" s="98"/>
      <c r="AJ989" s="98"/>
      <c r="AK989" s="148"/>
      <c r="AL989" s="98"/>
      <c r="AM989" s="98"/>
      <c r="AN989" s="98"/>
      <c r="AO989" s="98"/>
      <c r="AP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  <c r="BY989" s="98"/>
    </row>
    <row r="990" spans="1:77" s="194" customFormat="1" x14ac:dyDescent="0.3">
      <c r="A990" s="98"/>
      <c r="B990" s="98"/>
      <c r="C990" s="99"/>
      <c r="D990" s="98"/>
      <c r="E990" s="98"/>
      <c r="F990" s="172"/>
      <c r="G990" s="98"/>
      <c r="H990" s="172"/>
      <c r="I990" s="172"/>
      <c r="J990" s="228"/>
      <c r="K990" s="228"/>
      <c r="L990" s="110"/>
      <c r="M990" s="110"/>
      <c r="N990" s="141"/>
      <c r="O990" s="141"/>
      <c r="P990" s="110"/>
      <c r="Q990" s="110"/>
      <c r="R990" s="110"/>
      <c r="S990" s="98"/>
      <c r="T990" s="99"/>
      <c r="U990" s="98"/>
      <c r="V990" s="98"/>
      <c r="W990" s="98"/>
      <c r="X990" s="98"/>
      <c r="Y990" s="98"/>
      <c r="Z990" s="98"/>
      <c r="AA990" s="98"/>
      <c r="AB990" s="163"/>
      <c r="AC990" s="98"/>
      <c r="AD990" s="98"/>
      <c r="AE990" s="98"/>
      <c r="AF990" s="98"/>
      <c r="AG990" s="148"/>
      <c r="AH990" s="98"/>
      <c r="AI990" s="98"/>
      <c r="AJ990" s="98"/>
      <c r="AK990" s="148"/>
      <c r="AL990" s="98"/>
      <c r="AM990" s="98"/>
      <c r="AN990" s="98"/>
      <c r="AO990" s="98"/>
      <c r="AP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98"/>
      <c r="BY990" s="98"/>
    </row>
    <row r="991" spans="1:77" s="194" customFormat="1" x14ac:dyDescent="0.3">
      <c r="A991" s="98"/>
      <c r="B991" s="98"/>
      <c r="C991" s="99"/>
      <c r="D991" s="98"/>
      <c r="E991" s="98"/>
      <c r="F991" s="110"/>
      <c r="G991" s="98"/>
      <c r="H991" s="110"/>
      <c r="I991" s="110"/>
      <c r="J991" s="163"/>
      <c r="K991" s="163"/>
      <c r="L991" s="98"/>
      <c r="M991" s="98"/>
      <c r="N991" s="98"/>
      <c r="O991" s="98"/>
      <c r="P991" s="98"/>
      <c r="Q991" s="98"/>
      <c r="R991" s="98"/>
      <c r="S991" s="98"/>
      <c r="T991" s="99"/>
      <c r="U991" s="98"/>
      <c r="V991" s="98"/>
      <c r="W991" s="98"/>
      <c r="X991" s="98"/>
      <c r="Y991" s="98"/>
      <c r="Z991" s="98"/>
      <c r="AA991" s="98"/>
      <c r="AB991" s="163"/>
      <c r="AC991" s="98"/>
      <c r="AD991" s="98"/>
      <c r="AE991" s="98"/>
      <c r="AF991" s="98"/>
      <c r="AG991" s="148"/>
      <c r="AH991" s="98"/>
      <c r="AI991" s="98"/>
      <c r="AJ991" s="98"/>
      <c r="AK991" s="148"/>
      <c r="AL991" s="98"/>
      <c r="AM991" s="98"/>
      <c r="AN991" s="98"/>
      <c r="AO991" s="98"/>
      <c r="AP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  <c r="BY991" s="98"/>
    </row>
    <row r="992" spans="1:77" s="194" customFormat="1" x14ac:dyDescent="0.3">
      <c r="A992" s="98"/>
      <c r="B992" s="98"/>
      <c r="C992" s="99"/>
      <c r="D992" s="98"/>
      <c r="E992" s="98"/>
      <c r="F992" s="172"/>
      <c r="G992" s="98"/>
      <c r="H992" s="172"/>
      <c r="I992" s="172"/>
      <c r="J992" s="228"/>
      <c r="K992" s="228"/>
      <c r="L992" s="110"/>
      <c r="M992" s="110"/>
      <c r="N992" s="141"/>
      <c r="O992" s="141"/>
      <c r="P992" s="110"/>
      <c r="Q992" s="110"/>
      <c r="R992" s="110"/>
      <c r="S992" s="98"/>
      <c r="T992" s="99"/>
      <c r="U992" s="98"/>
      <c r="V992" s="110"/>
      <c r="W992" s="110"/>
      <c r="X992" s="110"/>
      <c r="Y992" s="110"/>
      <c r="Z992" s="110"/>
      <c r="AA992" s="110"/>
      <c r="AB992" s="228"/>
      <c r="AC992" s="110"/>
      <c r="AD992" s="110"/>
      <c r="AE992" s="141"/>
      <c r="AF992" s="141"/>
      <c r="AG992" s="148"/>
      <c r="AH992" s="110"/>
      <c r="AI992" s="207"/>
      <c r="AJ992" s="207"/>
      <c r="AK992" s="148"/>
      <c r="AL992" s="110"/>
      <c r="AM992" s="110"/>
      <c r="AN992" s="110"/>
      <c r="AO992" s="207"/>
      <c r="AP992" s="207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98"/>
      <c r="BY992" s="98"/>
    </row>
    <row r="993" spans="1:77" s="194" customFormat="1" x14ac:dyDescent="0.3">
      <c r="A993" s="98"/>
      <c r="B993" s="98"/>
      <c r="C993" s="99"/>
      <c r="D993" s="98"/>
      <c r="E993" s="98"/>
      <c r="F993" s="110"/>
      <c r="G993" s="98"/>
      <c r="H993" s="110"/>
      <c r="I993" s="110"/>
      <c r="J993" s="163"/>
      <c r="K993" s="163"/>
      <c r="L993" s="110"/>
      <c r="M993" s="110"/>
      <c r="N993" s="141"/>
      <c r="O993" s="141"/>
      <c r="P993" s="110"/>
      <c r="Q993" s="110"/>
      <c r="R993" s="110"/>
      <c r="S993" s="98"/>
      <c r="T993" s="99"/>
      <c r="U993" s="98"/>
      <c r="V993" s="98"/>
      <c r="W993" s="98"/>
      <c r="X993" s="98"/>
      <c r="Y993" s="98"/>
      <c r="Z993" s="98"/>
      <c r="AA993" s="98"/>
      <c r="AB993" s="163"/>
      <c r="AC993" s="98"/>
      <c r="AD993" s="98"/>
      <c r="AE993" s="98"/>
      <c r="AF993" s="98"/>
      <c r="AG993" s="148"/>
      <c r="AH993" s="98"/>
      <c r="AI993" s="98"/>
      <c r="AJ993" s="98"/>
      <c r="AK993" s="148"/>
      <c r="AL993" s="98"/>
      <c r="AM993" s="98"/>
      <c r="AN993" s="98"/>
      <c r="AO993" s="98"/>
      <c r="AP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  <c r="BX993" s="98"/>
      <c r="BY993" s="98"/>
    </row>
    <row r="994" spans="1:77" s="194" customFormat="1" x14ac:dyDescent="0.3">
      <c r="A994" s="98"/>
      <c r="B994" s="98"/>
      <c r="C994" s="98"/>
      <c r="D994" s="98"/>
      <c r="E994" s="98"/>
      <c r="F994" s="110"/>
      <c r="G994" s="98"/>
      <c r="H994" s="110"/>
      <c r="I994" s="110"/>
      <c r="J994" s="163"/>
      <c r="K994" s="163"/>
      <c r="L994" s="98"/>
      <c r="M994" s="98"/>
      <c r="N994" s="98"/>
      <c r="O994" s="98"/>
      <c r="P994" s="98"/>
      <c r="Q994" s="98"/>
      <c r="R994" s="98"/>
      <c r="S994" s="98"/>
      <c r="T994" s="99"/>
      <c r="U994" s="98"/>
      <c r="V994" s="110"/>
      <c r="W994" s="110"/>
      <c r="X994" s="110"/>
      <c r="Y994" s="110"/>
      <c r="Z994" s="110"/>
      <c r="AA994" s="110"/>
      <c r="AB994" s="228"/>
      <c r="AC994" s="110"/>
      <c r="AD994" s="110"/>
      <c r="AE994" s="141"/>
      <c r="AF994" s="141"/>
      <c r="AG994" s="148"/>
      <c r="AH994" s="110"/>
      <c r="AI994" s="207"/>
      <c r="AJ994" s="207"/>
      <c r="AK994" s="148"/>
      <c r="AL994" s="110"/>
      <c r="AM994" s="110"/>
      <c r="AN994" s="110"/>
      <c r="AO994" s="207"/>
      <c r="AP994" s="207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98"/>
      <c r="BY994" s="98"/>
    </row>
    <row r="995" spans="1:77" s="194" customFormat="1" x14ac:dyDescent="0.3">
      <c r="A995" s="98"/>
      <c r="B995" s="98"/>
      <c r="C995" s="99"/>
      <c r="D995" s="98"/>
      <c r="E995" s="98"/>
      <c r="F995" s="110"/>
      <c r="G995" s="98"/>
      <c r="H995" s="172"/>
      <c r="I995" s="172"/>
      <c r="J995" s="228"/>
      <c r="K995" s="228"/>
      <c r="L995" s="110"/>
      <c r="M995" s="110"/>
      <c r="N995" s="141"/>
      <c r="O995" s="141"/>
      <c r="P995" s="110"/>
      <c r="Q995" s="110"/>
      <c r="R995" s="110"/>
      <c r="S995" s="98"/>
      <c r="T995" s="98"/>
      <c r="U995" s="98"/>
      <c r="V995" s="192"/>
      <c r="W995" s="98"/>
      <c r="X995" s="98"/>
      <c r="Y995" s="98"/>
      <c r="Z995" s="98"/>
      <c r="AA995" s="192"/>
      <c r="AB995" s="228"/>
      <c r="AC995" s="192"/>
      <c r="AD995" s="192"/>
      <c r="AE995" s="192"/>
      <c r="AF995" s="192"/>
      <c r="AH995" s="192"/>
      <c r="AI995" s="98"/>
      <c r="AJ995" s="98"/>
      <c r="AL995" s="192"/>
      <c r="AM995" s="192"/>
      <c r="AN995" s="192"/>
      <c r="AO995" s="98"/>
      <c r="AP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98"/>
      <c r="BY995" s="98"/>
    </row>
    <row r="996" spans="1:77" s="194" customFormat="1" x14ac:dyDescent="0.3">
      <c r="A996" s="98"/>
      <c r="B996" s="98"/>
      <c r="C996" s="98"/>
      <c r="D996" s="98"/>
      <c r="E996" s="98"/>
      <c r="F996" s="192"/>
      <c r="G996" s="98"/>
      <c r="H996" s="192"/>
      <c r="I996" s="192"/>
      <c r="J996" s="228"/>
      <c r="K996" s="228"/>
      <c r="L996" s="192"/>
      <c r="M996" s="192"/>
      <c r="N996" s="192"/>
      <c r="O996" s="192"/>
      <c r="P996" s="192"/>
      <c r="Q996" s="192"/>
      <c r="R996" s="192"/>
      <c r="S996" s="98"/>
      <c r="T996" s="99"/>
      <c r="U996" s="98"/>
      <c r="V996" s="110"/>
      <c r="W996" s="98"/>
      <c r="X996" s="98"/>
      <c r="Y996" s="98"/>
      <c r="Z996" s="98"/>
      <c r="AA996" s="110"/>
      <c r="AB996" s="163"/>
      <c r="AC996" s="110"/>
      <c r="AD996" s="110"/>
      <c r="AE996" s="207"/>
      <c r="AF996" s="207"/>
      <c r="AG996" s="148"/>
      <c r="AH996" s="110"/>
      <c r="AI996" s="207"/>
      <c r="AJ996" s="207"/>
      <c r="AK996" s="148"/>
      <c r="AL996" s="110"/>
      <c r="AM996" s="110"/>
      <c r="AN996" s="110"/>
      <c r="AO996" s="207"/>
      <c r="AP996" s="207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</row>
    <row r="997" spans="1:77" s="194" customFormat="1" x14ac:dyDescent="0.3">
      <c r="A997" s="98"/>
      <c r="B997" s="98"/>
      <c r="C997" s="99"/>
      <c r="D997" s="98"/>
      <c r="E997" s="98"/>
      <c r="F997" s="110"/>
      <c r="G997" s="98"/>
      <c r="H997" s="110"/>
      <c r="I997" s="110"/>
      <c r="J997" s="163"/>
      <c r="K997" s="163"/>
      <c r="L997" s="110"/>
      <c r="M997" s="110"/>
      <c r="N997" s="98"/>
      <c r="O997" s="98"/>
      <c r="P997" s="110"/>
      <c r="Q997" s="110"/>
      <c r="R997" s="110"/>
      <c r="S997" s="98"/>
      <c r="T997" s="98"/>
      <c r="U997" s="98"/>
      <c r="V997" s="192"/>
      <c r="W997" s="98"/>
      <c r="X997" s="98"/>
      <c r="Y997" s="98"/>
      <c r="Z997" s="98"/>
      <c r="AA997" s="192"/>
      <c r="AB997" s="217"/>
      <c r="AC997" s="192"/>
      <c r="AD997" s="192"/>
      <c r="AE997" s="192"/>
      <c r="AF997" s="192"/>
      <c r="AH997" s="192"/>
      <c r="AI997" s="98"/>
      <c r="AJ997" s="98"/>
      <c r="AL997" s="192"/>
      <c r="AM997" s="192"/>
      <c r="AN997" s="192"/>
      <c r="AO997" s="98"/>
      <c r="AP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98"/>
      <c r="BY997" s="98"/>
    </row>
    <row r="998" spans="1:77" s="194" customFormat="1" x14ac:dyDescent="0.3">
      <c r="A998" s="98"/>
      <c r="B998" s="98"/>
      <c r="C998" s="98"/>
      <c r="D998" s="98"/>
      <c r="E998" s="98"/>
      <c r="F998" s="192"/>
      <c r="G998" s="98"/>
      <c r="H998" s="192"/>
      <c r="I998" s="192"/>
      <c r="J998" s="228"/>
      <c r="K998" s="228"/>
      <c r="L998" s="192"/>
      <c r="M998" s="192"/>
      <c r="N998" s="192"/>
      <c r="O998" s="192"/>
      <c r="P998" s="192"/>
      <c r="Q998" s="192"/>
      <c r="R998" s="192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148"/>
      <c r="AH998" s="98"/>
      <c r="AI998" s="98"/>
      <c r="AJ998" s="98"/>
      <c r="AK998" s="148"/>
      <c r="AL998" s="98"/>
      <c r="AM998" s="98"/>
      <c r="AN998" s="98"/>
      <c r="AO998" s="98"/>
      <c r="AP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  <c r="BY998" s="98"/>
    </row>
    <row r="999" spans="1:77" s="194" customFormat="1" x14ac:dyDescent="0.3">
      <c r="A999" s="98"/>
      <c r="B999" s="98"/>
      <c r="C999" s="98"/>
      <c r="D999" s="98"/>
      <c r="E999" s="98"/>
      <c r="F999" s="98"/>
      <c r="G999" s="98"/>
      <c r="H999" s="98"/>
      <c r="I999" s="98"/>
      <c r="J999" s="163"/>
      <c r="K999" s="163"/>
      <c r="L999" s="98"/>
      <c r="M999" s="98"/>
      <c r="N999" s="98"/>
      <c r="O999" s="98"/>
      <c r="P999" s="98"/>
      <c r="Q999" s="98"/>
      <c r="R999" s="98"/>
      <c r="S999" s="98"/>
      <c r="T999" s="99"/>
      <c r="U999" s="98"/>
      <c r="V999" s="110"/>
      <c r="W999" s="98"/>
      <c r="X999" s="98"/>
      <c r="Y999" s="98"/>
      <c r="Z999" s="98"/>
      <c r="AA999" s="110"/>
      <c r="AB999" s="98"/>
      <c r="AC999" s="110"/>
      <c r="AD999" s="110"/>
      <c r="AE999" s="207"/>
      <c r="AF999" s="207"/>
      <c r="AG999" s="148"/>
      <c r="AH999" s="110"/>
      <c r="AI999" s="207"/>
      <c r="AJ999" s="207"/>
      <c r="AK999" s="224"/>
      <c r="AL999" s="172"/>
      <c r="AM999" s="110"/>
      <c r="AN999" s="110"/>
      <c r="AO999" s="207"/>
      <c r="AP999" s="207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98"/>
      <c r="BY999" s="98"/>
    </row>
    <row r="1000" spans="1:77" s="194" customFormat="1" x14ac:dyDescent="0.3">
      <c r="A1000" s="98"/>
      <c r="B1000" s="98"/>
      <c r="C1000" s="99"/>
      <c r="D1000" s="98"/>
      <c r="E1000" s="98"/>
      <c r="F1000" s="98"/>
      <c r="G1000" s="98"/>
      <c r="H1000" s="98"/>
      <c r="I1000" s="98"/>
      <c r="J1000" s="163"/>
      <c r="K1000" s="163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192"/>
      <c r="W1000" s="98"/>
      <c r="X1000" s="98"/>
      <c r="Y1000" s="98"/>
      <c r="Z1000" s="98"/>
      <c r="AA1000" s="192"/>
      <c r="AB1000" s="217"/>
      <c r="AC1000" s="192"/>
      <c r="AD1000" s="192"/>
      <c r="AE1000" s="192"/>
      <c r="AF1000" s="192"/>
      <c r="AH1000" s="192"/>
      <c r="AI1000" s="98"/>
      <c r="AJ1000" s="98"/>
      <c r="AL1000" s="192"/>
      <c r="AM1000" s="192"/>
      <c r="AN1000" s="192"/>
      <c r="AO1000" s="98"/>
      <c r="AP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98"/>
      <c r="BY1000" s="98"/>
    </row>
    <row r="1001" spans="1:77" s="194" customFormat="1" x14ac:dyDescent="0.3">
      <c r="A1001" s="98"/>
      <c r="B1001" s="98"/>
      <c r="C1001" s="99"/>
      <c r="D1001" s="98"/>
      <c r="E1001" s="98"/>
      <c r="F1001" s="98"/>
      <c r="G1001" s="98"/>
      <c r="H1001" s="98"/>
      <c r="I1001" s="98"/>
      <c r="J1001" s="163"/>
      <c r="K1001" s="163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148"/>
      <c r="AH1001" s="98"/>
      <c r="AI1001" s="98"/>
      <c r="AJ1001" s="98"/>
      <c r="AK1001" s="148"/>
      <c r="AL1001" s="98"/>
      <c r="AM1001" s="98"/>
      <c r="AN1001" s="98"/>
      <c r="AO1001" s="98"/>
      <c r="AP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  <c r="BY1001" s="98"/>
    </row>
    <row r="1002" spans="1:77" s="194" customFormat="1" x14ac:dyDescent="0.3">
      <c r="A1002" s="98"/>
      <c r="B1002" s="98"/>
      <c r="C1002" s="99"/>
      <c r="D1002" s="98"/>
      <c r="E1002" s="98"/>
      <c r="F1002" s="172"/>
      <c r="G1002" s="98"/>
      <c r="H1002" s="172"/>
      <c r="I1002" s="172"/>
      <c r="J1002" s="228"/>
      <c r="K1002" s="228"/>
      <c r="L1002" s="110"/>
      <c r="M1002" s="110"/>
      <c r="N1002" s="141"/>
      <c r="O1002" s="141"/>
      <c r="P1002" s="110"/>
      <c r="Q1002" s="110"/>
      <c r="R1002" s="110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148"/>
      <c r="AH1002" s="98"/>
      <c r="AI1002" s="98"/>
      <c r="AJ1002" s="98"/>
      <c r="AK1002" s="148"/>
      <c r="AL1002" s="98"/>
      <c r="AM1002" s="98"/>
      <c r="AN1002" s="98"/>
      <c r="AO1002" s="98"/>
      <c r="AP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  <c r="BT1002" s="98"/>
      <c r="BU1002" s="98"/>
      <c r="BV1002" s="98"/>
      <c r="BW1002" s="98"/>
      <c r="BX1002" s="98"/>
      <c r="BY1002" s="98"/>
    </row>
    <row r="1003" spans="1:77" s="194" customFormat="1" x14ac:dyDescent="0.3">
      <c r="A1003" s="98"/>
      <c r="B1003" s="98"/>
      <c r="C1003" s="99"/>
      <c r="D1003" s="98"/>
      <c r="E1003" s="98"/>
      <c r="F1003" s="98"/>
      <c r="G1003" s="98"/>
      <c r="H1003" s="98"/>
      <c r="I1003" s="98"/>
      <c r="J1003" s="163"/>
      <c r="K1003" s="163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148"/>
      <c r="AH1003" s="98"/>
      <c r="AI1003" s="98"/>
      <c r="AJ1003" s="98"/>
      <c r="AK1003" s="148"/>
      <c r="AL1003" s="98"/>
      <c r="AM1003" s="98"/>
      <c r="AN1003" s="98"/>
      <c r="AO1003" s="98"/>
      <c r="AP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  <c r="BT1003" s="98"/>
      <c r="BU1003" s="98"/>
      <c r="BV1003" s="98"/>
      <c r="BW1003" s="98"/>
      <c r="BX1003" s="98"/>
      <c r="BY1003" s="98"/>
    </row>
    <row r="1004" spans="1:77" s="194" customFormat="1" x14ac:dyDescent="0.3">
      <c r="A1004" s="98"/>
      <c r="B1004" s="98"/>
      <c r="C1004" s="99"/>
      <c r="D1004" s="98"/>
      <c r="E1004" s="98"/>
      <c r="F1004" s="172"/>
      <c r="G1004" s="98"/>
      <c r="H1004" s="172"/>
      <c r="I1004" s="172"/>
      <c r="J1004" s="228"/>
      <c r="K1004" s="228"/>
      <c r="L1004" s="110"/>
      <c r="M1004" s="110"/>
      <c r="N1004" s="141"/>
      <c r="O1004" s="141"/>
      <c r="P1004" s="110"/>
      <c r="Q1004" s="110"/>
      <c r="R1004" s="110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148"/>
      <c r="AH1004" s="98"/>
      <c r="AI1004" s="98"/>
      <c r="AJ1004" s="98"/>
      <c r="AK1004" s="148"/>
      <c r="AL1004" s="98"/>
      <c r="AM1004" s="98"/>
      <c r="AN1004" s="98"/>
      <c r="AO1004" s="98"/>
      <c r="AP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  <c r="BT1004" s="98"/>
      <c r="BU1004" s="98"/>
      <c r="BV1004" s="98"/>
      <c r="BW1004" s="98"/>
      <c r="BX1004" s="98"/>
      <c r="BY1004" s="98"/>
    </row>
    <row r="1005" spans="1:77" s="194" customFormat="1" x14ac:dyDescent="0.3">
      <c r="A1005" s="98"/>
      <c r="B1005" s="98"/>
      <c r="C1005" s="98"/>
      <c r="D1005" s="98"/>
      <c r="E1005" s="98"/>
      <c r="F1005" s="192"/>
      <c r="G1005" s="98"/>
      <c r="H1005" s="192"/>
      <c r="I1005" s="192"/>
      <c r="J1005" s="228"/>
      <c r="K1005" s="228"/>
      <c r="L1005" s="192"/>
      <c r="M1005" s="192"/>
      <c r="N1005" s="192"/>
      <c r="O1005" s="192"/>
      <c r="P1005" s="192"/>
      <c r="Q1005" s="192"/>
      <c r="R1005" s="192"/>
      <c r="S1005" s="98"/>
      <c r="T1005" s="98"/>
      <c r="U1005" s="98"/>
      <c r="V1005" s="98"/>
      <c r="W1005" s="98"/>
      <c r="X1005" s="98"/>
      <c r="Y1005" s="98"/>
      <c r="Z1005" s="98"/>
      <c r="AA1005" s="99"/>
      <c r="AB1005" s="98"/>
      <c r="AC1005" s="98"/>
      <c r="AD1005" s="98"/>
      <c r="AE1005" s="98"/>
      <c r="AF1005" s="98"/>
      <c r="AG1005" s="148"/>
      <c r="AH1005" s="98"/>
      <c r="AI1005" s="98"/>
      <c r="AJ1005" s="98"/>
      <c r="AK1005" s="148"/>
      <c r="AL1005" s="98"/>
      <c r="AM1005" s="98"/>
      <c r="AN1005" s="98"/>
      <c r="AO1005" s="98"/>
      <c r="AP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  <c r="BT1005" s="98"/>
      <c r="BU1005" s="98"/>
      <c r="BV1005" s="98"/>
      <c r="BW1005" s="98"/>
      <c r="BX1005" s="98"/>
      <c r="BY1005" s="98"/>
    </row>
    <row r="1006" spans="1:77" s="194" customFormat="1" x14ac:dyDescent="0.3">
      <c r="A1006" s="98"/>
      <c r="B1006" s="98"/>
      <c r="C1006" s="99"/>
      <c r="D1006" s="98"/>
      <c r="E1006" s="98"/>
      <c r="F1006" s="110"/>
      <c r="G1006" s="98"/>
      <c r="H1006" s="110"/>
      <c r="I1006" s="110"/>
      <c r="J1006" s="163"/>
      <c r="K1006" s="163"/>
      <c r="L1006" s="110"/>
      <c r="M1006" s="110"/>
      <c r="N1006" s="207"/>
      <c r="O1006" s="207"/>
      <c r="P1006" s="110"/>
      <c r="Q1006" s="110"/>
      <c r="R1006" s="110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148"/>
      <c r="AH1006" s="98"/>
      <c r="AI1006" s="98"/>
      <c r="AJ1006" s="98"/>
      <c r="AK1006" s="148"/>
      <c r="AL1006" s="98"/>
      <c r="AM1006" s="98"/>
      <c r="AN1006" s="98"/>
      <c r="AO1006" s="98"/>
      <c r="AP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  <c r="BE1006" s="98"/>
      <c r="BF1006" s="98"/>
      <c r="BG1006" s="98"/>
      <c r="BH1006" s="98"/>
      <c r="BI1006" s="98"/>
      <c r="BJ1006" s="98"/>
      <c r="BK1006" s="98"/>
      <c r="BL1006" s="98"/>
      <c r="BM1006" s="98"/>
      <c r="BN1006" s="98"/>
      <c r="BO1006" s="98"/>
      <c r="BP1006" s="98"/>
      <c r="BQ1006" s="98"/>
      <c r="BR1006" s="98"/>
      <c r="BS1006" s="98"/>
      <c r="BT1006" s="98"/>
      <c r="BU1006" s="98"/>
      <c r="BV1006" s="98"/>
      <c r="BW1006" s="98"/>
      <c r="BX1006" s="98"/>
      <c r="BY1006" s="98"/>
    </row>
    <row r="1007" spans="1:77" s="194" customFormat="1" x14ac:dyDescent="0.3">
      <c r="A1007" s="98"/>
      <c r="B1007" s="98"/>
      <c r="C1007" s="98"/>
      <c r="D1007" s="98"/>
      <c r="E1007" s="98"/>
      <c r="F1007" s="192"/>
      <c r="G1007" s="98"/>
      <c r="H1007" s="192"/>
      <c r="I1007" s="192"/>
      <c r="J1007" s="228"/>
      <c r="K1007" s="228"/>
      <c r="L1007" s="192"/>
      <c r="M1007" s="192"/>
      <c r="N1007" s="192"/>
      <c r="O1007" s="192"/>
      <c r="P1007" s="192"/>
      <c r="Q1007" s="192"/>
      <c r="R1007" s="192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9"/>
      <c r="AD1007" s="99"/>
      <c r="AE1007" s="98"/>
      <c r="AF1007" s="98"/>
      <c r="AG1007" s="148"/>
      <c r="AH1007" s="98"/>
      <c r="AI1007" s="98"/>
      <c r="AJ1007" s="98"/>
      <c r="AK1007" s="148"/>
      <c r="AL1007" s="98"/>
      <c r="AM1007" s="98"/>
      <c r="AN1007" s="98"/>
      <c r="AO1007" s="98"/>
      <c r="AP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  <c r="BE1007" s="98"/>
      <c r="BF1007" s="98"/>
      <c r="BG1007" s="98"/>
      <c r="BH1007" s="98"/>
      <c r="BI1007" s="98"/>
      <c r="BJ1007" s="98"/>
      <c r="BK1007" s="98"/>
      <c r="BL1007" s="98"/>
      <c r="BM1007" s="98"/>
      <c r="BN1007" s="98"/>
      <c r="BO1007" s="98"/>
      <c r="BP1007" s="98"/>
      <c r="BQ1007" s="98"/>
      <c r="BR1007" s="98"/>
      <c r="BS1007" s="98"/>
      <c r="BT1007" s="98"/>
      <c r="BU1007" s="98"/>
      <c r="BV1007" s="98"/>
      <c r="BW1007" s="98"/>
      <c r="BX1007" s="98"/>
      <c r="BY1007" s="98"/>
    </row>
    <row r="1008" spans="1:77" s="194" customFormat="1" x14ac:dyDescent="0.3">
      <c r="A1008" s="98"/>
      <c r="B1008" s="98"/>
      <c r="C1008" s="98"/>
      <c r="D1008" s="98"/>
      <c r="E1008" s="98"/>
      <c r="F1008" s="98"/>
      <c r="G1008" s="98"/>
      <c r="H1008" s="98"/>
      <c r="I1008" s="98"/>
      <c r="J1008" s="163"/>
      <c r="K1008" s="163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148"/>
      <c r="AH1008" s="98"/>
      <c r="AI1008" s="98"/>
      <c r="AJ1008" s="98"/>
      <c r="AK1008" s="148"/>
      <c r="AL1008" s="98"/>
      <c r="AM1008" s="99"/>
      <c r="AN1008" s="99"/>
      <c r="AO1008" s="98"/>
      <c r="AP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  <c r="BE1008" s="98"/>
      <c r="BF1008" s="98"/>
      <c r="BG1008" s="98"/>
      <c r="BH1008" s="98"/>
      <c r="BI1008" s="98"/>
      <c r="BJ1008" s="98"/>
      <c r="BK1008" s="98"/>
      <c r="BL1008" s="98"/>
      <c r="BM1008" s="98"/>
      <c r="BN1008" s="98"/>
      <c r="BO1008" s="98"/>
      <c r="BP1008" s="98"/>
      <c r="BQ1008" s="98"/>
      <c r="BR1008" s="98"/>
      <c r="BS1008" s="98"/>
      <c r="BT1008" s="98"/>
      <c r="BU1008" s="98"/>
      <c r="BV1008" s="98"/>
      <c r="BW1008" s="98"/>
      <c r="BX1008" s="98"/>
      <c r="BY1008" s="98"/>
    </row>
    <row r="1009" spans="1:77" s="194" customFormat="1" x14ac:dyDescent="0.3">
      <c r="A1009" s="98"/>
      <c r="B1009" s="98"/>
      <c r="C1009" s="99"/>
      <c r="D1009" s="98"/>
      <c r="E1009" s="98"/>
      <c r="F1009" s="110"/>
      <c r="G1009" s="98"/>
      <c r="H1009" s="110"/>
      <c r="I1009" s="110"/>
      <c r="J1009" s="163"/>
      <c r="K1009" s="163"/>
      <c r="L1009" s="110"/>
      <c r="M1009" s="110"/>
      <c r="N1009" s="141"/>
      <c r="O1009" s="141"/>
      <c r="P1009" s="172"/>
      <c r="Q1009" s="172"/>
      <c r="R1009" s="110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148"/>
      <c r="AH1009" s="98"/>
      <c r="AI1009" s="98"/>
      <c r="AJ1009" s="98"/>
      <c r="AK1009" s="148"/>
      <c r="AL1009" s="98"/>
      <c r="AM1009" s="99"/>
      <c r="AN1009" s="99"/>
      <c r="AO1009" s="98"/>
      <c r="AP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  <c r="BT1009" s="98"/>
      <c r="BU1009" s="98"/>
      <c r="BV1009" s="98"/>
      <c r="BW1009" s="98"/>
      <c r="BX1009" s="98"/>
      <c r="BY1009" s="98"/>
    </row>
    <row r="1010" spans="1:77" s="194" customFormat="1" x14ac:dyDescent="0.3">
      <c r="A1010" s="98"/>
      <c r="B1010" s="98"/>
      <c r="C1010" s="98"/>
      <c r="D1010" s="98"/>
      <c r="E1010" s="98"/>
      <c r="F1010" s="98"/>
      <c r="G1010" s="98"/>
      <c r="H1010" s="192"/>
      <c r="I1010" s="192"/>
      <c r="J1010" s="228"/>
      <c r="K1010" s="228"/>
      <c r="L1010" s="192"/>
      <c r="M1010" s="192"/>
      <c r="N1010" s="192"/>
      <c r="O1010" s="192"/>
      <c r="P1010" s="192"/>
      <c r="Q1010" s="192"/>
      <c r="R1010" s="192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148"/>
      <c r="AH1010" s="98"/>
      <c r="AI1010" s="98"/>
      <c r="AJ1010" s="98"/>
      <c r="AK1010" s="148"/>
      <c r="AL1010" s="98"/>
      <c r="AM1010" s="99"/>
      <c r="AN1010" s="99"/>
      <c r="AO1010" s="98"/>
      <c r="AP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  <c r="BE1010" s="98"/>
      <c r="BF1010" s="98"/>
      <c r="BG1010" s="98"/>
      <c r="BH1010" s="98"/>
      <c r="BI1010" s="98"/>
      <c r="BJ1010" s="98"/>
      <c r="BK1010" s="98"/>
      <c r="BL1010" s="98"/>
      <c r="BM1010" s="98"/>
      <c r="BN1010" s="98"/>
      <c r="BO1010" s="98"/>
      <c r="BP1010" s="98"/>
      <c r="BQ1010" s="98"/>
      <c r="BR1010" s="98"/>
      <c r="BS1010" s="98"/>
      <c r="BT1010" s="98"/>
      <c r="BU1010" s="98"/>
      <c r="BV1010" s="98"/>
      <c r="BW1010" s="98"/>
      <c r="BX1010" s="98"/>
      <c r="BY1010" s="98"/>
    </row>
    <row r="1011" spans="1:77" s="194" customFormat="1" x14ac:dyDescent="0.3">
      <c r="A1011" s="98"/>
      <c r="B1011" s="98"/>
      <c r="C1011" s="98"/>
      <c r="D1011" s="98"/>
      <c r="E1011" s="98"/>
      <c r="F1011" s="192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9"/>
      <c r="AD1011" s="99"/>
      <c r="AE1011" s="98"/>
      <c r="AF1011" s="98"/>
      <c r="AG1011" s="148"/>
      <c r="AH1011" s="98"/>
      <c r="AI1011" s="98"/>
      <c r="AJ1011" s="98"/>
      <c r="AK1011" s="148"/>
      <c r="AL1011" s="98"/>
      <c r="AM1011" s="98"/>
      <c r="AN1011" s="98"/>
      <c r="AO1011" s="98"/>
      <c r="AP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  <c r="BK1011" s="98"/>
      <c r="BL1011" s="98"/>
      <c r="BM1011" s="98"/>
      <c r="BN1011" s="98"/>
      <c r="BO1011" s="98"/>
      <c r="BP1011" s="98"/>
      <c r="BQ1011" s="98"/>
      <c r="BR1011" s="98"/>
      <c r="BS1011" s="98"/>
      <c r="BT1011" s="98"/>
      <c r="BU1011" s="98"/>
      <c r="BV1011" s="98"/>
      <c r="BW1011" s="98"/>
      <c r="BX1011" s="98"/>
      <c r="BY1011" s="98"/>
    </row>
    <row r="1012" spans="1:77" s="194" customFormat="1" x14ac:dyDescent="0.3">
      <c r="A1012" s="98"/>
      <c r="B1012" s="98"/>
      <c r="C1012" s="98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101"/>
      <c r="U1012" s="101"/>
      <c r="V1012" s="101"/>
      <c r="W1012" s="101"/>
      <c r="X1012" s="101"/>
      <c r="Y1012" s="101"/>
      <c r="Z1012" s="101"/>
      <c r="AA1012" s="101"/>
      <c r="AB1012" s="101"/>
      <c r="AC1012" s="101"/>
      <c r="AD1012" s="101"/>
      <c r="AE1012" s="101"/>
      <c r="AF1012" s="101"/>
      <c r="AG1012" s="191"/>
      <c r="AH1012" s="101"/>
      <c r="AI1012" s="101"/>
      <c r="AJ1012" s="101"/>
      <c r="AK1012" s="191"/>
      <c r="AL1012" s="101"/>
      <c r="AM1012" s="101"/>
      <c r="AN1012" s="101"/>
      <c r="AO1012" s="101"/>
      <c r="AP1012" s="101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  <c r="BE1012" s="98"/>
      <c r="BF1012" s="98"/>
      <c r="BG1012" s="98"/>
      <c r="BH1012" s="98"/>
      <c r="BI1012" s="98"/>
      <c r="BJ1012" s="98"/>
      <c r="BK1012" s="98"/>
      <c r="BL1012" s="98"/>
      <c r="BM1012" s="98"/>
      <c r="BN1012" s="98"/>
      <c r="BO1012" s="98"/>
      <c r="BP1012" s="98"/>
      <c r="BQ1012" s="98"/>
      <c r="BR1012" s="98"/>
      <c r="BS1012" s="98"/>
      <c r="BT1012" s="98"/>
      <c r="BU1012" s="98"/>
      <c r="BV1012" s="98"/>
      <c r="BW1012" s="98"/>
      <c r="BX1012" s="98"/>
      <c r="BY1012" s="98"/>
    </row>
    <row r="1013" spans="1:77" s="194" customFormat="1" x14ac:dyDescent="0.3">
      <c r="A1013" s="99"/>
      <c r="B1013" s="98"/>
      <c r="C1013" s="98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102"/>
      <c r="AD1013" s="102"/>
      <c r="AE1013" s="102"/>
      <c r="AF1013" s="102"/>
      <c r="AG1013" s="151"/>
      <c r="AH1013" s="102"/>
      <c r="AI1013" s="102"/>
      <c r="AJ1013" s="102"/>
      <c r="AK1013" s="148"/>
      <c r="AL1013" s="98"/>
      <c r="AM1013" s="102"/>
      <c r="AN1013" s="102"/>
      <c r="AO1013" s="102"/>
      <c r="AP1013" s="102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  <c r="BE1013" s="98"/>
      <c r="BF1013" s="98"/>
      <c r="BG1013" s="98"/>
      <c r="BH1013" s="98"/>
      <c r="BI1013" s="98"/>
      <c r="BJ1013" s="98"/>
      <c r="BK1013" s="98"/>
      <c r="BL1013" s="98"/>
      <c r="BM1013" s="98"/>
      <c r="BN1013" s="98"/>
      <c r="BO1013" s="98"/>
      <c r="BP1013" s="98"/>
      <c r="BQ1013" s="98"/>
      <c r="BR1013" s="98"/>
      <c r="BS1013" s="98"/>
      <c r="BT1013" s="98"/>
      <c r="BU1013" s="98"/>
      <c r="BV1013" s="98"/>
      <c r="BW1013" s="98"/>
      <c r="BX1013" s="98"/>
      <c r="BY1013" s="98"/>
    </row>
    <row r="1014" spans="1:77" s="194" customFormat="1" x14ac:dyDescent="0.3">
      <c r="A1014" s="98"/>
      <c r="B1014" s="98"/>
      <c r="C1014" s="98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102"/>
      <c r="AC1014" s="102"/>
      <c r="AD1014" s="102"/>
      <c r="AE1014" s="102"/>
      <c r="AF1014" s="102"/>
      <c r="AG1014" s="151"/>
      <c r="AH1014" s="102"/>
      <c r="AI1014" s="102"/>
      <c r="AJ1014" s="102"/>
      <c r="AK1014" s="148"/>
      <c r="AL1014" s="98"/>
      <c r="AM1014" s="102"/>
      <c r="AN1014" s="102"/>
      <c r="AO1014" s="102"/>
      <c r="AP1014" s="102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  <c r="BE1014" s="98"/>
      <c r="BF1014" s="98"/>
      <c r="BG1014" s="98"/>
      <c r="BH1014" s="98"/>
      <c r="BI1014" s="98"/>
      <c r="BJ1014" s="98"/>
      <c r="BK1014" s="98"/>
      <c r="BL1014" s="98"/>
      <c r="BM1014" s="98"/>
      <c r="BN1014" s="98"/>
      <c r="BO1014" s="98"/>
      <c r="BP1014" s="98"/>
      <c r="BQ1014" s="98"/>
      <c r="BR1014" s="98"/>
      <c r="BS1014" s="98"/>
      <c r="BT1014" s="98"/>
      <c r="BU1014" s="98"/>
      <c r="BV1014" s="98"/>
      <c r="BW1014" s="98"/>
      <c r="BX1014" s="98"/>
      <c r="BY1014" s="98"/>
    </row>
    <row r="1015" spans="1:77" s="194" customFormat="1" x14ac:dyDescent="0.3">
      <c r="A1015" s="98"/>
      <c r="B1015" s="98"/>
      <c r="C1015" s="98"/>
      <c r="D1015" s="98"/>
      <c r="E1015" s="98"/>
      <c r="F1015" s="98"/>
      <c r="G1015" s="98"/>
      <c r="H1015" s="99"/>
      <c r="I1015" s="99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102"/>
      <c r="U1015" s="102"/>
      <c r="V1015" s="102"/>
      <c r="W1015" s="98"/>
      <c r="X1015" s="98"/>
      <c r="Y1015" s="98"/>
      <c r="Z1015" s="98"/>
      <c r="AA1015" s="98"/>
      <c r="AB1015" s="102"/>
      <c r="AC1015" s="102"/>
      <c r="AD1015" s="102"/>
      <c r="AE1015" s="102"/>
      <c r="AF1015" s="102"/>
      <c r="AG1015" s="151"/>
      <c r="AH1015" s="102"/>
      <c r="AI1015" s="102"/>
      <c r="AJ1015" s="102"/>
      <c r="AK1015" s="151"/>
      <c r="AL1015" s="102"/>
      <c r="AM1015" s="102"/>
      <c r="AN1015" s="102"/>
      <c r="AO1015" s="102"/>
      <c r="AP1015" s="102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  <c r="BE1015" s="98"/>
      <c r="BF1015" s="98"/>
      <c r="BG1015" s="98"/>
      <c r="BH1015" s="98"/>
      <c r="BI1015" s="98"/>
      <c r="BJ1015" s="98"/>
      <c r="BK1015" s="98"/>
      <c r="BL1015" s="98"/>
      <c r="BM1015" s="98"/>
      <c r="BN1015" s="98"/>
      <c r="BO1015" s="98"/>
      <c r="BP1015" s="98"/>
      <c r="BQ1015" s="98"/>
      <c r="BR1015" s="98"/>
      <c r="BS1015" s="98"/>
      <c r="BT1015" s="98"/>
      <c r="BU1015" s="98"/>
      <c r="BV1015" s="98"/>
      <c r="BW1015" s="98"/>
      <c r="BX1015" s="98"/>
      <c r="BY1015" s="98"/>
    </row>
    <row r="1016" spans="1:77" s="194" customFormat="1" x14ac:dyDescent="0.3">
      <c r="A1016" s="98"/>
      <c r="B1016" s="98"/>
      <c r="C1016" s="98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102"/>
      <c r="U1016" s="102"/>
      <c r="V1016" s="102"/>
      <c r="W1016" s="98"/>
      <c r="X1016" s="98"/>
      <c r="Y1016" s="98"/>
      <c r="Z1016" s="98"/>
      <c r="AA1016" s="102"/>
      <c r="AB1016" s="102"/>
      <c r="AC1016" s="102"/>
      <c r="AD1016" s="102"/>
      <c r="AE1016" s="102"/>
      <c r="AF1016" s="102"/>
      <c r="AG1016" s="151"/>
      <c r="AH1016" s="102"/>
      <c r="AI1016" s="102"/>
      <c r="AJ1016" s="102"/>
      <c r="AK1016" s="151"/>
      <c r="AL1016" s="102"/>
      <c r="AM1016" s="102"/>
      <c r="AN1016" s="102"/>
      <c r="AO1016" s="102"/>
      <c r="AP1016" s="102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  <c r="BE1016" s="98"/>
      <c r="BF1016" s="98"/>
      <c r="BG1016" s="98"/>
      <c r="BH1016" s="98"/>
      <c r="BI1016" s="98"/>
      <c r="BJ1016" s="98"/>
      <c r="BK1016" s="98"/>
      <c r="BL1016" s="98"/>
      <c r="BM1016" s="98"/>
      <c r="BN1016" s="98"/>
      <c r="BO1016" s="98"/>
      <c r="BP1016" s="98"/>
      <c r="BQ1016" s="98"/>
      <c r="BR1016" s="98"/>
      <c r="BS1016" s="98"/>
      <c r="BT1016" s="98"/>
      <c r="BU1016" s="98"/>
      <c r="BV1016" s="98"/>
      <c r="BW1016" s="98"/>
      <c r="BX1016" s="98"/>
      <c r="BY1016" s="98"/>
    </row>
    <row r="1017" spans="1:77" s="194" customFormat="1" x14ac:dyDescent="0.3">
      <c r="A1017" s="98"/>
      <c r="B1017" s="98"/>
      <c r="C1017" s="98"/>
      <c r="D1017" s="98"/>
      <c r="E1017" s="98"/>
      <c r="F1017" s="98"/>
      <c r="G1017" s="98"/>
      <c r="H1017" s="98"/>
      <c r="I1017" s="98"/>
      <c r="J1017" s="98"/>
      <c r="K1017" s="98"/>
      <c r="L1017" s="99"/>
      <c r="M1017" s="99"/>
      <c r="N1017" s="98"/>
      <c r="O1017" s="98"/>
      <c r="P1017" s="98"/>
      <c r="Q1017" s="98"/>
      <c r="R1017" s="98"/>
      <c r="S1017" s="98"/>
      <c r="T1017" s="102"/>
      <c r="U1017" s="102"/>
      <c r="V1017" s="102"/>
      <c r="W1017" s="98"/>
      <c r="X1017" s="98"/>
      <c r="Y1017" s="98"/>
      <c r="Z1017" s="98"/>
      <c r="AA1017" s="102"/>
      <c r="AB1017" s="102"/>
      <c r="AC1017" s="102"/>
      <c r="AD1017" s="102"/>
      <c r="AE1017" s="102"/>
      <c r="AF1017" s="102"/>
      <c r="AG1017" s="151"/>
      <c r="AH1017" s="102"/>
      <c r="AI1017" s="102"/>
      <c r="AJ1017" s="102"/>
      <c r="AK1017" s="151"/>
      <c r="AL1017" s="102"/>
      <c r="AM1017" s="102"/>
      <c r="AN1017" s="102"/>
      <c r="AO1017" s="102"/>
      <c r="AP1017" s="102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  <c r="BE1017" s="98"/>
      <c r="BF1017" s="98"/>
      <c r="BG1017" s="98"/>
      <c r="BH1017" s="98"/>
      <c r="BI1017" s="98"/>
      <c r="BJ1017" s="98"/>
      <c r="BK1017" s="98"/>
      <c r="BL1017" s="98"/>
      <c r="BM1017" s="98"/>
      <c r="BN1017" s="98"/>
      <c r="BO1017" s="98"/>
      <c r="BP1017" s="98"/>
      <c r="BQ1017" s="98"/>
      <c r="BR1017" s="98"/>
      <c r="BS1017" s="98"/>
      <c r="BT1017" s="98"/>
      <c r="BU1017" s="98"/>
      <c r="BV1017" s="98"/>
      <c r="BW1017" s="98"/>
      <c r="BX1017" s="98"/>
      <c r="BY1017" s="98"/>
    </row>
    <row r="1018" spans="1:77" s="194" customFormat="1" x14ac:dyDescent="0.3">
      <c r="A1018" s="98"/>
      <c r="B1018" s="98"/>
      <c r="C1018" s="98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9"/>
      <c r="S1018" s="98"/>
      <c r="T1018" s="101"/>
      <c r="U1018" s="101"/>
      <c r="V1018" s="101"/>
      <c r="W1018" s="101"/>
      <c r="X1018" s="101"/>
      <c r="Y1018" s="101"/>
      <c r="Z1018" s="101"/>
      <c r="AA1018" s="101"/>
      <c r="AB1018" s="101"/>
      <c r="AC1018" s="101"/>
      <c r="AD1018" s="101"/>
      <c r="AE1018" s="101"/>
      <c r="AF1018" s="101"/>
      <c r="AG1018" s="191"/>
      <c r="AH1018" s="101"/>
      <c r="AI1018" s="101"/>
      <c r="AJ1018" s="101"/>
      <c r="AK1018" s="191"/>
      <c r="AL1018" s="101"/>
      <c r="AM1018" s="101"/>
      <c r="AN1018" s="101"/>
      <c r="AO1018" s="101"/>
      <c r="AP1018" s="101"/>
      <c r="AR1018" s="98"/>
      <c r="AS1018" s="98"/>
      <c r="AT1018" s="98"/>
      <c r="AU1018" s="98"/>
      <c r="AV1018" s="98"/>
      <c r="AW1018" s="98"/>
      <c r="AX1018" s="98"/>
      <c r="AY1018" s="98"/>
      <c r="AZ1018" s="98"/>
      <c r="BA1018" s="98"/>
      <c r="BB1018" s="98"/>
      <c r="BC1018" s="98"/>
      <c r="BD1018" s="98"/>
      <c r="BE1018" s="98"/>
      <c r="BF1018" s="98"/>
      <c r="BG1018" s="98"/>
      <c r="BH1018" s="98"/>
      <c r="BI1018" s="98"/>
      <c r="BJ1018" s="98"/>
      <c r="BK1018" s="98"/>
      <c r="BL1018" s="98"/>
      <c r="BM1018" s="98"/>
      <c r="BN1018" s="98"/>
      <c r="BO1018" s="98"/>
      <c r="BP1018" s="98"/>
      <c r="BQ1018" s="98"/>
      <c r="BR1018" s="98"/>
      <c r="BS1018" s="98"/>
      <c r="BT1018" s="98"/>
      <c r="BU1018" s="98"/>
      <c r="BV1018" s="98"/>
      <c r="BW1018" s="98"/>
      <c r="BX1018" s="98"/>
      <c r="BY1018" s="98"/>
    </row>
    <row r="1019" spans="1:77" s="194" customFormat="1" x14ac:dyDescent="0.3">
      <c r="A1019" s="98"/>
      <c r="B1019" s="98"/>
      <c r="C1019" s="98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9"/>
      <c r="S1019" s="98"/>
      <c r="T1019" s="98"/>
      <c r="U1019" s="98"/>
      <c r="V1019" s="98"/>
      <c r="W1019" s="98"/>
      <c r="X1019" s="98"/>
      <c r="Y1019" s="98"/>
      <c r="Z1019" s="98"/>
      <c r="AA1019" s="102"/>
      <c r="AB1019" s="102"/>
      <c r="AC1019" s="102"/>
      <c r="AD1019" s="102"/>
      <c r="AE1019" s="102"/>
      <c r="AF1019" s="102"/>
      <c r="AG1019" s="151"/>
      <c r="AH1019" s="102"/>
      <c r="AI1019" s="102"/>
      <c r="AJ1019" s="102"/>
      <c r="AK1019" s="151"/>
      <c r="AL1019" s="102"/>
      <c r="AM1019" s="102"/>
      <c r="AN1019" s="102"/>
      <c r="AO1019" s="102"/>
      <c r="AP1019" s="102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  <c r="BT1019" s="98"/>
      <c r="BU1019" s="98"/>
      <c r="BV1019" s="98"/>
      <c r="BW1019" s="98"/>
      <c r="BX1019" s="98"/>
      <c r="BY1019" s="98"/>
    </row>
    <row r="1020" spans="1:77" s="194" customFormat="1" x14ac:dyDescent="0.3">
      <c r="A1020" s="99"/>
      <c r="B1020" s="98"/>
      <c r="C1020" s="98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9"/>
      <c r="S1020" s="98"/>
      <c r="T1020" s="99"/>
      <c r="U1020" s="99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148"/>
      <c r="AH1020" s="98"/>
      <c r="AI1020" s="98"/>
      <c r="AJ1020" s="98"/>
      <c r="AK1020" s="148"/>
      <c r="AL1020" s="98"/>
      <c r="AM1020" s="98"/>
      <c r="AN1020" s="98"/>
      <c r="AO1020" s="98"/>
      <c r="AP1020" s="98"/>
      <c r="AR1020" s="98"/>
      <c r="AS1020" s="98"/>
      <c r="AT1020" s="98"/>
      <c r="AU1020" s="98"/>
      <c r="AV1020" s="98"/>
      <c r="AW1020" s="98"/>
      <c r="AX1020" s="98"/>
      <c r="AY1020" s="98"/>
      <c r="AZ1020" s="98"/>
      <c r="BA1020" s="98"/>
      <c r="BB1020" s="98"/>
      <c r="BC1020" s="98"/>
      <c r="BD1020" s="98"/>
      <c r="BE1020" s="98"/>
      <c r="BF1020" s="98"/>
      <c r="BG1020" s="98"/>
      <c r="BH1020" s="98"/>
      <c r="BI1020" s="98"/>
      <c r="BJ1020" s="98"/>
      <c r="BK1020" s="98"/>
      <c r="BL1020" s="98"/>
      <c r="BM1020" s="98"/>
      <c r="BN1020" s="98"/>
      <c r="BO1020" s="98"/>
      <c r="BP1020" s="98"/>
      <c r="BQ1020" s="98"/>
      <c r="BR1020" s="98"/>
      <c r="BS1020" s="98"/>
      <c r="BT1020" s="98"/>
      <c r="BU1020" s="98"/>
      <c r="BV1020" s="98"/>
      <c r="BW1020" s="98"/>
      <c r="BX1020" s="98"/>
      <c r="BY1020" s="98"/>
    </row>
    <row r="1021" spans="1:77" s="194" customFormat="1" x14ac:dyDescent="0.3">
      <c r="A1021" s="98"/>
      <c r="B1021" s="98"/>
      <c r="C1021" s="98"/>
      <c r="D1021" s="98"/>
      <c r="E1021" s="98"/>
      <c r="F1021" s="98"/>
      <c r="G1021" s="98"/>
      <c r="H1021" s="98"/>
      <c r="I1021" s="98"/>
      <c r="J1021" s="98"/>
      <c r="K1021" s="98"/>
      <c r="L1021" s="99"/>
      <c r="M1021" s="99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148"/>
      <c r="AH1021" s="98"/>
      <c r="AI1021" s="98"/>
      <c r="AJ1021" s="98"/>
      <c r="AK1021" s="148"/>
      <c r="AL1021" s="98"/>
      <c r="AM1021" s="98"/>
      <c r="AN1021" s="98"/>
      <c r="AO1021" s="98"/>
      <c r="AP1021" s="98"/>
      <c r="AR1021" s="98"/>
      <c r="AS1021" s="98"/>
      <c r="AT1021" s="98"/>
      <c r="AU1021" s="98"/>
      <c r="AV1021" s="98"/>
      <c r="AW1021" s="98"/>
      <c r="AX1021" s="98"/>
      <c r="AY1021" s="98"/>
      <c r="AZ1021" s="98"/>
      <c r="BA1021" s="98"/>
      <c r="BB1021" s="98"/>
      <c r="BC1021" s="98"/>
      <c r="BD1021" s="98"/>
      <c r="BE1021" s="98"/>
      <c r="BF1021" s="98"/>
      <c r="BG1021" s="98"/>
      <c r="BH1021" s="98"/>
      <c r="BI1021" s="98"/>
      <c r="BJ1021" s="98"/>
      <c r="BK1021" s="98"/>
      <c r="BL1021" s="98"/>
      <c r="BM1021" s="98"/>
      <c r="BN1021" s="98"/>
      <c r="BO1021" s="98"/>
      <c r="BP1021" s="98"/>
      <c r="BQ1021" s="98"/>
      <c r="BR1021" s="98"/>
      <c r="BS1021" s="98"/>
      <c r="BT1021" s="98"/>
      <c r="BU1021" s="98"/>
      <c r="BV1021" s="98"/>
      <c r="BW1021" s="98"/>
      <c r="BX1021" s="98"/>
      <c r="BY1021" s="98"/>
    </row>
    <row r="1022" spans="1:77" s="194" customFormat="1" x14ac:dyDescent="0.3">
      <c r="A1022" s="101"/>
      <c r="B1022" s="101"/>
      <c r="C1022" s="101"/>
      <c r="D1022" s="101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1"/>
      <c r="Q1022" s="101"/>
      <c r="R1022" s="101"/>
      <c r="S1022" s="98"/>
      <c r="T1022" s="99"/>
      <c r="U1022" s="99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148"/>
      <c r="AH1022" s="98"/>
      <c r="AI1022" s="98"/>
      <c r="AJ1022" s="98"/>
      <c r="AK1022" s="148"/>
      <c r="AL1022" s="98"/>
      <c r="AM1022" s="98"/>
      <c r="AN1022" s="98"/>
      <c r="AO1022" s="98"/>
      <c r="AP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  <c r="BT1022" s="98"/>
      <c r="BU1022" s="98"/>
      <c r="BV1022" s="98"/>
      <c r="BW1022" s="98"/>
      <c r="BX1022" s="98"/>
      <c r="BY1022" s="98"/>
    </row>
    <row r="1023" spans="1:77" s="194" customFormat="1" x14ac:dyDescent="0.3">
      <c r="A1023" s="98"/>
      <c r="B1023" s="98"/>
      <c r="C1023" s="98"/>
      <c r="D1023" s="98"/>
      <c r="E1023" s="98"/>
      <c r="F1023" s="98"/>
      <c r="G1023" s="98"/>
      <c r="H1023" s="98"/>
      <c r="I1023" s="98"/>
      <c r="J1023" s="98"/>
      <c r="K1023" s="98"/>
      <c r="L1023" s="102"/>
      <c r="M1023" s="102"/>
      <c r="N1023" s="102"/>
      <c r="O1023" s="102"/>
      <c r="P1023" s="98"/>
      <c r="Q1023" s="98"/>
      <c r="R1023" s="102"/>
      <c r="S1023" s="98"/>
      <c r="T1023" s="99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148"/>
      <c r="AH1023" s="98"/>
      <c r="AI1023" s="98"/>
      <c r="AJ1023" s="98"/>
      <c r="AK1023" s="148"/>
      <c r="AL1023" s="98"/>
      <c r="AM1023" s="98"/>
      <c r="AN1023" s="98"/>
      <c r="AO1023" s="98"/>
      <c r="AP1023" s="98"/>
      <c r="AR1023" s="98"/>
      <c r="AS1023" s="98"/>
      <c r="AT1023" s="98"/>
      <c r="AU1023" s="98"/>
      <c r="AV1023" s="98"/>
      <c r="AW1023" s="98"/>
      <c r="AX1023" s="98"/>
      <c r="AY1023" s="98"/>
      <c r="AZ1023" s="98"/>
      <c r="BA1023" s="98"/>
      <c r="BB1023" s="98"/>
      <c r="BC1023" s="98"/>
      <c r="BD1023" s="98"/>
      <c r="BE1023" s="98"/>
      <c r="BF1023" s="98"/>
      <c r="BG1023" s="98"/>
      <c r="BH1023" s="98"/>
      <c r="BI1023" s="98"/>
      <c r="BJ1023" s="98"/>
      <c r="BK1023" s="98"/>
      <c r="BL1023" s="98"/>
      <c r="BM1023" s="98"/>
      <c r="BN1023" s="98"/>
      <c r="BO1023" s="98"/>
      <c r="BP1023" s="98"/>
      <c r="BQ1023" s="98"/>
      <c r="BR1023" s="98"/>
      <c r="BS1023" s="98"/>
      <c r="BT1023" s="98"/>
      <c r="BU1023" s="98"/>
      <c r="BV1023" s="98"/>
      <c r="BW1023" s="98"/>
      <c r="BX1023" s="98"/>
      <c r="BY1023" s="98"/>
    </row>
    <row r="1024" spans="1:77" s="194" customFormat="1" x14ac:dyDescent="0.3">
      <c r="A1024" s="98"/>
      <c r="B1024" s="98"/>
      <c r="C1024" s="98"/>
      <c r="D1024" s="98"/>
      <c r="E1024" s="98"/>
      <c r="F1024" s="98"/>
      <c r="G1024" s="98"/>
      <c r="H1024" s="98"/>
      <c r="I1024" s="98"/>
      <c r="J1024" s="98"/>
      <c r="K1024" s="98"/>
      <c r="L1024" s="102"/>
      <c r="M1024" s="102"/>
      <c r="N1024" s="102"/>
      <c r="O1024" s="102"/>
      <c r="P1024" s="98"/>
      <c r="Q1024" s="98"/>
      <c r="R1024" s="102"/>
      <c r="S1024" s="98"/>
      <c r="T1024" s="99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148"/>
      <c r="AH1024" s="98"/>
      <c r="AI1024" s="98"/>
      <c r="AJ1024" s="98"/>
      <c r="AK1024" s="148"/>
      <c r="AL1024" s="98"/>
      <c r="AM1024" s="98"/>
      <c r="AN1024" s="98"/>
      <c r="AO1024" s="98"/>
      <c r="AP1024" s="98"/>
      <c r="AR1024" s="98"/>
      <c r="AS1024" s="98"/>
      <c r="AT1024" s="98"/>
      <c r="AU1024" s="98"/>
      <c r="AV1024" s="98"/>
      <c r="AW1024" s="98"/>
      <c r="AX1024" s="98"/>
      <c r="AY1024" s="98"/>
      <c r="AZ1024" s="98"/>
      <c r="BA1024" s="98"/>
      <c r="BB1024" s="98"/>
      <c r="BC1024" s="98"/>
      <c r="BD1024" s="98"/>
      <c r="BE1024" s="98"/>
      <c r="BF1024" s="98"/>
      <c r="BG1024" s="98"/>
      <c r="BH1024" s="98"/>
      <c r="BI1024" s="98"/>
      <c r="BJ1024" s="98"/>
      <c r="BK1024" s="98"/>
      <c r="BL1024" s="98"/>
      <c r="BM1024" s="98"/>
      <c r="BN1024" s="98"/>
      <c r="BO1024" s="98"/>
      <c r="BP1024" s="98"/>
      <c r="BQ1024" s="98"/>
      <c r="BR1024" s="98"/>
      <c r="BS1024" s="98"/>
      <c r="BT1024" s="98"/>
      <c r="BU1024" s="98"/>
      <c r="BV1024" s="98"/>
      <c r="BW1024" s="98"/>
      <c r="BX1024" s="98"/>
      <c r="BY1024" s="98"/>
    </row>
    <row r="1025" spans="1:77" s="194" customFormat="1" x14ac:dyDescent="0.3">
      <c r="A1025" s="102"/>
      <c r="B1025" s="98"/>
      <c r="C1025" s="102"/>
      <c r="D1025" s="102"/>
      <c r="E1025" s="102"/>
      <c r="F1025" s="102"/>
      <c r="G1025" s="98"/>
      <c r="H1025" s="98"/>
      <c r="I1025" s="98"/>
      <c r="J1025" s="102"/>
      <c r="K1025" s="102"/>
      <c r="L1025" s="102"/>
      <c r="M1025" s="102"/>
      <c r="N1025" s="102"/>
      <c r="O1025" s="102"/>
      <c r="P1025" s="102"/>
      <c r="Q1025" s="102"/>
      <c r="R1025" s="102"/>
      <c r="S1025" s="98"/>
      <c r="T1025" s="99"/>
      <c r="U1025" s="98"/>
      <c r="V1025" s="110"/>
      <c r="W1025" s="110"/>
      <c r="X1025" s="110"/>
      <c r="Y1025" s="110"/>
      <c r="Z1025" s="110"/>
      <c r="AA1025" s="110"/>
      <c r="AB1025" s="228"/>
      <c r="AC1025" s="110"/>
      <c r="AD1025" s="110"/>
      <c r="AE1025" s="141"/>
      <c r="AF1025" s="141"/>
      <c r="AG1025" s="148"/>
      <c r="AH1025" s="110"/>
      <c r="AI1025" s="207"/>
      <c r="AJ1025" s="207"/>
      <c r="AK1025" s="148"/>
      <c r="AL1025" s="110"/>
      <c r="AM1025" s="110"/>
      <c r="AN1025" s="110"/>
      <c r="AO1025" s="141"/>
      <c r="AP1025" s="141"/>
      <c r="AR1025" s="98"/>
      <c r="AS1025" s="98"/>
      <c r="AT1025" s="98"/>
      <c r="AU1025" s="98"/>
      <c r="AV1025" s="98"/>
      <c r="AW1025" s="98"/>
      <c r="AX1025" s="98"/>
      <c r="AY1025" s="98"/>
      <c r="AZ1025" s="98"/>
      <c r="BA1025" s="98"/>
      <c r="BB1025" s="98"/>
      <c r="BC1025" s="98"/>
      <c r="BD1025" s="98"/>
      <c r="BE1025" s="98"/>
      <c r="BF1025" s="98"/>
      <c r="BG1025" s="98"/>
      <c r="BH1025" s="98"/>
      <c r="BI1025" s="98"/>
      <c r="BJ1025" s="98"/>
      <c r="BK1025" s="98"/>
      <c r="BL1025" s="98"/>
      <c r="BM1025" s="98"/>
      <c r="BN1025" s="98"/>
      <c r="BO1025" s="98"/>
      <c r="BP1025" s="98"/>
      <c r="BQ1025" s="98"/>
      <c r="BR1025" s="98"/>
      <c r="BS1025" s="98"/>
      <c r="BT1025" s="98"/>
      <c r="BU1025" s="98"/>
      <c r="BV1025" s="98"/>
      <c r="BW1025" s="98"/>
      <c r="BX1025" s="98"/>
      <c r="BY1025" s="98"/>
    </row>
    <row r="1026" spans="1:77" s="194" customFormat="1" x14ac:dyDescent="0.3">
      <c r="A1026" s="102"/>
      <c r="B1026" s="98"/>
      <c r="C1026" s="102"/>
      <c r="D1026" s="102"/>
      <c r="E1026" s="102"/>
      <c r="F1026" s="102"/>
      <c r="G1026" s="98"/>
      <c r="H1026" s="102"/>
      <c r="I1026" s="102"/>
      <c r="J1026" s="102"/>
      <c r="K1026" s="102"/>
      <c r="L1026" s="102"/>
      <c r="M1026" s="102"/>
      <c r="N1026" s="102"/>
      <c r="O1026" s="102"/>
      <c r="P1026" s="102"/>
      <c r="Q1026" s="102"/>
      <c r="R1026" s="102"/>
      <c r="S1026" s="98"/>
      <c r="T1026" s="99"/>
      <c r="U1026" s="98"/>
      <c r="V1026" s="110"/>
      <c r="W1026" s="110"/>
      <c r="X1026" s="110"/>
      <c r="Y1026" s="110"/>
      <c r="Z1026" s="110"/>
      <c r="AA1026" s="110"/>
      <c r="AB1026" s="228"/>
      <c r="AC1026" s="98"/>
      <c r="AD1026" s="98"/>
      <c r="AE1026" s="98"/>
      <c r="AF1026" s="98"/>
      <c r="AG1026" s="148"/>
      <c r="AH1026" s="98"/>
      <c r="AI1026" s="98"/>
      <c r="AJ1026" s="98"/>
      <c r="AK1026" s="148"/>
      <c r="AL1026" s="98"/>
      <c r="AM1026" s="98"/>
      <c r="AN1026" s="98"/>
      <c r="AO1026" s="98"/>
      <c r="AP1026" s="98"/>
      <c r="AR1026" s="98"/>
      <c r="AS1026" s="98"/>
      <c r="AT1026" s="98"/>
      <c r="AU1026" s="98"/>
      <c r="AV1026" s="98"/>
      <c r="AW1026" s="98"/>
      <c r="AX1026" s="98"/>
      <c r="AY1026" s="98"/>
      <c r="AZ1026" s="98"/>
      <c r="BA1026" s="98"/>
      <c r="BB1026" s="98"/>
      <c r="BC1026" s="98"/>
      <c r="BD1026" s="98"/>
      <c r="BE1026" s="98"/>
      <c r="BF1026" s="98"/>
      <c r="BG1026" s="98"/>
      <c r="BH1026" s="98"/>
      <c r="BI1026" s="98"/>
      <c r="BJ1026" s="98"/>
      <c r="BK1026" s="98"/>
      <c r="BL1026" s="98"/>
      <c r="BM1026" s="98"/>
      <c r="BN1026" s="98"/>
      <c r="BO1026" s="98"/>
      <c r="BP1026" s="98"/>
      <c r="BQ1026" s="98"/>
      <c r="BR1026" s="98"/>
      <c r="BS1026" s="98"/>
      <c r="BT1026" s="98"/>
      <c r="BU1026" s="98"/>
      <c r="BV1026" s="98"/>
      <c r="BW1026" s="98"/>
      <c r="BX1026" s="98"/>
      <c r="BY1026" s="98"/>
    </row>
    <row r="1027" spans="1:77" s="194" customFormat="1" x14ac:dyDescent="0.3">
      <c r="A1027" s="98"/>
      <c r="B1027" s="98"/>
      <c r="C1027" s="102"/>
      <c r="D1027" s="102"/>
      <c r="E1027" s="102"/>
      <c r="F1027" s="102"/>
      <c r="G1027" s="98"/>
      <c r="H1027" s="102"/>
      <c r="I1027" s="102"/>
      <c r="J1027" s="102"/>
      <c r="K1027" s="102"/>
      <c r="L1027" s="102"/>
      <c r="M1027" s="102"/>
      <c r="N1027" s="102"/>
      <c r="O1027" s="102"/>
      <c r="P1027" s="102"/>
      <c r="Q1027" s="102"/>
      <c r="R1027" s="102"/>
      <c r="S1027" s="98"/>
      <c r="T1027" s="99"/>
      <c r="U1027" s="98"/>
      <c r="V1027" s="110"/>
      <c r="W1027" s="110"/>
      <c r="X1027" s="110"/>
      <c r="Y1027" s="110"/>
      <c r="Z1027" s="110"/>
      <c r="AA1027" s="110"/>
      <c r="AB1027" s="228"/>
      <c r="AC1027" s="110"/>
      <c r="AD1027" s="110"/>
      <c r="AE1027" s="141"/>
      <c r="AF1027" s="141"/>
      <c r="AG1027" s="148"/>
      <c r="AH1027" s="110"/>
      <c r="AI1027" s="207"/>
      <c r="AJ1027" s="207"/>
      <c r="AK1027" s="148"/>
      <c r="AL1027" s="110"/>
      <c r="AM1027" s="110"/>
      <c r="AN1027" s="110"/>
      <c r="AO1027" s="141"/>
      <c r="AP1027" s="141"/>
      <c r="AR1027" s="98"/>
      <c r="AS1027" s="98"/>
      <c r="AT1027" s="98"/>
      <c r="AU1027" s="98"/>
      <c r="AV1027" s="98"/>
      <c r="AW1027" s="98"/>
      <c r="AX1027" s="98"/>
      <c r="AY1027" s="98"/>
      <c r="AZ1027" s="98"/>
      <c r="BA1027" s="98"/>
      <c r="BB1027" s="98"/>
      <c r="BC1027" s="98"/>
      <c r="BD1027" s="98"/>
      <c r="BE1027" s="98"/>
      <c r="BF1027" s="98"/>
      <c r="BG1027" s="98"/>
      <c r="BH1027" s="98"/>
      <c r="BI1027" s="98"/>
      <c r="BJ1027" s="98"/>
      <c r="BK1027" s="98"/>
      <c r="BL1027" s="98"/>
      <c r="BM1027" s="98"/>
      <c r="BN1027" s="98"/>
      <c r="BO1027" s="98"/>
      <c r="BP1027" s="98"/>
      <c r="BQ1027" s="98"/>
      <c r="BR1027" s="98"/>
      <c r="BS1027" s="98"/>
      <c r="BT1027" s="98"/>
      <c r="BU1027" s="98"/>
      <c r="BV1027" s="98"/>
      <c r="BW1027" s="98"/>
      <c r="BX1027" s="98"/>
      <c r="BY1027" s="98"/>
    </row>
    <row r="1028" spans="1:77" s="194" customFormat="1" x14ac:dyDescent="0.3">
      <c r="A1028" s="101"/>
      <c r="B1028" s="101"/>
      <c r="C1028" s="101"/>
      <c r="D1028" s="101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1"/>
      <c r="Q1028" s="101"/>
      <c r="R1028" s="101"/>
      <c r="S1028" s="98"/>
      <c r="T1028" s="99"/>
      <c r="U1028" s="98"/>
      <c r="V1028" s="110"/>
      <c r="W1028" s="110"/>
      <c r="X1028" s="110"/>
      <c r="Y1028" s="110"/>
      <c r="Z1028" s="110"/>
      <c r="AA1028" s="110"/>
      <c r="AB1028" s="228"/>
      <c r="AC1028" s="98"/>
      <c r="AD1028" s="98"/>
      <c r="AE1028" s="98"/>
      <c r="AF1028" s="98"/>
      <c r="AG1028" s="148"/>
      <c r="AH1028" s="98"/>
      <c r="AI1028" s="98"/>
      <c r="AJ1028" s="98"/>
      <c r="AK1028" s="148"/>
      <c r="AL1028" s="98"/>
      <c r="AM1028" s="98"/>
      <c r="AN1028" s="98"/>
      <c r="AO1028" s="98"/>
      <c r="AP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  <c r="BT1028" s="98"/>
      <c r="BU1028" s="98"/>
      <c r="BV1028" s="98"/>
      <c r="BW1028" s="98"/>
      <c r="BX1028" s="98"/>
      <c r="BY1028" s="98"/>
    </row>
    <row r="1029" spans="1:77" s="194" customFormat="1" x14ac:dyDescent="0.3">
      <c r="A1029" s="98"/>
      <c r="B1029" s="98"/>
      <c r="C1029" s="98"/>
      <c r="D1029" s="98"/>
      <c r="E1029" s="98"/>
      <c r="F1029" s="98"/>
      <c r="G1029" s="98"/>
      <c r="H1029" s="102"/>
      <c r="I1029" s="102"/>
      <c r="J1029" s="102"/>
      <c r="K1029" s="102"/>
      <c r="L1029" s="102"/>
      <c r="M1029" s="102"/>
      <c r="N1029" s="102"/>
      <c r="O1029" s="102"/>
      <c r="P1029" s="102"/>
      <c r="Q1029" s="102"/>
      <c r="R1029" s="102"/>
      <c r="S1029" s="98"/>
      <c r="T1029" s="99"/>
      <c r="U1029" s="98"/>
      <c r="V1029" s="110"/>
      <c r="W1029" s="110"/>
      <c r="X1029" s="110"/>
      <c r="Y1029" s="110"/>
      <c r="Z1029" s="110"/>
      <c r="AA1029" s="110"/>
      <c r="AB1029" s="228"/>
      <c r="AC1029" s="110"/>
      <c r="AD1029" s="110"/>
      <c r="AE1029" s="141"/>
      <c r="AF1029" s="141"/>
      <c r="AG1029" s="148"/>
      <c r="AH1029" s="110"/>
      <c r="AI1029" s="207"/>
      <c r="AJ1029" s="207"/>
      <c r="AK1029" s="148"/>
      <c r="AL1029" s="110"/>
      <c r="AM1029" s="110"/>
      <c r="AN1029" s="110"/>
      <c r="AO1029" s="141"/>
      <c r="AP1029" s="141"/>
      <c r="AR1029" s="98"/>
      <c r="AS1029" s="98"/>
      <c r="AT1029" s="98"/>
      <c r="AU1029" s="98"/>
      <c r="AV1029" s="98"/>
      <c r="AW1029" s="98"/>
      <c r="AX1029" s="98"/>
      <c r="AY1029" s="98"/>
      <c r="AZ1029" s="98"/>
      <c r="BA1029" s="98"/>
      <c r="BB1029" s="98"/>
      <c r="BC1029" s="98"/>
      <c r="BD1029" s="98"/>
      <c r="BE1029" s="98"/>
      <c r="BF1029" s="98"/>
      <c r="BG1029" s="98"/>
      <c r="BH1029" s="98"/>
      <c r="BI1029" s="98"/>
      <c r="BJ1029" s="98"/>
      <c r="BK1029" s="98"/>
      <c r="BL1029" s="98"/>
      <c r="BM1029" s="98"/>
      <c r="BN1029" s="98"/>
      <c r="BO1029" s="98"/>
      <c r="BP1029" s="98"/>
      <c r="BQ1029" s="98"/>
      <c r="BR1029" s="98"/>
      <c r="BS1029" s="98"/>
      <c r="BT1029" s="98"/>
      <c r="BU1029" s="98"/>
      <c r="BV1029" s="98"/>
      <c r="BW1029" s="98"/>
      <c r="BX1029" s="98"/>
      <c r="BY1029" s="98"/>
    </row>
    <row r="1030" spans="1:77" s="194" customFormat="1" x14ac:dyDescent="0.3">
      <c r="A1030" s="98"/>
      <c r="B1030" s="98"/>
      <c r="C1030" s="99"/>
      <c r="D1030" s="99"/>
      <c r="E1030" s="99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9"/>
      <c r="U1030" s="98"/>
      <c r="V1030" s="110"/>
      <c r="W1030" s="110"/>
      <c r="X1030" s="110"/>
      <c r="Y1030" s="110"/>
      <c r="Z1030" s="110"/>
      <c r="AA1030" s="110"/>
      <c r="AB1030" s="228"/>
      <c r="AC1030" s="98"/>
      <c r="AD1030" s="98"/>
      <c r="AE1030" s="98"/>
      <c r="AF1030" s="98"/>
      <c r="AG1030" s="148"/>
      <c r="AH1030" s="98"/>
      <c r="AI1030" s="98"/>
      <c r="AJ1030" s="98"/>
      <c r="AK1030" s="148"/>
      <c r="AL1030" s="98"/>
      <c r="AM1030" s="98"/>
      <c r="AN1030" s="98"/>
      <c r="AO1030" s="98"/>
      <c r="AP1030" s="98"/>
      <c r="AR1030" s="98"/>
      <c r="AS1030" s="98"/>
      <c r="AT1030" s="98"/>
      <c r="AU1030" s="98"/>
      <c r="AV1030" s="98"/>
      <c r="AW1030" s="98"/>
      <c r="AX1030" s="98"/>
      <c r="AY1030" s="98"/>
      <c r="AZ1030" s="98"/>
      <c r="BA1030" s="98"/>
      <c r="BB1030" s="98"/>
      <c r="BC1030" s="98"/>
      <c r="BD1030" s="98"/>
      <c r="BE1030" s="98"/>
      <c r="BF1030" s="98"/>
      <c r="BG1030" s="98"/>
      <c r="BH1030" s="98"/>
      <c r="BI1030" s="98"/>
      <c r="BJ1030" s="98"/>
      <c r="BK1030" s="98"/>
      <c r="BL1030" s="98"/>
      <c r="BM1030" s="98"/>
      <c r="BN1030" s="98"/>
      <c r="BO1030" s="98"/>
      <c r="BP1030" s="98"/>
      <c r="BQ1030" s="98"/>
      <c r="BR1030" s="98"/>
      <c r="BS1030" s="98"/>
      <c r="BT1030" s="98"/>
      <c r="BU1030" s="98"/>
      <c r="BV1030" s="98"/>
      <c r="BW1030" s="98"/>
      <c r="BX1030" s="98"/>
      <c r="BY1030" s="98"/>
    </row>
    <row r="1031" spans="1:77" x14ac:dyDescent="0.3">
      <c r="T1031" s="99"/>
      <c r="V1031" s="110"/>
      <c r="W1031" s="110"/>
      <c r="X1031" s="110"/>
      <c r="Y1031" s="110"/>
      <c r="Z1031" s="110"/>
      <c r="AA1031" s="110"/>
      <c r="AB1031" s="228"/>
      <c r="AC1031" s="110"/>
      <c r="AD1031" s="110"/>
      <c r="AE1031" s="141"/>
      <c r="AF1031" s="141"/>
      <c r="AH1031" s="110"/>
      <c r="AI1031" s="207"/>
      <c r="AJ1031" s="207"/>
      <c r="AL1031" s="110"/>
      <c r="AM1031" s="110"/>
      <c r="AN1031" s="110"/>
      <c r="AO1031" s="141"/>
      <c r="AP1031" s="141"/>
    </row>
    <row r="1032" spans="1:77" s="194" customFormat="1" x14ac:dyDescent="0.3">
      <c r="A1032" s="98"/>
      <c r="B1032" s="98"/>
      <c r="C1032" s="99"/>
      <c r="D1032" s="99"/>
      <c r="E1032" s="99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9"/>
      <c r="U1032" s="98"/>
      <c r="V1032" s="110"/>
      <c r="W1032" s="110"/>
      <c r="X1032" s="110"/>
      <c r="Y1032" s="110"/>
      <c r="Z1032" s="110"/>
      <c r="AA1032" s="110"/>
      <c r="AB1032" s="228"/>
      <c r="AC1032" s="98"/>
      <c r="AD1032" s="98"/>
      <c r="AE1032" s="98"/>
      <c r="AF1032" s="98"/>
      <c r="AG1032" s="148"/>
      <c r="AH1032" s="98"/>
      <c r="AI1032" s="98"/>
      <c r="AJ1032" s="98"/>
      <c r="AK1032" s="148"/>
      <c r="AL1032" s="98"/>
      <c r="AM1032" s="98"/>
      <c r="AN1032" s="98"/>
      <c r="AO1032" s="98"/>
      <c r="AP1032" s="98"/>
      <c r="AR1032" s="98"/>
      <c r="AS1032" s="98"/>
      <c r="AT1032" s="98"/>
      <c r="AU1032" s="98"/>
      <c r="AV1032" s="98"/>
      <c r="AW1032" s="98"/>
      <c r="AX1032" s="98"/>
      <c r="AY1032" s="98"/>
      <c r="AZ1032" s="98"/>
      <c r="BA1032" s="98"/>
      <c r="BB1032" s="98"/>
      <c r="BC1032" s="98"/>
      <c r="BD1032" s="98"/>
      <c r="BE1032" s="98"/>
      <c r="BF1032" s="98"/>
      <c r="BG1032" s="98"/>
      <c r="BH1032" s="98"/>
      <c r="BI1032" s="98"/>
      <c r="BJ1032" s="98"/>
      <c r="BK1032" s="98"/>
      <c r="BL1032" s="98"/>
      <c r="BM1032" s="98"/>
      <c r="BN1032" s="98"/>
      <c r="BO1032" s="98"/>
      <c r="BP1032" s="98"/>
      <c r="BQ1032" s="98"/>
      <c r="BR1032" s="98"/>
      <c r="BS1032" s="98"/>
      <c r="BT1032" s="98"/>
      <c r="BU1032" s="98"/>
      <c r="BV1032" s="98"/>
      <c r="BW1032" s="98"/>
      <c r="BX1032" s="98"/>
      <c r="BY1032" s="98"/>
    </row>
    <row r="1033" spans="1:77" s="194" customFormat="1" x14ac:dyDescent="0.3">
      <c r="A1033" s="98"/>
      <c r="B1033" s="98"/>
      <c r="C1033" s="99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9"/>
      <c r="U1033" s="98"/>
      <c r="V1033" s="110"/>
      <c r="W1033" s="110"/>
      <c r="X1033" s="110"/>
      <c r="Y1033" s="110"/>
      <c r="Z1033" s="110"/>
      <c r="AA1033" s="110"/>
      <c r="AB1033" s="228"/>
      <c r="AC1033" s="110"/>
      <c r="AD1033" s="110"/>
      <c r="AE1033" s="141"/>
      <c r="AF1033" s="141"/>
      <c r="AG1033" s="148"/>
      <c r="AH1033" s="110"/>
      <c r="AI1033" s="207"/>
      <c r="AJ1033" s="207"/>
      <c r="AK1033" s="148"/>
      <c r="AL1033" s="110"/>
      <c r="AM1033" s="110"/>
      <c r="AN1033" s="110"/>
      <c r="AO1033" s="141"/>
      <c r="AP1033" s="141"/>
      <c r="AR1033" s="98"/>
      <c r="AS1033" s="98"/>
      <c r="AT1033" s="98"/>
      <c r="AU1033" s="98"/>
      <c r="AV1033" s="98"/>
      <c r="AW1033" s="98"/>
      <c r="AX1033" s="98"/>
      <c r="AY1033" s="98"/>
      <c r="AZ1033" s="98"/>
      <c r="BA1033" s="98"/>
      <c r="BB1033" s="98"/>
      <c r="BC1033" s="98"/>
      <c r="BD1033" s="98"/>
      <c r="BE1033" s="98"/>
      <c r="BF1033" s="98"/>
      <c r="BG1033" s="98"/>
      <c r="BH1033" s="98"/>
      <c r="BI1033" s="98"/>
      <c r="BJ1033" s="98"/>
      <c r="BK1033" s="98"/>
      <c r="BL1033" s="98"/>
      <c r="BM1033" s="98"/>
      <c r="BN1033" s="98"/>
      <c r="BO1033" s="98"/>
      <c r="BP1033" s="98"/>
      <c r="BQ1033" s="98"/>
      <c r="BR1033" s="98"/>
      <c r="BS1033" s="98"/>
      <c r="BT1033" s="98"/>
      <c r="BU1033" s="98"/>
      <c r="BV1033" s="98"/>
      <c r="BW1033" s="98"/>
      <c r="BX1033" s="98"/>
      <c r="BY1033" s="98"/>
    </row>
    <row r="1034" spans="1:77" s="194" customFormat="1" x14ac:dyDescent="0.3">
      <c r="A1034" s="98"/>
      <c r="B1034" s="98"/>
      <c r="C1034" s="99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9"/>
      <c r="U1034" s="98"/>
      <c r="V1034" s="110"/>
      <c r="W1034" s="110"/>
      <c r="X1034" s="110"/>
      <c r="Y1034" s="110"/>
      <c r="Z1034" s="110"/>
      <c r="AA1034" s="110"/>
      <c r="AB1034" s="228"/>
      <c r="AC1034" s="98"/>
      <c r="AD1034" s="98"/>
      <c r="AE1034" s="98"/>
      <c r="AF1034" s="98"/>
      <c r="AG1034" s="148"/>
      <c r="AH1034" s="98"/>
      <c r="AI1034" s="98"/>
      <c r="AJ1034" s="98"/>
      <c r="AK1034" s="148"/>
      <c r="AL1034" s="98"/>
      <c r="AM1034" s="98"/>
      <c r="AN1034" s="98"/>
      <c r="AO1034" s="98"/>
      <c r="AP1034" s="98"/>
      <c r="AR1034" s="98"/>
      <c r="AS1034" s="98"/>
      <c r="AT1034" s="98"/>
      <c r="AU1034" s="98"/>
      <c r="AV1034" s="98"/>
      <c r="AW1034" s="98"/>
      <c r="AX1034" s="98"/>
      <c r="AY1034" s="98"/>
      <c r="AZ1034" s="98"/>
      <c r="BA1034" s="98"/>
      <c r="BB1034" s="98"/>
      <c r="BC1034" s="98"/>
      <c r="BD1034" s="98"/>
      <c r="BE1034" s="98"/>
      <c r="BF1034" s="98"/>
      <c r="BG1034" s="98"/>
      <c r="BH1034" s="98"/>
      <c r="BI1034" s="98"/>
      <c r="BJ1034" s="98"/>
      <c r="BK1034" s="98"/>
      <c r="BL1034" s="98"/>
      <c r="BM1034" s="98"/>
      <c r="BN1034" s="98"/>
      <c r="BO1034" s="98"/>
      <c r="BP1034" s="98"/>
      <c r="BQ1034" s="98"/>
      <c r="BR1034" s="98"/>
      <c r="BS1034" s="98"/>
      <c r="BT1034" s="98"/>
      <c r="BU1034" s="98"/>
      <c r="BV1034" s="98"/>
      <c r="BW1034" s="98"/>
      <c r="BX1034" s="98"/>
      <c r="BY1034" s="98"/>
    </row>
    <row r="1035" spans="1:77" s="194" customFormat="1" x14ac:dyDescent="0.3">
      <c r="A1035" s="98"/>
      <c r="B1035" s="98"/>
      <c r="C1035" s="99"/>
      <c r="D1035" s="98"/>
      <c r="E1035" s="98"/>
      <c r="F1035" s="98"/>
      <c r="G1035" s="98"/>
      <c r="H1035" s="172"/>
      <c r="I1035" s="172"/>
      <c r="J1035" s="228"/>
      <c r="K1035" s="228"/>
      <c r="L1035" s="110"/>
      <c r="M1035" s="110"/>
      <c r="N1035" s="141"/>
      <c r="O1035" s="141"/>
      <c r="P1035" s="110"/>
      <c r="Q1035" s="110"/>
      <c r="R1035" s="110"/>
      <c r="S1035" s="98"/>
      <c r="T1035" s="99"/>
      <c r="U1035" s="98"/>
      <c r="V1035" s="110"/>
      <c r="W1035" s="110"/>
      <c r="X1035" s="110"/>
      <c r="Y1035" s="110"/>
      <c r="Z1035" s="110"/>
      <c r="AA1035" s="110"/>
      <c r="AB1035" s="228"/>
      <c r="AC1035" s="110"/>
      <c r="AD1035" s="110"/>
      <c r="AE1035" s="141"/>
      <c r="AF1035" s="141"/>
      <c r="AG1035" s="148"/>
      <c r="AH1035" s="110"/>
      <c r="AI1035" s="207"/>
      <c r="AJ1035" s="207"/>
      <c r="AK1035" s="148"/>
      <c r="AL1035" s="110"/>
      <c r="AM1035" s="110"/>
      <c r="AN1035" s="110"/>
      <c r="AO1035" s="141"/>
      <c r="AP1035" s="141"/>
      <c r="AR1035" s="98"/>
      <c r="AS1035" s="98"/>
      <c r="AT1035" s="98"/>
      <c r="AU1035" s="98"/>
      <c r="AV1035" s="98"/>
      <c r="AW1035" s="98"/>
      <c r="AX1035" s="98"/>
      <c r="AY1035" s="98"/>
      <c r="AZ1035" s="98"/>
      <c r="BA1035" s="98"/>
      <c r="BB1035" s="98"/>
      <c r="BC1035" s="98"/>
      <c r="BD1035" s="98"/>
      <c r="BE1035" s="98"/>
      <c r="BF1035" s="98"/>
      <c r="BG1035" s="98"/>
      <c r="BH1035" s="98"/>
      <c r="BI1035" s="98"/>
      <c r="BJ1035" s="98"/>
      <c r="BK1035" s="98"/>
      <c r="BL1035" s="98"/>
      <c r="BM1035" s="98"/>
      <c r="BN1035" s="98"/>
      <c r="BO1035" s="98"/>
      <c r="BP1035" s="98"/>
      <c r="BQ1035" s="98"/>
      <c r="BR1035" s="98"/>
      <c r="BS1035" s="98"/>
      <c r="BT1035" s="98"/>
      <c r="BU1035" s="98"/>
      <c r="BV1035" s="98"/>
      <c r="BW1035" s="98"/>
      <c r="BX1035" s="98"/>
      <c r="BY1035" s="98"/>
    </row>
    <row r="1036" spans="1:77" s="194" customFormat="1" x14ac:dyDescent="0.3">
      <c r="A1036" s="98"/>
      <c r="B1036" s="98"/>
      <c r="C1036" s="99"/>
      <c r="D1036" s="98"/>
      <c r="E1036" s="98"/>
      <c r="F1036" s="172"/>
      <c r="G1036" s="98"/>
      <c r="H1036" s="98"/>
      <c r="I1036" s="98"/>
      <c r="J1036" s="163"/>
      <c r="K1036" s="163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192"/>
      <c r="W1036" s="98"/>
      <c r="X1036" s="98"/>
      <c r="Y1036" s="98"/>
      <c r="Z1036" s="98"/>
      <c r="AA1036" s="192"/>
      <c r="AB1036" s="228"/>
      <c r="AC1036" s="192"/>
      <c r="AD1036" s="192"/>
      <c r="AE1036" s="192"/>
      <c r="AF1036" s="192"/>
      <c r="AH1036" s="192"/>
      <c r="AI1036" s="98"/>
      <c r="AJ1036" s="98"/>
      <c r="AL1036" s="192"/>
      <c r="AM1036" s="192"/>
      <c r="AN1036" s="192"/>
      <c r="AO1036" s="141"/>
      <c r="AP1036" s="141"/>
      <c r="AR1036" s="98"/>
      <c r="AS1036" s="98"/>
      <c r="AT1036" s="98"/>
      <c r="AU1036" s="98"/>
      <c r="AV1036" s="98"/>
      <c r="AW1036" s="98"/>
      <c r="AX1036" s="98"/>
      <c r="AY1036" s="98"/>
      <c r="AZ1036" s="98"/>
      <c r="BA1036" s="98"/>
      <c r="BB1036" s="98"/>
      <c r="BC1036" s="98"/>
      <c r="BD1036" s="98"/>
      <c r="BE1036" s="98"/>
      <c r="BF1036" s="98"/>
      <c r="BG1036" s="98"/>
      <c r="BH1036" s="98"/>
      <c r="BI1036" s="98"/>
      <c r="BJ1036" s="98"/>
      <c r="BK1036" s="98"/>
      <c r="BL1036" s="98"/>
      <c r="BM1036" s="98"/>
      <c r="BN1036" s="98"/>
      <c r="BO1036" s="98"/>
      <c r="BP1036" s="98"/>
      <c r="BQ1036" s="98"/>
      <c r="BR1036" s="98"/>
      <c r="BS1036" s="98"/>
      <c r="BT1036" s="98"/>
      <c r="BU1036" s="98"/>
      <c r="BV1036" s="98"/>
      <c r="BW1036" s="98"/>
      <c r="BX1036" s="98"/>
      <c r="BY1036" s="98"/>
    </row>
    <row r="1037" spans="1:77" s="194" customFormat="1" x14ac:dyDescent="0.3">
      <c r="A1037" s="98"/>
      <c r="B1037" s="98"/>
      <c r="C1037" s="99"/>
      <c r="D1037" s="98"/>
      <c r="E1037" s="98"/>
      <c r="F1037" s="98"/>
      <c r="G1037" s="98"/>
      <c r="H1037" s="172"/>
      <c r="I1037" s="172"/>
      <c r="J1037" s="228"/>
      <c r="K1037" s="228"/>
      <c r="L1037" s="110"/>
      <c r="M1037" s="110"/>
      <c r="N1037" s="141"/>
      <c r="O1037" s="141"/>
      <c r="P1037" s="110"/>
      <c r="Q1037" s="110"/>
      <c r="R1037" s="110"/>
      <c r="S1037" s="98"/>
      <c r="T1037" s="99"/>
      <c r="U1037" s="98"/>
      <c r="V1037" s="110"/>
      <c r="W1037" s="110"/>
      <c r="X1037" s="110"/>
      <c r="Y1037" s="110"/>
      <c r="Z1037" s="110"/>
      <c r="AA1037" s="110"/>
      <c r="AB1037" s="228"/>
      <c r="AC1037" s="110"/>
      <c r="AD1037" s="110"/>
      <c r="AE1037" s="141"/>
      <c r="AF1037" s="141"/>
      <c r="AG1037" s="148"/>
      <c r="AH1037" s="110"/>
      <c r="AI1037" s="207"/>
      <c r="AJ1037" s="207"/>
      <c r="AK1037" s="224"/>
      <c r="AL1037" s="172"/>
      <c r="AM1037" s="110"/>
      <c r="AN1037" s="110"/>
      <c r="AO1037" s="141"/>
      <c r="AP1037" s="141"/>
      <c r="AR1037" s="98"/>
      <c r="AS1037" s="98"/>
      <c r="AT1037" s="98"/>
      <c r="AU1037" s="98"/>
      <c r="AV1037" s="98"/>
      <c r="AW1037" s="98"/>
      <c r="AX1037" s="98"/>
      <c r="AY1037" s="98"/>
      <c r="AZ1037" s="98"/>
      <c r="BA1037" s="98"/>
      <c r="BB1037" s="98"/>
      <c r="BC1037" s="98"/>
      <c r="BD1037" s="98"/>
      <c r="BE1037" s="98"/>
      <c r="BF1037" s="98"/>
      <c r="BG1037" s="98"/>
      <c r="BH1037" s="98"/>
      <c r="BI1037" s="98"/>
      <c r="BJ1037" s="98"/>
      <c r="BK1037" s="98"/>
      <c r="BL1037" s="98"/>
      <c r="BM1037" s="98"/>
      <c r="BN1037" s="98"/>
      <c r="BO1037" s="98"/>
      <c r="BP1037" s="98"/>
      <c r="BQ1037" s="98"/>
      <c r="BR1037" s="98"/>
      <c r="BS1037" s="98"/>
      <c r="BT1037" s="98"/>
      <c r="BU1037" s="98"/>
      <c r="BV1037" s="98"/>
      <c r="BW1037" s="98"/>
      <c r="BX1037" s="98"/>
      <c r="BY1037" s="98"/>
    </row>
    <row r="1038" spans="1:77" s="194" customFormat="1" x14ac:dyDescent="0.3">
      <c r="A1038" s="98"/>
      <c r="B1038" s="98"/>
      <c r="C1038" s="99"/>
      <c r="D1038" s="98"/>
      <c r="E1038" s="98"/>
      <c r="F1038" s="172"/>
      <c r="G1038" s="98"/>
      <c r="H1038" s="98"/>
      <c r="I1038" s="98"/>
      <c r="J1038" s="163"/>
      <c r="K1038" s="163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192"/>
      <c r="W1038" s="98"/>
      <c r="X1038" s="98"/>
      <c r="Y1038" s="98"/>
      <c r="Z1038" s="98"/>
      <c r="AA1038" s="192"/>
      <c r="AB1038" s="228"/>
      <c r="AC1038" s="192"/>
      <c r="AD1038" s="192"/>
      <c r="AE1038" s="192"/>
      <c r="AF1038" s="192"/>
      <c r="AH1038" s="192"/>
      <c r="AI1038" s="98"/>
      <c r="AJ1038" s="98"/>
      <c r="AL1038" s="192"/>
      <c r="AM1038" s="192"/>
      <c r="AN1038" s="192"/>
      <c r="AO1038" s="98"/>
      <c r="AP1038" s="98"/>
      <c r="AR1038" s="98"/>
      <c r="AS1038" s="98"/>
      <c r="AT1038" s="98"/>
      <c r="AU1038" s="98"/>
      <c r="AV1038" s="98"/>
      <c r="AW1038" s="98"/>
      <c r="AX1038" s="98"/>
      <c r="AY1038" s="98"/>
      <c r="AZ1038" s="98"/>
      <c r="BA1038" s="98"/>
      <c r="BB1038" s="98"/>
      <c r="BC1038" s="98"/>
      <c r="BD1038" s="98"/>
      <c r="BE1038" s="98"/>
      <c r="BF1038" s="98"/>
      <c r="BG1038" s="98"/>
      <c r="BH1038" s="98"/>
      <c r="BI1038" s="98"/>
      <c r="BJ1038" s="98"/>
      <c r="BK1038" s="98"/>
      <c r="BL1038" s="98"/>
      <c r="BM1038" s="98"/>
      <c r="BN1038" s="98"/>
      <c r="BO1038" s="98"/>
      <c r="BP1038" s="98"/>
      <c r="BQ1038" s="98"/>
      <c r="BR1038" s="98"/>
      <c r="BS1038" s="98"/>
      <c r="BT1038" s="98"/>
      <c r="BU1038" s="98"/>
      <c r="BV1038" s="98"/>
      <c r="BW1038" s="98"/>
      <c r="BX1038" s="98"/>
      <c r="BY1038" s="98"/>
    </row>
    <row r="1039" spans="1:77" s="194" customFormat="1" x14ac:dyDescent="0.3">
      <c r="A1039" s="98"/>
      <c r="B1039" s="98"/>
      <c r="C1039" s="99"/>
      <c r="D1039" s="98"/>
      <c r="E1039" s="98"/>
      <c r="F1039" s="98"/>
      <c r="G1039" s="98"/>
      <c r="H1039" s="172"/>
      <c r="I1039" s="172"/>
      <c r="J1039" s="228"/>
      <c r="K1039" s="228"/>
      <c r="L1039" s="110"/>
      <c r="M1039" s="110"/>
      <c r="N1039" s="141"/>
      <c r="O1039" s="141"/>
      <c r="P1039" s="110"/>
      <c r="Q1039" s="110"/>
      <c r="R1039" s="110"/>
      <c r="S1039" s="98"/>
      <c r="T1039" s="99"/>
      <c r="U1039" s="99"/>
      <c r="V1039" s="110"/>
      <c r="W1039" s="110"/>
      <c r="X1039" s="110"/>
      <c r="Y1039" s="110"/>
      <c r="Z1039" s="110"/>
      <c r="AA1039" s="110"/>
      <c r="AB1039" s="228"/>
      <c r="AC1039" s="98"/>
      <c r="AD1039" s="98"/>
      <c r="AE1039" s="98"/>
      <c r="AF1039" s="98"/>
      <c r="AG1039" s="148"/>
      <c r="AH1039" s="98"/>
      <c r="AI1039" s="98"/>
      <c r="AJ1039" s="98"/>
      <c r="AK1039" s="148"/>
      <c r="AL1039" s="98"/>
      <c r="AM1039" s="98"/>
      <c r="AN1039" s="98"/>
      <c r="AO1039" s="98"/>
      <c r="AP1039" s="98"/>
      <c r="AR1039" s="98"/>
      <c r="AS1039" s="98"/>
      <c r="AT1039" s="98"/>
      <c r="AU1039" s="98"/>
      <c r="AV1039" s="98"/>
      <c r="AW1039" s="98"/>
      <c r="AX1039" s="98"/>
      <c r="AY1039" s="98"/>
      <c r="AZ1039" s="98"/>
      <c r="BA1039" s="98"/>
      <c r="BB1039" s="98"/>
      <c r="BC1039" s="98"/>
      <c r="BD1039" s="98"/>
      <c r="BE1039" s="98"/>
      <c r="BF1039" s="98"/>
      <c r="BG1039" s="98"/>
      <c r="BH1039" s="98"/>
      <c r="BI1039" s="98"/>
      <c r="BJ1039" s="98"/>
      <c r="BK1039" s="98"/>
      <c r="BL1039" s="98"/>
      <c r="BM1039" s="98"/>
      <c r="BN1039" s="98"/>
      <c r="BO1039" s="98"/>
      <c r="BP1039" s="98"/>
      <c r="BQ1039" s="98"/>
      <c r="BR1039" s="98"/>
      <c r="BS1039" s="98"/>
      <c r="BT1039" s="98"/>
      <c r="BU1039" s="98"/>
      <c r="BV1039" s="98"/>
      <c r="BW1039" s="98"/>
      <c r="BX1039" s="98"/>
      <c r="BY1039" s="98"/>
    </row>
    <row r="1040" spans="1:77" s="194" customFormat="1" x14ac:dyDescent="0.3">
      <c r="A1040" s="98"/>
      <c r="B1040" s="98"/>
      <c r="C1040" s="99"/>
      <c r="D1040" s="98"/>
      <c r="E1040" s="98"/>
      <c r="F1040" s="172"/>
      <c r="G1040" s="98"/>
      <c r="H1040" s="98"/>
      <c r="I1040" s="98"/>
      <c r="J1040" s="163"/>
      <c r="K1040" s="163"/>
      <c r="L1040" s="98"/>
      <c r="M1040" s="98"/>
      <c r="N1040" s="98"/>
      <c r="O1040" s="98"/>
      <c r="P1040" s="98"/>
      <c r="Q1040" s="98"/>
      <c r="R1040" s="98"/>
      <c r="S1040" s="98"/>
      <c r="T1040" s="99"/>
      <c r="U1040" s="98"/>
      <c r="V1040" s="110"/>
      <c r="W1040" s="110"/>
      <c r="X1040" s="110"/>
      <c r="Y1040" s="110"/>
      <c r="Z1040" s="110"/>
      <c r="AA1040" s="110"/>
      <c r="AB1040" s="228"/>
      <c r="AC1040" s="98"/>
      <c r="AD1040" s="98"/>
      <c r="AE1040" s="98"/>
      <c r="AF1040" s="98"/>
      <c r="AG1040" s="148"/>
      <c r="AH1040" s="98"/>
      <c r="AI1040" s="98"/>
      <c r="AJ1040" s="98"/>
      <c r="AK1040" s="148"/>
      <c r="AL1040" s="98"/>
      <c r="AM1040" s="98"/>
      <c r="AN1040" s="98"/>
      <c r="AO1040" s="98"/>
      <c r="AP1040" s="98"/>
      <c r="AR1040" s="98"/>
      <c r="AS1040" s="98"/>
      <c r="AT1040" s="98"/>
      <c r="AU1040" s="98"/>
      <c r="AV1040" s="98"/>
      <c r="AW1040" s="98"/>
      <c r="AX1040" s="98"/>
      <c r="AY1040" s="98"/>
      <c r="AZ1040" s="98"/>
      <c r="BA1040" s="98"/>
      <c r="BB1040" s="98"/>
      <c r="BC1040" s="98"/>
      <c r="BD1040" s="98"/>
      <c r="BE1040" s="98"/>
      <c r="BF1040" s="98"/>
      <c r="BG1040" s="98"/>
      <c r="BH1040" s="98"/>
      <c r="BI1040" s="98"/>
      <c r="BJ1040" s="98"/>
      <c r="BK1040" s="98"/>
      <c r="BL1040" s="98"/>
      <c r="BM1040" s="98"/>
      <c r="BN1040" s="98"/>
      <c r="BO1040" s="98"/>
      <c r="BP1040" s="98"/>
      <c r="BQ1040" s="98"/>
      <c r="BR1040" s="98"/>
      <c r="BS1040" s="98"/>
      <c r="BT1040" s="98"/>
      <c r="BU1040" s="98"/>
      <c r="BV1040" s="98"/>
      <c r="BW1040" s="98"/>
      <c r="BX1040" s="98"/>
      <c r="BY1040" s="98"/>
    </row>
    <row r="1041" spans="1:77" s="194" customFormat="1" x14ac:dyDescent="0.3">
      <c r="A1041" s="98"/>
      <c r="B1041" s="98"/>
      <c r="C1041" s="99"/>
      <c r="D1041" s="98"/>
      <c r="E1041" s="98"/>
      <c r="F1041" s="98"/>
      <c r="G1041" s="98"/>
      <c r="H1041" s="172"/>
      <c r="I1041" s="172"/>
      <c r="J1041" s="228"/>
      <c r="K1041" s="228"/>
      <c r="L1041" s="110"/>
      <c r="M1041" s="110"/>
      <c r="N1041" s="141"/>
      <c r="O1041" s="141"/>
      <c r="P1041" s="110"/>
      <c r="Q1041" s="110"/>
      <c r="R1041" s="110"/>
      <c r="S1041" s="98"/>
      <c r="T1041" s="99"/>
      <c r="U1041" s="98"/>
      <c r="V1041" s="110"/>
      <c r="W1041" s="110"/>
      <c r="X1041" s="110"/>
      <c r="Y1041" s="110"/>
      <c r="Z1041" s="110"/>
      <c r="AA1041" s="110"/>
      <c r="AB1041" s="228"/>
      <c r="AC1041" s="98"/>
      <c r="AD1041" s="98"/>
      <c r="AE1041" s="98"/>
      <c r="AF1041" s="98"/>
      <c r="AG1041" s="148"/>
      <c r="AH1041" s="98"/>
      <c r="AI1041" s="98"/>
      <c r="AJ1041" s="98"/>
      <c r="AK1041" s="148"/>
      <c r="AL1041" s="98"/>
      <c r="AM1041" s="98"/>
      <c r="AN1041" s="98"/>
      <c r="AO1041" s="98"/>
      <c r="AP1041" s="98"/>
      <c r="AR1041" s="98"/>
      <c r="AS1041" s="98"/>
      <c r="AT1041" s="98"/>
      <c r="AU1041" s="98"/>
      <c r="AV1041" s="98"/>
      <c r="AW1041" s="98"/>
      <c r="AX1041" s="98"/>
      <c r="AY1041" s="98"/>
      <c r="AZ1041" s="98"/>
      <c r="BA1041" s="98"/>
      <c r="BB1041" s="98"/>
      <c r="BC1041" s="98"/>
      <c r="BD1041" s="98"/>
      <c r="BE1041" s="98"/>
      <c r="BF1041" s="98"/>
      <c r="BG1041" s="98"/>
      <c r="BH1041" s="98"/>
      <c r="BI1041" s="98"/>
      <c r="BJ1041" s="98"/>
      <c r="BK1041" s="98"/>
      <c r="BL1041" s="98"/>
      <c r="BM1041" s="98"/>
      <c r="BN1041" s="98"/>
      <c r="BO1041" s="98"/>
      <c r="BP1041" s="98"/>
      <c r="BQ1041" s="98"/>
      <c r="BR1041" s="98"/>
      <c r="BS1041" s="98"/>
      <c r="BT1041" s="98"/>
      <c r="BU1041" s="98"/>
      <c r="BV1041" s="98"/>
      <c r="BW1041" s="98"/>
      <c r="BX1041" s="98"/>
      <c r="BY1041" s="98"/>
    </row>
    <row r="1042" spans="1:77" s="194" customFormat="1" x14ac:dyDescent="0.3">
      <c r="A1042" s="98"/>
      <c r="B1042" s="98"/>
      <c r="C1042" s="99"/>
      <c r="D1042" s="98"/>
      <c r="E1042" s="98"/>
      <c r="F1042" s="172"/>
      <c r="G1042" s="98"/>
      <c r="H1042" s="98"/>
      <c r="I1042" s="98"/>
      <c r="J1042" s="163"/>
      <c r="K1042" s="163"/>
      <c r="L1042" s="98"/>
      <c r="M1042" s="98"/>
      <c r="N1042" s="98"/>
      <c r="O1042" s="98"/>
      <c r="P1042" s="98"/>
      <c r="Q1042" s="98"/>
      <c r="R1042" s="98"/>
      <c r="S1042" s="98"/>
      <c r="T1042" s="99"/>
      <c r="U1042" s="98"/>
      <c r="V1042" s="110"/>
      <c r="W1042" s="110"/>
      <c r="X1042" s="110"/>
      <c r="Y1042" s="110"/>
      <c r="Z1042" s="110"/>
      <c r="AA1042" s="110"/>
      <c r="AB1042" s="228"/>
      <c r="AC1042" s="110"/>
      <c r="AD1042" s="110"/>
      <c r="AE1042" s="141"/>
      <c r="AF1042" s="141"/>
      <c r="AG1042" s="148"/>
      <c r="AH1042" s="110"/>
      <c r="AI1042" s="207"/>
      <c r="AJ1042" s="207"/>
      <c r="AK1042" s="148"/>
      <c r="AL1042" s="110"/>
      <c r="AM1042" s="110"/>
      <c r="AN1042" s="110"/>
      <c r="AO1042" s="141"/>
      <c r="AP1042" s="141"/>
      <c r="AR1042" s="98"/>
      <c r="AS1042" s="98"/>
      <c r="AT1042" s="98"/>
      <c r="AU1042" s="98"/>
      <c r="AV1042" s="98"/>
      <c r="AW1042" s="98"/>
      <c r="AX1042" s="98"/>
      <c r="AY1042" s="98"/>
      <c r="AZ1042" s="98"/>
      <c r="BA1042" s="98"/>
      <c r="BB1042" s="98"/>
      <c r="BC1042" s="98"/>
      <c r="BD1042" s="98"/>
      <c r="BE1042" s="98"/>
      <c r="BF1042" s="98"/>
      <c r="BG1042" s="98"/>
      <c r="BH1042" s="98"/>
      <c r="BI1042" s="98"/>
      <c r="BJ1042" s="98"/>
      <c r="BK1042" s="98"/>
      <c r="BL1042" s="98"/>
      <c r="BM1042" s="98"/>
      <c r="BN1042" s="98"/>
      <c r="BO1042" s="98"/>
      <c r="BP1042" s="98"/>
      <c r="BQ1042" s="98"/>
      <c r="BR1042" s="98"/>
      <c r="BS1042" s="98"/>
      <c r="BT1042" s="98"/>
      <c r="BU1042" s="98"/>
      <c r="BV1042" s="98"/>
      <c r="BW1042" s="98"/>
      <c r="BX1042" s="98"/>
      <c r="BY1042" s="98"/>
    </row>
    <row r="1043" spans="1:77" s="194" customFormat="1" x14ac:dyDescent="0.3">
      <c r="A1043" s="98"/>
      <c r="B1043" s="98"/>
      <c r="C1043" s="99"/>
      <c r="D1043" s="98"/>
      <c r="E1043" s="98"/>
      <c r="F1043" s="98"/>
      <c r="G1043" s="98"/>
      <c r="H1043" s="172"/>
      <c r="I1043" s="172"/>
      <c r="J1043" s="228"/>
      <c r="K1043" s="228"/>
      <c r="L1043" s="110"/>
      <c r="M1043" s="110"/>
      <c r="N1043" s="141"/>
      <c r="O1043" s="141"/>
      <c r="P1043" s="110"/>
      <c r="Q1043" s="110"/>
      <c r="R1043" s="110"/>
      <c r="S1043" s="98"/>
      <c r="T1043" s="99"/>
      <c r="U1043" s="98"/>
      <c r="V1043" s="110"/>
      <c r="W1043" s="110"/>
      <c r="X1043" s="110"/>
      <c r="Y1043" s="110"/>
      <c r="Z1043" s="110"/>
      <c r="AA1043" s="110"/>
      <c r="AB1043" s="228"/>
      <c r="AC1043" s="98"/>
      <c r="AD1043" s="98"/>
      <c r="AE1043" s="98"/>
      <c r="AF1043" s="98"/>
      <c r="AG1043" s="148"/>
      <c r="AH1043" s="98"/>
      <c r="AI1043" s="98"/>
      <c r="AJ1043" s="98"/>
      <c r="AK1043" s="148"/>
      <c r="AL1043" s="98"/>
      <c r="AM1043" s="98"/>
      <c r="AN1043" s="98"/>
      <c r="AO1043" s="98"/>
      <c r="AP1043" s="98"/>
      <c r="AR1043" s="98"/>
      <c r="AS1043" s="98"/>
      <c r="AT1043" s="98"/>
      <c r="AU1043" s="98"/>
      <c r="AV1043" s="98"/>
      <c r="AW1043" s="98"/>
      <c r="AX1043" s="98"/>
      <c r="AY1043" s="98"/>
      <c r="AZ1043" s="98"/>
      <c r="BA1043" s="98"/>
      <c r="BB1043" s="98"/>
      <c r="BC1043" s="98"/>
      <c r="BD1043" s="98"/>
      <c r="BE1043" s="98"/>
      <c r="BF1043" s="98"/>
      <c r="BG1043" s="98"/>
      <c r="BH1043" s="98"/>
      <c r="BI1043" s="98"/>
      <c r="BJ1043" s="98"/>
      <c r="BK1043" s="98"/>
      <c r="BL1043" s="98"/>
      <c r="BM1043" s="98"/>
      <c r="BN1043" s="98"/>
      <c r="BO1043" s="98"/>
      <c r="BP1043" s="98"/>
      <c r="BQ1043" s="98"/>
      <c r="BR1043" s="98"/>
      <c r="BS1043" s="98"/>
      <c r="BT1043" s="98"/>
      <c r="BU1043" s="98"/>
      <c r="BV1043" s="98"/>
      <c r="BW1043" s="98"/>
      <c r="BX1043" s="98"/>
      <c r="BY1043" s="98"/>
    </row>
    <row r="1044" spans="1:77" s="194" customFormat="1" x14ac:dyDescent="0.3">
      <c r="A1044" s="98"/>
      <c r="B1044" s="98"/>
      <c r="C1044" s="99"/>
      <c r="D1044" s="98"/>
      <c r="E1044" s="98"/>
      <c r="F1044" s="172"/>
      <c r="G1044" s="98"/>
      <c r="H1044" s="98"/>
      <c r="I1044" s="98"/>
      <c r="J1044" s="163"/>
      <c r="K1044" s="163"/>
      <c r="L1044" s="98"/>
      <c r="M1044" s="98"/>
      <c r="N1044" s="98"/>
      <c r="O1044" s="98"/>
      <c r="P1044" s="98"/>
      <c r="Q1044" s="98"/>
      <c r="R1044" s="98"/>
      <c r="S1044" s="98"/>
      <c r="T1044" s="99"/>
      <c r="U1044" s="98"/>
      <c r="V1044" s="110"/>
      <c r="W1044" s="110"/>
      <c r="X1044" s="110"/>
      <c r="Y1044" s="110"/>
      <c r="Z1044" s="110"/>
      <c r="AA1044" s="110"/>
      <c r="AB1044" s="228"/>
      <c r="AC1044" s="110"/>
      <c r="AD1044" s="110"/>
      <c r="AE1044" s="141"/>
      <c r="AF1044" s="141"/>
      <c r="AG1044" s="148"/>
      <c r="AH1044" s="110"/>
      <c r="AI1044" s="207"/>
      <c r="AJ1044" s="207"/>
      <c r="AK1044" s="148"/>
      <c r="AL1044" s="110"/>
      <c r="AM1044" s="110"/>
      <c r="AN1044" s="110"/>
      <c r="AO1044" s="141"/>
      <c r="AP1044" s="141"/>
      <c r="AR1044" s="98"/>
      <c r="AS1044" s="98"/>
      <c r="AT1044" s="98"/>
      <c r="AU1044" s="98"/>
      <c r="AV1044" s="98"/>
      <c r="AW1044" s="98"/>
      <c r="AX1044" s="98"/>
      <c r="AY1044" s="98"/>
      <c r="AZ1044" s="98"/>
      <c r="BA1044" s="98"/>
      <c r="BB1044" s="98"/>
      <c r="BC1044" s="98"/>
      <c r="BD1044" s="98"/>
      <c r="BE1044" s="98"/>
      <c r="BF1044" s="98"/>
      <c r="BG1044" s="98"/>
      <c r="BH1044" s="98"/>
      <c r="BI1044" s="98"/>
      <c r="BJ1044" s="98"/>
      <c r="BK1044" s="98"/>
      <c r="BL1044" s="98"/>
      <c r="BM1044" s="98"/>
      <c r="BN1044" s="98"/>
      <c r="BO1044" s="98"/>
      <c r="BP1044" s="98"/>
      <c r="BQ1044" s="98"/>
      <c r="BR1044" s="98"/>
      <c r="BS1044" s="98"/>
      <c r="BT1044" s="98"/>
      <c r="BU1044" s="98"/>
      <c r="BV1044" s="98"/>
      <c r="BW1044" s="98"/>
      <c r="BX1044" s="98"/>
      <c r="BY1044" s="98"/>
    </row>
    <row r="1045" spans="1:77" s="194" customFormat="1" x14ac:dyDescent="0.3">
      <c r="A1045" s="98"/>
      <c r="B1045" s="98"/>
      <c r="C1045" s="99"/>
      <c r="D1045" s="98"/>
      <c r="E1045" s="98"/>
      <c r="F1045" s="98"/>
      <c r="G1045" s="98"/>
      <c r="H1045" s="172"/>
      <c r="I1045" s="172"/>
      <c r="J1045" s="228"/>
      <c r="K1045" s="228"/>
      <c r="L1045" s="110"/>
      <c r="M1045" s="110"/>
      <c r="N1045" s="141"/>
      <c r="O1045" s="141"/>
      <c r="P1045" s="110"/>
      <c r="Q1045" s="110"/>
      <c r="R1045" s="110"/>
      <c r="S1045" s="98"/>
      <c r="T1045" s="98"/>
      <c r="U1045" s="98"/>
      <c r="V1045" s="192"/>
      <c r="W1045" s="98"/>
      <c r="X1045" s="98"/>
      <c r="Y1045" s="98"/>
      <c r="Z1045" s="98"/>
      <c r="AA1045" s="192"/>
      <c r="AB1045" s="217"/>
      <c r="AC1045" s="192"/>
      <c r="AD1045" s="192"/>
      <c r="AE1045" s="192"/>
      <c r="AF1045" s="192"/>
      <c r="AH1045" s="192"/>
      <c r="AI1045" s="98"/>
      <c r="AJ1045" s="98"/>
      <c r="AL1045" s="192"/>
      <c r="AM1045" s="192"/>
      <c r="AN1045" s="192"/>
      <c r="AO1045" s="98"/>
      <c r="AP1045" s="98"/>
      <c r="AR1045" s="98"/>
      <c r="AS1045" s="98"/>
      <c r="AT1045" s="98"/>
      <c r="AU1045" s="98"/>
      <c r="AV1045" s="98"/>
      <c r="AW1045" s="98"/>
      <c r="AX1045" s="98"/>
      <c r="AY1045" s="98"/>
      <c r="AZ1045" s="98"/>
      <c r="BA1045" s="98"/>
      <c r="BB1045" s="98"/>
      <c r="BC1045" s="98"/>
      <c r="BD1045" s="98"/>
      <c r="BE1045" s="98"/>
      <c r="BF1045" s="98"/>
      <c r="BG1045" s="98"/>
      <c r="BH1045" s="98"/>
      <c r="BI1045" s="98"/>
      <c r="BJ1045" s="98"/>
      <c r="BK1045" s="98"/>
      <c r="BL1045" s="98"/>
      <c r="BM1045" s="98"/>
      <c r="BN1045" s="98"/>
      <c r="BO1045" s="98"/>
      <c r="BP1045" s="98"/>
      <c r="BQ1045" s="98"/>
      <c r="BR1045" s="98"/>
      <c r="BS1045" s="98"/>
      <c r="BT1045" s="98"/>
      <c r="BU1045" s="98"/>
      <c r="BV1045" s="98"/>
      <c r="BW1045" s="98"/>
      <c r="BX1045" s="98"/>
      <c r="BY1045" s="98"/>
    </row>
    <row r="1046" spans="1:77" s="194" customFormat="1" x14ac:dyDescent="0.3">
      <c r="A1046" s="98"/>
      <c r="B1046" s="98"/>
      <c r="C1046" s="98"/>
      <c r="D1046" s="98"/>
      <c r="E1046" s="98"/>
      <c r="F1046" s="172"/>
      <c r="G1046" s="98"/>
      <c r="H1046" s="192"/>
      <c r="I1046" s="192"/>
      <c r="J1046" s="228"/>
      <c r="K1046" s="228"/>
      <c r="L1046" s="192"/>
      <c r="M1046" s="192"/>
      <c r="N1046" s="192"/>
      <c r="O1046" s="192"/>
      <c r="P1046" s="192"/>
      <c r="Q1046" s="192"/>
      <c r="R1046" s="192"/>
      <c r="S1046" s="98"/>
      <c r="T1046" s="99"/>
      <c r="U1046" s="98"/>
      <c r="V1046" s="110"/>
      <c r="W1046" s="110"/>
      <c r="X1046" s="110"/>
      <c r="Y1046" s="110"/>
      <c r="Z1046" s="110"/>
      <c r="AA1046" s="110"/>
      <c r="AB1046" s="227"/>
      <c r="AC1046" s="110"/>
      <c r="AD1046" s="110"/>
      <c r="AE1046" s="141"/>
      <c r="AF1046" s="141"/>
      <c r="AG1046" s="148"/>
      <c r="AH1046" s="110"/>
      <c r="AI1046" s="207"/>
      <c r="AJ1046" s="207"/>
      <c r="AK1046" s="224"/>
      <c r="AL1046" s="172"/>
      <c r="AM1046" s="110"/>
      <c r="AN1046" s="110"/>
      <c r="AO1046" s="141"/>
      <c r="AP1046" s="141"/>
      <c r="AR1046" s="98"/>
      <c r="AS1046" s="98"/>
      <c r="AT1046" s="98"/>
      <c r="AU1046" s="98"/>
      <c r="AV1046" s="98"/>
      <c r="AW1046" s="98"/>
      <c r="AX1046" s="98"/>
      <c r="AY1046" s="98"/>
      <c r="AZ1046" s="98"/>
      <c r="BA1046" s="98"/>
      <c r="BB1046" s="98"/>
      <c r="BC1046" s="98"/>
      <c r="BD1046" s="98"/>
      <c r="BE1046" s="98"/>
      <c r="BF1046" s="98"/>
      <c r="BG1046" s="98"/>
      <c r="BH1046" s="98"/>
      <c r="BI1046" s="98"/>
      <c r="BJ1046" s="98"/>
      <c r="BK1046" s="98"/>
      <c r="BL1046" s="98"/>
      <c r="BM1046" s="98"/>
      <c r="BN1046" s="98"/>
      <c r="BO1046" s="98"/>
      <c r="BP1046" s="98"/>
      <c r="BQ1046" s="98"/>
      <c r="BR1046" s="98"/>
      <c r="BS1046" s="98"/>
      <c r="BT1046" s="98"/>
      <c r="BU1046" s="98"/>
      <c r="BV1046" s="98"/>
      <c r="BW1046" s="98"/>
      <c r="BX1046" s="98"/>
      <c r="BY1046" s="98"/>
    </row>
    <row r="1047" spans="1:77" s="194" customFormat="1" x14ac:dyDescent="0.3">
      <c r="A1047" s="98"/>
      <c r="B1047" s="98"/>
      <c r="C1047" s="99"/>
      <c r="D1047" s="98"/>
      <c r="E1047" s="98"/>
      <c r="F1047" s="192"/>
      <c r="G1047" s="98"/>
      <c r="H1047" s="110"/>
      <c r="I1047" s="110"/>
      <c r="J1047" s="163"/>
      <c r="K1047" s="163"/>
      <c r="L1047" s="110"/>
      <c r="M1047" s="110"/>
      <c r="N1047" s="141"/>
      <c r="O1047" s="141"/>
      <c r="P1047" s="172"/>
      <c r="Q1047" s="172"/>
      <c r="R1047" s="110"/>
      <c r="S1047" s="98"/>
      <c r="T1047" s="98"/>
      <c r="U1047" s="98"/>
      <c r="V1047" s="192"/>
      <c r="W1047" s="98"/>
      <c r="X1047" s="98"/>
      <c r="Y1047" s="98"/>
      <c r="Z1047" s="98"/>
      <c r="AA1047" s="192"/>
      <c r="AB1047" s="217"/>
      <c r="AC1047" s="192"/>
      <c r="AD1047" s="192"/>
      <c r="AE1047" s="192"/>
      <c r="AF1047" s="192"/>
      <c r="AH1047" s="192"/>
      <c r="AI1047" s="98"/>
      <c r="AJ1047" s="98"/>
      <c r="AL1047" s="192"/>
      <c r="AM1047" s="192"/>
      <c r="AN1047" s="192"/>
      <c r="AO1047" s="98"/>
      <c r="AP1047" s="98"/>
      <c r="AR1047" s="98"/>
      <c r="AS1047" s="98"/>
      <c r="AT1047" s="98"/>
      <c r="AU1047" s="98"/>
      <c r="AV1047" s="98"/>
      <c r="AW1047" s="98"/>
      <c r="AX1047" s="98"/>
      <c r="AY1047" s="98"/>
      <c r="AZ1047" s="98"/>
      <c r="BA1047" s="98"/>
      <c r="BB1047" s="98"/>
      <c r="BC1047" s="98"/>
      <c r="BD1047" s="98"/>
      <c r="BE1047" s="98"/>
      <c r="BF1047" s="98"/>
      <c r="BG1047" s="98"/>
      <c r="BH1047" s="98"/>
      <c r="BI1047" s="98"/>
      <c r="BJ1047" s="98"/>
      <c r="BK1047" s="98"/>
      <c r="BL1047" s="98"/>
      <c r="BM1047" s="98"/>
      <c r="BN1047" s="98"/>
      <c r="BO1047" s="98"/>
      <c r="BP1047" s="98"/>
      <c r="BQ1047" s="98"/>
      <c r="BR1047" s="98"/>
      <c r="BS1047" s="98"/>
      <c r="BT1047" s="98"/>
      <c r="BU1047" s="98"/>
      <c r="BV1047" s="98"/>
      <c r="BW1047" s="98"/>
      <c r="BX1047" s="98"/>
      <c r="BY1047" s="98"/>
    </row>
    <row r="1048" spans="1:77" s="194" customFormat="1" x14ac:dyDescent="0.3">
      <c r="A1048" s="98"/>
      <c r="B1048" s="98"/>
      <c r="C1048" s="98"/>
      <c r="D1048" s="98"/>
      <c r="E1048" s="98"/>
      <c r="F1048" s="110"/>
      <c r="G1048" s="98"/>
      <c r="H1048" s="192"/>
      <c r="I1048" s="192"/>
      <c r="J1048" s="228"/>
      <c r="K1048" s="228"/>
      <c r="L1048" s="192"/>
      <c r="M1048" s="192"/>
      <c r="N1048" s="192"/>
      <c r="O1048" s="192"/>
      <c r="P1048" s="192"/>
      <c r="Q1048" s="192"/>
      <c r="R1048" s="192"/>
      <c r="S1048" s="98"/>
      <c r="T1048" s="99"/>
      <c r="U1048" s="99"/>
      <c r="V1048" s="110"/>
      <c r="W1048" s="110"/>
      <c r="X1048" s="110"/>
      <c r="Y1048" s="110"/>
      <c r="Z1048" s="110"/>
      <c r="AA1048" s="110"/>
      <c r="AB1048" s="227"/>
      <c r="AC1048" s="98"/>
      <c r="AD1048" s="98"/>
      <c r="AE1048" s="98"/>
      <c r="AF1048" s="98"/>
      <c r="AG1048" s="148"/>
      <c r="AH1048" s="98"/>
      <c r="AI1048" s="98"/>
      <c r="AJ1048" s="98"/>
      <c r="AK1048" s="148"/>
      <c r="AL1048" s="98"/>
      <c r="AM1048" s="98"/>
      <c r="AN1048" s="98"/>
      <c r="AO1048" s="98"/>
      <c r="AP1048" s="98"/>
      <c r="AR1048" s="98"/>
      <c r="AS1048" s="98"/>
      <c r="AT1048" s="98"/>
      <c r="AU1048" s="98"/>
      <c r="AV1048" s="98"/>
      <c r="AW1048" s="98"/>
      <c r="AX1048" s="98"/>
      <c r="AY1048" s="98"/>
      <c r="AZ1048" s="98"/>
      <c r="BA1048" s="98"/>
      <c r="BB1048" s="98"/>
      <c r="BC1048" s="98"/>
      <c r="BD1048" s="98"/>
      <c r="BE1048" s="98"/>
      <c r="BF1048" s="98"/>
      <c r="BG1048" s="98"/>
      <c r="BH1048" s="98"/>
      <c r="BI1048" s="98"/>
      <c r="BJ1048" s="98"/>
      <c r="BK1048" s="98"/>
      <c r="BL1048" s="98"/>
      <c r="BM1048" s="98"/>
      <c r="BN1048" s="98"/>
      <c r="BO1048" s="98"/>
      <c r="BP1048" s="98"/>
      <c r="BQ1048" s="98"/>
      <c r="BR1048" s="98"/>
      <c r="BS1048" s="98"/>
      <c r="BT1048" s="98"/>
      <c r="BU1048" s="98"/>
      <c r="BV1048" s="98"/>
      <c r="BW1048" s="98"/>
      <c r="BX1048" s="98"/>
      <c r="BY1048" s="98"/>
    </row>
    <row r="1049" spans="1:77" s="194" customFormat="1" x14ac:dyDescent="0.3">
      <c r="A1049" s="98"/>
      <c r="B1049" s="98"/>
      <c r="C1049" s="99"/>
      <c r="D1049" s="99"/>
      <c r="E1049" s="99"/>
      <c r="F1049" s="192"/>
      <c r="G1049" s="98"/>
      <c r="H1049" s="98"/>
      <c r="I1049" s="98"/>
      <c r="J1049" s="163"/>
      <c r="K1049" s="163"/>
      <c r="L1049" s="98"/>
      <c r="M1049" s="98"/>
      <c r="N1049" s="98"/>
      <c r="O1049" s="98"/>
      <c r="P1049" s="98"/>
      <c r="Q1049" s="98"/>
      <c r="R1049" s="98"/>
      <c r="S1049" s="98"/>
      <c r="T1049" s="99"/>
      <c r="U1049" s="98"/>
      <c r="V1049" s="110"/>
      <c r="W1049" s="110"/>
      <c r="X1049" s="110"/>
      <c r="Y1049" s="110"/>
      <c r="Z1049" s="110"/>
      <c r="AA1049" s="110"/>
      <c r="AB1049" s="227"/>
      <c r="AC1049" s="98"/>
      <c r="AD1049" s="98"/>
      <c r="AE1049" s="98"/>
      <c r="AF1049" s="98"/>
      <c r="AG1049" s="148"/>
      <c r="AH1049" s="98"/>
      <c r="AI1049" s="98"/>
      <c r="AJ1049" s="98"/>
      <c r="AK1049" s="148"/>
      <c r="AL1049" s="98"/>
      <c r="AM1049" s="98"/>
      <c r="AN1049" s="98"/>
      <c r="AO1049" s="98"/>
      <c r="AP1049" s="98"/>
      <c r="AR1049" s="98"/>
      <c r="AS1049" s="98"/>
      <c r="AT1049" s="98"/>
      <c r="AU1049" s="98"/>
      <c r="AV1049" s="98"/>
      <c r="AW1049" s="98"/>
      <c r="AX1049" s="98"/>
      <c r="AY1049" s="98"/>
      <c r="AZ1049" s="98"/>
      <c r="BA1049" s="98"/>
      <c r="BB1049" s="98"/>
      <c r="BC1049" s="98"/>
      <c r="BD1049" s="98"/>
      <c r="BE1049" s="98"/>
      <c r="BF1049" s="98"/>
      <c r="BG1049" s="98"/>
      <c r="BH1049" s="98"/>
      <c r="BI1049" s="98"/>
      <c r="BJ1049" s="98"/>
      <c r="BK1049" s="98"/>
      <c r="BL1049" s="98"/>
      <c r="BM1049" s="98"/>
      <c r="BN1049" s="98"/>
      <c r="BO1049" s="98"/>
      <c r="BP1049" s="98"/>
      <c r="BQ1049" s="98"/>
      <c r="BR1049" s="98"/>
      <c r="BS1049" s="98"/>
      <c r="BT1049" s="98"/>
      <c r="BU1049" s="98"/>
      <c r="BV1049" s="98"/>
      <c r="BW1049" s="98"/>
      <c r="BX1049" s="98"/>
      <c r="BY1049" s="98"/>
    </row>
    <row r="1050" spans="1:77" s="194" customFormat="1" x14ac:dyDescent="0.3">
      <c r="A1050" s="98"/>
      <c r="B1050" s="98"/>
      <c r="C1050" s="99"/>
      <c r="D1050" s="98"/>
      <c r="E1050" s="98"/>
      <c r="F1050" s="98"/>
      <c r="G1050" s="98"/>
      <c r="H1050" s="98"/>
      <c r="I1050" s="98"/>
      <c r="J1050" s="163"/>
      <c r="K1050" s="163"/>
      <c r="L1050" s="98"/>
      <c r="M1050" s="98"/>
      <c r="N1050" s="98"/>
      <c r="O1050" s="98"/>
      <c r="P1050" s="98"/>
      <c r="Q1050" s="98"/>
      <c r="R1050" s="98"/>
      <c r="S1050" s="98"/>
      <c r="T1050" s="99"/>
      <c r="U1050" s="98"/>
      <c r="V1050" s="110"/>
      <c r="W1050" s="110"/>
      <c r="X1050" s="110"/>
      <c r="Y1050" s="110"/>
      <c r="Z1050" s="110"/>
      <c r="AA1050" s="110"/>
      <c r="AB1050" s="227"/>
      <c r="AC1050" s="110"/>
      <c r="AD1050" s="110"/>
      <c r="AE1050" s="141"/>
      <c r="AF1050" s="141"/>
      <c r="AG1050" s="148"/>
      <c r="AH1050" s="110"/>
      <c r="AI1050" s="207"/>
      <c r="AJ1050" s="207"/>
      <c r="AK1050" s="148"/>
      <c r="AL1050" s="110"/>
      <c r="AM1050" s="110"/>
      <c r="AN1050" s="110"/>
      <c r="AO1050" s="141"/>
      <c r="AP1050" s="141"/>
      <c r="AR1050" s="98"/>
      <c r="AS1050" s="98"/>
      <c r="AT1050" s="98"/>
      <c r="AU1050" s="98"/>
      <c r="AV1050" s="98"/>
      <c r="AW1050" s="98"/>
      <c r="AX1050" s="98"/>
      <c r="AY1050" s="98"/>
      <c r="AZ1050" s="98"/>
      <c r="BA1050" s="98"/>
      <c r="BB1050" s="98"/>
      <c r="BC1050" s="98"/>
      <c r="BD1050" s="98"/>
      <c r="BE1050" s="98"/>
      <c r="BF1050" s="98"/>
      <c r="BG1050" s="98"/>
      <c r="BH1050" s="98"/>
      <c r="BI1050" s="98"/>
      <c r="BJ1050" s="98"/>
      <c r="BK1050" s="98"/>
      <c r="BL1050" s="98"/>
      <c r="BM1050" s="98"/>
      <c r="BN1050" s="98"/>
      <c r="BO1050" s="98"/>
      <c r="BP1050" s="98"/>
      <c r="BQ1050" s="98"/>
      <c r="BR1050" s="98"/>
      <c r="BS1050" s="98"/>
      <c r="BT1050" s="98"/>
      <c r="BU1050" s="98"/>
      <c r="BV1050" s="98"/>
      <c r="BW1050" s="98"/>
      <c r="BX1050" s="98"/>
      <c r="BY1050" s="98"/>
    </row>
    <row r="1051" spans="1:77" s="194" customFormat="1" x14ac:dyDescent="0.3">
      <c r="A1051" s="98"/>
      <c r="B1051" s="98"/>
      <c r="C1051" s="99"/>
      <c r="D1051" s="98"/>
      <c r="E1051" s="98"/>
      <c r="F1051" s="98"/>
      <c r="G1051" s="98"/>
      <c r="H1051" s="98"/>
      <c r="I1051" s="98"/>
      <c r="J1051" s="163"/>
      <c r="K1051" s="163"/>
      <c r="L1051" s="98"/>
      <c r="M1051" s="98"/>
      <c r="N1051" s="98"/>
      <c r="O1051" s="98"/>
      <c r="P1051" s="98"/>
      <c r="Q1051" s="98"/>
      <c r="R1051" s="98"/>
      <c r="S1051" s="98"/>
      <c r="T1051" s="99"/>
      <c r="U1051" s="98"/>
      <c r="V1051" s="110"/>
      <c r="W1051" s="110"/>
      <c r="X1051" s="110"/>
      <c r="Y1051" s="110"/>
      <c r="Z1051" s="110"/>
      <c r="AA1051" s="110"/>
      <c r="AB1051" s="227"/>
      <c r="AC1051" s="98"/>
      <c r="AD1051" s="98"/>
      <c r="AE1051" s="98"/>
      <c r="AF1051" s="98"/>
      <c r="AG1051" s="148"/>
      <c r="AH1051" s="98"/>
      <c r="AI1051" s="98"/>
      <c r="AJ1051" s="98"/>
      <c r="AK1051" s="148"/>
      <c r="AL1051" s="98"/>
      <c r="AM1051" s="98"/>
      <c r="AN1051" s="98"/>
      <c r="AO1051" s="98"/>
      <c r="AP1051" s="98"/>
      <c r="AR1051" s="98"/>
      <c r="AS1051" s="98"/>
      <c r="AT1051" s="98"/>
      <c r="AU1051" s="98"/>
      <c r="AV1051" s="98"/>
      <c r="AW1051" s="98"/>
      <c r="AX1051" s="98"/>
      <c r="AY1051" s="98"/>
      <c r="AZ1051" s="98"/>
      <c r="BA1051" s="98"/>
      <c r="BB1051" s="98"/>
      <c r="BC1051" s="98"/>
      <c r="BD1051" s="98"/>
      <c r="BE1051" s="98"/>
      <c r="BF1051" s="98"/>
      <c r="BG1051" s="98"/>
      <c r="BH1051" s="98"/>
      <c r="BI1051" s="98"/>
      <c r="BJ1051" s="98"/>
      <c r="BK1051" s="98"/>
      <c r="BL1051" s="98"/>
      <c r="BM1051" s="98"/>
      <c r="BN1051" s="98"/>
      <c r="BO1051" s="98"/>
      <c r="BP1051" s="98"/>
      <c r="BQ1051" s="98"/>
      <c r="BR1051" s="98"/>
      <c r="BS1051" s="98"/>
      <c r="BT1051" s="98"/>
      <c r="BU1051" s="98"/>
      <c r="BV1051" s="98"/>
      <c r="BW1051" s="98"/>
      <c r="BX1051" s="98"/>
      <c r="BY1051" s="98"/>
    </row>
    <row r="1052" spans="1:77" s="194" customFormat="1" x14ac:dyDescent="0.3">
      <c r="A1052" s="98"/>
      <c r="B1052" s="98"/>
      <c r="C1052" s="99"/>
      <c r="D1052" s="98"/>
      <c r="E1052" s="98"/>
      <c r="F1052" s="98"/>
      <c r="G1052" s="98"/>
      <c r="H1052" s="172"/>
      <c r="I1052" s="172"/>
      <c r="J1052" s="228"/>
      <c r="K1052" s="228"/>
      <c r="L1052" s="110"/>
      <c r="M1052" s="110"/>
      <c r="N1052" s="141"/>
      <c r="O1052" s="141"/>
      <c r="P1052" s="110"/>
      <c r="Q1052" s="110"/>
      <c r="R1052" s="110"/>
      <c r="S1052" s="98"/>
      <c r="T1052" s="99"/>
      <c r="U1052" s="98"/>
      <c r="V1052" s="110"/>
      <c r="W1052" s="110"/>
      <c r="X1052" s="110"/>
      <c r="Y1052" s="110"/>
      <c r="Z1052" s="110"/>
      <c r="AA1052" s="110"/>
      <c r="AB1052" s="227"/>
      <c r="AC1052" s="110"/>
      <c r="AD1052" s="110"/>
      <c r="AE1052" s="141"/>
      <c r="AF1052" s="141"/>
      <c r="AG1052" s="148"/>
      <c r="AH1052" s="110"/>
      <c r="AI1052" s="207"/>
      <c r="AJ1052" s="207"/>
      <c r="AK1052" s="148"/>
      <c r="AL1052" s="110"/>
      <c r="AM1052" s="110"/>
      <c r="AN1052" s="110"/>
      <c r="AO1052" s="141"/>
      <c r="AP1052" s="141"/>
      <c r="AR1052" s="98"/>
      <c r="AS1052" s="98"/>
      <c r="AT1052" s="98"/>
      <c r="AU1052" s="98"/>
      <c r="AV1052" s="98"/>
      <c r="AW1052" s="98"/>
      <c r="AX1052" s="98"/>
      <c r="AY1052" s="98"/>
      <c r="AZ1052" s="98"/>
      <c r="BA1052" s="98"/>
      <c r="BB1052" s="98"/>
      <c r="BC1052" s="98"/>
      <c r="BD1052" s="98"/>
      <c r="BE1052" s="98"/>
      <c r="BF1052" s="98"/>
      <c r="BG1052" s="98"/>
      <c r="BH1052" s="98"/>
      <c r="BI1052" s="98"/>
      <c r="BJ1052" s="98"/>
      <c r="BK1052" s="98"/>
      <c r="BL1052" s="98"/>
      <c r="BM1052" s="98"/>
      <c r="BN1052" s="98"/>
      <c r="BO1052" s="98"/>
      <c r="BP1052" s="98"/>
      <c r="BQ1052" s="98"/>
      <c r="BR1052" s="98"/>
      <c r="BS1052" s="98"/>
      <c r="BT1052" s="98"/>
      <c r="BU1052" s="98"/>
      <c r="BV1052" s="98"/>
      <c r="BW1052" s="98"/>
      <c r="BX1052" s="98"/>
      <c r="BY1052" s="98"/>
    </row>
    <row r="1053" spans="1:77" s="194" customFormat="1" x14ac:dyDescent="0.3">
      <c r="A1053" s="98"/>
      <c r="B1053" s="98"/>
      <c r="C1053" s="99"/>
      <c r="D1053" s="98"/>
      <c r="E1053" s="98"/>
      <c r="F1053" s="172"/>
      <c r="G1053" s="98"/>
      <c r="H1053" s="98"/>
      <c r="I1053" s="98"/>
      <c r="J1053" s="163"/>
      <c r="K1053" s="163"/>
      <c r="L1053" s="98"/>
      <c r="M1053" s="98"/>
      <c r="N1053" s="98"/>
      <c r="O1053" s="98"/>
      <c r="P1053" s="98"/>
      <c r="Q1053" s="98"/>
      <c r="R1053" s="98"/>
      <c r="S1053" s="98"/>
      <c r="T1053" s="99"/>
      <c r="U1053" s="98"/>
      <c r="V1053" s="110"/>
      <c r="W1053" s="110"/>
      <c r="X1053" s="110"/>
      <c r="Y1053" s="110"/>
      <c r="Z1053" s="110"/>
      <c r="AA1053" s="110"/>
      <c r="AB1053" s="227"/>
      <c r="AC1053" s="98"/>
      <c r="AD1053" s="98"/>
      <c r="AE1053" s="98"/>
      <c r="AF1053" s="98"/>
      <c r="AG1053" s="148"/>
      <c r="AH1053" s="98"/>
      <c r="AI1053" s="98"/>
      <c r="AJ1053" s="98"/>
      <c r="AK1053" s="148"/>
      <c r="AL1053" s="98"/>
      <c r="AM1053" s="98"/>
      <c r="AN1053" s="98"/>
      <c r="AO1053" s="98"/>
      <c r="AP1053" s="98"/>
      <c r="AR1053" s="98"/>
      <c r="AS1053" s="98"/>
      <c r="AT1053" s="98"/>
      <c r="AU1053" s="98"/>
      <c r="AV1053" s="98"/>
      <c r="AW1053" s="98"/>
      <c r="AX1053" s="98"/>
      <c r="AY1053" s="98"/>
      <c r="AZ1053" s="98"/>
      <c r="BA1053" s="98"/>
      <c r="BB1053" s="98"/>
      <c r="BC1053" s="98"/>
      <c r="BD1053" s="98"/>
      <c r="BE1053" s="98"/>
      <c r="BF1053" s="98"/>
      <c r="BG1053" s="98"/>
      <c r="BH1053" s="98"/>
      <c r="BI1053" s="98"/>
      <c r="BJ1053" s="98"/>
      <c r="BK1053" s="98"/>
      <c r="BL1053" s="98"/>
      <c r="BM1053" s="98"/>
      <c r="BN1053" s="98"/>
      <c r="BO1053" s="98"/>
      <c r="BP1053" s="98"/>
      <c r="BQ1053" s="98"/>
      <c r="BR1053" s="98"/>
      <c r="BS1053" s="98"/>
      <c r="BT1053" s="98"/>
      <c r="BU1053" s="98"/>
      <c r="BV1053" s="98"/>
      <c r="BW1053" s="98"/>
      <c r="BX1053" s="98"/>
      <c r="BY1053" s="98"/>
    </row>
    <row r="1054" spans="1:77" s="194" customFormat="1" x14ac:dyDescent="0.3">
      <c r="A1054" s="98"/>
      <c r="B1054" s="98"/>
      <c r="C1054" s="99"/>
      <c r="D1054" s="98"/>
      <c r="E1054" s="98"/>
      <c r="F1054" s="98"/>
      <c r="G1054" s="98"/>
      <c r="H1054" s="172"/>
      <c r="I1054" s="172"/>
      <c r="J1054" s="228"/>
      <c r="K1054" s="228"/>
      <c r="L1054" s="110"/>
      <c r="M1054" s="110"/>
      <c r="N1054" s="141"/>
      <c r="O1054" s="141"/>
      <c r="P1054" s="110"/>
      <c r="Q1054" s="110"/>
      <c r="R1054" s="110"/>
      <c r="S1054" s="98"/>
      <c r="T1054" s="99"/>
      <c r="U1054" s="98"/>
      <c r="V1054" s="110"/>
      <c r="W1054" s="110"/>
      <c r="X1054" s="110"/>
      <c r="Y1054" s="110"/>
      <c r="Z1054" s="110"/>
      <c r="AA1054" s="110"/>
      <c r="AB1054" s="227"/>
      <c r="AC1054" s="110"/>
      <c r="AD1054" s="110"/>
      <c r="AE1054" s="141"/>
      <c r="AF1054" s="141"/>
      <c r="AG1054" s="148"/>
      <c r="AH1054" s="110"/>
      <c r="AI1054" s="207"/>
      <c r="AJ1054" s="207"/>
      <c r="AK1054" s="148"/>
      <c r="AL1054" s="110"/>
      <c r="AM1054" s="110"/>
      <c r="AN1054" s="110"/>
      <c r="AO1054" s="141"/>
      <c r="AP1054" s="141"/>
      <c r="AR1054" s="98"/>
      <c r="AS1054" s="98"/>
      <c r="AT1054" s="98"/>
      <c r="AU1054" s="98"/>
      <c r="AV1054" s="98"/>
      <c r="AW1054" s="98"/>
      <c r="AX1054" s="98"/>
      <c r="AY1054" s="98"/>
      <c r="AZ1054" s="98"/>
      <c r="BA1054" s="98"/>
      <c r="BB1054" s="98"/>
      <c r="BC1054" s="98"/>
      <c r="BD1054" s="98"/>
      <c r="BE1054" s="98"/>
      <c r="BF1054" s="98"/>
      <c r="BG1054" s="98"/>
      <c r="BH1054" s="98"/>
      <c r="BI1054" s="98"/>
      <c r="BJ1054" s="98"/>
      <c r="BK1054" s="98"/>
      <c r="BL1054" s="98"/>
      <c r="BM1054" s="98"/>
      <c r="BN1054" s="98"/>
      <c r="BO1054" s="98"/>
      <c r="BP1054" s="98"/>
      <c r="BQ1054" s="98"/>
      <c r="BR1054" s="98"/>
      <c r="BS1054" s="98"/>
      <c r="BT1054" s="98"/>
      <c r="BU1054" s="98"/>
      <c r="BV1054" s="98"/>
      <c r="BW1054" s="98"/>
      <c r="BX1054" s="98"/>
      <c r="BY1054" s="98"/>
    </row>
    <row r="1055" spans="1:77" s="194" customFormat="1" x14ac:dyDescent="0.3">
      <c r="A1055" s="98"/>
      <c r="B1055" s="98"/>
      <c r="C1055" s="98"/>
      <c r="D1055" s="98"/>
      <c r="E1055" s="98"/>
      <c r="F1055" s="172"/>
      <c r="G1055" s="98"/>
      <c r="H1055" s="192"/>
      <c r="I1055" s="192"/>
      <c r="J1055" s="228"/>
      <c r="K1055" s="228"/>
      <c r="L1055" s="192"/>
      <c r="M1055" s="192"/>
      <c r="N1055" s="192"/>
      <c r="O1055" s="192"/>
      <c r="P1055" s="192"/>
      <c r="Q1055" s="192"/>
      <c r="R1055" s="192"/>
      <c r="S1055" s="98"/>
      <c r="T1055" s="99"/>
      <c r="U1055" s="98"/>
      <c r="V1055" s="110"/>
      <c r="W1055" s="110"/>
      <c r="X1055" s="110"/>
      <c r="Y1055" s="110"/>
      <c r="Z1055" s="110"/>
      <c r="AA1055" s="110"/>
      <c r="AB1055" s="227"/>
      <c r="AC1055" s="98"/>
      <c r="AD1055" s="98"/>
      <c r="AE1055" s="98"/>
      <c r="AF1055" s="98"/>
      <c r="AG1055" s="148"/>
      <c r="AH1055" s="98"/>
      <c r="AI1055" s="98"/>
      <c r="AJ1055" s="98"/>
      <c r="AK1055" s="148"/>
      <c r="AL1055" s="98"/>
      <c r="AM1055" s="98"/>
      <c r="AN1055" s="98"/>
      <c r="AO1055" s="98"/>
      <c r="AP1055" s="98"/>
      <c r="AR1055" s="98"/>
      <c r="AS1055" s="98"/>
      <c r="AT1055" s="98"/>
      <c r="AU1055" s="98"/>
      <c r="AV1055" s="98"/>
      <c r="AW1055" s="98"/>
      <c r="AX1055" s="98"/>
      <c r="AY1055" s="98"/>
      <c r="AZ1055" s="98"/>
      <c r="BA1055" s="98"/>
      <c r="BB1055" s="98"/>
      <c r="BC1055" s="98"/>
      <c r="BD1055" s="98"/>
      <c r="BE1055" s="98"/>
      <c r="BF1055" s="98"/>
      <c r="BG1055" s="98"/>
      <c r="BH1055" s="98"/>
      <c r="BI1055" s="98"/>
      <c r="BJ1055" s="98"/>
      <c r="BK1055" s="98"/>
      <c r="BL1055" s="98"/>
      <c r="BM1055" s="98"/>
      <c r="BN1055" s="98"/>
      <c r="BO1055" s="98"/>
      <c r="BP1055" s="98"/>
      <c r="BQ1055" s="98"/>
      <c r="BR1055" s="98"/>
      <c r="BS1055" s="98"/>
      <c r="BT1055" s="98"/>
      <c r="BU1055" s="98"/>
      <c r="BV1055" s="98"/>
      <c r="BW1055" s="98"/>
      <c r="BX1055" s="98"/>
      <c r="BY1055" s="98"/>
    </row>
    <row r="1056" spans="1:77" s="194" customFormat="1" x14ac:dyDescent="0.3">
      <c r="A1056" s="98"/>
      <c r="B1056" s="98"/>
      <c r="C1056" s="99"/>
      <c r="D1056" s="98"/>
      <c r="E1056" s="98"/>
      <c r="F1056" s="192"/>
      <c r="G1056" s="98"/>
      <c r="H1056" s="110"/>
      <c r="I1056" s="110"/>
      <c r="J1056" s="98"/>
      <c r="K1056" s="98"/>
      <c r="L1056" s="110"/>
      <c r="M1056" s="110"/>
      <c r="N1056" s="141"/>
      <c r="O1056" s="141"/>
      <c r="P1056" s="172"/>
      <c r="Q1056" s="172"/>
      <c r="R1056" s="110"/>
      <c r="S1056" s="98"/>
      <c r="T1056" s="99"/>
      <c r="U1056" s="98"/>
      <c r="V1056" s="110"/>
      <c r="W1056" s="110"/>
      <c r="X1056" s="110"/>
      <c r="Y1056" s="110"/>
      <c r="Z1056" s="110"/>
      <c r="AA1056" s="110"/>
      <c r="AB1056" s="227"/>
      <c r="AC1056" s="110"/>
      <c r="AD1056" s="110"/>
      <c r="AE1056" s="141"/>
      <c r="AF1056" s="141"/>
      <c r="AG1056" s="148"/>
      <c r="AH1056" s="110"/>
      <c r="AI1056" s="207"/>
      <c r="AJ1056" s="207"/>
      <c r="AK1056" s="148"/>
      <c r="AL1056" s="110"/>
      <c r="AM1056" s="110"/>
      <c r="AN1056" s="110"/>
      <c r="AO1056" s="141"/>
      <c r="AP1056" s="141"/>
      <c r="AR1056" s="98"/>
      <c r="AS1056" s="98"/>
      <c r="AT1056" s="98"/>
      <c r="AU1056" s="98"/>
      <c r="AV1056" s="98"/>
      <c r="AW1056" s="98"/>
      <c r="AX1056" s="98"/>
      <c r="AY1056" s="98"/>
      <c r="AZ1056" s="98"/>
      <c r="BA1056" s="98"/>
      <c r="BB1056" s="98"/>
      <c r="BC1056" s="98"/>
      <c r="BD1056" s="98"/>
      <c r="BE1056" s="98"/>
      <c r="BF1056" s="98"/>
      <c r="BG1056" s="98"/>
      <c r="BH1056" s="98"/>
      <c r="BI1056" s="98"/>
      <c r="BJ1056" s="98"/>
      <c r="BK1056" s="98"/>
      <c r="BL1056" s="98"/>
      <c r="BM1056" s="98"/>
      <c r="BN1056" s="98"/>
      <c r="BO1056" s="98"/>
      <c r="BP1056" s="98"/>
      <c r="BQ1056" s="98"/>
      <c r="BR1056" s="98"/>
      <c r="BS1056" s="98"/>
      <c r="BT1056" s="98"/>
      <c r="BU1056" s="98"/>
      <c r="BV1056" s="98"/>
      <c r="BW1056" s="98"/>
      <c r="BX1056" s="98"/>
      <c r="BY1056" s="98"/>
    </row>
    <row r="1057" spans="1:77" s="194" customFormat="1" x14ac:dyDescent="0.3">
      <c r="A1057" s="98"/>
      <c r="B1057" s="98"/>
      <c r="C1057" s="98"/>
      <c r="D1057" s="98"/>
      <c r="E1057" s="98"/>
      <c r="F1057" s="110"/>
      <c r="G1057" s="98"/>
      <c r="H1057" s="192"/>
      <c r="I1057" s="192"/>
      <c r="J1057" s="217"/>
      <c r="K1057" s="217"/>
      <c r="L1057" s="192"/>
      <c r="M1057" s="192"/>
      <c r="N1057" s="192"/>
      <c r="O1057" s="192"/>
      <c r="P1057" s="192"/>
      <c r="Q1057" s="192"/>
      <c r="R1057" s="192"/>
      <c r="S1057" s="98"/>
      <c r="T1057" s="98"/>
      <c r="U1057" s="98"/>
      <c r="V1057" s="192"/>
      <c r="W1057" s="98"/>
      <c r="X1057" s="98"/>
      <c r="Y1057" s="98"/>
      <c r="Z1057" s="98"/>
      <c r="AA1057" s="192"/>
      <c r="AB1057" s="217"/>
      <c r="AC1057" s="192"/>
      <c r="AD1057" s="192"/>
      <c r="AE1057" s="192"/>
      <c r="AF1057" s="192"/>
      <c r="AH1057" s="192"/>
      <c r="AI1057" s="98"/>
      <c r="AJ1057" s="98"/>
      <c r="AL1057" s="192"/>
      <c r="AM1057" s="192"/>
      <c r="AN1057" s="192"/>
      <c r="AO1057" s="98"/>
      <c r="AP1057" s="98"/>
      <c r="AR1057" s="98"/>
      <c r="AS1057" s="98"/>
      <c r="AT1057" s="98"/>
      <c r="AU1057" s="98"/>
      <c r="AV1057" s="98"/>
      <c r="AW1057" s="98"/>
      <c r="AX1057" s="98"/>
      <c r="AY1057" s="98"/>
      <c r="AZ1057" s="98"/>
      <c r="BA1057" s="98"/>
      <c r="BB1057" s="98"/>
      <c r="BC1057" s="98"/>
      <c r="BD1057" s="98"/>
      <c r="BE1057" s="98"/>
      <c r="BF1057" s="98"/>
      <c r="BG1057" s="98"/>
      <c r="BH1057" s="98"/>
      <c r="BI1057" s="98"/>
      <c r="BJ1057" s="98"/>
      <c r="BK1057" s="98"/>
      <c r="BL1057" s="98"/>
      <c r="BM1057" s="98"/>
      <c r="BN1057" s="98"/>
      <c r="BO1057" s="98"/>
      <c r="BP1057" s="98"/>
      <c r="BQ1057" s="98"/>
      <c r="BR1057" s="98"/>
      <c r="BS1057" s="98"/>
      <c r="BT1057" s="98"/>
      <c r="BU1057" s="98"/>
      <c r="BV1057" s="98"/>
      <c r="BW1057" s="98"/>
      <c r="BX1057" s="98"/>
      <c r="BY1057" s="98"/>
    </row>
    <row r="1058" spans="1:77" s="194" customFormat="1" x14ac:dyDescent="0.3">
      <c r="A1058" s="98"/>
      <c r="B1058" s="98"/>
      <c r="C1058" s="99"/>
      <c r="D1058" s="99"/>
      <c r="E1058" s="99"/>
      <c r="F1058" s="192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9"/>
      <c r="U1058" s="98"/>
      <c r="V1058" s="110"/>
      <c r="W1058" s="110"/>
      <c r="X1058" s="110"/>
      <c r="Y1058" s="110"/>
      <c r="Z1058" s="110"/>
      <c r="AA1058" s="110"/>
      <c r="AB1058" s="227"/>
      <c r="AC1058" s="110"/>
      <c r="AD1058" s="110"/>
      <c r="AE1058" s="141"/>
      <c r="AF1058" s="141"/>
      <c r="AG1058" s="148"/>
      <c r="AH1058" s="110"/>
      <c r="AI1058" s="207"/>
      <c r="AJ1058" s="207"/>
      <c r="AK1058" s="224"/>
      <c r="AL1058" s="172"/>
      <c r="AM1058" s="110"/>
      <c r="AN1058" s="110"/>
      <c r="AO1058" s="141"/>
      <c r="AP1058" s="141"/>
      <c r="AR1058" s="98"/>
      <c r="AS1058" s="98"/>
      <c r="AT1058" s="98"/>
      <c r="AU1058" s="98"/>
      <c r="AV1058" s="98"/>
      <c r="AW1058" s="98"/>
      <c r="AX1058" s="98"/>
      <c r="AY1058" s="98"/>
      <c r="AZ1058" s="98"/>
      <c r="BA1058" s="98"/>
      <c r="BB1058" s="98"/>
      <c r="BC1058" s="98"/>
      <c r="BD1058" s="98"/>
      <c r="BE1058" s="98"/>
      <c r="BF1058" s="98"/>
      <c r="BG1058" s="98"/>
      <c r="BH1058" s="98"/>
      <c r="BI1058" s="98"/>
      <c r="BJ1058" s="98"/>
      <c r="BK1058" s="98"/>
      <c r="BL1058" s="98"/>
      <c r="BM1058" s="98"/>
      <c r="BN1058" s="98"/>
      <c r="BO1058" s="98"/>
      <c r="BP1058" s="98"/>
      <c r="BQ1058" s="98"/>
      <c r="BR1058" s="98"/>
      <c r="BS1058" s="98"/>
      <c r="BT1058" s="98"/>
      <c r="BU1058" s="98"/>
      <c r="BV1058" s="98"/>
      <c r="BW1058" s="98"/>
      <c r="BX1058" s="98"/>
      <c r="BY1058" s="98"/>
    </row>
    <row r="1059" spans="1:77" s="194" customFormat="1" x14ac:dyDescent="0.3">
      <c r="A1059" s="98"/>
      <c r="B1059" s="98"/>
      <c r="C1059" s="99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192"/>
      <c r="W1059" s="98"/>
      <c r="X1059" s="98"/>
      <c r="Y1059" s="98"/>
      <c r="Z1059" s="98"/>
      <c r="AA1059" s="192"/>
      <c r="AB1059" s="217"/>
      <c r="AC1059" s="192"/>
      <c r="AD1059" s="192"/>
      <c r="AE1059" s="192"/>
      <c r="AF1059" s="192"/>
      <c r="AH1059" s="192"/>
      <c r="AI1059" s="98"/>
      <c r="AJ1059" s="98"/>
      <c r="AL1059" s="192"/>
      <c r="AM1059" s="192"/>
      <c r="AN1059" s="192"/>
      <c r="AO1059" s="98"/>
      <c r="AP1059" s="98"/>
      <c r="AR1059" s="98"/>
      <c r="AS1059" s="98"/>
      <c r="AT1059" s="98"/>
      <c r="AU1059" s="98"/>
      <c r="AV1059" s="98"/>
      <c r="AW1059" s="98"/>
      <c r="AX1059" s="98"/>
      <c r="AY1059" s="98"/>
      <c r="AZ1059" s="98"/>
      <c r="BA1059" s="98"/>
      <c r="BB1059" s="98"/>
      <c r="BC1059" s="98"/>
      <c r="BD1059" s="98"/>
      <c r="BE1059" s="98"/>
      <c r="BF1059" s="98"/>
      <c r="BG1059" s="98"/>
      <c r="BH1059" s="98"/>
      <c r="BI1059" s="98"/>
      <c r="BJ1059" s="98"/>
      <c r="BK1059" s="98"/>
      <c r="BL1059" s="98"/>
      <c r="BM1059" s="98"/>
      <c r="BN1059" s="98"/>
      <c r="BO1059" s="98"/>
      <c r="BP1059" s="98"/>
      <c r="BQ1059" s="98"/>
      <c r="BR1059" s="98"/>
      <c r="BS1059" s="98"/>
      <c r="BT1059" s="98"/>
      <c r="BU1059" s="98"/>
      <c r="BV1059" s="98"/>
      <c r="BW1059" s="98"/>
      <c r="BX1059" s="98"/>
      <c r="BY1059" s="98"/>
    </row>
    <row r="1060" spans="1:77" s="194" customFormat="1" x14ac:dyDescent="0.3">
      <c r="A1060" s="98"/>
      <c r="B1060" s="98"/>
      <c r="C1060" s="99"/>
      <c r="D1060" s="98"/>
      <c r="E1060" s="98"/>
      <c r="F1060" s="98"/>
      <c r="G1060" s="98"/>
      <c r="H1060" s="172"/>
      <c r="I1060" s="172"/>
      <c r="J1060" s="227"/>
      <c r="K1060" s="227"/>
      <c r="L1060" s="110"/>
      <c r="M1060" s="110"/>
      <c r="N1060" s="141"/>
      <c r="O1060" s="141"/>
      <c r="P1060" s="110"/>
      <c r="Q1060" s="110"/>
      <c r="R1060" s="110"/>
      <c r="S1060" s="98"/>
      <c r="T1060" s="99"/>
      <c r="U1060" s="98"/>
      <c r="V1060" s="110"/>
      <c r="W1060" s="110"/>
      <c r="X1060" s="110"/>
      <c r="Y1060" s="110"/>
      <c r="Z1060" s="110"/>
      <c r="AA1060" s="110"/>
      <c r="AB1060" s="98"/>
      <c r="AC1060" s="110"/>
      <c r="AD1060" s="110"/>
      <c r="AE1060" s="141"/>
      <c r="AF1060" s="141"/>
      <c r="AG1060" s="148"/>
      <c r="AH1060" s="110"/>
      <c r="AI1060" s="207"/>
      <c r="AJ1060" s="207"/>
      <c r="AK1060" s="148"/>
      <c r="AL1060" s="110"/>
      <c r="AM1060" s="110"/>
      <c r="AN1060" s="110"/>
      <c r="AO1060" s="207"/>
      <c r="AP1060" s="207"/>
      <c r="AR1060" s="98"/>
      <c r="AS1060" s="98"/>
      <c r="AT1060" s="98"/>
      <c r="AU1060" s="98"/>
      <c r="AV1060" s="98"/>
      <c r="AW1060" s="98"/>
      <c r="AX1060" s="98"/>
      <c r="AY1060" s="98"/>
      <c r="AZ1060" s="98"/>
      <c r="BA1060" s="98"/>
      <c r="BB1060" s="98"/>
      <c r="BC1060" s="98"/>
      <c r="BD1060" s="98"/>
      <c r="BE1060" s="98"/>
      <c r="BF1060" s="98"/>
      <c r="BG1060" s="98"/>
      <c r="BH1060" s="98"/>
      <c r="BI1060" s="98"/>
      <c r="BJ1060" s="98"/>
      <c r="BK1060" s="98"/>
      <c r="BL1060" s="98"/>
      <c r="BM1060" s="98"/>
      <c r="BN1060" s="98"/>
      <c r="BO1060" s="98"/>
      <c r="BP1060" s="98"/>
      <c r="BQ1060" s="98"/>
      <c r="BR1060" s="98"/>
      <c r="BS1060" s="98"/>
      <c r="BT1060" s="98"/>
      <c r="BU1060" s="98"/>
      <c r="BV1060" s="98"/>
      <c r="BW1060" s="98"/>
      <c r="BX1060" s="98"/>
      <c r="BY1060" s="98"/>
    </row>
    <row r="1061" spans="1:77" s="194" customFormat="1" x14ac:dyDescent="0.3">
      <c r="A1061" s="98"/>
      <c r="B1061" s="98"/>
      <c r="C1061" s="99"/>
      <c r="D1061" s="98"/>
      <c r="E1061" s="98"/>
      <c r="F1061" s="172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192"/>
      <c r="W1061" s="98"/>
      <c r="X1061" s="98"/>
      <c r="Y1061" s="98"/>
      <c r="Z1061" s="98"/>
      <c r="AA1061" s="192"/>
      <c r="AB1061" s="217"/>
      <c r="AC1061" s="192"/>
      <c r="AD1061" s="192"/>
      <c r="AE1061" s="192"/>
      <c r="AF1061" s="192"/>
      <c r="AH1061" s="192"/>
      <c r="AI1061" s="98"/>
      <c r="AJ1061" s="98"/>
      <c r="AL1061" s="192"/>
      <c r="AM1061" s="192"/>
      <c r="AN1061" s="192"/>
      <c r="AO1061" s="98"/>
      <c r="AP1061" s="98"/>
      <c r="AR1061" s="98"/>
      <c r="AS1061" s="98"/>
      <c r="AT1061" s="98"/>
      <c r="AU1061" s="98"/>
      <c r="AV1061" s="98"/>
      <c r="AW1061" s="98"/>
      <c r="AX1061" s="98"/>
      <c r="AY1061" s="98"/>
      <c r="AZ1061" s="98"/>
      <c r="BA1061" s="98"/>
      <c r="BB1061" s="98"/>
      <c r="BC1061" s="98"/>
      <c r="BD1061" s="98"/>
      <c r="BE1061" s="98"/>
      <c r="BF1061" s="98"/>
      <c r="BG1061" s="98"/>
      <c r="BH1061" s="98"/>
      <c r="BI1061" s="98"/>
      <c r="BJ1061" s="98"/>
      <c r="BK1061" s="98"/>
      <c r="BL1061" s="98"/>
      <c r="BM1061" s="98"/>
      <c r="BN1061" s="98"/>
      <c r="BO1061" s="98"/>
      <c r="BP1061" s="98"/>
      <c r="BQ1061" s="98"/>
      <c r="BR1061" s="98"/>
      <c r="BS1061" s="98"/>
      <c r="BT1061" s="98"/>
      <c r="BU1061" s="98"/>
      <c r="BV1061" s="98"/>
      <c r="BW1061" s="98"/>
      <c r="BX1061" s="98"/>
      <c r="BY1061" s="98"/>
    </row>
    <row r="1062" spans="1:77" s="194" customFormat="1" x14ac:dyDescent="0.3">
      <c r="A1062" s="98"/>
      <c r="B1062" s="98"/>
      <c r="C1062" s="99"/>
      <c r="D1062" s="98"/>
      <c r="E1062" s="98"/>
      <c r="F1062" s="98"/>
      <c r="G1062" s="98"/>
      <c r="H1062" s="172"/>
      <c r="I1062" s="172"/>
      <c r="J1062" s="227"/>
      <c r="K1062" s="227"/>
      <c r="L1062" s="110"/>
      <c r="M1062" s="110"/>
      <c r="N1062" s="141"/>
      <c r="O1062" s="141"/>
      <c r="P1062" s="110"/>
      <c r="Q1062" s="110"/>
      <c r="R1062" s="110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148"/>
      <c r="AH1062" s="98"/>
      <c r="AI1062" s="98"/>
      <c r="AJ1062" s="98"/>
      <c r="AK1062" s="148"/>
      <c r="AL1062" s="98"/>
      <c r="AM1062" s="98"/>
      <c r="AN1062" s="98"/>
      <c r="AO1062" s="98"/>
      <c r="AP1062" s="98"/>
      <c r="AR1062" s="98"/>
      <c r="AS1062" s="98"/>
      <c r="AT1062" s="98"/>
      <c r="AU1062" s="98"/>
      <c r="AV1062" s="98"/>
      <c r="AW1062" s="98"/>
      <c r="AX1062" s="98"/>
      <c r="AY1062" s="98"/>
      <c r="AZ1062" s="98"/>
      <c r="BA1062" s="98"/>
      <c r="BB1062" s="98"/>
      <c r="BC1062" s="98"/>
      <c r="BD1062" s="98"/>
      <c r="BE1062" s="98"/>
      <c r="BF1062" s="98"/>
      <c r="BG1062" s="98"/>
      <c r="BH1062" s="98"/>
      <c r="BI1062" s="98"/>
      <c r="BJ1062" s="98"/>
      <c r="BK1062" s="98"/>
      <c r="BL1062" s="98"/>
      <c r="BM1062" s="98"/>
      <c r="BN1062" s="98"/>
      <c r="BO1062" s="98"/>
      <c r="BP1062" s="98"/>
      <c r="BQ1062" s="98"/>
      <c r="BR1062" s="98"/>
      <c r="BS1062" s="98"/>
      <c r="BT1062" s="98"/>
      <c r="BU1062" s="98"/>
      <c r="BV1062" s="98"/>
      <c r="BW1062" s="98"/>
      <c r="BX1062" s="98"/>
      <c r="BY1062" s="98"/>
    </row>
    <row r="1063" spans="1:77" s="194" customFormat="1" x14ac:dyDescent="0.3">
      <c r="A1063" s="98"/>
      <c r="B1063" s="98"/>
      <c r="C1063" s="99"/>
      <c r="D1063" s="98"/>
      <c r="E1063" s="98"/>
      <c r="F1063" s="172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148"/>
      <c r="AH1063" s="98"/>
      <c r="AI1063" s="98"/>
      <c r="AJ1063" s="98"/>
      <c r="AK1063" s="148"/>
      <c r="AL1063" s="98"/>
      <c r="AM1063" s="98"/>
      <c r="AN1063" s="98"/>
      <c r="AO1063" s="98"/>
      <c r="AP1063" s="98"/>
      <c r="AR1063" s="98"/>
      <c r="AS1063" s="98"/>
      <c r="AT1063" s="98"/>
      <c r="AU1063" s="98"/>
      <c r="AV1063" s="98"/>
      <c r="AW1063" s="98"/>
      <c r="AX1063" s="98"/>
      <c r="AY1063" s="98"/>
      <c r="AZ1063" s="98"/>
      <c r="BA1063" s="98"/>
      <c r="BB1063" s="98"/>
      <c r="BC1063" s="98"/>
      <c r="BD1063" s="98"/>
      <c r="BE1063" s="98"/>
      <c r="BF1063" s="98"/>
      <c r="BG1063" s="98"/>
      <c r="BH1063" s="98"/>
      <c r="BI1063" s="98"/>
      <c r="BJ1063" s="98"/>
      <c r="BK1063" s="98"/>
      <c r="BL1063" s="98"/>
      <c r="BM1063" s="98"/>
      <c r="BN1063" s="98"/>
      <c r="BO1063" s="98"/>
      <c r="BP1063" s="98"/>
      <c r="BQ1063" s="98"/>
      <c r="BR1063" s="98"/>
      <c r="BS1063" s="98"/>
      <c r="BT1063" s="98"/>
      <c r="BU1063" s="98"/>
      <c r="BV1063" s="98"/>
      <c r="BW1063" s="98"/>
      <c r="BX1063" s="98"/>
      <c r="BY1063" s="98"/>
    </row>
    <row r="1064" spans="1:77" s="194" customFormat="1" x14ac:dyDescent="0.3">
      <c r="A1064" s="98"/>
      <c r="B1064" s="98"/>
      <c r="C1064" s="99"/>
      <c r="D1064" s="98"/>
      <c r="E1064" s="98"/>
      <c r="F1064" s="98"/>
      <c r="G1064" s="98"/>
      <c r="H1064" s="172"/>
      <c r="I1064" s="172"/>
      <c r="J1064" s="227"/>
      <c r="K1064" s="227"/>
      <c r="L1064" s="110"/>
      <c r="M1064" s="110"/>
      <c r="N1064" s="141"/>
      <c r="O1064" s="141"/>
      <c r="P1064" s="110"/>
      <c r="Q1064" s="110"/>
      <c r="R1064" s="110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  <c r="AG1064" s="148"/>
      <c r="AH1064" s="98"/>
      <c r="AI1064" s="98"/>
      <c r="AJ1064" s="98"/>
      <c r="AK1064" s="148"/>
      <c r="AL1064" s="98"/>
      <c r="AM1064" s="98"/>
      <c r="AN1064" s="98"/>
      <c r="AO1064" s="98"/>
      <c r="AP1064" s="98"/>
      <c r="AR1064" s="98"/>
      <c r="AS1064" s="98"/>
      <c r="AT1064" s="98"/>
      <c r="AU1064" s="98"/>
      <c r="AV1064" s="98"/>
      <c r="AW1064" s="98"/>
      <c r="AX1064" s="98"/>
      <c r="AY1064" s="98"/>
      <c r="AZ1064" s="98"/>
      <c r="BA1064" s="98"/>
      <c r="BB1064" s="98"/>
      <c r="BC1064" s="98"/>
      <c r="BD1064" s="98"/>
      <c r="BE1064" s="98"/>
      <c r="BF1064" s="98"/>
      <c r="BG1064" s="98"/>
      <c r="BH1064" s="98"/>
      <c r="BI1064" s="98"/>
      <c r="BJ1064" s="98"/>
      <c r="BK1064" s="98"/>
      <c r="BL1064" s="98"/>
      <c r="BM1064" s="98"/>
      <c r="BN1064" s="98"/>
      <c r="BO1064" s="98"/>
      <c r="BP1064" s="98"/>
      <c r="BQ1064" s="98"/>
      <c r="BR1064" s="98"/>
      <c r="BS1064" s="98"/>
      <c r="BT1064" s="98"/>
      <c r="BU1064" s="98"/>
      <c r="BV1064" s="98"/>
      <c r="BW1064" s="98"/>
      <c r="BX1064" s="98"/>
      <c r="BY1064" s="98"/>
    </row>
    <row r="1065" spans="1:77" s="194" customFormat="1" x14ac:dyDescent="0.3">
      <c r="A1065" s="98"/>
      <c r="B1065" s="98"/>
      <c r="C1065" s="99"/>
      <c r="D1065" s="98"/>
      <c r="E1065" s="98"/>
      <c r="F1065" s="172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  <c r="AG1065" s="148"/>
      <c r="AH1065" s="98"/>
      <c r="AI1065" s="98"/>
      <c r="AJ1065" s="98"/>
      <c r="AK1065" s="148"/>
      <c r="AL1065" s="98"/>
      <c r="AM1065" s="98"/>
      <c r="AN1065" s="98"/>
      <c r="AO1065" s="98"/>
      <c r="AP1065" s="98"/>
      <c r="AR1065" s="98"/>
      <c r="AS1065" s="98"/>
      <c r="AT1065" s="98"/>
      <c r="AU1065" s="98"/>
      <c r="AV1065" s="98"/>
      <c r="AW1065" s="98"/>
      <c r="AX1065" s="98"/>
      <c r="AY1065" s="98"/>
      <c r="AZ1065" s="98"/>
      <c r="BA1065" s="98"/>
      <c r="BB1065" s="98"/>
      <c r="BC1065" s="98"/>
      <c r="BD1065" s="98"/>
      <c r="BE1065" s="98"/>
      <c r="BF1065" s="98"/>
      <c r="BG1065" s="98"/>
      <c r="BH1065" s="98"/>
      <c r="BI1065" s="98"/>
      <c r="BJ1065" s="98"/>
      <c r="BK1065" s="98"/>
      <c r="BL1065" s="98"/>
      <c r="BM1065" s="98"/>
      <c r="BN1065" s="98"/>
      <c r="BO1065" s="98"/>
      <c r="BP1065" s="98"/>
      <c r="BQ1065" s="98"/>
      <c r="BR1065" s="98"/>
      <c r="BS1065" s="98"/>
      <c r="BT1065" s="98"/>
      <c r="BU1065" s="98"/>
      <c r="BV1065" s="98"/>
      <c r="BW1065" s="98"/>
      <c r="BX1065" s="98"/>
      <c r="BY1065" s="98"/>
    </row>
    <row r="1066" spans="1:77" s="194" customFormat="1" x14ac:dyDescent="0.3">
      <c r="A1066" s="98"/>
      <c r="B1066" s="98"/>
      <c r="C1066" s="99"/>
      <c r="D1066" s="98"/>
      <c r="E1066" s="98"/>
      <c r="F1066" s="98"/>
      <c r="G1066" s="98"/>
      <c r="H1066" s="172"/>
      <c r="I1066" s="172"/>
      <c r="J1066" s="227"/>
      <c r="K1066" s="227"/>
      <c r="L1066" s="110"/>
      <c r="M1066" s="110"/>
      <c r="N1066" s="141"/>
      <c r="O1066" s="141"/>
      <c r="P1066" s="110"/>
      <c r="Q1066" s="110"/>
      <c r="R1066" s="110"/>
      <c r="S1066" s="98"/>
      <c r="T1066" s="98"/>
      <c r="U1066" s="98"/>
      <c r="V1066" s="98"/>
      <c r="W1066" s="98"/>
      <c r="X1066" s="98"/>
      <c r="Y1066" s="98"/>
      <c r="Z1066" s="98"/>
      <c r="AA1066" s="99"/>
      <c r="AB1066" s="98"/>
      <c r="AC1066" s="98"/>
      <c r="AD1066" s="98"/>
      <c r="AE1066" s="98"/>
      <c r="AF1066" s="98"/>
      <c r="AG1066" s="148"/>
      <c r="AH1066" s="98"/>
      <c r="AI1066" s="98"/>
      <c r="AJ1066" s="98"/>
      <c r="AK1066" s="148"/>
      <c r="AL1066" s="98"/>
      <c r="AM1066" s="98"/>
      <c r="AN1066" s="98"/>
      <c r="AO1066" s="98"/>
      <c r="AP1066" s="98"/>
      <c r="AR1066" s="98"/>
      <c r="AS1066" s="98"/>
      <c r="AT1066" s="98"/>
      <c r="AU1066" s="98"/>
      <c r="AV1066" s="98"/>
      <c r="AW1066" s="98"/>
      <c r="AX1066" s="98"/>
      <c r="AY1066" s="98"/>
      <c r="AZ1066" s="98"/>
      <c r="BA1066" s="98"/>
      <c r="BB1066" s="98"/>
      <c r="BC1066" s="98"/>
      <c r="BD1066" s="98"/>
      <c r="BE1066" s="98"/>
      <c r="BF1066" s="98"/>
      <c r="BG1066" s="98"/>
      <c r="BH1066" s="98"/>
      <c r="BI1066" s="98"/>
      <c r="BJ1066" s="98"/>
      <c r="BK1066" s="98"/>
      <c r="BL1066" s="98"/>
      <c r="BM1066" s="98"/>
      <c r="BN1066" s="98"/>
      <c r="BO1066" s="98"/>
      <c r="BP1066" s="98"/>
      <c r="BQ1066" s="98"/>
      <c r="BR1066" s="98"/>
      <c r="BS1066" s="98"/>
      <c r="BT1066" s="98"/>
      <c r="BU1066" s="98"/>
      <c r="BV1066" s="98"/>
      <c r="BW1066" s="98"/>
      <c r="BX1066" s="98"/>
      <c r="BY1066" s="98"/>
    </row>
    <row r="1067" spans="1:77" s="194" customFormat="1" x14ac:dyDescent="0.3">
      <c r="A1067" s="98"/>
      <c r="B1067" s="98"/>
      <c r="C1067" s="98"/>
      <c r="D1067" s="98"/>
      <c r="E1067" s="98"/>
      <c r="F1067" s="172"/>
      <c r="G1067" s="98"/>
      <c r="H1067" s="192"/>
      <c r="I1067" s="192"/>
      <c r="J1067" s="217"/>
      <c r="K1067" s="217"/>
      <c r="L1067" s="192"/>
      <c r="M1067" s="192"/>
      <c r="N1067" s="192"/>
      <c r="O1067" s="192"/>
      <c r="P1067" s="192"/>
      <c r="Q1067" s="192"/>
      <c r="R1067" s="192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  <c r="AG1067" s="148"/>
      <c r="AH1067" s="98"/>
      <c r="AI1067" s="98"/>
      <c r="AJ1067" s="98"/>
      <c r="AK1067" s="148"/>
      <c r="AL1067" s="98"/>
      <c r="AM1067" s="98"/>
      <c r="AN1067" s="98"/>
      <c r="AO1067" s="98"/>
      <c r="AP1067" s="98"/>
      <c r="AR1067" s="98"/>
      <c r="AS1067" s="98"/>
      <c r="AT1067" s="98"/>
      <c r="AU1067" s="98"/>
      <c r="AV1067" s="98"/>
      <c r="AW1067" s="98"/>
      <c r="AX1067" s="98"/>
      <c r="AY1067" s="98"/>
      <c r="AZ1067" s="98"/>
      <c r="BA1067" s="98"/>
      <c r="BB1067" s="98"/>
      <c r="BC1067" s="98"/>
      <c r="BD1067" s="98"/>
      <c r="BE1067" s="98"/>
      <c r="BF1067" s="98"/>
      <c r="BG1067" s="98"/>
      <c r="BH1067" s="98"/>
      <c r="BI1067" s="98"/>
      <c r="BJ1067" s="98"/>
      <c r="BK1067" s="98"/>
      <c r="BL1067" s="98"/>
      <c r="BM1067" s="98"/>
      <c r="BN1067" s="98"/>
      <c r="BO1067" s="98"/>
      <c r="BP1067" s="98"/>
      <c r="BQ1067" s="98"/>
      <c r="BR1067" s="98"/>
      <c r="BS1067" s="98"/>
      <c r="BT1067" s="98"/>
      <c r="BU1067" s="98"/>
      <c r="BV1067" s="98"/>
      <c r="BW1067" s="98"/>
      <c r="BX1067" s="98"/>
      <c r="BY1067" s="98"/>
    </row>
    <row r="1068" spans="1:77" s="194" customFormat="1" x14ac:dyDescent="0.3">
      <c r="A1068" s="98"/>
      <c r="B1068" s="98"/>
      <c r="C1068" s="99"/>
      <c r="D1068" s="98"/>
      <c r="E1068" s="98"/>
      <c r="F1068" s="192"/>
      <c r="G1068" s="98"/>
      <c r="H1068" s="110"/>
      <c r="I1068" s="110"/>
      <c r="J1068" s="98"/>
      <c r="K1068" s="98"/>
      <c r="L1068" s="110"/>
      <c r="M1068" s="110"/>
      <c r="N1068" s="141"/>
      <c r="O1068" s="141"/>
      <c r="P1068" s="172"/>
      <c r="Q1068" s="172"/>
      <c r="R1068" s="110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9"/>
      <c r="AD1068" s="99"/>
      <c r="AE1068" s="98"/>
      <c r="AF1068" s="98"/>
      <c r="AG1068" s="148"/>
      <c r="AH1068" s="98"/>
      <c r="AI1068" s="98"/>
      <c r="AJ1068" s="98"/>
      <c r="AK1068" s="148"/>
      <c r="AL1068" s="98"/>
      <c r="AM1068" s="98"/>
      <c r="AN1068" s="98"/>
      <c r="AO1068" s="98"/>
      <c r="AP1068" s="98"/>
      <c r="AR1068" s="98"/>
      <c r="AS1068" s="98"/>
      <c r="AT1068" s="98"/>
      <c r="AU1068" s="98"/>
      <c r="AV1068" s="98"/>
      <c r="AW1068" s="98"/>
      <c r="AX1068" s="98"/>
      <c r="AY1068" s="98"/>
      <c r="AZ1068" s="98"/>
      <c r="BA1068" s="98"/>
      <c r="BB1068" s="98"/>
      <c r="BC1068" s="98"/>
      <c r="BD1068" s="98"/>
      <c r="BE1068" s="98"/>
      <c r="BF1068" s="98"/>
      <c r="BG1068" s="98"/>
      <c r="BH1068" s="98"/>
      <c r="BI1068" s="98"/>
      <c r="BJ1068" s="98"/>
      <c r="BK1068" s="98"/>
      <c r="BL1068" s="98"/>
      <c r="BM1068" s="98"/>
      <c r="BN1068" s="98"/>
      <c r="BO1068" s="98"/>
      <c r="BP1068" s="98"/>
      <c r="BQ1068" s="98"/>
      <c r="BR1068" s="98"/>
      <c r="BS1068" s="98"/>
      <c r="BT1068" s="98"/>
      <c r="BU1068" s="98"/>
      <c r="BV1068" s="98"/>
      <c r="BW1068" s="98"/>
      <c r="BX1068" s="98"/>
      <c r="BY1068" s="98"/>
    </row>
    <row r="1069" spans="1:77" s="194" customFormat="1" x14ac:dyDescent="0.3">
      <c r="A1069" s="98"/>
      <c r="B1069" s="98"/>
      <c r="C1069" s="98"/>
      <c r="D1069" s="98"/>
      <c r="E1069" s="98"/>
      <c r="F1069" s="110"/>
      <c r="G1069" s="98"/>
      <c r="H1069" s="192"/>
      <c r="I1069" s="192"/>
      <c r="J1069" s="217"/>
      <c r="K1069" s="217"/>
      <c r="L1069" s="192"/>
      <c r="M1069" s="192"/>
      <c r="N1069" s="192"/>
      <c r="O1069" s="192"/>
      <c r="P1069" s="192"/>
      <c r="Q1069" s="192"/>
      <c r="R1069" s="192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148"/>
      <c r="AH1069" s="98"/>
      <c r="AI1069" s="98"/>
      <c r="AJ1069" s="98"/>
      <c r="AK1069" s="148"/>
      <c r="AL1069" s="98"/>
      <c r="AM1069" s="99"/>
      <c r="AN1069" s="99"/>
      <c r="AO1069" s="98"/>
      <c r="AP1069" s="98"/>
      <c r="AR1069" s="98"/>
      <c r="AS1069" s="98"/>
      <c r="AT1069" s="98"/>
      <c r="AU1069" s="98"/>
      <c r="AV1069" s="98"/>
      <c r="AW1069" s="98"/>
      <c r="AX1069" s="98"/>
      <c r="AY1069" s="98"/>
      <c r="AZ1069" s="98"/>
      <c r="BA1069" s="98"/>
      <c r="BB1069" s="98"/>
      <c r="BC1069" s="98"/>
      <c r="BD1069" s="98"/>
      <c r="BE1069" s="98"/>
      <c r="BF1069" s="98"/>
      <c r="BG1069" s="98"/>
      <c r="BH1069" s="98"/>
      <c r="BI1069" s="98"/>
      <c r="BJ1069" s="98"/>
      <c r="BK1069" s="98"/>
      <c r="BL1069" s="98"/>
      <c r="BM1069" s="98"/>
      <c r="BN1069" s="98"/>
      <c r="BO1069" s="98"/>
      <c r="BP1069" s="98"/>
      <c r="BQ1069" s="98"/>
      <c r="BR1069" s="98"/>
      <c r="BS1069" s="98"/>
      <c r="BT1069" s="98"/>
      <c r="BU1069" s="98"/>
      <c r="BV1069" s="98"/>
      <c r="BW1069" s="98"/>
      <c r="BX1069" s="98"/>
      <c r="BY1069" s="98"/>
    </row>
    <row r="1070" spans="1:77" s="194" customFormat="1" x14ac:dyDescent="0.3">
      <c r="A1070" s="98"/>
      <c r="B1070" s="98"/>
      <c r="C1070" s="99"/>
      <c r="D1070" s="98"/>
      <c r="E1070" s="98"/>
      <c r="F1070" s="192"/>
      <c r="G1070" s="98"/>
      <c r="H1070" s="110"/>
      <c r="I1070" s="110"/>
      <c r="J1070" s="98"/>
      <c r="K1070" s="98"/>
      <c r="L1070" s="110"/>
      <c r="M1070" s="110"/>
      <c r="N1070" s="141"/>
      <c r="O1070" s="141"/>
      <c r="P1070" s="110"/>
      <c r="Q1070" s="110"/>
      <c r="R1070" s="110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148"/>
      <c r="AH1070" s="98"/>
      <c r="AI1070" s="98"/>
      <c r="AJ1070" s="98"/>
      <c r="AK1070" s="148"/>
      <c r="AL1070" s="98"/>
      <c r="AM1070" s="99"/>
      <c r="AN1070" s="99"/>
      <c r="AO1070" s="98"/>
      <c r="AP1070" s="98"/>
      <c r="AR1070" s="98"/>
      <c r="AS1070" s="98"/>
      <c r="AT1070" s="98"/>
      <c r="AU1070" s="98"/>
      <c r="AV1070" s="98"/>
      <c r="AW1070" s="98"/>
      <c r="AX1070" s="98"/>
      <c r="AY1070" s="98"/>
      <c r="AZ1070" s="98"/>
      <c r="BA1070" s="98"/>
      <c r="BB1070" s="98"/>
      <c r="BC1070" s="98"/>
      <c r="BD1070" s="98"/>
      <c r="BE1070" s="98"/>
      <c r="BF1070" s="98"/>
      <c r="BG1070" s="98"/>
      <c r="BH1070" s="98"/>
      <c r="BI1070" s="98"/>
      <c r="BJ1070" s="98"/>
      <c r="BK1070" s="98"/>
      <c r="BL1070" s="98"/>
      <c r="BM1070" s="98"/>
      <c r="BN1070" s="98"/>
      <c r="BO1070" s="98"/>
      <c r="BP1070" s="98"/>
      <c r="BQ1070" s="98"/>
      <c r="BR1070" s="98"/>
      <c r="BS1070" s="98"/>
      <c r="BT1070" s="98"/>
      <c r="BU1070" s="98"/>
      <c r="BV1070" s="98"/>
      <c r="BW1070" s="98"/>
      <c r="BX1070" s="98"/>
      <c r="BY1070" s="98"/>
    </row>
    <row r="1071" spans="1:77" s="194" customFormat="1" x14ac:dyDescent="0.3">
      <c r="A1071" s="98"/>
      <c r="B1071" s="98"/>
      <c r="C1071" s="98"/>
      <c r="D1071" s="98"/>
      <c r="E1071" s="98"/>
      <c r="F1071" s="110"/>
      <c r="G1071" s="98"/>
      <c r="H1071" s="192"/>
      <c r="I1071" s="192"/>
      <c r="J1071" s="217"/>
      <c r="K1071" s="217"/>
      <c r="L1071" s="192"/>
      <c r="M1071" s="192"/>
      <c r="N1071" s="192"/>
      <c r="O1071" s="192"/>
      <c r="P1071" s="192"/>
      <c r="Q1071" s="192"/>
      <c r="R1071" s="192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  <c r="AG1071" s="148"/>
      <c r="AH1071" s="98"/>
      <c r="AI1071" s="98"/>
      <c r="AJ1071" s="98"/>
      <c r="AK1071" s="148"/>
      <c r="AL1071" s="98"/>
      <c r="AM1071" s="99"/>
      <c r="AN1071" s="99"/>
      <c r="AO1071" s="98"/>
      <c r="AP1071" s="98"/>
      <c r="AR1071" s="98"/>
      <c r="AS1071" s="98"/>
      <c r="AT1071" s="98"/>
      <c r="AU1071" s="98"/>
      <c r="AV1071" s="98"/>
      <c r="AW1071" s="98"/>
      <c r="AX1071" s="98"/>
      <c r="AY1071" s="98"/>
      <c r="AZ1071" s="98"/>
      <c r="BA1071" s="98"/>
      <c r="BB1071" s="98"/>
      <c r="BC1071" s="98"/>
      <c r="BD1071" s="98"/>
      <c r="BE1071" s="98"/>
      <c r="BF1071" s="98"/>
      <c r="BG1071" s="98"/>
      <c r="BH1071" s="98"/>
      <c r="BI1071" s="98"/>
      <c r="BJ1071" s="98"/>
      <c r="BK1071" s="98"/>
      <c r="BL1071" s="98"/>
      <c r="BM1071" s="98"/>
      <c r="BN1071" s="98"/>
      <c r="BO1071" s="98"/>
      <c r="BP1071" s="98"/>
      <c r="BQ1071" s="98"/>
      <c r="BR1071" s="98"/>
      <c r="BS1071" s="98"/>
      <c r="BT1071" s="98"/>
      <c r="BU1071" s="98"/>
      <c r="BV1071" s="98"/>
      <c r="BW1071" s="98"/>
      <c r="BX1071" s="98"/>
      <c r="BY1071" s="98"/>
    </row>
    <row r="1072" spans="1:77" x14ac:dyDescent="0.3">
      <c r="AC1072" s="99"/>
      <c r="AD1072" s="99"/>
    </row>
    <row r="1073" spans="1:77" s="194" customFormat="1" x14ac:dyDescent="0.3">
      <c r="A1073" s="98"/>
      <c r="B1073" s="98"/>
      <c r="C1073" s="98"/>
      <c r="D1073" s="98"/>
      <c r="E1073" s="98"/>
      <c r="F1073" s="192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101"/>
      <c r="U1073" s="101"/>
      <c r="V1073" s="101"/>
      <c r="W1073" s="101"/>
      <c r="X1073" s="101"/>
      <c r="Y1073" s="101"/>
      <c r="Z1073" s="101"/>
      <c r="AA1073" s="101"/>
      <c r="AB1073" s="101"/>
      <c r="AC1073" s="101"/>
      <c r="AD1073" s="101"/>
      <c r="AE1073" s="101"/>
      <c r="AF1073" s="101"/>
      <c r="AG1073" s="191"/>
      <c r="AH1073" s="101"/>
      <c r="AI1073" s="101"/>
      <c r="AJ1073" s="101"/>
      <c r="AK1073" s="191"/>
      <c r="AL1073" s="101"/>
      <c r="AM1073" s="101"/>
      <c r="AN1073" s="101"/>
      <c r="AO1073" s="101"/>
      <c r="AP1073" s="101"/>
      <c r="AR1073" s="98"/>
      <c r="AS1073" s="98"/>
      <c r="AT1073" s="98"/>
      <c r="AU1073" s="98"/>
      <c r="AV1073" s="98"/>
      <c r="AW1073" s="98"/>
      <c r="AX1073" s="98"/>
      <c r="AY1073" s="98"/>
      <c r="AZ1073" s="98"/>
      <c r="BA1073" s="98"/>
      <c r="BB1073" s="98"/>
      <c r="BC1073" s="98"/>
      <c r="BD1073" s="98"/>
      <c r="BE1073" s="98"/>
      <c r="BF1073" s="98"/>
      <c r="BG1073" s="98"/>
      <c r="BH1073" s="98"/>
      <c r="BI1073" s="98"/>
      <c r="BJ1073" s="98"/>
      <c r="BK1073" s="98"/>
      <c r="BL1073" s="98"/>
      <c r="BM1073" s="98"/>
      <c r="BN1073" s="98"/>
      <c r="BO1073" s="98"/>
      <c r="BP1073" s="98"/>
      <c r="BQ1073" s="98"/>
      <c r="BR1073" s="98"/>
      <c r="BS1073" s="98"/>
      <c r="BT1073" s="98"/>
      <c r="BU1073" s="98"/>
      <c r="BV1073" s="98"/>
      <c r="BW1073" s="98"/>
      <c r="BX1073" s="98"/>
      <c r="BY1073" s="98"/>
    </row>
    <row r="1074" spans="1:77" s="194" customFormat="1" x14ac:dyDescent="0.3">
      <c r="A1074" s="99"/>
      <c r="B1074" s="98"/>
      <c r="C1074" s="98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102"/>
      <c r="AD1074" s="102"/>
      <c r="AE1074" s="102"/>
      <c r="AF1074" s="102"/>
      <c r="AG1074" s="151"/>
      <c r="AH1074" s="102"/>
      <c r="AI1074" s="102"/>
      <c r="AJ1074" s="102"/>
      <c r="AK1074" s="148"/>
      <c r="AL1074" s="98"/>
      <c r="AM1074" s="102"/>
      <c r="AN1074" s="102"/>
      <c r="AO1074" s="102"/>
      <c r="AP1074" s="102"/>
      <c r="AR1074" s="98"/>
      <c r="AS1074" s="98"/>
      <c r="AT1074" s="98"/>
      <c r="AU1074" s="98"/>
      <c r="AV1074" s="98"/>
      <c r="AW1074" s="98"/>
      <c r="AX1074" s="98"/>
      <c r="AY1074" s="98"/>
      <c r="AZ1074" s="98"/>
      <c r="BA1074" s="98"/>
      <c r="BB1074" s="98"/>
      <c r="BC1074" s="98"/>
      <c r="BD1074" s="98"/>
      <c r="BE1074" s="98"/>
      <c r="BF1074" s="98"/>
      <c r="BG1074" s="98"/>
      <c r="BH1074" s="98"/>
      <c r="BI1074" s="98"/>
      <c r="BJ1074" s="98"/>
      <c r="BK1074" s="98"/>
      <c r="BL1074" s="98"/>
      <c r="BM1074" s="98"/>
      <c r="BN1074" s="98"/>
      <c r="BO1074" s="98"/>
      <c r="BP1074" s="98"/>
      <c r="BQ1074" s="98"/>
      <c r="BR1074" s="98"/>
      <c r="BS1074" s="98"/>
      <c r="BT1074" s="98"/>
      <c r="BU1074" s="98"/>
      <c r="BV1074" s="98"/>
      <c r="BW1074" s="98"/>
      <c r="BX1074" s="98"/>
      <c r="BY1074" s="98"/>
    </row>
    <row r="1075" spans="1:77" s="194" customFormat="1" x14ac:dyDescent="0.3">
      <c r="A1075" s="98"/>
      <c r="B1075" s="98"/>
      <c r="C1075" s="98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102"/>
      <c r="AC1075" s="102"/>
      <c r="AD1075" s="102"/>
      <c r="AE1075" s="102"/>
      <c r="AF1075" s="102"/>
      <c r="AG1075" s="151"/>
      <c r="AH1075" s="102"/>
      <c r="AI1075" s="102"/>
      <c r="AJ1075" s="102"/>
      <c r="AK1075" s="148"/>
      <c r="AL1075" s="98"/>
      <c r="AM1075" s="102"/>
      <c r="AN1075" s="102"/>
      <c r="AO1075" s="102"/>
      <c r="AP1075" s="102"/>
      <c r="AR1075" s="98"/>
      <c r="AS1075" s="98"/>
      <c r="AT1075" s="98"/>
      <c r="AU1075" s="98"/>
      <c r="AV1075" s="98"/>
      <c r="AW1075" s="98"/>
      <c r="AX1075" s="98"/>
      <c r="AY1075" s="98"/>
      <c r="AZ1075" s="98"/>
      <c r="BA1075" s="98"/>
      <c r="BB1075" s="98"/>
      <c r="BC1075" s="98"/>
      <c r="BD1075" s="98"/>
      <c r="BE1075" s="98"/>
      <c r="BF1075" s="98"/>
      <c r="BG1075" s="98"/>
      <c r="BH1075" s="98"/>
      <c r="BI1075" s="98"/>
      <c r="BJ1075" s="98"/>
      <c r="BK1075" s="98"/>
      <c r="BL1075" s="98"/>
      <c r="BM1075" s="98"/>
      <c r="BN1075" s="98"/>
      <c r="BO1075" s="98"/>
      <c r="BP1075" s="98"/>
      <c r="BQ1075" s="98"/>
      <c r="BR1075" s="98"/>
      <c r="BS1075" s="98"/>
      <c r="BT1075" s="98"/>
      <c r="BU1075" s="98"/>
      <c r="BV1075" s="98"/>
      <c r="BW1075" s="98"/>
      <c r="BX1075" s="98"/>
      <c r="BY1075" s="98"/>
    </row>
    <row r="1076" spans="1:77" s="194" customFormat="1" x14ac:dyDescent="0.3">
      <c r="A1076" s="98"/>
      <c r="B1076" s="98"/>
      <c r="C1076" s="98"/>
      <c r="D1076" s="98"/>
      <c r="E1076" s="98"/>
      <c r="F1076" s="98"/>
      <c r="G1076" s="98"/>
      <c r="H1076" s="99"/>
      <c r="I1076" s="99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102"/>
      <c r="U1076" s="102"/>
      <c r="V1076" s="102"/>
      <c r="W1076" s="98"/>
      <c r="X1076" s="98"/>
      <c r="Y1076" s="98"/>
      <c r="Z1076" s="98"/>
      <c r="AA1076" s="98"/>
      <c r="AB1076" s="102"/>
      <c r="AC1076" s="102"/>
      <c r="AD1076" s="102"/>
      <c r="AE1076" s="102"/>
      <c r="AF1076" s="102"/>
      <c r="AG1076" s="151"/>
      <c r="AH1076" s="102"/>
      <c r="AI1076" s="102"/>
      <c r="AJ1076" s="102"/>
      <c r="AK1076" s="151"/>
      <c r="AL1076" s="102"/>
      <c r="AM1076" s="102"/>
      <c r="AN1076" s="102"/>
      <c r="AO1076" s="102"/>
      <c r="AP1076" s="102"/>
      <c r="AR1076" s="98"/>
      <c r="AS1076" s="98"/>
      <c r="AT1076" s="98"/>
      <c r="AU1076" s="98"/>
      <c r="AV1076" s="98"/>
      <c r="AW1076" s="98"/>
      <c r="AX1076" s="98"/>
      <c r="AY1076" s="98"/>
      <c r="AZ1076" s="98"/>
      <c r="BA1076" s="98"/>
      <c r="BB1076" s="98"/>
      <c r="BC1076" s="98"/>
      <c r="BD1076" s="98"/>
      <c r="BE1076" s="98"/>
      <c r="BF1076" s="98"/>
      <c r="BG1076" s="98"/>
      <c r="BH1076" s="98"/>
      <c r="BI1076" s="98"/>
      <c r="BJ1076" s="98"/>
      <c r="BK1076" s="98"/>
      <c r="BL1076" s="98"/>
      <c r="BM1076" s="98"/>
      <c r="BN1076" s="98"/>
      <c r="BO1076" s="98"/>
      <c r="BP1076" s="98"/>
      <c r="BQ1076" s="98"/>
      <c r="BR1076" s="98"/>
      <c r="BS1076" s="98"/>
      <c r="BT1076" s="98"/>
      <c r="BU1076" s="98"/>
      <c r="BV1076" s="98"/>
      <c r="BW1076" s="98"/>
      <c r="BX1076" s="98"/>
      <c r="BY1076" s="98"/>
    </row>
    <row r="1077" spans="1:77" s="194" customFormat="1" x14ac:dyDescent="0.3">
      <c r="A1077" s="98"/>
      <c r="B1077" s="98"/>
      <c r="C1077" s="98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102"/>
      <c r="U1077" s="102"/>
      <c r="V1077" s="102"/>
      <c r="W1077" s="98"/>
      <c r="X1077" s="98"/>
      <c r="Y1077" s="98"/>
      <c r="Z1077" s="98"/>
      <c r="AA1077" s="102"/>
      <c r="AB1077" s="102"/>
      <c r="AC1077" s="102"/>
      <c r="AD1077" s="102"/>
      <c r="AE1077" s="102"/>
      <c r="AF1077" s="102"/>
      <c r="AG1077" s="151"/>
      <c r="AH1077" s="102"/>
      <c r="AI1077" s="102"/>
      <c r="AJ1077" s="102"/>
      <c r="AK1077" s="151"/>
      <c r="AL1077" s="102"/>
      <c r="AM1077" s="102"/>
      <c r="AN1077" s="102"/>
      <c r="AO1077" s="102"/>
      <c r="AP1077" s="102"/>
      <c r="AR1077" s="98"/>
      <c r="AS1077" s="98"/>
      <c r="AT1077" s="98"/>
      <c r="AU1077" s="98"/>
      <c r="AV1077" s="98"/>
      <c r="AW1077" s="98"/>
      <c r="AX1077" s="98"/>
      <c r="AY1077" s="98"/>
      <c r="AZ1077" s="98"/>
      <c r="BA1077" s="98"/>
      <c r="BB1077" s="98"/>
      <c r="BC1077" s="98"/>
      <c r="BD1077" s="98"/>
      <c r="BE1077" s="98"/>
      <c r="BF1077" s="98"/>
      <c r="BG1077" s="98"/>
      <c r="BH1077" s="98"/>
      <c r="BI1077" s="98"/>
      <c r="BJ1077" s="98"/>
      <c r="BK1077" s="98"/>
      <c r="BL1077" s="98"/>
      <c r="BM1077" s="98"/>
      <c r="BN1077" s="98"/>
      <c r="BO1077" s="98"/>
      <c r="BP1077" s="98"/>
      <c r="BQ1077" s="98"/>
      <c r="BR1077" s="98"/>
      <c r="BS1077" s="98"/>
      <c r="BT1077" s="98"/>
      <c r="BU1077" s="98"/>
      <c r="BV1077" s="98"/>
      <c r="BW1077" s="98"/>
      <c r="BX1077" s="98"/>
      <c r="BY1077" s="98"/>
    </row>
    <row r="1078" spans="1:77" s="194" customFormat="1" x14ac:dyDescent="0.3">
      <c r="A1078" s="98"/>
      <c r="B1078" s="98"/>
      <c r="C1078" s="98"/>
      <c r="D1078" s="98"/>
      <c r="E1078" s="98"/>
      <c r="F1078" s="98"/>
      <c r="G1078" s="98"/>
      <c r="H1078" s="98"/>
      <c r="I1078" s="98"/>
      <c r="J1078" s="98"/>
      <c r="K1078" s="98"/>
      <c r="L1078" s="99"/>
      <c r="M1078" s="99"/>
      <c r="N1078" s="98"/>
      <c r="O1078" s="98"/>
      <c r="P1078" s="98"/>
      <c r="Q1078" s="98"/>
      <c r="R1078" s="98"/>
      <c r="S1078" s="98"/>
      <c r="T1078" s="102"/>
      <c r="U1078" s="102"/>
      <c r="V1078" s="102"/>
      <c r="W1078" s="98"/>
      <c r="X1078" s="98"/>
      <c r="Y1078" s="98"/>
      <c r="Z1078" s="98"/>
      <c r="AA1078" s="102"/>
      <c r="AB1078" s="102"/>
      <c r="AC1078" s="102"/>
      <c r="AD1078" s="102"/>
      <c r="AE1078" s="102"/>
      <c r="AF1078" s="102"/>
      <c r="AG1078" s="151"/>
      <c r="AH1078" s="102"/>
      <c r="AI1078" s="102"/>
      <c r="AJ1078" s="102"/>
      <c r="AK1078" s="151"/>
      <c r="AL1078" s="102"/>
      <c r="AM1078" s="102"/>
      <c r="AN1078" s="102"/>
      <c r="AO1078" s="102"/>
      <c r="AP1078" s="102"/>
      <c r="AR1078" s="98"/>
      <c r="AS1078" s="98"/>
      <c r="AT1078" s="98"/>
      <c r="AU1078" s="98"/>
      <c r="AV1078" s="98"/>
      <c r="AW1078" s="98"/>
      <c r="AX1078" s="98"/>
      <c r="AY1078" s="98"/>
      <c r="AZ1078" s="98"/>
      <c r="BA1078" s="98"/>
      <c r="BB1078" s="98"/>
      <c r="BC1078" s="98"/>
      <c r="BD1078" s="98"/>
      <c r="BE1078" s="98"/>
      <c r="BF1078" s="98"/>
      <c r="BG1078" s="98"/>
      <c r="BH1078" s="98"/>
      <c r="BI1078" s="98"/>
      <c r="BJ1078" s="98"/>
      <c r="BK1078" s="98"/>
      <c r="BL1078" s="98"/>
      <c r="BM1078" s="98"/>
      <c r="BN1078" s="98"/>
      <c r="BO1078" s="98"/>
      <c r="BP1078" s="98"/>
      <c r="BQ1078" s="98"/>
      <c r="BR1078" s="98"/>
      <c r="BS1078" s="98"/>
      <c r="BT1078" s="98"/>
      <c r="BU1078" s="98"/>
      <c r="BV1078" s="98"/>
      <c r="BW1078" s="98"/>
      <c r="BX1078" s="98"/>
      <c r="BY1078" s="98"/>
    </row>
    <row r="1079" spans="1:77" s="194" customFormat="1" x14ac:dyDescent="0.3">
      <c r="A1079" s="98"/>
      <c r="B1079" s="98"/>
      <c r="C1079" s="98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9"/>
      <c r="S1079" s="98"/>
      <c r="T1079" s="101"/>
      <c r="U1079" s="101"/>
      <c r="V1079" s="101"/>
      <c r="W1079" s="101"/>
      <c r="X1079" s="101"/>
      <c r="Y1079" s="101"/>
      <c r="Z1079" s="101"/>
      <c r="AA1079" s="101"/>
      <c r="AB1079" s="101"/>
      <c r="AC1079" s="101"/>
      <c r="AD1079" s="101"/>
      <c r="AE1079" s="101"/>
      <c r="AF1079" s="101"/>
      <c r="AG1079" s="191"/>
      <c r="AH1079" s="101"/>
      <c r="AI1079" s="101"/>
      <c r="AJ1079" s="101"/>
      <c r="AK1079" s="191"/>
      <c r="AL1079" s="101"/>
      <c r="AM1079" s="101"/>
      <c r="AN1079" s="101"/>
      <c r="AO1079" s="101"/>
      <c r="AP1079" s="101"/>
      <c r="AR1079" s="98"/>
      <c r="AS1079" s="98"/>
      <c r="AT1079" s="98"/>
      <c r="AU1079" s="98"/>
      <c r="AV1079" s="98"/>
      <c r="AW1079" s="98"/>
      <c r="AX1079" s="98"/>
      <c r="AY1079" s="98"/>
      <c r="AZ1079" s="98"/>
      <c r="BA1079" s="98"/>
      <c r="BB1079" s="98"/>
      <c r="BC1079" s="98"/>
      <c r="BD1079" s="98"/>
      <c r="BE1079" s="98"/>
      <c r="BF1079" s="98"/>
      <c r="BG1079" s="98"/>
      <c r="BH1079" s="98"/>
      <c r="BI1079" s="98"/>
      <c r="BJ1079" s="98"/>
      <c r="BK1079" s="98"/>
      <c r="BL1079" s="98"/>
      <c r="BM1079" s="98"/>
      <c r="BN1079" s="98"/>
      <c r="BO1079" s="98"/>
      <c r="BP1079" s="98"/>
      <c r="BQ1079" s="98"/>
      <c r="BR1079" s="98"/>
      <c r="BS1079" s="98"/>
      <c r="BT1079" s="98"/>
      <c r="BU1079" s="98"/>
      <c r="BV1079" s="98"/>
      <c r="BW1079" s="98"/>
      <c r="BX1079" s="98"/>
      <c r="BY1079" s="98"/>
    </row>
    <row r="1080" spans="1:77" s="194" customFormat="1" x14ac:dyDescent="0.3">
      <c r="A1080" s="98"/>
      <c r="B1080" s="98"/>
      <c r="C1080" s="98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9"/>
      <c r="S1080" s="98"/>
      <c r="T1080" s="98"/>
      <c r="U1080" s="98"/>
      <c r="V1080" s="98"/>
      <c r="W1080" s="98"/>
      <c r="X1080" s="98"/>
      <c r="Y1080" s="98"/>
      <c r="Z1080" s="98"/>
      <c r="AA1080" s="102"/>
      <c r="AB1080" s="102"/>
      <c r="AC1080" s="102"/>
      <c r="AD1080" s="102"/>
      <c r="AE1080" s="102"/>
      <c r="AF1080" s="102"/>
      <c r="AG1080" s="151"/>
      <c r="AH1080" s="102"/>
      <c r="AI1080" s="102"/>
      <c r="AJ1080" s="102"/>
      <c r="AK1080" s="151"/>
      <c r="AL1080" s="102"/>
      <c r="AM1080" s="102"/>
      <c r="AN1080" s="102"/>
      <c r="AO1080" s="102"/>
      <c r="AP1080" s="102"/>
      <c r="AR1080" s="98"/>
      <c r="AS1080" s="98"/>
      <c r="AT1080" s="98"/>
      <c r="AU1080" s="98"/>
      <c r="AV1080" s="98"/>
      <c r="AW1080" s="98"/>
      <c r="AX1080" s="98"/>
      <c r="AY1080" s="98"/>
      <c r="AZ1080" s="98"/>
      <c r="BA1080" s="98"/>
      <c r="BB1080" s="98"/>
      <c r="BC1080" s="98"/>
      <c r="BD1080" s="98"/>
      <c r="BE1080" s="98"/>
      <c r="BF1080" s="98"/>
      <c r="BG1080" s="98"/>
      <c r="BH1080" s="98"/>
      <c r="BI1080" s="98"/>
      <c r="BJ1080" s="98"/>
      <c r="BK1080" s="98"/>
      <c r="BL1080" s="98"/>
      <c r="BM1080" s="98"/>
      <c r="BN1080" s="98"/>
      <c r="BO1080" s="98"/>
      <c r="BP1080" s="98"/>
      <c r="BQ1080" s="98"/>
      <c r="BR1080" s="98"/>
      <c r="BS1080" s="98"/>
      <c r="BT1080" s="98"/>
      <c r="BU1080" s="98"/>
      <c r="BV1080" s="98"/>
      <c r="BW1080" s="98"/>
      <c r="BX1080" s="98"/>
      <c r="BY1080" s="98"/>
    </row>
    <row r="1081" spans="1:77" s="194" customFormat="1" x14ac:dyDescent="0.3">
      <c r="A1081" s="99"/>
      <c r="B1081" s="98"/>
      <c r="C1081" s="98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9"/>
      <c r="S1081" s="98"/>
      <c r="T1081" s="99"/>
      <c r="U1081" s="99"/>
      <c r="V1081" s="110"/>
      <c r="W1081" s="98"/>
      <c r="X1081" s="98"/>
      <c r="Y1081" s="98"/>
      <c r="Z1081" s="98"/>
      <c r="AA1081" s="110"/>
      <c r="AB1081" s="198"/>
      <c r="AC1081" s="110"/>
      <c r="AD1081" s="110"/>
      <c r="AE1081" s="198"/>
      <c r="AF1081" s="198"/>
      <c r="AG1081" s="148"/>
      <c r="AH1081" s="110"/>
      <c r="AI1081" s="207"/>
      <c r="AJ1081" s="207"/>
      <c r="AK1081" s="148"/>
      <c r="AL1081" s="110"/>
      <c r="AM1081" s="110"/>
      <c r="AN1081" s="110"/>
      <c r="AO1081" s="141"/>
      <c r="AP1081" s="141"/>
      <c r="AR1081" s="98"/>
      <c r="AS1081" s="98"/>
      <c r="AT1081" s="98"/>
      <c r="AU1081" s="98"/>
      <c r="AV1081" s="98"/>
      <c r="AW1081" s="98"/>
      <c r="AX1081" s="98"/>
      <c r="AY1081" s="98"/>
      <c r="AZ1081" s="98"/>
      <c r="BA1081" s="98"/>
      <c r="BB1081" s="98"/>
      <c r="BC1081" s="98"/>
      <c r="BD1081" s="98"/>
      <c r="BE1081" s="98"/>
      <c r="BF1081" s="98"/>
      <c r="BG1081" s="98"/>
      <c r="BH1081" s="98"/>
      <c r="BI1081" s="98"/>
      <c r="BJ1081" s="98"/>
      <c r="BK1081" s="98"/>
      <c r="BL1081" s="98"/>
      <c r="BM1081" s="98"/>
      <c r="BN1081" s="98"/>
      <c r="BO1081" s="98"/>
      <c r="BP1081" s="98"/>
      <c r="BQ1081" s="98"/>
      <c r="BR1081" s="98"/>
      <c r="BS1081" s="98"/>
      <c r="BT1081" s="98"/>
      <c r="BU1081" s="98"/>
      <c r="BV1081" s="98"/>
      <c r="BW1081" s="98"/>
      <c r="BX1081" s="98"/>
      <c r="BY1081" s="98"/>
    </row>
    <row r="1082" spans="1:77" s="194" customFormat="1" x14ac:dyDescent="0.3">
      <c r="A1082" s="98"/>
      <c r="B1082" s="98"/>
      <c r="C1082" s="98"/>
      <c r="D1082" s="98"/>
      <c r="E1082" s="98"/>
      <c r="F1082" s="98"/>
      <c r="G1082" s="98"/>
      <c r="H1082" s="98"/>
      <c r="I1082" s="98"/>
      <c r="J1082" s="98"/>
      <c r="K1082" s="98"/>
      <c r="L1082" s="99"/>
      <c r="M1082" s="99"/>
      <c r="N1082" s="98"/>
      <c r="O1082" s="98"/>
      <c r="P1082" s="98"/>
      <c r="Q1082" s="98"/>
      <c r="R1082" s="98"/>
      <c r="S1082" s="98"/>
      <c r="T1082" s="98"/>
      <c r="U1082" s="98"/>
      <c r="V1082" s="192"/>
      <c r="W1082" s="98"/>
      <c r="X1082" s="98"/>
      <c r="Y1082" s="98"/>
      <c r="Z1082" s="98"/>
      <c r="AA1082" s="192"/>
      <c r="AB1082" s="217"/>
      <c r="AC1082" s="192"/>
      <c r="AD1082" s="192"/>
      <c r="AE1082" s="192"/>
      <c r="AF1082" s="192"/>
      <c r="AH1082" s="192"/>
      <c r="AI1082" s="98"/>
      <c r="AJ1082" s="98"/>
      <c r="AL1082" s="192"/>
      <c r="AM1082" s="192"/>
      <c r="AN1082" s="192"/>
      <c r="AO1082" s="141"/>
      <c r="AP1082" s="141"/>
      <c r="AR1082" s="98"/>
      <c r="AS1082" s="98"/>
      <c r="AT1082" s="98"/>
      <c r="AU1082" s="98"/>
      <c r="AV1082" s="98"/>
      <c r="AW1082" s="98"/>
      <c r="AX1082" s="98"/>
      <c r="AY1082" s="98"/>
      <c r="AZ1082" s="98"/>
      <c r="BA1082" s="98"/>
      <c r="BB1082" s="98"/>
      <c r="BC1082" s="98"/>
      <c r="BD1082" s="98"/>
      <c r="BE1082" s="98"/>
      <c r="BF1082" s="98"/>
      <c r="BG1082" s="98"/>
      <c r="BH1082" s="98"/>
      <c r="BI1082" s="98"/>
      <c r="BJ1082" s="98"/>
      <c r="BK1082" s="98"/>
      <c r="BL1082" s="98"/>
      <c r="BM1082" s="98"/>
      <c r="BN1082" s="98"/>
      <c r="BO1082" s="98"/>
      <c r="BP1082" s="98"/>
      <c r="BQ1082" s="98"/>
      <c r="BR1082" s="98"/>
      <c r="BS1082" s="98"/>
      <c r="BT1082" s="98"/>
      <c r="BU1082" s="98"/>
      <c r="BV1082" s="98"/>
      <c r="BW1082" s="98"/>
      <c r="BX1082" s="98"/>
      <c r="BY1082" s="98"/>
    </row>
    <row r="1083" spans="1:77" s="194" customFormat="1" x14ac:dyDescent="0.3">
      <c r="A1083" s="101"/>
      <c r="B1083" s="101"/>
      <c r="C1083" s="101"/>
      <c r="D1083" s="101"/>
      <c r="E1083" s="101"/>
      <c r="F1083" s="98"/>
      <c r="G1083" s="101"/>
      <c r="H1083" s="101"/>
      <c r="I1083" s="101"/>
      <c r="J1083" s="101"/>
      <c r="K1083" s="101"/>
      <c r="L1083" s="101"/>
      <c r="M1083" s="101"/>
      <c r="N1083" s="101"/>
      <c r="O1083" s="101"/>
      <c r="P1083" s="101"/>
      <c r="Q1083" s="101"/>
      <c r="R1083" s="101"/>
      <c r="S1083" s="98"/>
      <c r="T1083" s="99"/>
      <c r="U1083" s="98"/>
      <c r="V1083" s="110"/>
      <c r="W1083" s="98"/>
      <c r="X1083" s="98"/>
      <c r="Y1083" s="98"/>
      <c r="Z1083" s="98"/>
      <c r="AA1083" s="110"/>
      <c r="AB1083" s="198"/>
      <c r="AC1083" s="110"/>
      <c r="AD1083" s="110"/>
      <c r="AE1083" s="198"/>
      <c r="AF1083" s="198"/>
      <c r="AG1083" s="148"/>
      <c r="AH1083" s="110"/>
      <c r="AI1083" s="207"/>
      <c r="AJ1083" s="207"/>
      <c r="AK1083" s="148"/>
      <c r="AL1083" s="110"/>
      <c r="AM1083" s="110"/>
      <c r="AN1083" s="110"/>
      <c r="AO1083" s="141"/>
      <c r="AP1083" s="141"/>
      <c r="AR1083" s="98"/>
      <c r="AS1083" s="98"/>
      <c r="AT1083" s="98"/>
      <c r="AU1083" s="98"/>
      <c r="AV1083" s="98"/>
      <c r="AW1083" s="98"/>
      <c r="AX1083" s="98"/>
      <c r="AY1083" s="98"/>
      <c r="AZ1083" s="98"/>
      <c r="BA1083" s="98"/>
      <c r="BB1083" s="98"/>
      <c r="BC1083" s="98"/>
      <c r="BD1083" s="98"/>
      <c r="BE1083" s="98"/>
      <c r="BF1083" s="98"/>
      <c r="BG1083" s="98"/>
      <c r="BH1083" s="98"/>
      <c r="BI1083" s="98"/>
      <c r="BJ1083" s="98"/>
      <c r="BK1083" s="98"/>
      <c r="BL1083" s="98"/>
      <c r="BM1083" s="98"/>
      <c r="BN1083" s="98"/>
      <c r="BO1083" s="98"/>
      <c r="BP1083" s="98"/>
      <c r="BQ1083" s="98"/>
      <c r="BR1083" s="98"/>
      <c r="BS1083" s="98"/>
      <c r="BT1083" s="98"/>
      <c r="BU1083" s="98"/>
      <c r="BV1083" s="98"/>
      <c r="BW1083" s="98"/>
      <c r="BX1083" s="98"/>
      <c r="BY1083" s="98"/>
    </row>
    <row r="1084" spans="1:77" s="194" customFormat="1" x14ac:dyDescent="0.3">
      <c r="A1084" s="98"/>
      <c r="B1084" s="98"/>
      <c r="C1084" s="98"/>
      <c r="D1084" s="98"/>
      <c r="E1084" s="98"/>
      <c r="F1084" s="101"/>
      <c r="G1084" s="98"/>
      <c r="H1084" s="98"/>
      <c r="I1084" s="98"/>
      <c r="J1084" s="98"/>
      <c r="K1084" s="98"/>
      <c r="L1084" s="102"/>
      <c r="M1084" s="102"/>
      <c r="N1084" s="102"/>
      <c r="O1084" s="102"/>
      <c r="P1084" s="98"/>
      <c r="Q1084" s="98"/>
      <c r="R1084" s="102"/>
      <c r="S1084" s="98"/>
      <c r="T1084" s="98"/>
      <c r="U1084" s="98"/>
      <c r="V1084" s="110"/>
      <c r="W1084" s="98"/>
      <c r="X1084" s="98"/>
      <c r="Y1084" s="98"/>
      <c r="Z1084" s="98"/>
      <c r="AA1084" s="110"/>
      <c r="AB1084" s="198"/>
      <c r="AC1084" s="110"/>
      <c r="AD1084" s="110"/>
      <c r="AE1084" s="198"/>
      <c r="AF1084" s="198"/>
      <c r="AG1084" s="148"/>
      <c r="AH1084" s="98"/>
      <c r="AI1084" s="207"/>
      <c r="AJ1084" s="207"/>
      <c r="AK1084" s="148"/>
      <c r="AL1084" s="110"/>
      <c r="AM1084" s="110"/>
      <c r="AN1084" s="110"/>
      <c r="AO1084" s="141"/>
      <c r="AP1084" s="141"/>
      <c r="AR1084" s="98"/>
      <c r="AS1084" s="98"/>
      <c r="AT1084" s="98"/>
      <c r="AU1084" s="98"/>
      <c r="AV1084" s="98"/>
      <c r="AW1084" s="98"/>
      <c r="AX1084" s="98"/>
      <c r="AY1084" s="98"/>
      <c r="AZ1084" s="98"/>
      <c r="BA1084" s="98"/>
      <c r="BB1084" s="98"/>
      <c r="BC1084" s="98"/>
      <c r="BD1084" s="98"/>
      <c r="BE1084" s="98"/>
      <c r="BF1084" s="98"/>
      <c r="BG1084" s="98"/>
      <c r="BH1084" s="98"/>
      <c r="BI1084" s="98"/>
      <c r="BJ1084" s="98"/>
      <c r="BK1084" s="98"/>
      <c r="BL1084" s="98"/>
      <c r="BM1084" s="98"/>
      <c r="BN1084" s="98"/>
      <c r="BO1084" s="98"/>
      <c r="BP1084" s="98"/>
      <c r="BQ1084" s="98"/>
      <c r="BR1084" s="98"/>
      <c r="BS1084" s="98"/>
      <c r="BT1084" s="98"/>
      <c r="BU1084" s="98"/>
      <c r="BV1084" s="98"/>
      <c r="BW1084" s="98"/>
      <c r="BX1084" s="98"/>
      <c r="BY1084" s="98"/>
    </row>
    <row r="1085" spans="1:77" s="194" customFormat="1" x14ac:dyDescent="0.3">
      <c r="A1085" s="98"/>
      <c r="B1085" s="98"/>
      <c r="C1085" s="98"/>
      <c r="D1085" s="98"/>
      <c r="E1085" s="98"/>
      <c r="F1085" s="98"/>
      <c r="G1085" s="98"/>
      <c r="H1085" s="98"/>
      <c r="I1085" s="98"/>
      <c r="J1085" s="98"/>
      <c r="K1085" s="98"/>
      <c r="L1085" s="102"/>
      <c r="M1085" s="102"/>
      <c r="N1085" s="102"/>
      <c r="O1085" s="102"/>
      <c r="P1085" s="98"/>
      <c r="Q1085" s="98"/>
      <c r="R1085" s="102"/>
      <c r="S1085" s="98"/>
      <c r="T1085" s="99"/>
      <c r="U1085" s="99"/>
      <c r="V1085" s="110"/>
      <c r="W1085" s="98"/>
      <c r="X1085" s="98"/>
      <c r="Y1085" s="98"/>
      <c r="Z1085" s="98"/>
      <c r="AA1085" s="110"/>
      <c r="AB1085" s="198"/>
      <c r="AC1085" s="110"/>
      <c r="AD1085" s="110"/>
      <c r="AE1085" s="198"/>
      <c r="AF1085" s="198"/>
      <c r="AG1085" s="148"/>
      <c r="AH1085" s="110"/>
      <c r="AI1085" s="207"/>
      <c r="AJ1085" s="207"/>
      <c r="AK1085" s="148"/>
      <c r="AL1085" s="110"/>
      <c r="AM1085" s="110"/>
      <c r="AN1085" s="110"/>
      <c r="AO1085" s="141"/>
      <c r="AP1085" s="141"/>
      <c r="AR1085" s="98"/>
      <c r="AS1085" s="98"/>
      <c r="AT1085" s="98"/>
      <c r="AU1085" s="98"/>
      <c r="AV1085" s="98"/>
      <c r="AW1085" s="98"/>
      <c r="AX1085" s="98"/>
      <c r="AY1085" s="98"/>
      <c r="AZ1085" s="98"/>
      <c r="BA1085" s="98"/>
      <c r="BB1085" s="98"/>
      <c r="BC1085" s="98"/>
      <c r="BD1085" s="98"/>
      <c r="BE1085" s="98"/>
      <c r="BF1085" s="98"/>
      <c r="BG1085" s="98"/>
      <c r="BH1085" s="98"/>
      <c r="BI1085" s="98"/>
      <c r="BJ1085" s="98"/>
      <c r="BK1085" s="98"/>
      <c r="BL1085" s="98"/>
      <c r="BM1085" s="98"/>
      <c r="BN1085" s="98"/>
      <c r="BO1085" s="98"/>
      <c r="BP1085" s="98"/>
      <c r="BQ1085" s="98"/>
      <c r="BR1085" s="98"/>
      <c r="BS1085" s="98"/>
      <c r="BT1085" s="98"/>
      <c r="BU1085" s="98"/>
      <c r="BV1085" s="98"/>
      <c r="BW1085" s="98"/>
      <c r="BX1085" s="98"/>
      <c r="BY1085" s="98"/>
    </row>
    <row r="1086" spans="1:77" s="194" customFormat="1" x14ac:dyDescent="0.3">
      <c r="A1086" s="102"/>
      <c r="B1086" s="98"/>
      <c r="C1086" s="102"/>
      <c r="D1086" s="102"/>
      <c r="E1086" s="102"/>
      <c r="F1086" s="98"/>
      <c r="G1086" s="98"/>
      <c r="H1086" s="98"/>
      <c r="I1086" s="98"/>
      <c r="J1086" s="102"/>
      <c r="K1086" s="102"/>
      <c r="L1086" s="102"/>
      <c r="M1086" s="102"/>
      <c r="N1086" s="102"/>
      <c r="O1086" s="102"/>
      <c r="P1086" s="102"/>
      <c r="Q1086" s="102"/>
      <c r="R1086" s="102"/>
      <c r="S1086" s="98"/>
      <c r="T1086" s="99"/>
      <c r="U1086" s="99"/>
      <c r="V1086" s="110"/>
      <c r="W1086" s="98"/>
      <c r="X1086" s="98"/>
      <c r="Y1086" s="98"/>
      <c r="Z1086" s="98"/>
      <c r="AA1086" s="110"/>
      <c r="AB1086" s="198"/>
      <c r="AC1086" s="110"/>
      <c r="AD1086" s="110"/>
      <c r="AE1086" s="198"/>
      <c r="AF1086" s="198"/>
      <c r="AG1086" s="148"/>
      <c r="AH1086" s="110"/>
      <c r="AI1086" s="207"/>
      <c r="AJ1086" s="207"/>
      <c r="AK1086" s="148"/>
      <c r="AL1086" s="110"/>
      <c r="AM1086" s="110"/>
      <c r="AN1086" s="110"/>
      <c r="AO1086" s="141"/>
      <c r="AP1086" s="141"/>
      <c r="AR1086" s="98"/>
      <c r="AS1086" s="98"/>
      <c r="AT1086" s="98"/>
      <c r="AU1086" s="98"/>
      <c r="AV1086" s="98"/>
      <c r="AW1086" s="98"/>
      <c r="AX1086" s="98"/>
      <c r="AY1086" s="98"/>
      <c r="AZ1086" s="98"/>
      <c r="BA1086" s="98"/>
      <c r="BB1086" s="98"/>
      <c r="BC1086" s="98"/>
      <c r="BD1086" s="98"/>
      <c r="BE1086" s="98"/>
      <c r="BF1086" s="98"/>
      <c r="BG1086" s="98"/>
      <c r="BH1086" s="98"/>
      <c r="BI1086" s="98"/>
      <c r="BJ1086" s="98"/>
      <c r="BK1086" s="98"/>
      <c r="BL1086" s="98"/>
      <c r="BM1086" s="98"/>
      <c r="BN1086" s="98"/>
      <c r="BO1086" s="98"/>
      <c r="BP1086" s="98"/>
      <c r="BQ1086" s="98"/>
      <c r="BR1086" s="98"/>
      <c r="BS1086" s="98"/>
      <c r="BT1086" s="98"/>
      <c r="BU1086" s="98"/>
      <c r="BV1086" s="98"/>
      <c r="BW1086" s="98"/>
      <c r="BX1086" s="98"/>
      <c r="BY1086" s="98"/>
    </row>
    <row r="1087" spans="1:77" s="194" customFormat="1" x14ac:dyDescent="0.3">
      <c r="A1087" s="102"/>
      <c r="B1087" s="98"/>
      <c r="C1087" s="102"/>
      <c r="D1087" s="102"/>
      <c r="E1087" s="102"/>
      <c r="F1087" s="102"/>
      <c r="G1087" s="98"/>
      <c r="H1087" s="102"/>
      <c r="I1087" s="102"/>
      <c r="J1087" s="102"/>
      <c r="K1087" s="102"/>
      <c r="L1087" s="102"/>
      <c r="M1087" s="102"/>
      <c r="N1087" s="102"/>
      <c r="O1087" s="102"/>
      <c r="P1087" s="102"/>
      <c r="Q1087" s="102"/>
      <c r="R1087" s="102"/>
      <c r="S1087" s="98"/>
      <c r="T1087" s="99"/>
      <c r="U1087" s="99"/>
      <c r="V1087" s="110"/>
      <c r="W1087" s="98"/>
      <c r="X1087" s="98"/>
      <c r="Y1087" s="98"/>
      <c r="Z1087" s="98"/>
      <c r="AA1087" s="110"/>
      <c r="AB1087" s="198"/>
      <c r="AC1087" s="110"/>
      <c r="AD1087" s="110"/>
      <c r="AE1087" s="198"/>
      <c r="AF1087" s="198"/>
      <c r="AG1087" s="148"/>
      <c r="AH1087" s="110"/>
      <c r="AI1087" s="207"/>
      <c r="AJ1087" s="207"/>
      <c r="AK1087" s="148"/>
      <c r="AL1087" s="110"/>
      <c r="AM1087" s="110"/>
      <c r="AN1087" s="110"/>
      <c r="AO1087" s="141"/>
      <c r="AP1087" s="141"/>
      <c r="AR1087" s="98"/>
      <c r="AS1087" s="98"/>
      <c r="AT1087" s="98"/>
      <c r="AU1087" s="98"/>
      <c r="AV1087" s="98"/>
      <c r="AW1087" s="98"/>
      <c r="AX1087" s="98"/>
      <c r="AY1087" s="98"/>
      <c r="AZ1087" s="98"/>
      <c r="BA1087" s="98"/>
      <c r="BB1087" s="98"/>
      <c r="BC1087" s="98"/>
      <c r="BD1087" s="98"/>
      <c r="BE1087" s="98"/>
      <c r="BF1087" s="98"/>
      <c r="BG1087" s="98"/>
      <c r="BH1087" s="98"/>
      <c r="BI1087" s="98"/>
      <c r="BJ1087" s="98"/>
      <c r="BK1087" s="98"/>
      <c r="BL1087" s="98"/>
      <c r="BM1087" s="98"/>
      <c r="BN1087" s="98"/>
      <c r="BO1087" s="98"/>
      <c r="BP1087" s="98"/>
      <c r="BQ1087" s="98"/>
      <c r="BR1087" s="98"/>
      <c r="BS1087" s="98"/>
      <c r="BT1087" s="98"/>
      <c r="BU1087" s="98"/>
      <c r="BV1087" s="98"/>
      <c r="BW1087" s="98"/>
      <c r="BX1087" s="98"/>
      <c r="BY1087" s="98"/>
    </row>
    <row r="1088" spans="1:77" s="194" customFormat="1" x14ac:dyDescent="0.3">
      <c r="A1088" s="98"/>
      <c r="B1088" s="98"/>
      <c r="C1088" s="102"/>
      <c r="D1088" s="102"/>
      <c r="E1088" s="102"/>
      <c r="F1088" s="102"/>
      <c r="G1088" s="98"/>
      <c r="H1088" s="102"/>
      <c r="I1088" s="102"/>
      <c r="J1088" s="102"/>
      <c r="K1088" s="102"/>
      <c r="L1088" s="102"/>
      <c r="M1088" s="102"/>
      <c r="N1088" s="102"/>
      <c r="O1088" s="102"/>
      <c r="P1088" s="102"/>
      <c r="Q1088" s="102"/>
      <c r="R1088" s="102"/>
      <c r="S1088" s="98"/>
      <c r="T1088" s="99"/>
      <c r="U1088" s="99"/>
      <c r="V1088" s="110"/>
      <c r="W1088" s="98"/>
      <c r="X1088" s="98"/>
      <c r="Y1088" s="98"/>
      <c r="Z1088" s="98"/>
      <c r="AA1088" s="110"/>
      <c r="AB1088" s="198"/>
      <c r="AC1088" s="110"/>
      <c r="AD1088" s="110"/>
      <c r="AE1088" s="198"/>
      <c r="AF1088" s="198"/>
      <c r="AG1088" s="148"/>
      <c r="AH1088" s="110"/>
      <c r="AI1088" s="207"/>
      <c r="AJ1088" s="207"/>
      <c r="AK1088" s="148"/>
      <c r="AL1088" s="110"/>
      <c r="AM1088" s="110"/>
      <c r="AN1088" s="110"/>
      <c r="AO1088" s="141"/>
      <c r="AP1088" s="141"/>
      <c r="AR1088" s="98"/>
      <c r="AS1088" s="98"/>
      <c r="AT1088" s="98"/>
      <c r="AU1088" s="98"/>
      <c r="AV1088" s="98"/>
      <c r="AW1088" s="98"/>
      <c r="AX1088" s="98"/>
      <c r="AY1088" s="98"/>
      <c r="AZ1088" s="98"/>
      <c r="BA1088" s="98"/>
      <c r="BB1088" s="98"/>
      <c r="BC1088" s="98"/>
      <c r="BD1088" s="98"/>
      <c r="BE1088" s="98"/>
      <c r="BF1088" s="98"/>
      <c r="BG1088" s="98"/>
      <c r="BH1088" s="98"/>
      <c r="BI1088" s="98"/>
      <c r="BJ1088" s="98"/>
      <c r="BK1088" s="98"/>
      <c r="BL1088" s="98"/>
      <c r="BM1088" s="98"/>
      <c r="BN1088" s="98"/>
      <c r="BO1088" s="98"/>
      <c r="BP1088" s="98"/>
      <c r="BQ1088" s="98"/>
      <c r="BR1088" s="98"/>
      <c r="BS1088" s="98"/>
      <c r="BT1088" s="98"/>
      <c r="BU1088" s="98"/>
      <c r="BV1088" s="98"/>
      <c r="BW1088" s="98"/>
      <c r="BX1088" s="98"/>
      <c r="BY1088" s="98"/>
    </row>
    <row r="1089" spans="1:77" s="194" customFormat="1" x14ac:dyDescent="0.3">
      <c r="A1089" s="101"/>
      <c r="B1089" s="101"/>
      <c r="C1089" s="101"/>
      <c r="D1089" s="101"/>
      <c r="E1089" s="101"/>
      <c r="F1089" s="102"/>
      <c r="G1089" s="101"/>
      <c r="H1089" s="101"/>
      <c r="I1089" s="101"/>
      <c r="J1089" s="101"/>
      <c r="K1089" s="101"/>
      <c r="L1089" s="101"/>
      <c r="M1089" s="101"/>
      <c r="N1089" s="101"/>
      <c r="O1089" s="101"/>
      <c r="P1089" s="101"/>
      <c r="Q1089" s="101"/>
      <c r="R1089" s="101"/>
      <c r="S1089" s="98"/>
      <c r="T1089" s="99"/>
      <c r="U1089" s="99"/>
      <c r="V1089" s="110"/>
      <c r="W1089" s="98"/>
      <c r="X1089" s="98"/>
      <c r="Y1089" s="98"/>
      <c r="Z1089" s="98"/>
      <c r="AA1089" s="110"/>
      <c r="AB1089" s="198"/>
      <c r="AC1089" s="110"/>
      <c r="AD1089" s="110"/>
      <c r="AE1089" s="198"/>
      <c r="AF1089" s="198"/>
      <c r="AG1089" s="148"/>
      <c r="AH1089" s="110"/>
      <c r="AI1089" s="207"/>
      <c r="AJ1089" s="207"/>
      <c r="AK1089" s="148"/>
      <c r="AL1089" s="110"/>
      <c r="AM1089" s="110"/>
      <c r="AN1089" s="110"/>
      <c r="AO1089" s="141"/>
      <c r="AP1089" s="141"/>
      <c r="AR1089" s="98"/>
      <c r="AS1089" s="98"/>
      <c r="AT1089" s="98"/>
      <c r="AU1089" s="98"/>
      <c r="AV1089" s="98"/>
      <c r="AW1089" s="98"/>
      <c r="AX1089" s="98"/>
      <c r="AY1089" s="98"/>
      <c r="AZ1089" s="98"/>
      <c r="BA1089" s="98"/>
      <c r="BB1089" s="98"/>
      <c r="BC1089" s="98"/>
      <c r="BD1089" s="98"/>
      <c r="BE1089" s="98"/>
      <c r="BF1089" s="98"/>
      <c r="BG1089" s="98"/>
      <c r="BH1089" s="98"/>
      <c r="BI1089" s="98"/>
      <c r="BJ1089" s="98"/>
      <c r="BK1089" s="98"/>
      <c r="BL1089" s="98"/>
      <c r="BM1089" s="98"/>
      <c r="BN1089" s="98"/>
      <c r="BO1089" s="98"/>
      <c r="BP1089" s="98"/>
      <c r="BQ1089" s="98"/>
      <c r="BR1089" s="98"/>
      <c r="BS1089" s="98"/>
      <c r="BT1089" s="98"/>
      <c r="BU1089" s="98"/>
      <c r="BV1089" s="98"/>
      <c r="BW1089" s="98"/>
      <c r="BX1089" s="98"/>
      <c r="BY1089" s="98"/>
    </row>
    <row r="1090" spans="1:77" s="194" customFormat="1" x14ac:dyDescent="0.3">
      <c r="A1090" s="98"/>
      <c r="B1090" s="98"/>
      <c r="C1090" s="98"/>
      <c r="D1090" s="98"/>
      <c r="E1090" s="98"/>
      <c r="F1090" s="101"/>
      <c r="G1090" s="98"/>
      <c r="H1090" s="102"/>
      <c r="I1090" s="102"/>
      <c r="J1090" s="102"/>
      <c r="K1090" s="102"/>
      <c r="L1090" s="102"/>
      <c r="M1090" s="102"/>
      <c r="N1090" s="102"/>
      <c r="O1090" s="102"/>
      <c r="P1090" s="102"/>
      <c r="Q1090" s="102"/>
      <c r="R1090" s="102"/>
      <c r="S1090" s="98"/>
      <c r="T1090" s="99"/>
      <c r="U1090" s="99"/>
      <c r="V1090" s="110"/>
      <c r="W1090" s="98"/>
      <c r="X1090" s="98"/>
      <c r="Y1090" s="98"/>
      <c r="Z1090" s="98"/>
      <c r="AA1090" s="110"/>
      <c r="AB1090" s="198"/>
      <c r="AC1090" s="110"/>
      <c r="AD1090" s="110"/>
      <c r="AE1090" s="198"/>
      <c r="AF1090" s="198"/>
      <c r="AG1090" s="148"/>
      <c r="AH1090" s="110"/>
      <c r="AI1090" s="207"/>
      <c r="AJ1090" s="207"/>
      <c r="AK1090" s="148"/>
      <c r="AL1090" s="110"/>
      <c r="AM1090" s="110"/>
      <c r="AN1090" s="110"/>
      <c r="AO1090" s="141"/>
      <c r="AP1090" s="141"/>
      <c r="AR1090" s="98"/>
      <c r="AS1090" s="98"/>
      <c r="AT1090" s="98"/>
      <c r="AU1090" s="98"/>
      <c r="AV1090" s="98"/>
      <c r="AW1090" s="98"/>
      <c r="AX1090" s="98"/>
      <c r="AY1090" s="98"/>
      <c r="AZ1090" s="98"/>
      <c r="BA1090" s="98"/>
      <c r="BB1090" s="98"/>
      <c r="BC1090" s="98"/>
      <c r="BD1090" s="98"/>
      <c r="BE1090" s="98"/>
      <c r="BF1090" s="98"/>
      <c r="BG1090" s="98"/>
      <c r="BH1090" s="98"/>
      <c r="BI1090" s="98"/>
      <c r="BJ1090" s="98"/>
      <c r="BK1090" s="98"/>
      <c r="BL1090" s="98"/>
      <c r="BM1090" s="98"/>
      <c r="BN1090" s="98"/>
      <c r="BO1090" s="98"/>
      <c r="BP1090" s="98"/>
      <c r="BQ1090" s="98"/>
      <c r="BR1090" s="98"/>
      <c r="BS1090" s="98"/>
      <c r="BT1090" s="98"/>
      <c r="BU1090" s="98"/>
      <c r="BV1090" s="98"/>
      <c r="BW1090" s="98"/>
      <c r="BX1090" s="98"/>
      <c r="BY1090" s="98"/>
    </row>
    <row r="1091" spans="1:77" s="194" customFormat="1" x14ac:dyDescent="0.3">
      <c r="A1091" s="98"/>
      <c r="B1091" s="98"/>
      <c r="C1091" s="99"/>
      <c r="D1091" s="99"/>
      <c r="E1091" s="99"/>
      <c r="F1091" s="98"/>
      <c r="G1091" s="98"/>
      <c r="H1091" s="110"/>
      <c r="I1091" s="110"/>
      <c r="J1091" s="198"/>
      <c r="K1091" s="198"/>
      <c r="L1091" s="110"/>
      <c r="M1091" s="110"/>
      <c r="N1091" s="198"/>
      <c r="O1091" s="198"/>
      <c r="P1091" s="110"/>
      <c r="Q1091" s="110"/>
      <c r="R1091" s="110"/>
      <c r="S1091" s="98"/>
      <c r="T1091" s="98"/>
      <c r="U1091" s="98"/>
      <c r="V1091" s="192"/>
      <c r="W1091" s="98"/>
      <c r="X1091" s="98"/>
      <c r="Y1091" s="98"/>
      <c r="Z1091" s="98"/>
      <c r="AA1091" s="192"/>
      <c r="AB1091" s="217"/>
      <c r="AC1091" s="192"/>
      <c r="AD1091" s="192"/>
      <c r="AE1091" s="192"/>
      <c r="AF1091" s="192"/>
      <c r="AH1091" s="192"/>
      <c r="AI1091" s="98"/>
      <c r="AJ1091" s="98"/>
      <c r="AL1091" s="192"/>
      <c r="AM1091" s="192"/>
      <c r="AN1091" s="192"/>
      <c r="AO1091" s="141"/>
      <c r="AP1091" s="141"/>
      <c r="AR1091" s="98"/>
      <c r="AS1091" s="98"/>
      <c r="AT1091" s="98"/>
      <c r="AU1091" s="98"/>
      <c r="AV1091" s="98"/>
      <c r="AW1091" s="98"/>
      <c r="AX1091" s="98"/>
      <c r="AY1091" s="98"/>
      <c r="AZ1091" s="98"/>
      <c r="BA1091" s="98"/>
      <c r="BB1091" s="98"/>
      <c r="BC1091" s="98"/>
      <c r="BD1091" s="98"/>
      <c r="BE1091" s="98"/>
      <c r="BF1091" s="98"/>
      <c r="BG1091" s="98"/>
      <c r="BH1091" s="98"/>
      <c r="BI1091" s="98"/>
      <c r="BJ1091" s="98"/>
      <c r="BK1091" s="98"/>
      <c r="BL1091" s="98"/>
      <c r="BM1091" s="98"/>
      <c r="BN1091" s="98"/>
      <c r="BO1091" s="98"/>
      <c r="BP1091" s="98"/>
      <c r="BQ1091" s="98"/>
      <c r="BR1091" s="98"/>
      <c r="BS1091" s="98"/>
      <c r="BT1091" s="98"/>
      <c r="BU1091" s="98"/>
      <c r="BV1091" s="98"/>
      <c r="BW1091" s="98"/>
      <c r="BX1091" s="98"/>
      <c r="BY1091" s="98"/>
    </row>
    <row r="1092" spans="1:77" s="194" customFormat="1" x14ac:dyDescent="0.3">
      <c r="A1092" s="98"/>
      <c r="B1092" s="98"/>
      <c r="C1092" s="98"/>
      <c r="D1092" s="98"/>
      <c r="E1092" s="98"/>
      <c r="F1092" s="110"/>
      <c r="G1092" s="98"/>
      <c r="H1092" s="192"/>
      <c r="I1092" s="192"/>
      <c r="J1092" s="217"/>
      <c r="K1092" s="217"/>
      <c r="L1092" s="192"/>
      <c r="M1092" s="192"/>
      <c r="N1092" s="192"/>
      <c r="O1092" s="192"/>
      <c r="P1092" s="192"/>
      <c r="Q1092" s="192"/>
      <c r="R1092" s="192"/>
      <c r="S1092" s="98"/>
      <c r="T1092" s="99"/>
      <c r="U1092" s="98"/>
      <c r="V1092" s="110"/>
      <c r="W1092" s="98"/>
      <c r="X1092" s="98"/>
      <c r="Y1092" s="98"/>
      <c r="Z1092" s="98"/>
      <c r="AA1092" s="110"/>
      <c r="AB1092" s="198"/>
      <c r="AC1092" s="110"/>
      <c r="AD1092" s="110"/>
      <c r="AE1092" s="198"/>
      <c r="AF1092" s="198"/>
      <c r="AG1092" s="148"/>
      <c r="AH1092" s="110"/>
      <c r="AI1092" s="207"/>
      <c r="AJ1092" s="207"/>
      <c r="AK1092" s="148"/>
      <c r="AL1092" s="110"/>
      <c r="AM1092" s="110"/>
      <c r="AN1092" s="110"/>
      <c r="AO1092" s="141"/>
      <c r="AP1092" s="141"/>
      <c r="AR1092" s="98"/>
      <c r="AS1092" s="98"/>
      <c r="AT1092" s="98"/>
      <c r="AU1092" s="98"/>
      <c r="AV1092" s="98"/>
      <c r="AW1092" s="98"/>
      <c r="AX1092" s="98"/>
      <c r="AY1092" s="98"/>
      <c r="AZ1092" s="98"/>
      <c r="BA1092" s="98"/>
      <c r="BB1092" s="98"/>
      <c r="BC1092" s="98"/>
      <c r="BD1092" s="98"/>
      <c r="BE1092" s="98"/>
      <c r="BF1092" s="98"/>
      <c r="BG1092" s="98"/>
      <c r="BH1092" s="98"/>
      <c r="BI1092" s="98"/>
      <c r="BJ1092" s="98"/>
      <c r="BK1092" s="98"/>
      <c r="BL1092" s="98"/>
      <c r="BM1092" s="98"/>
      <c r="BN1092" s="98"/>
      <c r="BO1092" s="98"/>
      <c r="BP1092" s="98"/>
      <c r="BQ1092" s="98"/>
      <c r="BR1092" s="98"/>
      <c r="BS1092" s="98"/>
      <c r="BT1092" s="98"/>
      <c r="BU1092" s="98"/>
      <c r="BV1092" s="98"/>
      <c r="BW1092" s="98"/>
      <c r="BX1092" s="98"/>
      <c r="BY1092" s="98"/>
    </row>
    <row r="1093" spans="1:77" s="194" customFormat="1" x14ac:dyDescent="0.3">
      <c r="A1093" s="98"/>
      <c r="B1093" s="98"/>
      <c r="C1093" s="99"/>
      <c r="D1093" s="98"/>
      <c r="E1093" s="98"/>
      <c r="F1093" s="192"/>
      <c r="G1093" s="98"/>
      <c r="H1093" s="110"/>
      <c r="I1093" s="110"/>
      <c r="J1093" s="198"/>
      <c r="K1093" s="198"/>
      <c r="L1093" s="110"/>
      <c r="M1093" s="110"/>
      <c r="N1093" s="198"/>
      <c r="O1093" s="198"/>
      <c r="P1093" s="110"/>
      <c r="Q1093" s="110"/>
      <c r="R1093" s="110"/>
      <c r="S1093" s="98"/>
      <c r="T1093" s="98"/>
      <c r="U1093" s="98"/>
      <c r="V1093" s="110"/>
      <c r="W1093" s="98"/>
      <c r="X1093" s="98"/>
      <c r="Y1093" s="98"/>
      <c r="Z1093" s="98"/>
      <c r="AA1093" s="110"/>
      <c r="AB1093" s="198"/>
      <c r="AC1093" s="110"/>
      <c r="AD1093" s="110"/>
      <c r="AE1093" s="198"/>
      <c r="AF1093" s="198"/>
      <c r="AG1093" s="148"/>
      <c r="AH1093" s="98"/>
      <c r="AI1093" s="207"/>
      <c r="AJ1093" s="207"/>
      <c r="AK1093" s="148"/>
      <c r="AL1093" s="110"/>
      <c r="AM1093" s="110"/>
      <c r="AN1093" s="110"/>
      <c r="AO1093" s="141"/>
      <c r="AP1093" s="141"/>
      <c r="AR1093" s="98"/>
      <c r="AS1093" s="98"/>
      <c r="AT1093" s="98"/>
      <c r="AU1093" s="98"/>
      <c r="AV1093" s="98"/>
      <c r="AW1093" s="98"/>
      <c r="AX1093" s="98"/>
      <c r="AY1093" s="98"/>
      <c r="AZ1093" s="98"/>
      <c r="BA1093" s="98"/>
      <c r="BB1093" s="98"/>
      <c r="BC1093" s="98"/>
      <c r="BD1093" s="98"/>
      <c r="BE1093" s="98"/>
      <c r="BF1093" s="98"/>
      <c r="BG1093" s="98"/>
      <c r="BH1093" s="98"/>
      <c r="BI1093" s="98"/>
      <c r="BJ1093" s="98"/>
      <c r="BK1093" s="98"/>
      <c r="BL1093" s="98"/>
      <c r="BM1093" s="98"/>
      <c r="BN1093" s="98"/>
      <c r="BO1093" s="98"/>
      <c r="BP1093" s="98"/>
      <c r="BQ1093" s="98"/>
      <c r="BR1093" s="98"/>
      <c r="BS1093" s="98"/>
      <c r="BT1093" s="98"/>
      <c r="BU1093" s="98"/>
      <c r="BV1093" s="98"/>
      <c r="BW1093" s="98"/>
      <c r="BX1093" s="98"/>
      <c r="BY1093" s="98"/>
    </row>
    <row r="1094" spans="1:77" s="194" customFormat="1" x14ac:dyDescent="0.3">
      <c r="A1094" s="98"/>
      <c r="B1094" s="98"/>
      <c r="C1094" s="98"/>
      <c r="D1094" s="98"/>
      <c r="E1094" s="98"/>
      <c r="F1094" s="110"/>
      <c r="G1094" s="98"/>
      <c r="H1094" s="110"/>
      <c r="I1094" s="110"/>
      <c r="J1094" s="198"/>
      <c r="K1094" s="198"/>
      <c r="L1094" s="110"/>
      <c r="M1094" s="110"/>
      <c r="N1094" s="198"/>
      <c r="O1094" s="198"/>
      <c r="P1094" s="110"/>
      <c r="Q1094" s="110"/>
      <c r="R1094" s="110"/>
      <c r="S1094" s="98"/>
      <c r="T1094" s="99"/>
      <c r="U1094" s="99"/>
      <c r="V1094" s="110"/>
      <c r="W1094" s="98"/>
      <c r="X1094" s="98"/>
      <c r="Y1094" s="98"/>
      <c r="Z1094" s="98"/>
      <c r="AA1094" s="110"/>
      <c r="AB1094" s="198"/>
      <c r="AC1094" s="110"/>
      <c r="AD1094" s="110"/>
      <c r="AE1094" s="198"/>
      <c r="AF1094" s="198"/>
      <c r="AG1094" s="148"/>
      <c r="AH1094" s="110"/>
      <c r="AI1094" s="207"/>
      <c r="AJ1094" s="207"/>
      <c r="AK1094" s="148"/>
      <c r="AL1094" s="110"/>
      <c r="AM1094" s="110"/>
      <c r="AN1094" s="110"/>
      <c r="AO1094" s="141"/>
      <c r="AP1094" s="141"/>
      <c r="AR1094" s="98"/>
      <c r="AS1094" s="98"/>
      <c r="AT1094" s="98"/>
      <c r="AU1094" s="98"/>
      <c r="AV1094" s="98"/>
      <c r="AW1094" s="98"/>
      <c r="AX1094" s="98"/>
      <c r="AY1094" s="98"/>
      <c r="AZ1094" s="98"/>
      <c r="BA1094" s="98"/>
      <c r="BB1094" s="98"/>
      <c r="BC1094" s="98"/>
      <c r="BD1094" s="98"/>
      <c r="BE1094" s="98"/>
      <c r="BF1094" s="98"/>
      <c r="BG1094" s="98"/>
      <c r="BH1094" s="98"/>
      <c r="BI1094" s="98"/>
      <c r="BJ1094" s="98"/>
      <c r="BK1094" s="98"/>
      <c r="BL1094" s="98"/>
      <c r="BM1094" s="98"/>
      <c r="BN1094" s="98"/>
      <c r="BO1094" s="98"/>
      <c r="BP1094" s="98"/>
      <c r="BQ1094" s="98"/>
      <c r="BR1094" s="98"/>
      <c r="BS1094" s="98"/>
      <c r="BT1094" s="98"/>
      <c r="BU1094" s="98"/>
      <c r="BV1094" s="98"/>
      <c r="BW1094" s="98"/>
      <c r="BX1094" s="98"/>
      <c r="BY1094" s="98"/>
    </row>
    <row r="1095" spans="1:77" s="194" customFormat="1" x14ac:dyDescent="0.3">
      <c r="A1095" s="98"/>
      <c r="B1095" s="98"/>
      <c r="C1095" s="99"/>
      <c r="D1095" s="99"/>
      <c r="E1095" s="99"/>
      <c r="F1095" s="110"/>
      <c r="G1095" s="98"/>
      <c r="H1095" s="110"/>
      <c r="I1095" s="110"/>
      <c r="J1095" s="198"/>
      <c r="K1095" s="198"/>
      <c r="L1095" s="110"/>
      <c r="M1095" s="110"/>
      <c r="N1095" s="198"/>
      <c r="O1095" s="198"/>
      <c r="P1095" s="110"/>
      <c r="Q1095" s="110"/>
      <c r="R1095" s="110"/>
      <c r="S1095" s="98"/>
      <c r="T1095" s="98"/>
      <c r="U1095" s="98"/>
      <c r="V1095" s="192"/>
      <c r="W1095" s="98"/>
      <c r="X1095" s="98"/>
      <c r="Y1095" s="98"/>
      <c r="Z1095" s="98"/>
      <c r="AA1095" s="192"/>
      <c r="AB1095" s="217"/>
      <c r="AC1095" s="192"/>
      <c r="AD1095" s="192"/>
      <c r="AE1095" s="192"/>
      <c r="AF1095" s="192"/>
      <c r="AH1095" s="192"/>
      <c r="AI1095" s="98"/>
      <c r="AJ1095" s="98"/>
      <c r="AL1095" s="192"/>
      <c r="AM1095" s="192"/>
      <c r="AN1095" s="192"/>
      <c r="AO1095" s="141"/>
      <c r="AP1095" s="141"/>
      <c r="AR1095" s="98"/>
      <c r="AS1095" s="98"/>
      <c r="AT1095" s="98"/>
      <c r="AU1095" s="98"/>
      <c r="AV1095" s="98"/>
      <c r="AW1095" s="98"/>
      <c r="AX1095" s="98"/>
      <c r="AY1095" s="98"/>
      <c r="AZ1095" s="98"/>
      <c r="BA1095" s="98"/>
      <c r="BB1095" s="98"/>
      <c r="BC1095" s="98"/>
      <c r="BD1095" s="98"/>
      <c r="BE1095" s="98"/>
      <c r="BF1095" s="98"/>
      <c r="BG1095" s="98"/>
      <c r="BH1095" s="98"/>
      <c r="BI1095" s="98"/>
      <c r="BJ1095" s="98"/>
      <c r="BK1095" s="98"/>
      <c r="BL1095" s="98"/>
      <c r="BM1095" s="98"/>
      <c r="BN1095" s="98"/>
      <c r="BO1095" s="98"/>
      <c r="BP1095" s="98"/>
      <c r="BQ1095" s="98"/>
      <c r="BR1095" s="98"/>
      <c r="BS1095" s="98"/>
      <c r="BT1095" s="98"/>
      <c r="BU1095" s="98"/>
      <c r="BV1095" s="98"/>
      <c r="BW1095" s="98"/>
      <c r="BX1095" s="98"/>
      <c r="BY1095" s="98"/>
    </row>
    <row r="1096" spans="1:77" s="194" customFormat="1" x14ac:dyDescent="0.3">
      <c r="A1096" s="98"/>
      <c r="B1096" s="98"/>
      <c r="C1096" s="99"/>
      <c r="D1096" s="99"/>
      <c r="E1096" s="99"/>
      <c r="F1096" s="110"/>
      <c r="G1096" s="98"/>
      <c r="H1096" s="110"/>
      <c r="I1096" s="110"/>
      <c r="J1096" s="198"/>
      <c r="K1096" s="198"/>
      <c r="L1096" s="110"/>
      <c r="M1096" s="110"/>
      <c r="N1096" s="198"/>
      <c r="O1096" s="198"/>
      <c r="P1096" s="110"/>
      <c r="Q1096" s="110"/>
      <c r="R1096" s="110"/>
      <c r="S1096" s="98"/>
      <c r="T1096" s="99"/>
      <c r="U1096" s="98"/>
      <c r="V1096" s="110"/>
      <c r="W1096" s="98"/>
      <c r="X1096" s="98"/>
      <c r="Y1096" s="98"/>
      <c r="Z1096" s="98"/>
      <c r="AA1096" s="110"/>
      <c r="AB1096" s="198"/>
      <c r="AC1096" s="110"/>
      <c r="AD1096" s="110"/>
      <c r="AE1096" s="198"/>
      <c r="AF1096" s="198"/>
      <c r="AG1096" s="148"/>
      <c r="AH1096" s="110"/>
      <c r="AI1096" s="207"/>
      <c r="AJ1096" s="207"/>
      <c r="AK1096" s="148"/>
      <c r="AL1096" s="110"/>
      <c r="AM1096" s="110"/>
      <c r="AN1096" s="110"/>
      <c r="AO1096" s="141"/>
      <c r="AP1096" s="141"/>
      <c r="AR1096" s="98"/>
      <c r="AS1096" s="98"/>
      <c r="AT1096" s="98"/>
      <c r="AU1096" s="98"/>
      <c r="AV1096" s="98"/>
      <c r="AW1096" s="98"/>
      <c r="AX1096" s="98"/>
      <c r="AY1096" s="98"/>
      <c r="AZ1096" s="98"/>
      <c r="BA1096" s="98"/>
      <c r="BB1096" s="98"/>
      <c r="BC1096" s="98"/>
      <c r="BD1096" s="98"/>
      <c r="BE1096" s="98"/>
      <c r="BF1096" s="98"/>
      <c r="BG1096" s="98"/>
      <c r="BH1096" s="98"/>
      <c r="BI1096" s="98"/>
      <c r="BJ1096" s="98"/>
      <c r="BK1096" s="98"/>
      <c r="BL1096" s="98"/>
      <c r="BM1096" s="98"/>
      <c r="BN1096" s="98"/>
      <c r="BO1096" s="98"/>
      <c r="BP1096" s="98"/>
      <c r="BQ1096" s="98"/>
      <c r="BR1096" s="98"/>
      <c r="BS1096" s="98"/>
      <c r="BT1096" s="98"/>
      <c r="BU1096" s="98"/>
      <c r="BV1096" s="98"/>
      <c r="BW1096" s="98"/>
      <c r="BX1096" s="98"/>
      <c r="BY1096" s="98"/>
    </row>
    <row r="1097" spans="1:77" s="194" customFormat="1" x14ac:dyDescent="0.3">
      <c r="A1097" s="98"/>
      <c r="B1097" s="98"/>
      <c r="C1097" s="99"/>
      <c r="D1097" s="99"/>
      <c r="E1097" s="99"/>
      <c r="F1097" s="110"/>
      <c r="G1097" s="98"/>
      <c r="H1097" s="110"/>
      <c r="I1097" s="110"/>
      <c r="J1097" s="198"/>
      <c r="K1097" s="198"/>
      <c r="L1097" s="110"/>
      <c r="M1097" s="110"/>
      <c r="N1097" s="198"/>
      <c r="O1097" s="198"/>
      <c r="P1097" s="110"/>
      <c r="Q1097" s="110"/>
      <c r="R1097" s="110"/>
      <c r="S1097" s="98"/>
      <c r="T1097" s="98"/>
      <c r="U1097" s="98"/>
      <c r="V1097" s="110"/>
      <c r="W1097" s="98"/>
      <c r="X1097" s="98"/>
      <c r="Y1097" s="98"/>
      <c r="Z1097" s="98"/>
      <c r="AA1097" s="110"/>
      <c r="AB1097" s="198"/>
      <c r="AC1097" s="110"/>
      <c r="AD1097" s="110"/>
      <c r="AE1097" s="198"/>
      <c r="AF1097" s="198"/>
      <c r="AG1097" s="148"/>
      <c r="AH1097" s="98"/>
      <c r="AI1097" s="207"/>
      <c r="AJ1097" s="207"/>
      <c r="AK1097" s="148"/>
      <c r="AL1097" s="110"/>
      <c r="AM1097" s="110"/>
      <c r="AN1097" s="110"/>
      <c r="AO1097" s="141"/>
      <c r="AP1097" s="141"/>
      <c r="AR1097" s="98"/>
      <c r="AS1097" s="98"/>
      <c r="AT1097" s="98"/>
      <c r="AU1097" s="98"/>
      <c r="AV1097" s="98"/>
      <c r="AW1097" s="98"/>
      <c r="AX1097" s="98"/>
      <c r="AY1097" s="98"/>
      <c r="AZ1097" s="98"/>
      <c r="BA1097" s="98"/>
      <c r="BB1097" s="98"/>
      <c r="BC1097" s="98"/>
      <c r="BD1097" s="98"/>
      <c r="BE1097" s="98"/>
      <c r="BF1097" s="98"/>
      <c r="BG1097" s="98"/>
      <c r="BH1097" s="98"/>
      <c r="BI1097" s="98"/>
      <c r="BJ1097" s="98"/>
      <c r="BK1097" s="98"/>
      <c r="BL1097" s="98"/>
      <c r="BM1097" s="98"/>
      <c r="BN1097" s="98"/>
      <c r="BO1097" s="98"/>
      <c r="BP1097" s="98"/>
      <c r="BQ1097" s="98"/>
      <c r="BR1097" s="98"/>
      <c r="BS1097" s="98"/>
      <c r="BT1097" s="98"/>
      <c r="BU1097" s="98"/>
      <c r="BV1097" s="98"/>
      <c r="BW1097" s="98"/>
      <c r="BX1097" s="98"/>
      <c r="BY1097" s="98"/>
    </row>
    <row r="1098" spans="1:77" s="194" customFormat="1" x14ac:dyDescent="0.3">
      <c r="A1098" s="98"/>
      <c r="B1098" s="98"/>
      <c r="C1098" s="99"/>
      <c r="D1098" s="99"/>
      <c r="E1098" s="99"/>
      <c r="F1098" s="110"/>
      <c r="G1098" s="98"/>
      <c r="H1098" s="110"/>
      <c r="I1098" s="110"/>
      <c r="J1098" s="198"/>
      <c r="K1098" s="198"/>
      <c r="L1098" s="110"/>
      <c r="M1098" s="110"/>
      <c r="N1098" s="198"/>
      <c r="O1098" s="198"/>
      <c r="P1098" s="110"/>
      <c r="Q1098" s="110"/>
      <c r="R1098" s="110"/>
      <c r="S1098" s="98"/>
      <c r="T1098" s="99"/>
      <c r="U1098" s="99"/>
      <c r="V1098" s="110"/>
      <c r="W1098" s="98"/>
      <c r="X1098" s="98"/>
      <c r="Y1098" s="98"/>
      <c r="Z1098" s="98"/>
      <c r="AA1098" s="110"/>
      <c r="AB1098" s="198"/>
      <c r="AC1098" s="110"/>
      <c r="AD1098" s="110"/>
      <c r="AE1098" s="198"/>
      <c r="AF1098" s="198"/>
      <c r="AG1098" s="148"/>
      <c r="AH1098" s="110"/>
      <c r="AI1098" s="207"/>
      <c r="AJ1098" s="207"/>
      <c r="AK1098" s="148"/>
      <c r="AL1098" s="110"/>
      <c r="AM1098" s="110"/>
      <c r="AN1098" s="110"/>
      <c r="AO1098" s="141"/>
      <c r="AP1098" s="141"/>
      <c r="AR1098" s="98"/>
      <c r="AS1098" s="98"/>
      <c r="AT1098" s="98"/>
      <c r="AU1098" s="98"/>
      <c r="AV1098" s="98"/>
      <c r="AW1098" s="98"/>
      <c r="AX1098" s="98"/>
      <c r="AY1098" s="98"/>
      <c r="AZ1098" s="98"/>
      <c r="BA1098" s="98"/>
      <c r="BB1098" s="98"/>
      <c r="BC1098" s="98"/>
      <c r="BD1098" s="98"/>
      <c r="BE1098" s="98"/>
      <c r="BF1098" s="98"/>
      <c r="BG1098" s="98"/>
      <c r="BH1098" s="98"/>
      <c r="BI1098" s="98"/>
      <c r="BJ1098" s="98"/>
      <c r="BK1098" s="98"/>
      <c r="BL1098" s="98"/>
      <c r="BM1098" s="98"/>
      <c r="BN1098" s="98"/>
      <c r="BO1098" s="98"/>
      <c r="BP1098" s="98"/>
      <c r="BQ1098" s="98"/>
      <c r="BR1098" s="98"/>
      <c r="BS1098" s="98"/>
      <c r="BT1098" s="98"/>
      <c r="BU1098" s="98"/>
      <c r="BV1098" s="98"/>
      <c r="BW1098" s="98"/>
      <c r="BX1098" s="98"/>
      <c r="BY1098" s="98"/>
    </row>
    <row r="1099" spans="1:77" s="194" customFormat="1" x14ac:dyDescent="0.3">
      <c r="A1099" s="98"/>
      <c r="B1099" s="98"/>
      <c r="C1099" s="99"/>
      <c r="D1099" s="99"/>
      <c r="E1099" s="99"/>
      <c r="F1099" s="110"/>
      <c r="G1099" s="98"/>
      <c r="H1099" s="110"/>
      <c r="I1099" s="110"/>
      <c r="J1099" s="198"/>
      <c r="K1099" s="198"/>
      <c r="L1099" s="110"/>
      <c r="M1099" s="110"/>
      <c r="N1099" s="198"/>
      <c r="O1099" s="198"/>
      <c r="P1099" s="110"/>
      <c r="Q1099" s="110"/>
      <c r="R1099" s="110"/>
      <c r="S1099" s="98"/>
      <c r="T1099" s="99"/>
      <c r="U1099" s="99"/>
      <c r="V1099" s="110"/>
      <c r="W1099" s="110"/>
      <c r="X1099" s="110"/>
      <c r="Y1099" s="110"/>
      <c r="Z1099" s="110"/>
      <c r="AA1099" s="110"/>
      <c r="AB1099" s="198"/>
      <c r="AC1099" s="110"/>
      <c r="AD1099" s="110"/>
      <c r="AE1099" s="198"/>
      <c r="AF1099" s="198"/>
      <c r="AG1099" s="148"/>
      <c r="AH1099" s="110"/>
      <c r="AI1099" s="207"/>
      <c r="AJ1099" s="207"/>
      <c r="AK1099" s="148"/>
      <c r="AL1099" s="110"/>
      <c r="AM1099" s="110"/>
      <c r="AN1099" s="110"/>
      <c r="AO1099" s="141"/>
      <c r="AP1099" s="141"/>
      <c r="AR1099" s="98"/>
      <c r="AS1099" s="98"/>
      <c r="AT1099" s="98"/>
      <c r="AU1099" s="98"/>
      <c r="AV1099" s="98"/>
      <c r="AW1099" s="98"/>
      <c r="AX1099" s="98"/>
      <c r="AY1099" s="98"/>
      <c r="AZ1099" s="98"/>
      <c r="BA1099" s="98"/>
      <c r="BB1099" s="98"/>
      <c r="BC1099" s="98"/>
      <c r="BD1099" s="98"/>
      <c r="BE1099" s="98"/>
      <c r="BF1099" s="98"/>
      <c r="BG1099" s="98"/>
      <c r="BH1099" s="98"/>
      <c r="BI1099" s="98"/>
      <c r="BJ1099" s="98"/>
      <c r="BK1099" s="98"/>
      <c r="BL1099" s="98"/>
      <c r="BM1099" s="98"/>
      <c r="BN1099" s="98"/>
      <c r="BO1099" s="98"/>
      <c r="BP1099" s="98"/>
      <c r="BQ1099" s="98"/>
      <c r="BR1099" s="98"/>
      <c r="BS1099" s="98"/>
      <c r="BT1099" s="98"/>
      <c r="BU1099" s="98"/>
      <c r="BV1099" s="98"/>
      <c r="BW1099" s="98"/>
      <c r="BX1099" s="98"/>
      <c r="BY1099" s="98"/>
    </row>
    <row r="1100" spans="1:77" s="194" customFormat="1" x14ac:dyDescent="0.3">
      <c r="A1100" s="98"/>
      <c r="B1100" s="98"/>
      <c r="C1100" s="99"/>
      <c r="D1100" s="99"/>
      <c r="E1100" s="99"/>
      <c r="F1100" s="110"/>
      <c r="G1100" s="98"/>
      <c r="H1100" s="110"/>
      <c r="I1100" s="110"/>
      <c r="J1100" s="198"/>
      <c r="K1100" s="198"/>
      <c r="L1100" s="110"/>
      <c r="M1100" s="110"/>
      <c r="N1100" s="198"/>
      <c r="O1100" s="198"/>
      <c r="P1100" s="110"/>
      <c r="Q1100" s="110"/>
      <c r="R1100" s="110"/>
      <c r="S1100" s="98"/>
      <c r="T1100" s="99"/>
      <c r="U1100" s="99"/>
      <c r="V1100" s="110"/>
      <c r="W1100" s="110"/>
      <c r="X1100" s="110"/>
      <c r="Y1100" s="110"/>
      <c r="Z1100" s="110"/>
      <c r="AA1100" s="110"/>
      <c r="AB1100" s="198"/>
      <c r="AC1100" s="110"/>
      <c r="AD1100" s="110"/>
      <c r="AE1100" s="198"/>
      <c r="AF1100" s="198"/>
      <c r="AG1100" s="148"/>
      <c r="AH1100" s="110"/>
      <c r="AI1100" s="207"/>
      <c r="AJ1100" s="207"/>
      <c r="AK1100" s="148"/>
      <c r="AL1100" s="110"/>
      <c r="AM1100" s="110"/>
      <c r="AN1100" s="110"/>
      <c r="AO1100" s="141"/>
      <c r="AP1100" s="141"/>
      <c r="AR1100" s="98"/>
      <c r="AS1100" s="98"/>
      <c r="AT1100" s="98"/>
      <c r="AU1100" s="98"/>
      <c r="AV1100" s="98"/>
      <c r="AW1100" s="98"/>
      <c r="AX1100" s="98"/>
      <c r="AY1100" s="98"/>
      <c r="AZ1100" s="98"/>
      <c r="BA1100" s="98"/>
      <c r="BB1100" s="98"/>
      <c r="BC1100" s="98"/>
      <c r="BD1100" s="98"/>
      <c r="BE1100" s="98"/>
      <c r="BF1100" s="98"/>
      <c r="BG1100" s="98"/>
      <c r="BH1100" s="98"/>
      <c r="BI1100" s="98"/>
      <c r="BJ1100" s="98"/>
      <c r="BK1100" s="98"/>
      <c r="BL1100" s="98"/>
      <c r="BM1100" s="98"/>
      <c r="BN1100" s="98"/>
      <c r="BO1100" s="98"/>
      <c r="BP1100" s="98"/>
      <c r="BQ1100" s="98"/>
      <c r="BR1100" s="98"/>
      <c r="BS1100" s="98"/>
      <c r="BT1100" s="98"/>
      <c r="BU1100" s="98"/>
      <c r="BV1100" s="98"/>
      <c r="BW1100" s="98"/>
      <c r="BX1100" s="98"/>
      <c r="BY1100" s="98"/>
    </row>
    <row r="1101" spans="1:77" s="194" customFormat="1" x14ac:dyDescent="0.3">
      <c r="A1101" s="98"/>
      <c r="B1101" s="98"/>
      <c r="C1101" s="98"/>
      <c r="D1101" s="98"/>
      <c r="E1101" s="98"/>
      <c r="F1101" s="110"/>
      <c r="G1101" s="98"/>
      <c r="H1101" s="192"/>
      <c r="I1101" s="192"/>
      <c r="J1101" s="217"/>
      <c r="K1101" s="217"/>
      <c r="L1101" s="192"/>
      <c r="M1101" s="192"/>
      <c r="N1101" s="192"/>
      <c r="O1101" s="192"/>
      <c r="P1101" s="192"/>
      <c r="Q1101" s="192"/>
      <c r="R1101" s="192"/>
      <c r="S1101" s="98"/>
      <c r="T1101" s="99"/>
      <c r="U1101" s="99"/>
      <c r="V1101" s="110"/>
      <c r="W1101" s="98"/>
      <c r="X1101" s="98"/>
      <c r="Y1101" s="98"/>
      <c r="Z1101" s="98"/>
      <c r="AA1101" s="110"/>
      <c r="AB1101" s="198"/>
      <c r="AC1101" s="110"/>
      <c r="AD1101" s="110"/>
      <c r="AE1101" s="198"/>
      <c r="AF1101" s="198"/>
      <c r="AG1101" s="148"/>
      <c r="AH1101" s="110"/>
      <c r="AI1101" s="207"/>
      <c r="AJ1101" s="207"/>
      <c r="AK1101" s="148"/>
      <c r="AL1101" s="110"/>
      <c r="AM1101" s="110"/>
      <c r="AN1101" s="110"/>
      <c r="AO1101" s="141"/>
      <c r="AP1101" s="141"/>
      <c r="AR1101" s="98"/>
      <c r="AS1101" s="98"/>
      <c r="AT1101" s="98"/>
      <c r="AU1101" s="98"/>
      <c r="AV1101" s="98"/>
      <c r="AW1101" s="98"/>
      <c r="AX1101" s="98"/>
      <c r="AY1101" s="98"/>
      <c r="AZ1101" s="98"/>
      <c r="BA1101" s="98"/>
      <c r="BB1101" s="98"/>
      <c r="BC1101" s="98"/>
      <c r="BD1101" s="98"/>
      <c r="BE1101" s="98"/>
      <c r="BF1101" s="98"/>
      <c r="BG1101" s="98"/>
      <c r="BH1101" s="98"/>
      <c r="BI1101" s="98"/>
      <c r="BJ1101" s="98"/>
      <c r="BK1101" s="98"/>
      <c r="BL1101" s="98"/>
      <c r="BM1101" s="98"/>
      <c r="BN1101" s="98"/>
      <c r="BO1101" s="98"/>
      <c r="BP1101" s="98"/>
      <c r="BQ1101" s="98"/>
      <c r="BR1101" s="98"/>
      <c r="BS1101" s="98"/>
      <c r="BT1101" s="98"/>
      <c r="BU1101" s="98"/>
      <c r="BV1101" s="98"/>
      <c r="BW1101" s="98"/>
      <c r="BX1101" s="98"/>
      <c r="BY1101" s="98"/>
    </row>
    <row r="1102" spans="1:77" s="194" customFormat="1" x14ac:dyDescent="0.3">
      <c r="A1102" s="98"/>
      <c r="B1102" s="98"/>
      <c r="C1102" s="99"/>
      <c r="D1102" s="98"/>
      <c r="E1102" s="98"/>
      <c r="F1102" s="192"/>
      <c r="G1102" s="98"/>
      <c r="H1102" s="110"/>
      <c r="I1102" s="110"/>
      <c r="J1102" s="198"/>
      <c r="K1102" s="198"/>
      <c r="L1102" s="110"/>
      <c r="M1102" s="110"/>
      <c r="N1102" s="198"/>
      <c r="O1102" s="198"/>
      <c r="P1102" s="110"/>
      <c r="Q1102" s="110"/>
      <c r="R1102" s="110"/>
      <c r="S1102" s="98"/>
      <c r="T1102" s="99"/>
      <c r="U1102" s="99"/>
      <c r="V1102" s="110"/>
      <c r="W1102" s="98"/>
      <c r="X1102" s="98"/>
      <c r="Y1102" s="98"/>
      <c r="Z1102" s="98"/>
      <c r="AA1102" s="110"/>
      <c r="AB1102" s="198"/>
      <c r="AC1102" s="110"/>
      <c r="AD1102" s="110"/>
      <c r="AE1102" s="198"/>
      <c r="AF1102" s="198"/>
      <c r="AG1102" s="148"/>
      <c r="AH1102" s="110"/>
      <c r="AI1102" s="207"/>
      <c r="AJ1102" s="207"/>
      <c r="AK1102" s="148"/>
      <c r="AL1102" s="110"/>
      <c r="AM1102" s="110"/>
      <c r="AN1102" s="110"/>
      <c r="AO1102" s="141"/>
      <c r="AP1102" s="141"/>
      <c r="AR1102" s="98"/>
      <c r="AS1102" s="98"/>
      <c r="AT1102" s="98"/>
      <c r="AU1102" s="98"/>
      <c r="AV1102" s="98"/>
      <c r="AW1102" s="98"/>
      <c r="AX1102" s="98"/>
      <c r="AY1102" s="98"/>
      <c r="AZ1102" s="98"/>
      <c r="BA1102" s="98"/>
      <c r="BB1102" s="98"/>
      <c r="BC1102" s="98"/>
      <c r="BD1102" s="98"/>
      <c r="BE1102" s="98"/>
      <c r="BF1102" s="98"/>
      <c r="BG1102" s="98"/>
      <c r="BH1102" s="98"/>
      <c r="BI1102" s="98"/>
      <c r="BJ1102" s="98"/>
      <c r="BK1102" s="98"/>
      <c r="BL1102" s="98"/>
      <c r="BM1102" s="98"/>
      <c r="BN1102" s="98"/>
      <c r="BO1102" s="98"/>
      <c r="BP1102" s="98"/>
      <c r="BQ1102" s="98"/>
      <c r="BR1102" s="98"/>
      <c r="BS1102" s="98"/>
      <c r="BT1102" s="98"/>
      <c r="BU1102" s="98"/>
      <c r="BV1102" s="98"/>
      <c r="BW1102" s="98"/>
      <c r="BX1102" s="98"/>
      <c r="BY1102" s="98"/>
    </row>
    <row r="1103" spans="1:77" s="194" customFormat="1" x14ac:dyDescent="0.3">
      <c r="A1103" s="98"/>
      <c r="B1103" s="98"/>
      <c r="C1103" s="98"/>
      <c r="D1103" s="98"/>
      <c r="E1103" s="98"/>
      <c r="F1103" s="110"/>
      <c r="G1103" s="98"/>
      <c r="H1103" s="110"/>
      <c r="I1103" s="110"/>
      <c r="J1103" s="198"/>
      <c r="K1103" s="198"/>
      <c r="L1103" s="110"/>
      <c r="M1103" s="110"/>
      <c r="N1103" s="198"/>
      <c r="O1103" s="198"/>
      <c r="P1103" s="110"/>
      <c r="Q1103" s="110"/>
      <c r="R1103" s="110"/>
      <c r="S1103" s="98"/>
      <c r="T1103" s="99"/>
      <c r="U1103" s="99"/>
      <c r="V1103" s="110"/>
      <c r="W1103" s="98"/>
      <c r="X1103" s="98"/>
      <c r="Y1103" s="98"/>
      <c r="Z1103" s="98"/>
      <c r="AA1103" s="110"/>
      <c r="AB1103" s="198"/>
      <c r="AC1103" s="110"/>
      <c r="AD1103" s="110"/>
      <c r="AE1103" s="198"/>
      <c r="AF1103" s="198"/>
      <c r="AG1103" s="148"/>
      <c r="AH1103" s="110"/>
      <c r="AI1103" s="207"/>
      <c r="AJ1103" s="207"/>
      <c r="AK1103" s="148"/>
      <c r="AL1103" s="110"/>
      <c r="AM1103" s="110"/>
      <c r="AN1103" s="110"/>
      <c r="AO1103" s="141"/>
      <c r="AP1103" s="141"/>
      <c r="AR1103" s="98"/>
      <c r="AS1103" s="98"/>
      <c r="AT1103" s="98"/>
      <c r="AU1103" s="98"/>
      <c r="AV1103" s="98"/>
      <c r="AW1103" s="98"/>
      <c r="AX1103" s="98"/>
      <c r="AY1103" s="98"/>
      <c r="AZ1103" s="98"/>
      <c r="BA1103" s="98"/>
      <c r="BB1103" s="98"/>
      <c r="BC1103" s="98"/>
      <c r="BD1103" s="98"/>
      <c r="BE1103" s="98"/>
      <c r="BF1103" s="98"/>
      <c r="BG1103" s="98"/>
      <c r="BH1103" s="98"/>
      <c r="BI1103" s="98"/>
      <c r="BJ1103" s="98"/>
      <c r="BK1103" s="98"/>
      <c r="BL1103" s="98"/>
      <c r="BM1103" s="98"/>
      <c r="BN1103" s="98"/>
      <c r="BO1103" s="98"/>
      <c r="BP1103" s="98"/>
      <c r="BQ1103" s="98"/>
      <c r="BR1103" s="98"/>
      <c r="BS1103" s="98"/>
      <c r="BT1103" s="98"/>
      <c r="BU1103" s="98"/>
      <c r="BV1103" s="98"/>
      <c r="BW1103" s="98"/>
      <c r="BX1103" s="98"/>
      <c r="BY1103" s="98"/>
    </row>
    <row r="1104" spans="1:77" s="194" customFormat="1" x14ac:dyDescent="0.3">
      <c r="A1104" s="98"/>
      <c r="B1104" s="98"/>
      <c r="C1104" s="99"/>
      <c r="D1104" s="99"/>
      <c r="E1104" s="99"/>
      <c r="F1104" s="110"/>
      <c r="G1104" s="98"/>
      <c r="H1104" s="110"/>
      <c r="I1104" s="110"/>
      <c r="J1104" s="198"/>
      <c r="K1104" s="198"/>
      <c r="L1104" s="110"/>
      <c r="M1104" s="110"/>
      <c r="N1104" s="198"/>
      <c r="O1104" s="198"/>
      <c r="P1104" s="110"/>
      <c r="Q1104" s="110"/>
      <c r="R1104" s="110"/>
      <c r="S1104" s="98"/>
      <c r="T1104" s="99"/>
      <c r="U1104" s="99"/>
      <c r="V1104" s="110"/>
      <c r="W1104" s="98"/>
      <c r="X1104" s="98"/>
      <c r="Y1104" s="98"/>
      <c r="Z1104" s="98"/>
      <c r="AA1104" s="110"/>
      <c r="AB1104" s="198"/>
      <c r="AC1104" s="110"/>
      <c r="AD1104" s="110"/>
      <c r="AE1104" s="198"/>
      <c r="AF1104" s="198"/>
      <c r="AG1104" s="148"/>
      <c r="AH1104" s="110"/>
      <c r="AI1104" s="207"/>
      <c r="AJ1104" s="207"/>
      <c r="AK1104" s="148"/>
      <c r="AL1104" s="110"/>
      <c r="AM1104" s="110"/>
      <c r="AN1104" s="110"/>
      <c r="AO1104" s="141"/>
      <c r="AP1104" s="141"/>
      <c r="AR1104" s="98"/>
      <c r="AS1104" s="98"/>
      <c r="AT1104" s="98"/>
      <c r="AU1104" s="98"/>
      <c r="AV1104" s="98"/>
      <c r="AW1104" s="98"/>
      <c r="AX1104" s="98"/>
      <c r="AY1104" s="98"/>
      <c r="AZ1104" s="98"/>
      <c r="BA1104" s="98"/>
      <c r="BB1104" s="98"/>
      <c r="BC1104" s="98"/>
      <c r="BD1104" s="98"/>
      <c r="BE1104" s="98"/>
      <c r="BF1104" s="98"/>
      <c r="BG1104" s="98"/>
      <c r="BH1104" s="98"/>
      <c r="BI1104" s="98"/>
      <c r="BJ1104" s="98"/>
      <c r="BK1104" s="98"/>
      <c r="BL1104" s="98"/>
      <c r="BM1104" s="98"/>
      <c r="BN1104" s="98"/>
      <c r="BO1104" s="98"/>
      <c r="BP1104" s="98"/>
      <c r="BQ1104" s="98"/>
      <c r="BR1104" s="98"/>
      <c r="BS1104" s="98"/>
      <c r="BT1104" s="98"/>
      <c r="BU1104" s="98"/>
      <c r="BV1104" s="98"/>
      <c r="BW1104" s="98"/>
      <c r="BX1104" s="98"/>
      <c r="BY1104" s="98"/>
    </row>
    <row r="1105" spans="1:77" s="194" customFormat="1" x14ac:dyDescent="0.3">
      <c r="A1105" s="98"/>
      <c r="B1105" s="98"/>
      <c r="C1105" s="98"/>
      <c r="D1105" s="98"/>
      <c r="E1105" s="98"/>
      <c r="F1105" s="110"/>
      <c r="G1105" s="98"/>
      <c r="H1105" s="192"/>
      <c r="I1105" s="192"/>
      <c r="J1105" s="217"/>
      <c r="K1105" s="217"/>
      <c r="L1105" s="192"/>
      <c r="M1105" s="192"/>
      <c r="N1105" s="192"/>
      <c r="O1105" s="192"/>
      <c r="P1105" s="192"/>
      <c r="Q1105" s="192"/>
      <c r="R1105" s="192"/>
      <c r="S1105" s="98"/>
      <c r="T1105" s="98"/>
      <c r="U1105" s="98"/>
      <c r="V1105" s="192"/>
      <c r="W1105" s="98"/>
      <c r="X1105" s="98"/>
      <c r="Y1105" s="98"/>
      <c r="Z1105" s="98"/>
      <c r="AA1105" s="192"/>
      <c r="AB1105" s="217"/>
      <c r="AC1105" s="192"/>
      <c r="AD1105" s="192"/>
      <c r="AE1105" s="192"/>
      <c r="AF1105" s="192"/>
      <c r="AH1105" s="192"/>
      <c r="AI1105" s="98"/>
      <c r="AJ1105" s="98"/>
      <c r="AL1105" s="192"/>
      <c r="AM1105" s="192"/>
      <c r="AN1105" s="192"/>
      <c r="AO1105" s="141"/>
      <c r="AP1105" s="141"/>
      <c r="AR1105" s="98"/>
      <c r="AS1105" s="98"/>
      <c r="AT1105" s="98"/>
      <c r="AU1105" s="98"/>
      <c r="AV1105" s="98"/>
      <c r="AW1105" s="98"/>
      <c r="AX1105" s="98"/>
      <c r="AY1105" s="98"/>
      <c r="AZ1105" s="98"/>
      <c r="BA1105" s="98"/>
      <c r="BB1105" s="98"/>
      <c r="BC1105" s="98"/>
      <c r="BD1105" s="98"/>
      <c r="BE1105" s="98"/>
      <c r="BF1105" s="98"/>
      <c r="BG1105" s="98"/>
      <c r="BH1105" s="98"/>
      <c r="BI1105" s="98"/>
      <c r="BJ1105" s="98"/>
      <c r="BK1105" s="98"/>
      <c r="BL1105" s="98"/>
      <c r="BM1105" s="98"/>
      <c r="BN1105" s="98"/>
      <c r="BO1105" s="98"/>
      <c r="BP1105" s="98"/>
      <c r="BQ1105" s="98"/>
      <c r="BR1105" s="98"/>
      <c r="BS1105" s="98"/>
      <c r="BT1105" s="98"/>
      <c r="BU1105" s="98"/>
      <c r="BV1105" s="98"/>
      <c r="BW1105" s="98"/>
      <c r="BX1105" s="98"/>
      <c r="BY1105" s="98"/>
    </row>
    <row r="1106" spans="1:77" s="194" customFormat="1" x14ac:dyDescent="0.3">
      <c r="A1106" s="98"/>
      <c r="B1106" s="98"/>
      <c r="C1106" s="99"/>
      <c r="D1106" s="98"/>
      <c r="E1106" s="98"/>
      <c r="F1106" s="192"/>
      <c r="G1106" s="98"/>
      <c r="H1106" s="110"/>
      <c r="I1106" s="110"/>
      <c r="J1106" s="198"/>
      <c r="K1106" s="198"/>
      <c r="L1106" s="110"/>
      <c r="M1106" s="110"/>
      <c r="N1106" s="198"/>
      <c r="O1106" s="198"/>
      <c r="P1106" s="110"/>
      <c r="Q1106" s="110"/>
      <c r="R1106" s="110"/>
      <c r="S1106" s="98"/>
      <c r="T1106" s="99"/>
      <c r="U1106" s="98"/>
      <c r="V1106" s="110"/>
      <c r="W1106" s="98"/>
      <c r="X1106" s="98"/>
      <c r="Y1106" s="98"/>
      <c r="Z1106" s="98"/>
      <c r="AA1106" s="110"/>
      <c r="AB1106" s="198"/>
      <c r="AC1106" s="110"/>
      <c r="AD1106" s="110"/>
      <c r="AE1106" s="198"/>
      <c r="AF1106" s="198"/>
      <c r="AG1106" s="148"/>
      <c r="AH1106" s="110"/>
      <c r="AI1106" s="207"/>
      <c r="AJ1106" s="207"/>
      <c r="AK1106" s="148"/>
      <c r="AL1106" s="110"/>
      <c r="AM1106" s="110"/>
      <c r="AN1106" s="110"/>
      <c r="AO1106" s="141"/>
      <c r="AP1106" s="141"/>
      <c r="AR1106" s="98"/>
      <c r="AS1106" s="98"/>
      <c r="AT1106" s="98"/>
      <c r="AU1106" s="98"/>
      <c r="AV1106" s="98"/>
      <c r="AW1106" s="98"/>
      <c r="AX1106" s="98"/>
      <c r="AY1106" s="98"/>
      <c r="AZ1106" s="98"/>
      <c r="BA1106" s="98"/>
      <c r="BB1106" s="98"/>
      <c r="BC1106" s="98"/>
      <c r="BD1106" s="98"/>
      <c r="BE1106" s="98"/>
      <c r="BF1106" s="98"/>
      <c r="BG1106" s="98"/>
      <c r="BH1106" s="98"/>
      <c r="BI1106" s="98"/>
      <c r="BJ1106" s="98"/>
      <c r="BK1106" s="98"/>
      <c r="BL1106" s="98"/>
      <c r="BM1106" s="98"/>
      <c r="BN1106" s="98"/>
      <c r="BO1106" s="98"/>
      <c r="BP1106" s="98"/>
      <c r="BQ1106" s="98"/>
      <c r="BR1106" s="98"/>
      <c r="BS1106" s="98"/>
      <c r="BT1106" s="98"/>
      <c r="BU1106" s="98"/>
      <c r="BV1106" s="98"/>
      <c r="BW1106" s="98"/>
      <c r="BX1106" s="98"/>
      <c r="BY1106" s="98"/>
    </row>
    <row r="1107" spans="1:77" s="194" customFormat="1" x14ac:dyDescent="0.3">
      <c r="A1107" s="98"/>
      <c r="B1107" s="98"/>
      <c r="C1107" s="98"/>
      <c r="D1107" s="98"/>
      <c r="E1107" s="98"/>
      <c r="F1107" s="110"/>
      <c r="G1107" s="98"/>
      <c r="H1107" s="110"/>
      <c r="I1107" s="110"/>
      <c r="J1107" s="198"/>
      <c r="K1107" s="198"/>
      <c r="L1107" s="110"/>
      <c r="M1107" s="110"/>
      <c r="N1107" s="198"/>
      <c r="O1107" s="198"/>
      <c r="P1107" s="110"/>
      <c r="Q1107" s="110"/>
      <c r="R1107" s="110"/>
      <c r="S1107" s="98"/>
      <c r="T1107" s="98"/>
      <c r="U1107" s="98"/>
      <c r="V1107" s="110"/>
      <c r="W1107" s="98"/>
      <c r="X1107" s="98"/>
      <c r="Y1107" s="98"/>
      <c r="Z1107" s="98"/>
      <c r="AA1107" s="110"/>
      <c r="AB1107" s="217"/>
      <c r="AC1107" s="110"/>
      <c r="AD1107" s="110"/>
      <c r="AE1107" s="110"/>
      <c r="AF1107" s="110"/>
      <c r="AG1107" s="148"/>
      <c r="AH1107" s="110"/>
      <c r="AI1107" s="98"/>
      <c r="AJ1107" s="98"/>
      <c r="AK1107" s="148"/>
      <c r="AL1107" s="110"/>
      <c r="AM1107" s="110"/>
      <c r="AN1107" s="110"/>
      <c r="AO1107" s="141"/>
      <c r="AP1107" s="141"/>
      <c r="AR1107" s="98"/>
      <c r="AS1107" s="98"/>
      <c r="AT1107" s="98"/>
      <c r="AU1107" s="98"/>
      <c r="AV1107" s="98"/>
      <c r="AW1107" s="98"/>
      <c r="AX1107" s="98"/>
      <c r="AY1107" s="98"/>
      <c r="AZ1107" s="98"/>
      <c r="BA1107" s="98"/>
      <c r="BB1107" s="98"/>
      <c r="BC1107" s="98"/>
      <c r="BD1107" s="98"/>
      <c r="BE1107" s="98"/>
      <c r="BF1107" s="98"/>
      <c r="BG1107" s="98"/>
      <c r="BH1107" s="98"/>
      <c r="BI1107" s="98"/>
      <c r="BJ1107" s="98"/>
      <c r="BK1107" s="98"/>
      <c r="BL1107" s="98"/>
      <c r="BM1107" s="98"/>
      <c r="BN1107" s="98"/>
      <c r="BO1107" s="98"/>
      <c r="BP1107" s="98"/>
      <c r="BQ1107" s="98"/>
      <c r="BR1107" s="98"/>
      <c r="BS1107" s="98"/>
      <c r="BT1107" s="98"/>
      <c r="BU1107" s="98"/>
      <c r="BV1107" s="98"/>
      <c r="BW1107" s="98"/>
      <c r="BX1107" s="98"/>
      <c r="BY1107" s="98"/>
    </row>
    <row r="1108" spans="1:77" s="194" customFormat="1" x14ac:dyDescent="0.3">
      <c r="A1108" s="98"/>
      <c r="B1108" s="98"/>
      <c r="C1108" s="99"/>
      <c r="D1108" s="99"/>
      <c r="E1108" s="99"/>
      <c r="F1108" s="110"/>
      <c r="G1108" s="98"/>
      <c r="H1108" s="110"/>
      <c r="I1108" s="110"/>
      <c r="J1108" s="198"/>
      <c r="K1108" s="198"/>
      <c r="L1108" s="110"/>
      <c r="M1108" s="110"/>
      <c r="N1108" s="198"/>
      <c r="O1108" s="198"/>
      <c r="P1108" s="110"/>
      <c r="Q1108" s="110"/>
      <c r="R1108" s="110"/>
      <c r="S1108" s="98"/>
      <c r="T1108" s="99"/>
      <c r="U1108" s="99"/>
      <c r="V1108" s="98"/>
      <c r="W1108" s="98"/>
      <c r="X1108" s="98"/>
      <c r="Y1108" s="98"/>
      <c r="Z1108" s="98"/>
      <c r="AA1108" s="98"/>
      <c r="AB1108" s="98"/>
      <c r="AC1108" s="110"/>
      <c r="AD1108" s="110"/>
      <c r="AE1108" s="198"/>
      <c r="AF1108" s="198"/>
      <c r="AG1108" s="148"/>
      <c r="AH1108" s="110"/>
      <c r="AI1108" s="207"/>
      <c r="AJ1108" s="207"/>
      <c r="AK1108" s="148"/>
      <c r="AL1108" s="98"/>
      <c r="AM1108" s="110"/>
      <c r="AN1108" s="110"/>
      <c r="AO1108" s="141"/>
      <c r="AP1108" s="141"/>
      <c r="AR1108" s="98"/>
      <c r="AS1108" s="98"/>
      <c r="AT1108" s="98"/>
      <c r="AU1108" s="98"/>
      <c r="AV1108" s="98"/>
      <c r="AW1108" s="98"/>
      <c r="AX1108" s="98"/>
      <c r="AY1108" s="98"/>
      <c r="AZ1108" s="98"/>
      <c r="BA1108" s="98"/>
      <c r="BB1108" s="98"/>
      <c r="BC1108" s="98"/>
      <c r="BD1108" s="98"/>
      <c r="BE1108" s="98"/>
      <c r="BF1108" s="98"/>
      <c r="BG1108" s="98"/>
      <c r="BH1108" s="98"/>
      <c r="BI1108" s="98"/>
      <c r="BJ1108" s="98"/>
      <c r="BK1108" s="98"/>
      <c r="BL1108" s="98"/>
      <c r="BM1108" s="98"/>
      <c r="BN1108" s="98"/>
      <c r="BO1108" s="98"/>
      <c r="BP1108" s="98"/>
      <c r="BQ1108" s="98"/>
      <c r="BR1108" s="98"/>
      <c r="BS1108" s="98"/>
      <c r="BT1108" s="98"/>
      <c r="BU1108" s="98"/>
      <c r="BV1108" s="98"/>
      <c r="BW1108" s="98"/>
      <c r="BX1108" s="98"/>
      <c r="BY1108" s="98"/>
    </row>
    <row r="1109" spans="1:77" s="194" customFormat="1" x14ac:dyDescent="0.3">
      <c r="A1109" s="98"/>
      <c r="B1109" s="98"/>
      <c r="C1109" s="99"/>
      <c r="D1109" s="99"/>
      <c r="E1109" s="99"/>
      <c r="F1109" s="110"/>
      <c r="G1109" s="110"/>
      <c r="H1109" s="110"/>
      <c r="I1109" s="110"/>
      <c r="J1109" s="198"/>
      <c r="K1109" s="198"/>
      <c r="L1109" s="110"/>
      <c r="M1109" s="110"/>
      <c r="N1109" s="198"/>
      <c r="O1109" s="198"/>
      <c r="P1109" s="110"/>
      <c r="Q1109" s="110"/>
      <c r="R1109" s="110"/>
      <c r="S1109" s="98"/>
      <c r="T1109" s="98"/>
      <c r="U1109" s="99"/>
      <c r="V1109" s="110"/>
      <c r="W1109" s="98"/>
      <c r="X1109" s="98"/>
      <c r="Y1109" s="98"/>
      <c r="Z1109" s="98"/>
      <c r="AA1109" s="110"/>
      <c r="AB1109" s="198"/>
      <c r="AC1109" s="110"/>
      <c r="AD1109" s="110"/>
      <c r="AE1109" s="198"/>
      <c r="AF1109" s="198"/>
      <c r="AG1109" s="148"/>
      <c r="AH1109" s="110"/>
      <c r="AI1109" s="207"/>
      <c r="AJ1109" s="207"/>
      <c r="AK1109" s="148"/>
      <c r="AL1109" s="110"/>
      <c r="AM1109" s="110"/>
      <c r="AN1109" s="110"/>
      <c r="AO1109" s="141"/>
      <c r="AP1109" s="141"/>
      <c r="AR1109" s="98"/>
      <c r="AS1109" s="98"/>
      <c r="AT1109" s="98"/>
      <c r="AU1109" s="98"/>
      <c r="AV1109" s="98"/>
      <c r="AW1109" s="98"/>
      <c r="AX1109" s="98"/>
      <c r="AY1109" s="98"/>
      <c r="AZ1109" s="98"/>
      <c r="BA1109" s="98"/>
      <c r="BB1109" s="98"/>
      <c r="BC1109" s="98"/>
      <c r="BD1109" s="98"/>
      <c r="BE1109" s="98"/>
      <c r="BF1109" s="98"/>
      <c r="BG1109" s="98"/>
      <c r="BH1109" s="98"/>
      <c r="BI1109" s="98"/>
      <c r="BJ1109" s="98"/>
      <c r="BK1109" s="98"/>
      <c r="BL1109" s="98"/>
      <c r="BM1109" s="98"/>
      <c r="BN1109" s="98"/>
      <c r="BO1109" s="98"/>
      <c r="BP1109" s="98"/>
      <c r="BQ1109" s="98"/>
      <c r="BR1109" s="98"/>
      <c r="BS1109" s="98"/>
      <c r="BT1109" s="98"/>
      <c r="BU1109" s="98"/>
      <c r="BV1109" s="98"/>
      <c r="BW1109" s="98"/>
      <c r="BX1109" s="98"/>
      <c r="BY1109" s="98"/>
    </row>
    <row r="1110" spans="1:77" s="194" customFormat="1" x14ac:dyDescent="0.3">
      <c r="A1110" s="98"/>
      <c r="B1110" s="98"/>
      <c r="C1110" s="99"/>
      <c r="D1110" s="99"/>
      <c r="E1110" s="99"/>
      <c r="F1110" s="110"/>
      <c r="G1110" s="110"/>
      <c r="H1110" s="110"/>
      <c r="I1110" s="110"/>
      <c r="J1110" s="198"/>
      <c r="K1110" s="198"/>
      <c r="L1110" s="110"/>
      <c r="M1110" s="110"/>
      <c r="N1110" s="198"/>
      <c r="O1110" s="198"/>
      <c r="P1110" s="110"/>
      <c r="Q1110" s="110"/>
      <c r="R1110" s="110"/>
      <c r="S1110" s="98"/>
      <c r="T1110" s="98"/>
      <c r="U1110" s="98"/>
      <c r="V1110" s="192"/>
      <c r="W1110" s="98"/>
      <c r="X1110" s="98"/>
      <c r="Y1110" s="98"/>
      <c r="Z1110" s="98"/>
      <c r="AA1110" s="192"/>
      <c r="AB1110" s="217"/>
      <c r="AC1110" s="192"/>
      <c r="AD1110" s="192"/>
      <c r="AE1110" s="192"/>
      <c r="AF1110" s="192"/>
      <c r="AH1110" s="192"/>
      <c r="AI1110" s="98"/>
      <c r="AJ1110" s="98"/>
      <c r="AL1110" s="192"/>
      <c r="AM1110" s="192"/>
      <c r="AN1110" s="192"/>
      <c r="AO1110" s="141"/>
      <c r="AP1110" s="141"/>
      <c r="AR1110" s="98"/>
      <c r="AS1110" s="98"/>
      <c r="AT1110" s="98"/>
      <c r="AU1110" s="98"/>
      <c r="AV1110" s="98"/>
      <c r="AW1110" s="98"/>
      <c r="AX1110" s="98"/>
      <c r="AY1110" s="98"/>
      <c r="AZ1110" s="98"/>
      <c r="BA1110" s="98"/>
      <c r="BB1110" s="98"/>
      <c r="BC1110" s="98"/>
      <c r="BD1110" s="98"/>
      <c r="BE1110" s="98"/>
      <c r="BF1110" s="98"/>
      <c r="BG1110" s="98"/>
      <c r="BH1110" s="98"/>
      <c r="BI1110" s="98"/>
      <c r="BJ1110" s="98"/>
      <c r="BK1110" s="98"/>
      <c r="BL1110" s="98"/>
      <c r="BM1110" s="98"/>
      <c r="BN1110" s="98"/>
      <c r="BO1110" s="98"/>
      <c r="BP1110" s="98"/>
      <c r="BQ1110" s="98"/>
      <c r="BR1110" s="98"/>
      <c r="BS1110" s="98"/>
      <c r="BT1110" s="98"/>
      <c r="BU1110" s="98"/>
      <c r="BV1110" s="98"/>
      <c r="BW1110" s="98"/>
      <c r="BX1110" s="98"/>
      <c r="BY1110" s="98"/>
    </row>
    <row r="1111" spans="1:77" s="194" customFormat="1" x14ac:dyDescent="0.3">
      <c r="A1111" s="98"/>
      <c r="B1111" s="98"/>
      <c r="C1111" s="99"/>
      <c r="D1111" s="99"/>
      <c r="E1111" s="99"/>
      <c r="F1111" s="110"/>
      <c r="G1111" s="98"/>
      <c r="H1111" s="110"/>
      <c r="I1111" s="110"/>
      <c r="J1111" s="198"/>
      <c r="K1111" s="198"/>
      <c r="L1111" s="110"/>
      <c r="M1111" s="110"/>
      <c r="N1111" s="198"/>
      <c r="O1111" s="198"/>
      <c r="P1111" s="110"/>
      <c r="Q1111" s="110"/>
      <c r="R1111" s="110"/>
      <c r="S1111" s="98"/>
      <c r="T1111" s="99"/>
      <c r="U1111" s="98"/>
      <c r="V1111" s="110"/>
      <c r="W1111" s="98"/>
      <c r="X1111" s="98"/>
      <c r="Y1111" s="98"/>
      <c r="Z1111" s="98"/>
      <c r="AA1111" s="110"/>
      <c r="AB1111" s="198"/>
      <c r="AC1111" s="110"/>
      <c r="AD1111" s="110"/>
      <c r="AE1111" s="198"/>
      <c r="AF1111" s="198"/>
      <c r="AG1111" s="148"/>
      <c r="AH1111" s="110"/>
      <c r="AI1111" s="207"/>
      <c r="AJ1111" s="207"/>
      <c r="AK1111" s="148"/>
      <c r="AL1111" s="110"/>
      <c r="AM1111" s="110"/>
      <c r="AN1111" s="110"/>
      <c r="AO1111" s="141"/>
      <c r="AP1111" s="141"/>
      <c r="AR1111" s="98"/>
      <c r="AS1111" s="98"/>
      <c r="AT1111" s="98"/>
      <c r="AU1111" s="98"/>
      <c r="AV1111" s="98"/>
      <c r="AW1111" s="98"/>
      <c r="AX1111" s="98"/>
      <c r="AY1111" s="98"/>
      <c r="AZ1111" s="98"/>
      <c r="BA1111" s="98"/>
      <c r="BB1111" s="98"/>
      <c r="BC1111" s="98"/>
      <c r="BD1111" s="98"/>
      <c r="BE1111" s="98"/>
      <c r="BF1111" s="98"/>
      <c r="BG1111" s="98"/>
      <c r="BH1111" s="98"/>
      <c r="BI1111" s="98"/>
      <c r="BJ1111" s="98"/>
      <c r="BK1111" s="98"/>
      <c r="BL1111" s="98"/>
      <c r="BM1111" s="98"/>
      <c r="BN1111" s="98"/>
      <c r="BO1111" s="98"/>
      <c r="BP1111" s="98"/>
      <c r="BQ1111" s="98"/>
      <c r="BR1111" s="98"/>
      <c r="BS1111" s="98"/>
      <c r="BT1111" s="98"/>
      <c r="BU1111" s="98"/>
      <c r="BV1111" s="98"/>
      <c r="BW1111" s="98"/>
      <c r="BX1111" s="98"/>
      <c r="BY1111" s="98"/>
    </row>
    <row r="1112" spans="1:77" s="194" customFormat="1" x14ac:dyDescent="0.3">
      <c r="A1112" s="98"/>
      <c r="B1112" s="98"/>
      <c r="C1112" s="99"/>
      <c r="D1112" s="99"/>
      <c r="E1112" s="99"/>
      <c r="F1112" s="110"/>
      <c r="G1112" s="98"/>
      <c r="H1112" s="110"/>
      <c r="I1112" s="110"/>
      <c r="J1112" s="198"/>
      <c r="K1112" s="198"/>
      <c r="L1112" s="110"/>
      <c r="M1112" s="110"/>
      <c r="N1112" s="198"/>
      <c r="O1112" s="198"/>
      <c r="P1112" s="110"/>
      <c r="Q1112" s="110"/>
      <c r="R1112" s="110"/>
      <c r="S1112" s="98"/>
      <c r="T1112" s="98"/>
      <c r="U1112" s="98"/>
      <c r="V1112" s="110"/>
      <c r="W1112" s="98"/>
      <c r="X1112" s="98"/>
      <c r="Y1112" s="98"/>
      <c r="Z1112" s="98"/>
      <c r="AA1112" s="110"/>
      <c r="AB1112" s="198"/>
      <c r="AC1112" s="110"/>
      <c r="AD1112" s="110"/>
      <c r="AE1112" s="198"/>
      <c r="AF1112" s="198"/>
      <c r="AG1112" s="148"/>
      <c r="AH1112" s="98"/>
      <c r="AI1112" s="207"/>
      <c r="AJ1112" s="207"/>
      <c r="AK1112" s="148"/>
      <c r="AL1112" s="110"/>
      <c r="AM1112" s="110"/>
      <c r="AN1112" s="110"/>
      <c r="AO1112" s="141"/>
      <c r="AP1112" s="141"/>
      <c r="AR1112" s="98"/>
      <c r="AS1112" s="98"/>
      <c r="AT1112" s="98"/>
      <c r="AU1112" s="98"/>
      <c r="AV1112" s="98"/>
      <c r="AW1112" s="98"/>
      <c r="AX1112" s="98"/>
      <c r="AY1112" s="98"/>
      <c r="AZ1112" s="98"/>
      <c r="BA1112" s="98"/>
      <c r="BB1112" s="98"/>
      <c r="BC1112" s="98"/>
      <c r="BD1112" s="98"/>
      <c r="BE1112" s="98"/>
      <c r="BF1112" s="98"/>
      <c r="BG1112" s="98"/>
      <c r="BH1112" s="98"/>
      <c r="BI1112" s="98"/>
      <c r="BJ1112" s="98"/>
      <c r="BK1112" s="98"/>
      <c r="BL1112" s="98"/>
      <c r="BM1112" s="98"/>
      <c r="BN1112" s="98"/>
      <c r="BO1112" s="98"/>
      <c r="BP1112" s="98"/>
      <c r="BQ1112" s="98"/>
      <c r="BR1112" s="98"/>
      <c r="BS1112" s="98"/>
      <c r="BT1112" s="98"/>
      <c r="BU1112" s="98"/>
      <c r="BV1112" s="98"/>
      <c r="BW1112" s="98"/>
      <c r="BX1112" s="98"/>
      <c r="BY1112" s="98"/>
    </row>
    <row r="1113" spans="1:77" s="194" customFormat="1" x14ac:dyDescent="0.3">
      <c r="A1113" s="98"/>
      <c r="B1113" s="98"/>
      <c r="C1113" s="99"/>
      <c r="D1113" s="99"/>
      <c r="E1113" s="99"/>
      <c r="F1113" s="110"/>
      <c r="G1113" s="98"/>
      <c r="H1113" s="110"/>
      <c r="I1113" s="110"/>
      <c r="J1113" s="198"/>
      <c r="K1113" s="198"/>
      <c r="L1113" s="110"/>
      <c r="M1113" s="110"/>
      <c r="N1113" s="198"/>
      <c r="O1113" s="198"/>
      <c r="P1113" s="110"/>
      <c r="Q1113" s="110"/>
      <c r="R1113" s="110"/>
      <c r="S1113" s="98"/>
      <c r="T1113" s="98"/>
      <c r="U1113" s="99"/>
      <c r="V1113" s="110"/>
      <c r="W1113" s="98"/>
      <c r="X1113" s="98"/>
      <c r="Y1113" s="98"/>
      <c r="Z1113" s="98"/>
      <c r="AA1113" s="110"/>
      <c r="AB1113" s="198"/>
      <c r="AC1113" s="172"/>
      <c r="AD1113" s="172"/>
      <c r="AE1113" s="198"/>
      <c r="AF1113" s="198"/>
      <c r="AG1113" s="148"/>
      <c r="AH1113" s="110"/>
      <c r="AI1113" s="207"/>
      <c r="AJ1113" s="207"/>
      <c r="AK1113" s="148"/>
      <c r="AL1113" s="110"/>
      <c r="AM1113" s="110"/>
      <c r="AN1113" s="110"/>
      <c r="AO1113" s="141"/>
      <c r="AP1113" s="141"/>
      <c r="AR1113" s="98"/>
      <c r="AS1113" s="98"/>
      <c r="AT1113" s="98"/>
      <c r="AU1113" s="98"/>
      <c r="AV1113" s="98"/>
      <c r="AW1113" s="98"/>
      <c r="AX1113" s="98"/>
      <c r="AY1113" s="98"/>
      <c r="AZ1113" s="98"/>
      <c r="BA1113" s="98"/>
      <c r="BB1113" s="98"/>
      <c r="BC1113" s="98"/>
      <c r="BD1113" s="98"/>
      <c r="BE1113" s="98"/>
      <c r="BF1113" s="98"/>
      <c r="BG1113" s="98"/>
      <c r="BH1113" s="98"/>
      <c r="BI1113" s="98"/>
      <c r="BJ1113" s="98"/>
      <c r="BK1113" s="98"/>
      <c r="BL1113" s="98"/>
      <c r="BM1113" s="98"/>
      <c r="BN1113" s="98"/>
      <c r="BO1113" s="98"/>
      <c r="BP1113" s="98"/>
      <c r="BQ1113" s="98"/>
      <c r="BR1113" s="98"/>
      <c r="BS1113" s="98"/>
      <c r="BT1113" s="98"/>
      <c r="BU1113" s="98"/>
      <c r="BV1113" s="98"/>
      <c r="BW1113" s="98"/>
      <c r="BX1113" s="98"/>
      <c r="BY1113" s="98"/>
    </row>
    <row r="1114" spans="1:77" s="194" customFormat="1" x14ac:dyDescent="0.3">
      <c r="A1114" s="98"/>
      <c r="B1114" s="98"/>
      <c r="C1114" s="99"/>
      <c r="D1114" s="99"/>
      <c r="E1114" s="99"/>
      <c r="F1114" s="110"/>
      <c r="G1114" s="98"/>
      <c r="H1114" s="110"/>
      <c r="I1114" s="110"/>
      <c r="J1114" s="198"/>
      <c r="K1114" s="198"/>
      <c r="L1114" s="110"/>
      <c r="M1114" s="110"/>
      <c r="N1114" s="198"/>
      <c r="O1114" s="198"/>
      <c r="P1114" s="110"/>
      <c r="Q1114" s="110"/>
      <c r="R1114" s="110"/>
      <c r="S1114" s="98"/>
      <c r="T1114" s="98"/>
      <c r="U1114" s="99"/>
      <c r="V1114" s="110"/>
      <c r="W1114" s="98"/>
      <c r="X1114" s="98"/>
      <c r="Y1114" s="98"/>
      <c r="Z1114" s="98"/>
      <c r="AA1114" s="110"/>
      <c r="AB1114" s="198"/>
      <c r="AC1114" s="172"/>
      <c r="AD1114" s="172"/>
      <c r="AE1114" s="198"/>
      <c r="AF1114" s="198"/>
      <c r="AG1114" s="148"/>
      <c r="AH1114" s="110"/>
      <c r="AI1114" s="207"/>
      <c r="AJ1114" s="207"/>
      <c r="AK1114" s="148"/>
      <c r="AL1114" s="110"/>
      <c r="AM1114" s="110"/>
      <c r="AN1114" s="110"/>
      <c r="AO1114" s="141"/>
      <c r="AP1114" s="141"/>
      <c r="AR1114" s="98"/>
      <c r="AS1114" s="98"/>
      <c r="AT1114" s="98"/>
      <c r="AU1114" s="98"/>
      <c r="AV1114" s="98"/>
      <c r="AW1114" s="98"/>
      <c r="AX1114" s="98"/>
      <c r="AY1114" s="98"/>
      <c r="AZ1114" s="98"/>
      <c r="BA1114" s="98"/>
      <c r="BB1114" s="98"/>
      <c r="BC1114" s="98"/>
      <c r="BD1114" s="98"/>
      <c r="BE1114" s="98"/>
      <c r="BF1114" s="98"/>
      <c r="BG1114" s="98"/>
      <c r="BH1114" s="98"/>
      <c r="BI1114" s="98"/>
      <c r="BJ1114" s="98"/>
      <c r="BK1114" s="98"/>
      <c r="BL1114" s="98"/>
      <c r="BM1114" s="98"/>
      <c r="BN1114" s="98"/>
      <c r="BO1114" s="98"/>
      <c r="BP1114" s="98"/>
      <c r="BQ1114" s="98"/>
      <c r="BR1114" s="98"/>
      <c r="BS1114" s="98"/>
      <c r="BT1114" s="98"/>
      <c r="BU1114" s="98"/>
      <c r="BV1114" s="98"/>
      <c r="BW1114" s="98"/>
      <c r="BX1114" s="98"/>
      <c r="BY1114" s="98"/>
    </row>
    <row r="1115" spans="1:77" s="194" customFormat="1" x14ac:dyDescent="0.3">
      <c r="A1115" s="98"/>
      <c r="B1115" s="98"/>
      <c r="C1115" s="98"/>
      <c r="D1115" s="98"/>
      <c r="E1115" s="98"/>
      <c r="F1115" s="110"/>
      <c r="G1115" s="98"/>
      <c r="H1115" s="192"/>
      <c r="I1115" s="192"/>
      <c r="J1115" s="217"/>
      <c r="K1115" s="217"/>
      <c r="L1115" s="192"/>
      <c r="M1115" s="192"/>
      <c r="N1115" s="192"/>
      <c r="O1115" s="192"/>
      <c r="P1115" s="192"/>
      <c r="Q1115" s="192"/>
      <c r="R1115" s="192"/>
      <c r="S1115" s="98"/>
      <c r="T1115" s="98"/>
      <c r="U1115" s="99"/>
      <c r="V1115" s="110"/>
      <c r="W1115" s="98"/>
      <c r="X1115" s="98"/>
      <c r="Y1115" s="98"/>
      <c r="Z1115" s="98"/>
      <c r="AA1115" s="110"/>
      <c r="AB1115" s="198"/>
      <c r="AC1115" s="172"/>
      <c r="AD1115" s="172"/>
      <c r="AE1115" s="198"/>
      <c r="AF1115" s="198"/>
      <c r="AG1115" s="148"/>
      <c r="AH1115" s="110"/>
      <c r="AI1115" s="207"/>
      <c r="AJ1115" s="207"/>
      <c r="AK1115" s="148"/>
      <c r="AL1115" s="110"/>
      <c r="AM1115" s="110"/>
      <c r="AN1115" s="110"/>
      <c r="AO1115" s="141"/>
      <c r="AP1115" s="141"/>
      <c r="AR1115" s="98"/>
      <c r="AS1115" s="98"/>
      <c r="AT1115" s="98"/>
      <c r="AU1115" s="98"/>
      <c r="AV1115" s="98"/>
      <c r="AW1115" s="98"/>
      <c r="AX1115" s="98"/>
      <c r="AY1115" s="98"/>
      <c r="AZ1115" s="98"/>
      <c r="BA1115" s="98"/>
      <c r="BB1115" s="98"/>
      <c r="BC1115" s="98"/>
      <c r="BD1115" s="98"/>
      <c r="BE1115" s="98"/>
      <c r="BF1115" s="98"/>
      <c r="BG1115" s="98"/>
      <c r="BH1115" s="98"/>
      <c r="BI1115" s="98"/>
      <c r="BJ1115" s="98"/>
      <c r="BK1115" s="98"/>
      <c r="BL1115" s="98"/>
      <c r="BM1115" s="98"/>
      <c r="BN1115" s="98"/>
      <c r="BO1115" s="98"/>
      <c r="BP1115" s="98"/>
      <c r="BQ1115" s="98"/>
      <c r="BR1115" s="98"/>
      <c r="BS1115" s="98"/>
      <c r="BT1115" s="98"/>
      <c r="BU1115" s="98"/>
      <c r="BV1115" s="98"/>
      <c r="BW1115" s="98"/>
      <c r="BX1115" s="98"/>
      <c r="BY1115" s="98"/>
    </row>
    <row r="1116" spans="1:77" s="194" customFormat="1" x14ac:dyDescent="0.3">
      <c r="A1116" s="98"/>
      <c r="B1116" s="98"/>
      <c r="C1116" s="99"/>
      <c r="D1116" s="98"/>
      <c r="E1116" s="98"/>
      <c r="F1116" s="192"/>
      <c r="G1116" s="98"/>
      <c r="H1116" s="110"/>
      <c r="I1116" s="110"/>
      <c r="J1116" s="198"/>
      <c r="K1116" s="198"/>
      <c r="L1116" s="110"/>
      <c r="M1116" s="110"/>
      <c r="N1116" s="198"/>
      <c r="O1116" s="198"/>
      <c r="P1116" s="110"/>
      <c r="Q1116" s="110"/>
      <c r="R1116" s="110"/>
      <c r="S1116" s="98"/>
      <c r="T1116" s="98"/>
      <c r="U1116" s="98"/>
      <c r="V1116" s="192"/>
      <c r="W1116" s="98"/>
      <c r="X1116" s="98"/>
      <c r="Y1116" s="98"/>
      <c r="Z1116" s="98"/>
      <c r="AA1116" s="192"/>
      <c r="AB1116" s="217"/>
      <c r="AC1116" s="192"/>
      <c r="AD1116" s="192"/>
      <c r="AE1116" s="192"/>
      <c r="AF1116" s="192"/>
      <c r="AH1116" s="192"/>
      <c r="AI1116" s="98"/>
      <c r="AJ1116" s="98"/>
      <c r="AL1116" s="192"/>
      <c r="AM1116" s="192"/>
      <c r="AN1116" s="192"/>
      <c r="AO1116" s="141"/>
      <c r="AP1116" s="141"/>
      <c r="AR1116" s="98"/>
      <c r="AS1116" s="98"/>
      <c r="AT1116" s="98"/>
      <c r="AU1116" s="98"/>
      <c r="AV1116" s="98"/>
      <c r="AW1116" s="98"/>
      <c r="AX1116" s="98"/>
      <c r="AY1116" s="98"/>
      <c r="AZ1116" s="98"/>
      <c r="BA1116" s="98"/>
      <c r="BB1116" s="98"/>
      <c r="BC1116" s="98"/>
      <c r="BD1116" s="98"/>
      <c r="BE1116" s="98"/>
      <c r="BF1116" s="98"/>
      <c r="BG1116" s="98"/>
      <c r="BH1116" s="98"/>
      <c r="BI1116" s="98"/>
      <c r="BJ1116" s="98"/>
      <c r="BK1116" s="98"/>
      <c r="BL1116" s="98"/>
      <c r="BM1116" s="98"/>
      <c r="BN1116" s="98"/>
      <c r="BO1116" s="98"/>
      <c r="BP1116" s="98"/>
      <c r="BQ1116" s="98"/>
      <c r="BR1116" s="98"/>
      <c r="BS1116" s="98"/>
      <c r="BT1116" s="98"/>
      <c r="BU1116" s="98"/>
      <c r="BV1116" s="98"/>
      <c r="BW1116" s="98"/>
      <c r="BX1116" s="98"/>
      <c r="BY1116" s="98"/>
    </row>
    <row r="1117" spans="1:77" s="194" customFormat="1" x14ac:dyDescent="0.3">
      <c r="A1117" s="98"/>
      <c r="B1117" s="98"/>
      <c r="C1117" s="98"/>
      <c r="D1117" s="98"/>
      <c r="E1117" s="98"/>
      <c r="F1117" s="110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9"/>
      <c r="U1117" s="98"/>
      <c r="V1117" s="110"/>
      <c r="W1117" s="98"/>
      <c r="X1117" s="98"/>
      <c r="Y1117" s="98"/>
      <c r="Z1117" s="98"/>
      <c r="AA1117" s="110"/>
      <c r="AB1117" s="198"/>
      <c r="AC1117" s="110"/>
      <c r="AD1117" s="110"/>
      <c r="AE1117" s="198"/>
      <c r="AF1117" s="198"/>
      <c r="AG1117" s="148"/>
      <c r="AH1117" s="110"/>
      <c r="AI1117" s="207"/>
      <c r="AJ1117" s="207"/>
      <c r="AK1117" s="148"/>
      <c r="AL1117" s="110"/>
      <c r="AM1117" s="110"/>
      <c r="AN1117" s="110"/>
      <c r="AO1117" s="141"/>
      <c r="AP1117" s="141"/>
      <c r="AR1117" s="98"/>
      <c r="AS1117" s="98"/>
      <c r="AT1117" s="98"/>
      <c r="AU1117" s="98"/>
      <c r="AV1117" s="98"/>
      <c r="AW1117" s="98"/>
      <c r="AX1117" s="98"/>
      <c r="AY1117" s="98"/>
      <c r="AZ1117" s="98"/>
      <c r="BA1117" s="98"/>
      <c r="BB1117" s="98"/>
      <c r="BC1117" s="98"/>
      <c r="BD1117" s="98"/>
      <c r="BE1117" s="98"/>
      <c r="BF1117" s="98"/>
      <c r="BG1117" s="98"/>
      <c r="BH1117" s="98"/>
      <c r="BI1117" s="98"/>
      <c r="BJ1117" s="98"/>
      <c r="BK1117" s="98"/>
      <c r="BL1117" s="98"/>
      <c r="BM1117" s="98"/>
      <c r="BN1117" s="98"/>
      <c r="BO1117" s="98"/>
      <c r="BP1117" s="98"/>
      <c r="BQ1117" s="98"/>
      <c r="BR1117" s="98"/>
      <c r="BS1117" s="98"/>
      <c r="BT1117" s="98"/>
      <c r="BU1117" s="98"/>
      <c r="BV1117" s="98"/>
      <c r="BW1117" s="98"/>
      <c r="BX1117" s="98"/>
      <c r="BY1117" s="98"/>
    </row>
    <row r="1118" spans="1:77" s="194" customFormat="1" x14ac:dyDescent="0.3">
      <c r="A1118" s="98"/>
      <c r="B1118" s="98"/>
      <c r="C1118" s="99"/>
      <c r="D1118" s="99"/>
      <c r="E1118" s="99"/>
      <c r="F1118" s="98"/>
      <c r="G1118" s="98"/>
      <c r="H1118" s="98"/>
      <c r="I1118" s="98"/>
      <c r="J1118" s="98"/>
      <c r="K1118" s="98"/>
      <c r="L1118" s="110"/>
      <c r="M1118" s="110"/>
      <c r="N1118" s="198"/>
      <c r="O1118" s="198"/>
      <c r="P1118" s="98"/>
      <c r="Q1118" s="98"/>
      <c r="R1118" s="110"/>
      <c r="S1118" s="98"/>
      <c r="T1118" s="98"/>
      <c r="U1118" s="98"/>
      <c r="V1118" s="110"/>
      <c r="W1118" s="98"/>
      <c r="X1118" s="98"/>
      <c r="Y1118" s="98"/>
      <c r="Z1118" s="98"/>
      <c r="AA1118" s="110"/>
      <c r="AB1118" s="198"/>
      <c r="AC1118" s="110"/>
      <c r="AD1118" s="110"/>
      <c r="AE1118" s="198"/>
      <c r="AF1118" s="198"/>
      <c r="AG1118" s="148"/>
      <c r="AH1118" s="98"/>
      <c r="AI1118" s="207"/>
      <c r="AJ1118" s="207"/>
      <c r="AK1118" s="148"/>
      <c r="AL1118" s="110"/>
      <c r="AM1118" s="110"/>
      <c r="AN1118" s="110"/>
      <c r="AO1118" s="141"/>
      <c r="AP1118" s="141"/>
      <c r="AR1118" s="98"/>
      <c r="AS1118" s="98"/>
      <c r="AT1118" s="98"/>
      <c r="AU1118" s="98"/>
      <c r="AV1118" s="98"/>
      <c r="AW1118" s="98"/>
      <c r="AX1118" s="98"/>
      <c r="AY1118" s="98"/>
      <c r="AZ1118" s="98"/>
      <c r="BA1118" s="98"/>
      <c r="BB1118" s="98"/>
      <c r="BC1118" s="98"/>
      <c r="BD1118" s="98"/>
      <c r="BE1118" s="98"/>
      <c r="BF1118" s="98"/>
      <c r="BG1118" s="98"/>
      <c r="BH1118" s="98"/>
      <c r="BI1118" s="98"/>
      <c r="BJ1118" s="98"/>
      <c r="BK1118" s="98"/>
      <c r="BL1118" s="98"/>
      <c r="BM1118" s="98"/>
      <c r="BN1118" s="98"/>
      <c r="BO1118" s="98"/>
      <c r="BP1118" s="98"/>
      <c r="BQ1118" s="98"/>
      <c r="BR1118" s="98"/>
      <c r="BS1118" s="98"/>
      <c r="BT1118" s="98"/>
      <c r="BU1118" s="98"/>
      <c r="BV1118" s="98"/>
      <c r="BW1118" s="98"/>
      <c r="BX1118" s="98"/>
      <c r="BY1118" s="98"/>
    </row>
    <row r="1119" spans="1:77" s="194" customFormat="1" x14ac:dyDescent="0.3">
      <c r="A1119" s="98"/>
      <c r="B1119" s="98"/>
      <c r="C1119" s="98"/>
      <c r="D1119" s="99"/>
      <c r="E1119" s="99"/>
      <c r="F1119" s="98"/>
      <c r="G1119" s="98"/>
      <c r="H1119" s="172"/>
      <c r="I1119" s="172"/>
      <c r="J1119" s="198"/>
      <c r="K1119" s="198"/>
      <c r="L1119" s="110"/>
      <c r="M1119" s="110"/>
      <c r="N1119" s="198"/>
      <c r="O1119" s="198"/>
      <c r="P1119" s="172"/>
      <c r="Q1119" s="172"/>
      <c r="R1119" s="110"/>
      <c r="S1119" s="98"/>
      <c r="T1119" s="99"/>
      <c r="U1119" s="98"/>
      <c r="V1119" s="110"/>
      <c r="W1119" s="98"/>
      <c r="X1119" s="98"/>
      <c r="Y1119" s="98"/>
      <c r="Z1119" s="98"/>
      <c r="AA1119" s="110"/>
      <c r="AB1119" s="198"/>
      <c r="AC1119" s="110"/>
      <c r="AD1119" s="110"/>
      <c r="AE1119" s="198"/>
      <c r="AF1119" s="198"/>
      <c r="AG1119" s="148"/>
      <c r="AH1119" s="110"/>
      <c r="AI1119" s="207"/>
      <c r="AJ1119" s="207"/>
      <c r="AK1119" s="148"/>
      <c r="AL1119" s="110"/>
      <c r="AM1119" s="110"/>
      <c r="AN1119" s="110"/>
      <c r="AO1119" s="141"/>
      <c r="AP1119" s="141"/>
      <c r="AR1119" s="98"/>
      <c r="AS1119" s="98"/>
      <c r="AT1119" s="98"/>
      <c r="AU1119" s="98"/>
      <c r="AV1119" s="98"/>
      <c r="AW1119" s="98"/>
      <c r="AX1119" s="98"/>
      <c r="AY1119" s="98"/>
      <c r="AZ1119" s="98"/>
      <c r="BA1119" s="98"/>
      <c r="BB1119" s="98"/>
      <c r="BC1119" s="98"/>
      <c r="BD1119" s="98"/>
      <c r="BE1119" s="98"/>
      <c r="BF1119" s="98"/>
      <c r="BG1119" s="98"/>
      <c r="BH1119" s="98"/>
      <c r="BI1119" s="98"/>
      <c r="BJ1119" s="98"/>
      <c r="BK1119" s="98"/>
      <c r="BL1119" s="98"/>
      <c r="BM1119" s="98"/>
      <c r="BN1119" s="98"/>
      <c r="BO1119" s="98"/>
      <c r="BP1119" s="98"/>
      <c r="BQ1119" s="98"/>
      <c r="BR1119" s="98"/>
      <c r="BS1119" s="98"/>
      <c r="BT1119" s="98"/>
      <c r="BU1119" s="98"/>
      <c r="BV1119" s="98"/>
      <c r="BW1119" s="98"/>
      <c r="BX1119" s="98"/>
      <c r="BY1119" s="98"/>
    </row>
    <row r="1120" spans="1:77" s="194" customFormat="1" x14ac:dyDescent="0.3">
      <c r="A1120" s="98"/>
      <c r="B1120" s="98"/>
      <c r="C1120" s="98"/>
      <c r="D1120" s="98"/>
      <c r="E1120" s="98"/>
      <c r="F1120" s="172"/>
      <c r="G1120" s="98"/>
      <c r="H1120" s="192"/>
      <c r="I1120" s="192"/>
      <c r="J1120" s="217"/>
      <c r="K1120" s="217"/>
      <c r="L1120" s="192"/>
      <c r="M1120" s="192"/>
      <c r="N1120" s="192"/>
      <c r="O1120" s="192"/>
      <c r="P1120" s="192"/>
      <c r="Q1120" s="192"/>
      <c r="R1120" s="192"/>
      <c r="S1120" s="98"/>
      <c r="T1120" s="98"/>
      <c r="U1120" s="98"/>
      <c r="V1120" s="192"/>
      <c r="W1120" s="98"/>
      <c r="X1120" s="98"/>
      <c r="Y1120" s="98"/>
      <c r="Z1120" s="98"/>
      <c r="AA1120" s="192"/>
      <c r="AB1120" s="217"/>
      <c r="AC1120" s="192"/>
      <c r="AD1120" s="192"/>
      <c r="AE1120" s="192"/>
      <c r="AF1120" s="192"/>
      <c r="AH1120" s="192"/>
      <c r="AI1120" s="98"/>
      <c r="AJ1120" s="98"/>
      <c r="AL1120" s="192"/>
      <c r="AM1120" s="192"/>
      <c r="AN1120" s="192"/>
      <c r="AO1120" s="98"/>
      <c r="AP1120" s="98"/>
      <c r="AR1120" s="98"/>
      <c r="AS1120" s="98"/>
      <c r="AT1120" s="98"/>
      <c r="AU1120" s="98"/>
      <c r="AV1120" s="98"/>
      <c r="AW1120" s="98"/>
      <c r="AX1120" s="98"/>
      <c r="AY1120" s="98"/>
      <c r="AZ1120" s="98"/>
      <c r="BA1120" s="98"/>
      <c r="BB1120" s="98"/>
      <c r="BC1120" s="98"/>
      <c r="BD1120" s="98"/>
      <c r="BE1120" s="98"/>
      <c r="BF1120" s="98"/>
      <c r="BG1120" s="98"/>
      <c r="BH1120" s="98"/>
      <c r="BI1120" s="98"/>
      <c r="BJ1120" s="98"/>
      <c r="BK1120" s="98"/>
      <c r="BL1120" s="98"/>
      <c r="BM1120" s="98"/>
      <c r="BN1120" s="98"/>
      <c r="BO1120" s="98"/>
      <c r="BP1120" s="98"/>
      <c r="BQ1120" s="98"/>
      <c r="BR1120" s="98"/>
      <c r="BS1120" s="98"/>
      <c r="BT1120" s="98"/>
      <c r="BU1120" s="98"/>
      <c r="BV1120" s="98"/>
      <c r="BW1120" s="98"/>
      <c r="BX1120" s="98"/>
      <c r="BY1120" s="98"/>
    </row>
    <row r="1121" spans="1:77" s="194" customFormat="1" x14ac:dyDescent="0.3">
      <c r="A1121" s="98"/>
      <c r="B1121" s="98"/>
      <c r="C1121" s="99"/>
      <c r="D1121" s="98"/>
      <c r="E1121" s="98"/>
      <c r="F1121" s="192"/>
      <c r="G1121" s="98"/>
      <c r="H1121" s="110"/>
      <c r="I1121" s="110"/>
      <c r="J1121" s="198"/>
      <c r="K1121" s="198"/>
      <c r="L1121" s="110"/>
      <c r="M1121" s="110"/>
      <c r="N1121" s="198"/>
      <c r="O1121" s="198"/>
      <c r="P1121" s="110"/>
      <c r="Q1121" s="110"/>
      <c r="R1121" s="110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148"/>
      <c r="AH1121" s="98"/>
      <c r="AI1121" s="98"/>
      <c r="AJ1121" s="98"/>
      <c r="AK1121" s="148"/>
      <c r="AL1121" s="98"/>
      <c r="AM1121" s="98"/>
      <c r="AN1121" s="98"/>
      <c r="AO1121" s="98"/>
      <c r="AP1121" s="98"/>
      <c r="AR1121" s="98"/>
      <c r="AS1121" s="98"/>
      <c r="AT1121" s="98"/>
      <c r="AU1121" s="98"/>
      <c r="AV1121" s="98"/>
      <c r="AW1121" s="98"/>
      <c r="AX1121" s="98"/>
      <c r="AY1121" s="98"/>
      <c r="AZ1121" s="98"/>
      <c r="BA1121" s="98"/>
      <c r="BB1121" s="98"/>
      <c r="BC1121" s="98"/>
      <c r="BD1121" s="98"/>
      <c r="BE1121" s="98"/>
      <c r="BF1121" s="98"/>
      <c r="BG1121" s="98"/>
      <c r="BH1121" s="98"/>
      <c r="BI1121" s="98"/>
      <c r="BJ1121" s="98"/>
      <c r="BK1121" s="98"/>
      <c r="BL1121" s="98"/>
      <c r="BM1121" s="98"/>
      <c r="BN1121" s="98"/>
      <c r="BO1121" s="98"/>
      <c r="BP1121" s="98"/>
      <c r="BQ1121" s="98"/>
      <c r="BR1121" s="98"/>
      <c r="BS1121" s="98"/>
      <c r="BT1121" s="98"/>
      <c r="BU1121" s="98"/>
      <c r="BV1121" s="98"/>
      <c r="BW1121" s="98"/>
      <c r="BX1121" s="98"/>
      <c r="BY1121" s="98"/>
    </row>
    <row r="1122" spans="1:77" s="194" customFormat="1" x14ac:dyDescent="0.3">
      <c r="A1122" s="98"/>
      <c r="B1122" s="98"/>
      <c r="C1122" s="98"/>
      <c r="D1122" s="98"/>
      <c r="E1122" s="98"/>
      <c r="F1122" s="110"/>
      <c r="G1122" s="98"/>
      <c r="H1122" s="110"/>
      <c r="I1122" s="110"/>
      <c r="J1122" s="198"/>
      <c r="K1122" s="198"/>
      <c r="L1122" s="110"/>
      <c r="M1122" s="110"/>
      <c r="N1122" s="198"/>
      <c r="O1122" s="198"/>
      <c r="P1122" s="110"/>
      <c r="Q1122" s="110"/>
      <c r="R1122" s="110"/>
      <c r="S1122" s="98"/>
      <c r="T1122" s="99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148"/>
      <c r="AH1122" s="98"/>
      <c r="AI1122" s="98"/>
      <c r="AJ1122" s="98"/>
      <c r="AK1122" s="148"/>
      <c r="AL1122" s="98"/>
      <c r="AM1122" s="98"/>
      <c r="AN1122" s="98"/>
      <c r="AO1122" s="98"/>
      <c r="AP1122" s="98"/>
      <c r="AR1122" s="98"/>
      <c r="AS1122" s="98"/>
      <c r="AT1122" s="98"/>
      <c r="AU1122" s="98"/>
      <c r="AV1122" s="98"/>
      <c r="AW1122" s="98"/>
      <c r="AX1122" s="98"/>
      <c r="AY1122" s="98"/>
      <c r="AZ1122" s="98"/>
      <c r="BA1122" s="98"/>
      <c r="BB1122" s="98"/>
      <c r="BC1122" s="98"/>
      <c r="BD1122" s="98"/>
      <c r="BE1122" s="98"/>
      <c r="BF1122" s="98"/>
      <c r="BG1122" s="98"/>
      <c r="BH1122" s="98"/>
      <c r="BI1122" s="98"/>
      <c r="BJ1122" s="98"/>
      <c r="BK1122" s="98"/>
      <c r="BL1122" s="98"/>
      <c r="BM1122" s="98"/>
      <c r="BN1122" s="98"/>
      <c r="BO1122" s="98"/>
      <c r="BP1122" s="98"/>
      <c r="BQ1122" s="98"/>
      <c r="BR1122" s="98"/>
      <c r="BS1122" s="98"/>
      <c r="BT1122" s="98"/>
      <c r="BU1122" s="98"/>
      <c r="BV1122" s="98"/>
      <c r="BW1122" s="98"/>
      <c r="BX1122" s="98"/>
      <c r="BY1122" s="98"/>
    </row>
    <row r="1123" spans="1:77" s="194" customFormat="1" x14ac:dyDescent="0.3">
      <c r="A1123" s="98"/>
      <c r="B1123" s="98"/>
      <c r="C1123" s="98"/>
      <c r="D1123" s="99"/>
      <c r="E1123" s="99"/>
      <c r="F1123" s="110"/>
      <c r="G1123" s="98"/>
      <c r="H1123" s="110"/>
      <c r="I1123" s="110"/>
      <c r="J1123" s="198"/>
      <c r="K1123" s="198"/>
      <c r="L1123" s="172"/>
      <c r="M1123" s="172"/>
      <c r="N1123" s="198"/>
      <c r="O1123" s="198"/>
      <c r="P1123" s="110"/>
      <c r="Q1123" s="110"/>
      <c r="R1123" s="110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148"/>
      <c r="AH1123" s="98"/>
      <c r="AI1123" s="98"/>
      <c r="AJ1123" s="98"/>
      <c r="AK1123" s="148"/>
      <c r="AL1123" s="98"/>
      <c r="AM1123" s="98"/>
      <c r="AN1123" s="98"/>
      <c r="AO1123" s="98"/>
      <c r="AP1123" s="98"/>
      <c r="AR1123" s="98"/>
      <c r="AS1123" s="98"/>
      <c r="AT1123" s="98"/>
      <c r="AU1123" s="98"/>
      <c r="AV1123" s="98"/>
      <c r="AW1123" s="98"/>
      <c r="AX1123" s="98"/>
      <c r="AY1123" s="98"/>
      <c r="AZ1123" s="98"/>
      <c r="BA1123" s="98"/>
      <c r="BB1123" s="98"/>
      <c r="BC1123" s="98"/>
      <c r="BD1123" s="98"/>
      <c r="BE1123" s="98"/>
      <c r="BF1123" s="98"/>
      <c r="BG1123" s="98"/>
      <c r="BH1123" s="98"/>
      <c r="BI1123" s="98"/>
      <c r="BJ1123" s="98"/>
      <c r="BK1123" s="98"/>
      <c r="BL1123" s="98"/>
      <c r="BM1123" s="98"/>
      <c r="BN1123" s="98"/>
      <c r="BO1123" s="98"/>
      <c r="BP1123" s="98"/>
      <c r="BQ1123" s="98"/>
      <c r="BR1123" s="98"/>
      <c r="BS1123" s="98"/>
      <c r="BT1123" s="98"/>
      <c r="BU1123" s="98"/>
      <c r="BV1123" s="98"/>
      <c r="BW1123" s="98"/>
      <c r="BX1123" s="98"/>
      <c r="BY1123" s="98"/>
    </row>
    <row r="1124" spans="1:77" s="194" customFormat="1" x14ac:dyDescent="0.3">
      <c r="A1124" s="98"/>
      <c r="B1124" s="98"/>
      <c r="C1124" s="98"/>
      <c r="D1124" s="99"/>
      <c r="E1124" s="99"/>
      <c r="F1124" s="110"/>
      <c r="G1124" s="98"/>
      <c r="H1124" s="110"/>
      <c r="I1124" s="110"/>
      <c r="J1124" s="198"/>
      <c r="K1124" s="198"/>
      <c r="L1124" s="172"/>
      <c r="M1124" s="172"/>
      <c r="N1124" s="198"/>
      <c r="O1124" s="198"/>
      <c r="P1124" s="110"/>
      <c r="Q1124" s="110"/>
      <c r="R1124" s="110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148"/>
      <c r="AH1124" s="98"/>
      <c r="AI1124" s="98"/>
      <c r="AJ1124" s="98"/>
      <c r="AK1124" s="148"/>
      <c r="AL1124" s="98"/>
      <c r="AM1124" s="98"/>
      <c r="AN1124" s="98"/>
      <c r="AO1124" s="98"/>
      <c r="AP1124" s="98"/>
      <c r="AR1124" s="98"/>
      <c r="AS1124" s="98"/>
      <c r="AT1124" s="98"/>
      <c r="AU1124" s="98"/>
      <c r="AV1124" s="98"/>
      <c r="AW1124" s="98"/>
      <c r="AX1124" s="98"/>
      <c r="AY1124" s="98"/>
      <c r="AZ1124" s="98"/>
      <c r="BA1124" s="98"/>
      <c r="BB1124" s="98"/>
      <c r="BC1124" s="98"/>
      <c r="BD1124" s="98"/>
      <c r="BE1124" s="98"/>
      <c r="BF1124" s="98"/>
      <c r="BG1124" s="98"/>
      <c r="BH1124" s="98"/>
      <c r="BI1124" s="98"/>
      <c r="BJ1124" s="98"/>
      <c r="BK1124" s="98"/>
      <c r="BL1124" s="98"/>
      <c r="BM1124" s="98"/>
      <c r="BN1124" s="98"/>
      <c r="BO1124" s="98"/>
      <c r="BP1124" s="98"/>
      <c r="BQ1124" s="98"/>
      <c r="BR1124" s="98"/>
      <c r="BS1124" s="98"/>
      <c r="BT1124" s="98"/>
      <c r="BU1124" s="98"/>
      <c r="BV1124" s="98"/>
      <c r="BW1124" s="98"/>
      <c r="BX1124" s="98"/>
      <c r="BY1124" s="98"/>
    </row>
    <row r="1125" spans="1:77" s="194" customFormat="1" x14ac:dyDescent="0.3">
      <c r="A1125" s="98"/>
      <c r="B1125" s="98"/>
      <c r="C1125" s="98"/>
      <c r="D1125" s="99"/>
      <c r="E1125" s="99"/>
      <c r="F1125" s="110"/>
      <c r="G1125" s="98"/>
      <c r="H1125" s="110"/>
      <c r="I1125" s="110"/>
      <c r="J1125" s="198"/>
      <c r="K1125" s="198"/>
      <c r="L1125" s="172"/>
      <c r="M1125" s="172"/>
      <c r="N1125" s="198"/>
      <c r="O1125" s="198"/>
      <c r="P1125" s="110"/>
      <c r="Q1125" s="110"/>
      <c r="R1125" s="110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148"/>
      <c r="AH1125" s="98"/>
      <c r="AI1125" s="98"/>
      <c r="AJ1125" s="98"/>
      <c r="AK1125" s="148"/>
      <c r="AL1125" s="98"/>
      <c r="AM1125" s="98"/>
      <c r="AN1125" s="98"/>
      <c r="AO1125" s="98"/>
      <c r="AP1125" s="98"/>
      <c r="AR1125" s="98"/>
      <c r="AS1125" s="98"/>
      <c r="AT1125" s="98"/>
      <c r="AU1125" s="98"/>
      <c r="AV1125" s="98"/>
      <c r="AW1125" s="98"/>
      <c r="AX1125" s="98"/>
      <c r="AY1125" s="98"/>
      <c r="AZ1125" s="98"/>
      <c r="BA1125" s="98"/>
      <c r="BB1125" s="98"/>
      <c r="BC1125" s="98"/>
      <c r="BD1125" s="98"/>
      <c r="BE1125" s="98"/>
      <c r="BF1125" s="98"/>
      <c r="BG1125" s="98"/>
      <c r="BH1125" s="98"/>
      <c r="BI1125" s="98"/>
      <c r="BJ1125" s="98"/>
      <c r="BK1125" s="98"/>
      <c r="BL1125" s="98"/>
      <c r="BM1125" s="98"/>
      <c r="BN1125" s="98"/>
      <c r="BO1125" s="98"/>
      <c r="BP1125" s="98"/>
      <c r="BQ1125" s="98"/>
      <c r="BR1125" s="98"/>
      <c r="BS1125" s="98"/>
      <c r="BT1125" s="98"/>
      <c r="BU1125" s="98"/>
      <c r="BV1125" s="98"/>
      <c r="BW1125" s="98"/>
      <c r="BX1125" s="98"/>
      <c r="BY1125" s="98"/>
    </row>
    <row r="1126" spans="1:77" s="194" customFormat="1" x14ac:dyDescent="0.3">
      <c r="A1126" s="98"/>
      <c r="B1126" s="98"/>
      <c r="C1126" s="98"/>
      <c r="D1126" s="98"/>
      <c r="E1126" s="98"/>
      <c r="F1126" s="110"/>
      <c r="G1126" s="98"/>
      <c r="H1126" s="192"/>
      <c r="I1126" s="192"/>
      <c r="J1126" s="217"/>
      <c r="K1126" s="217"/>
      <c r="L1126" s="192"/>
      <c r="M1126" s="192"/>
      <c r="N1126" s="192"/>
      <c r="O1126" s="192"/>
      <c r="P1126" s="192"/>
      <c r="Q1126" s="192"/>
      <c r="R1126" s="192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  <c r="AG1126" s="148"/>
      <c r="AH1126" s="98"/>
      <c r="AI1126" s="98"/>
      <c r="AJ1126" s="98"/>
      <c r="AK1126" s="148"/>
      <c r="AL1126" s="98"/>
      <c r="AM1126" s="98"/>
      <c r="AN1126" s="98"/>
      <c r="AO1126" s="98"/>
      <c r="AP1126" s="98"/>
      <c r="AR1126" s="98"/>
      <c r="AS1126" s="98"/>
      <c r="AT1126" s="98"/>
      <c r="AU1126" s="98"/>
      <c r="AV1126" s="98"/>
      <c r="AW1126" s="98"/>
      <c r="AX1126" s="98"/>
      <c r="AY1126" s="98"/>
      <c r="AZ1126" s="98"/>
      <c r="BA1126" s="98"/>
      <c r="BB1126" s="98"/>
      <c r="BC1126" s="98"/>
      <c r="BD1126" s="98"/>
      <c r="BE1126" s="98"/>
      <c r="BF1126" s="98"/>
      <c r="BG1126" s="98"/>
      <c r="BH1126" s="98"/>
      <c r="BI1126" s="98"/>
      <c r="BJ1126" s="98"/>
      <c r="BK1126" s="98"/>
      <c r="BL1126" s="98"/>
      <c r="BM1126" s="98"/>
      <c r="BN1126" s="98"/>
      <c r="BO1126" s="98"/>
      <c r="BP1126" s="98"/>
      <c r="BQ1126" s="98"/>
      <c r="BR1126" s="98"/>
      <c r="BS1126" s="98"/>
      <c r="BT1126" s="98"/>
      <c r="BU1126" s="98"/>
      <c r="BV1126" s="98"/>
      <c r="BW1126" s="98"/>
      <c r="BX1126" s="98"/>
      <c r="BY1126" s="98"/>
    </row>
    <row r="1127" spans="1:77" s="194" customFormat="1" x14ac:dyDescent="0.3">
      <c r="A1127" s="98"/>
      <c r="B1127" s="98"/>
      <c r="C1127" s="99"/>
      <c r="D1127" s="98"/>
      <c r="E1127" s="98"/>
      <c r="F1127" s="192"/>
      <c r="G1127" s="98"/>
      <c r="H1127" s="110"/>
      <c r="I1127" s="110"/>
      <c r="J1127" s="198"/>
      <c r="K1127" s="198"/>
      <c r="L1127" s="110"/>
      <c r="M1127" s="110"/>
      <c r="N1127" s="198"/>
      <c r="O1127" s="198"/>
      <c r="P1127" s="110"/>
      <c r="Q1127" s="110"/>
      <c r="R1127" s="110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148"/>
      <c r="AH1127" s="98"/>
      <c r="AI1127" s="98"/>
      <c r="AJ1127" s="98"/>
      <c r="AK1127" s="148"/>
      <c r="AL1127" s="98"/>
      <c r="AM1127" s="98"/>
      <c r="AN1127" s="98"/>
      <c r="AO1127" s="98"/>
      <c r="AP1127" s="98"/>
      <c r="AR1127" s="98"/>
      <c r="AS1127" s="98"/>
      <c r="AT1127" s="98"/>
      <c r="AU1127" s="98"/>
      <c r="AV1127" s="98"/>
      <c r="AW1127" s="98"/>
      <c r="AX1127" s="98"/>
      <c r="AY1127" s="98"/>
      <c r="AZ1127" s="98"/>
      <c r="BA1127" s="98"/>
      <c r="BB1127" s="98"/>
      <c r="BC1127" s="98"/>
      <c r="BD1127" s="98"/>
      <c r="BE1127" s="98"/>
      <c r="BF1127" s="98"/>
      <c r="BG1127" s="98"/>
      <c r="BH1127" s="98"/>
      <c r="BI1127" s="98"/>
      <c r="BJ1127" s="98"/>
      <c r="BK1127" s="98"/>
      <c r="BL1127" s="98"/>
      <c r="BM1127" s="98"/>
      <c r="BN1127" s="98"/>
      <c r="BO1127" s="98"/>
      <c r="BP1127" s="98"/>
      <c r="BQ1127" s="98"/>
      <c r="BR1127" s="98"/>
      <c r="BS1127" s="98"/>
      <c r="BT1127" s="98"/>
      <c r="BU1127" s="98"/>
      <c r="BV1127" s="98"/>
      <c r="BW1127" s="98"/>
      <c r="BX1127" s="98"/>
      <c r="BY1127" s="98"/>
    </row>
    <row r="1128" spans="1:77" s="194" customFormat="1" x14ac:dyDescent="0.3">
      <c r="A1128" s="98"/>
      <c r="B1128" s="98"/>
      <c r="C1128" s="98"/>
      <c r="D1128" s="98"/>
      <c r="E1128" s="98"/>
      <c r="F1128" s="110"/>
      <c r="G1128" s="98"/>
      <c r="H1128" s="110"/>
      <c r="I1128" s="110"/>
      <c r="J1128" s="198"/>
      <c r="K1128" s="198"/>
      <c r="L1128" s="110"/>
      <c r="M1128" s="110"/>
      <c r="N1128" s="198"/>
      <c r="O1128" s="198"/>
      <c r="P1128" s="110"/>
      <c r="Q1128" s="110"/>
      <c r="R1128" s="110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  <c r="AG1128" s="148"/>
      <c r="AH1128" s="98"/>
      <c r="AI1128" s="98"/>
      <c r="AJ1128" s="98"/>
      <c r="AK1128" s="148"/>
      <c r="AL1128" s="98"/>
      <c r="AM1128" s="98"/>
      <c r="AN1128" s="98"/>
      <c r="AO1128" s="98"/>
      <c r="AP1128" s="98"/>
      <c r="AR1128" s="98"/>
      <c r="AS1128" s="98"/>
      <c r="AT1128" s="98"/>
      <c r="AU1128" s="98"/>
      <c r="AV1128" s="98"/>
      <c r="AW1128" s="98"/>
      <c r="AX1128" s="98"/>
      <c r="AY1128" s="98"/>
      <c r="AZ1128" s="98"/>
      <c r="BA1128" s="98"/>
      <c r="BB1128" s="98"/>
      <c r="BC1128" s="98"/>
      <c r="BD1128" s="98"/>
      <c r="BE1128" s="98"/>
      <c r="BF1128" s="98"/>
      <c r="BG1128" s="98"/>
      <c r="BH1128" s="98"/>
      <c r="BI1128" s="98"/>
      <c r="BJ1128" s="98"/>
      <c r="BK1128" s="98"/>
      <c r="BL1128" s="98"/>
      <c r="BM1128" s="98"/>
      <c r="BN1128" s="98"/>
      <c r="BO1128" s="98"/>
      <c r="BP1128" s="98"/>
      <c r="BQ1128" s="98"/>
      <c r="BR1128" s="98"/>
      <c r="BS1128" s="98"/>
      <c r="BT1128" s="98"/>
      <c r="BU1128" s="98"/>
      <c r="BV1128" s="98"/>
      <c r="BW1128" s="98"/>
      <c r="BX1128" s="98"/>
      <c r="BY1128" s="98"/>
    </row>
    <row r="1129" spans="1:77" s="194" customFormat="1" x14ac:dyDescent="0.3">
      <c r="A1129" s="98"/>
      <c r="B1129" s="98"/>
      <c r="C1129" s="99"/>
      <c r="D1129" s="98"/>
      <c r="E1129" s="98"/>
      <c r="F1129" s="110"/>
      <c r="G1129" s="98"/>
      <c r="H1129" s="110"/>
      <c r="I1129" s="110"/>
      <c r="J1129" s="198"/>
      <c r="K1129" s="198"/>
      <c r="L1129" s="110"/>
      <c r="M1129" s="110"/>
      <c r="N1129" s="198"/>
      <c r="O1129" s="198"/>
      <c r="P1129" s="110"/>
      <c r="Q1129" s="110"/>
      <c r="R1129" s="110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  <c r="AG1129" s="148"/>
      <c r="AH1129" s="98"/>
      <c r="AI1129" s="98"/>
      <c r="AJ1129" s="98"/>
      <c r="AK1129" s="148"/>
      <c r="AL1129" s="98"/>
      <c r="AM1129" s="98"/>
      <c r="AN1129" s="98"/>
      <c r="AO1129" s="98"/>
      <c r="AP1129" s="98"/>
      <c r="AR1129" s="98"/>
      <c r="AS1129" s="98"/>
      <c r="AT1129" s="98"/>
      <c r="AU1129" s="98"/>
      <c r="AV1129" s="98"/>
      <c r="AW1129" s="98"/>
      <c r="AX1129" s="98"/>
      <c r="AY1129" s="98"/>
      <c r="AZ1129" s="98"/>
      <c r="BA1129" s="98"/>
      <c r="BB1129" s="98"/>
      <c r="BC1129" s="98"/>
      <c r="BD1129" s="98"/>
      <c r="BE1129" s="98"/>
      <c r="BF1129" s="98"/>
      <c r="BG1129" s="98"/>
      <c r="BH1129" s="98"/>
      <c r="BI1129" s="98"/>
      <c r="BJ1129" s="98"/>
      <c r="BK1129" s="98"/>
      <c r="BL1129" s="98"/>
      <c r="BM1129" s="98"/>
      <c r="BN1129" s="98"/>
      <c r="BO1129" s="98"/>
      <c r="BP1129" s="98"/>
      <c r="BQ1129" s="98"/>
      <c r="BR1129" s="98"/>
      <c r="BS1129" s="98"/>
      <c r="BT1129" s="98"/>
      <c r="BU1129" s="98"/>
      <c r="BV1129" s="98"/>
      <c r="BW1129" s="98"/>
      <c r="BX1129" s="98"/>
      <c r="BY1129" s="98"/>
    </row>
    <row r="1130" spans="1:77" s="194" customFormat="1" x14ac:dyDescent="0.3">
      <c r="A1130" s="98"/>
      <c r="B1130" s="98"/>
      <c r="C1130" s="98"/>
      <c r="D1130" s="98"/>
      <c r="E1130" s="98"/>
      <c r="F1130" s="110"/>
      <c r="G1130" s="98"/>
      <c r="H1130" s="192"/>
      <c r="I1130" s="192"/>
      <c r="J1130" s="217"/>
      <c r="K1130" s="217"/>
      <c r="L1130" s="192"/>
      <c r="M1130" s="192"/>
      <c r="N1130" s="192"/>
      <c r="O1130" s="192"/>
      <c r="P1130" s="192"/>
      <c r="Q1130" s="192"/>
      <c r="R1130" s="192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  <c r="AG1130" s="148"/>
      <c r="AH1130" s="98"/>
      <c r="AI1130" s="98"/>
      <c r="AJ1130" s="98"/>
      <c r="AK1130" s="148"/>
      <c r="AL1130" s="98"/>
      <c r="AM1130" s="98"/>
      <c r="AN1130" s="98"/>
      <c r="AO1130" s="98"/>
      <c r="AP1130" s="98"/>
      <c r="AR1130" s="98"/>
      <c r="AS1130" s="98"/>
      <c r="AT1130" s="98"/>
      <c r="AU1130" s="98"/>
      <c r="AV1130" s="98"/>
      <c r="AW1130" s="98"/>
      <c r="AX1130" s="98"/>
      <c r="AY1130" s="98"/>
      <c r="AZ1130" s="98"/>
      <c r="BA1130" s="98"/>
      <c r="BB1130" s="98"/>
      <c r="BC1130" s="98"/>
      <c r="BD1130" s="98"/>
      <c r="BE1130" s="98"/>
      <c r="BF1130" s="98"/>
      <c r="BG1130" s="98"/>
      <c r="BH1130" s="98"/>
      <c r="BI1130" s="98"/>
      <c r="BJ1130" s="98"/>
      <c r="BK1130" s="98"/>
      <c r="BL1130" s="98"/>
      <c r="BM1130" s="98"/>
      <c r="BN1130" s="98"/>
      <c r="BO1130" s="98"/>
      <c r="BP1130" s="98"/>
      <c r="BQ1130" s="98"/>
      <c r="BR1130" s="98"/>
      <c r="BS1130" s="98"/>
      <c r="BT1130" s="98"/>
      <c r="BU1130" s="98"/>
      <c r="BV1130" s="98"/>
      <c r="BW1130" s="98"/>
      <c r="BX1130" s="98"/>
      <c r="BY1130" s="98"/>
    </row>
    <row r="1132" spans="1:77" x14ac:dyDescent="0.3">
      <c r="C1132" s="99"/>
      <c r="F1132" s="192"/>
      <c r="L1132" s="110"/>
      <c r="M1132" s="110"/>
      <c r="P1132" s="110"/>
      <c r="Q1132" s="110"/>
      <c r="R1132" s="110"/>
    </row>
    <row r="1133" spans="1:77" x14ac:dyDescent="0.3">
      <c r="A1133" s="99"/>
      <c r="L1133" s="110"/>
      <c r="M1133" s="110"/>
      <c r="P1133" s="110"/>
      <c r="Q1133" s="110"/>
      <c r="R1133" s="110"/>
    </row>
    <row r="1134" spans="1:77" x14ac:dyDescent="0.3">
      <c r="L1134" s="110"/>
      <c r="M1134" s="110"/>
      <c r="P1134" s="110"/>
      <c r="Q1134" s="110"/>
      <c r="R1134" s="110"/>
    </row>
    <row r="1135" spans="1:77" x14ac:dyDescent="0.3">
      <c r="L1135" s="110"/>
      <c r="M1135" s="110"/>
      <c r="P1135" s="110"/>
      <c r="Q1135" s="110"/>
      <c r="R1135" s="110"/>
    </row>
    <row r="1136" spans="1:77" x14ac:dyDescent="0.3">
      <c r="L1136" s="110"/>
      <c r="M1136" s="110"/>
      <c r="P1136" s="110"/>
      <c r="Q1136" s="110"/>
      <c r="R1136" s="110"/>
    </row>
    <row r="1137" spans="12:18" x14ac:dyDescent="0.3">
      <c r="L1137" s="110"/>
      <c r="M1137" s="110"/>
      <c r="P1137" s="110"/>
      <c r="Q1137" s="110"/>
      <c r="R1137" s="110"/>
    </row>
    <row r="1138" spans="12:18" x14ac:dyDescent="0.3">
      <c r="L1138" s="110"/>
      <c r="M1138" s="110"/>
      <c r="P1138" s="110"/>
      <c r="Q1138" s="110"/>
      <c r="R1138" s="110"/>
    </row>
    <row r="1171" spans="51:51" x14ac:dyDescent="0.3">
      <c r="AY1171" s="110"/>
    </row>
    <row r="1172" spans="51:51" x14ac:dyDescent="0.3">
      <c r="AY1172" s="110"/>
    </row>
    <row r="1173" spans="51:51" x14ac:dyDescent="0.3">
      <c r="AY1173" s="110"/>
    </row>
    <row r="1174" spans="51:51" x14ac:dyDescent="0.3">
      <c r="AY1174" s="110"/>
    </row>
    <row r="1175" spans="51:51" x14ac:dyDescent="0.3">
      <c r="AY1175" s="110"/>
    </row>
    <row r="1176" spans="51:51" x14ac:dyDescent="0.3">
      <c r="AY1176" s="110"/>
    </row>
    <row r="1179" spans="51:51" x14ac:dyDescent="0.3">
      <c r="AY1179" s="110"/>
    </row>
    <row r="1180" spans="51:51" x14ac:dyDescent="0.3">
      <c r="AY1180" s="110"/>
    </row>
    <row r="1181" spans="51:51" x14ac:dyDescent="0.3">
      <c r="AY1181" s="110"/>
    </row>
    <row r="1182" spans="51:51" x14ac:dyDescent="0.3">
      <c r="AY1182" s="110"/>
    </row>
    <row r="1183" spans="51:51" x14ac:dyDescent="0.3">
      <c r="AY1183" s="110"/>
    </row>
    <row r="1184" spans="51:51" x14ac:dyDescent="0.3">
      <c r="AY1184" s="110"/>
    </row>
    <row r="1185" spans="51:51" x14ac:dyDescent="0.3">
      <c r="AY1185" s="110"/>
    </row>
    <row r="1186" spans="51:51" x14ac:dyDescent="0.3">
      <c r="AY1186" s="110"/>
    </row>
    <row r="1189" spans="51:51" x14ac:dyDescent="0.3">
      <c r="AY1189" s="110"/>
    </row>
    <row r="1190" spans="51:51" x14ac:dyDescent="0.3">
      <c r="AY1190" s="110"/>
    </row>
    <row r="1193" spans="51:51" x14ac:dyDescent="0.3">
      <c r="AY1193" s="110"/>
    </row>
    <row r="1194" spans="51:51" x14ac:dyDescent="0.3">
      <c r="AY1194" s="110"/>
    </row>
    <row r="1195" spans="51:51" x14ac:dyDescent="0.3">
      <c r="AY1195" s="110"/>
    </row>
    <row r="1196" spans="51:51" x14ac:dyDescent="0.3">
      <c r="AY1196" s="110"/>
    </row>
    <row r="1204" spans="47:71" x14ac:dyDescent="0.3">
      <c r="BA1204" s="99"/>
    </row>
    <row r="1205" spans="47:71" x14ac:dyDescent="0.3">
      <c r="BA1205" s="99"/>
    </row>
    <row r="1206" spans="47:71" x14ac:dyDescent="0.3">
      <c r="BF1206" s="99"/>
    </row>
    <row r="1207" spans="47:71" x14ac:dyDescent="0.3">
      <c r="BF1207" s="99"/>
    </row>
    <row r="1208" spans="47:71" x14ac:dyDescent="0.3">
      <c r="AU1208" s="99"/>
      <c r="BF1208" s="99"/>
    </row>
    <row r="1210" spans="47:71" x14ac:dyDescent="0.3">
      <c r="AU1210" s="101"/>
      <c r="AV1210" s="101"/>
      <c r="AW1210" s="101"/>
      <c r="AX1210" s="101"/>
      <c r="AY1210" s="101"/>
      <c r="AZ1210" s="101"/>
      <c r="BA1210" s="101"/>
      <c r="BB1210" s="101"/>
      <c r="BC1210" s="101"/>
      <c r="BD1210" s="101"/>
      <c r="BE1210" s="101"/>
      <c r="BF1210" s="101"/>
      <c r="BG1210" s="101"/>
    </row>
    <row r="1211" spans="47:71" x14ac:dyDescent="0.3">
      <c r="AZ1211" s="99"/>
    </row>
    <row r="1212" spans="47:71" x14ac:dyDescent="0.3">
      <c r="AZ1212" s="101"/>
      <c r="BA1212" s="101"/>
      <c r="BB1212" s="101"/>
      <c r="BC1212" s="101"/>
      <c r="BE1212" s="102"/>
      <c r="BF1212" s="102"/>
    </row>
    <row r="1213" spans="47:71" x14ac:dyDescent="0.3">
      <c r="AX1213" s="102"/>
      <c r="AY1213" s="102"/>
      <c r="BB1213" s="102"/>
      <c r="BC1213" s="102"/>
      <c r="BE1213" s="102"/>
      <c r="BF1213" s="102"/>
      <c r="BG1213" s="102"/>
      <c r="BI1213" s="101"/>
      <c r="BJ1213" s="99"/>
      <c r="BM1213" s="101"/>
      <c r="BO1213" s="101"/>
      <c r="BP1213" s="99"/>
      <c r="BS1213" s="101"/>
    </row>
    <row r="1214" spans="47:71" x14ac:dyDescent="0.3"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J1214" s="102"/>
      <c r="BK1214" s="102"/>
      <c r="BL1214" s="102"/>
      <c r="BP1214" s="102"/>
      <c r="BQ1214" s="102"/>
      <c r="BR1214" s="102"/>
    </row>
    <row r="1215" spans="47:71" x14ac:dyDescent="0.3">
      <c r="AU1215" s="102"/>
      <c r="AW1215" s="99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I1215" s="102"/>
      <c r="BJ1215" s="102"/>
      <c r="BK1215" s="102"/>
      <c r="BL1215" s="102"/>
      <c r="BM1215" s="102"/>
      <c r="BO1215" s="102"/>
      <c r="BP1215" s="102"/>
      <c r="BQ1215" s="102"/>
      <c r="BR1215" s="102"/>
      <c r="BS1215" s="102"/>
    </row>
    <row r="1216" spans="47:71" x14ac:dyDescent="0.3">
      <c r="AU1216" s="102"/>
      <c r="AW1216" s="99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I1216" s="102"/>
      <c r="BJ1216" s="102"/>
      <c r="BK1216" s="102"/>
      <c r="BL1216" s="102"/>
      <c r="BM1216" s="102"/>
      <c r="BO1216" s="102"/>
      <c r="BP1216" s="102"/>
      <c r="BQ1216" s="102"/>
      <c r="BR1216" s="102"/>
      <c r="BS1216" s="102"/>
    </row>
    <row r="1217" spans="47:71" x14ac:dyDescent="0.3">
      <c r="AU1217" s="101"/>
      <c r="AV1217" s="101"/>
      <c r="AW1217" s="101"/>
      <c r="AX1217" s="101"/>
      <c r="AY1217" s="101"/>
      <c r="AZ1217" s="101"/>
      <c r="BA1217" s="101"/>
      <c r="BB1217" s="101"/>
      <c r="BC1217" s="101"/>
      <c r="BD1217" s="101"/>
      <c r="BE1217" s="101"/>
      <c r="BF1217" s="101"/>
      <c r="BG1217" s="101"/>
      <c r="BI1217" s="101"/>
      <c r="BJ1217" s="101"/>
      <c r="BK1217" s="101"/>
      <c r="BL1217" s="101"/>
      <c r="BM1217" s="101"/>
      <c r="BO1217" s="101"/>
      <c r="BP1217" s="101"/>
      <c r="BQ1217" s="101"/>
      <c r="BR1217" s="101"/>
      <c r="BS1217" s="101"/>
    </row>
    <row r="1218" spans="47:71" x14ac:dyDescent="0.3"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</row>
    <row r="1219" spans="47:71" x14ac:dyDescent="0.3">
      <c r="AW1219" s="99"/>
      <c r="AX1219" s="102"/>
      <c r="BA1219" s="198"/>
    </row>
    <row r="1220" spans="47:71" x14ac:dyDescent="0.3">
      <c r="AX1220" s="102"/>
      <c r="AY1220" s="110"/>
      <c r="AZ1220" s="163"/>
      <c r="BA1220" s="163"/>
      <c r="BB1220" s="163"/>
      <c r="BC1220" s="141"/>
      <c r="BD1220" s="163"/>
      <c r="BE1220" s="198"/>
      <c r="BF1220" s="198"/>
      <c r="BG1220" s="141"/>
      <c r="BI1220" s="163"/>
      <c r="BJ1220" s="163"/>
      <c r="BK1220" s="163"/>
      <c r="BL1220" s="163"/>
      <c r="BM1220" s="163"/>
      <c r="BO1220" s="163"/>
      <c r="BP1220" s="163"/>
      <c r="BQ1220" s="163"/>
      <c r="BR1220" s="163"/>
      <c r="BS1220" s="163"/>
    </row>
    <row r="1221" spans="47:71" x14ac:dyDescent="0.3">
      <c r="AX1221" s="102"/>
      <c r="AY1221" s="110"/>
      <c r="AZ1221" s="163"/>
      <c r="BA1221" s="163"/>
      <c r="BB1221" s="163"/>
      <c r="BC1221" s="141"/>
      <c r="BD1221" s="163"/>
      <c r="BE1221" s="198"/>
      <c r="BF1221" s="198"/>
      <c r="BG1221" s="141"/>
      <c r="BI1221" s="163"/>
      <c r="BJ1221" s="163"/>
      <c r="BK1221" s="163"/>
      <c r="BL1221" s="163"/>
      <c r="BM1221" s="163"/>
      <c r="BO1221" s="163"/>
      <c r="BP1221" s="163"/>
      <c r="BQ1221" s="163"/>
      <c r="BR1221" s="163"/>
      <c r="BS1221" s="163"/>
    </row>
    <row r="1222" spans="47:71" x14ac:dyDescent="0.3">
      <c r="AX1222" s="102"/>
      <c r="AY1222" s="110"/>
      <c r="AZ1222" s="163"/>
      <c r="BA1222" s="163"/>
      <c r="BB1222" s="163"/>
      <c r="BC1222" s="141"/>
      <c r="BD1222" s="163"/>
      <c r="BE1222" s="198"/>
      <c r="BF1222" s="198"/>
      <c r="BG1222" s="141"/>
      <c r="BI1222" s="163"/>
      <c r="BJ1222" s="163"/>
      <c r="BK1222" s="163"/>
      <c r="BL1222" s="163"/>
      <c r="BM1222" s="163"/>
      <c r="BO1222" s="163"/>
      <c r="BP1222" s="163"/>
      <c r="BQ1222" s="163"/>
      <c r="BR1222" s="163"/>
      <c r="BS1222" s="163"/>
    </row>
    <row r="1223" spans="47:71" x14ac:dyDescent="0.3">
      <c r="AX1223" s="102"/>
      <c r="AY1223" s="110"/>
      <c r="AZ1223" s="163"/>
      <c r="BA1223" s="163"/>
      <c r="BB1223" s="163"/>
      <c r="BC1223" s="141"/>
      <c r="BD1223" s="163"/>
      <c r="BE1223" s="198"/>
      <c r="BF1223" s="198"/>
      <c r="BG1223" s="141"/>
      <c r="BI1223" s="163"/>
      <c r="BJ1223" s="163"/>
      <c r="BK1223" s="163"/>
      <c r="BL1223" s="163"/>
      <c r="BM1223" s="163"/>
      <c r="BO1223" s="163"/>
      <c r="BP1223" s="163"/>
      <c r="BQ1223" s="163"/>
      <c r="BR1223" s="163"/>
      <c r="BS1223" s="163"/>
    </row>
    <row r="1224" spans="47:71" x14ac:dyDescent="0.3">
      <c r="AX1224" s="102"/>
      <c r="AY1224" s="110"/>
      <c r="AZ1224" s="163"/>
      <c r="BA1224" s="163"/>
      <c r="BB1224" s="163"/>
      <c r="BC1224" s="141"/>
      <c r="BD1224" s="163"/>
      <c r="BE1224" s="198"/>
      <c r="BF1224" s="198"/>
      <c r="BG1224" s="141"/>
      <c r="BI1224" s="163"/>
      <c r="BJ1224" s="163"/>
      <c r="BK1224" s="163"/>
      <c r="BL1224" s="163"/>
      <c r="BM1224" s="163"/>
      <c r="BO1224" s="163"/>
      <c r="BP1224" s="163"/>
      <c r="BQ1224" s="163"/>
      <c r="BR1224" s="163"/>
      <c r="BS1224" s="163"/>
    </row>
    <row r="1225" spans="47:71" x14ac:dyDescent="0.3">
      <c r="AX1225" s="102"/>
      <c r="AY1225" s="110"/>
      <c r="AZ1225" s="163"/>
      <c r="BA1225" s="163"/>
      <c r="BB1225" s="163"/>
      <c r="BC1225" s="141"/>
      <c r="BD1225" s="163"/>
      <c r="BE1225" s="198"/>
      <c r="BF1225" s="198"/>
      <c r="BG1225" s="141"/>
      <c r="BI1225" s="163"/>
      <c r="BJ1225" s="163"/>
      <c r="BK1225" s="163"/>
      <c r="BL1225" s="163"/>
      <c r="BM1225" s="163"/>
      <c r="BO1225" s="163"/>
      <c r="BP1225" s="163"/>
      <c r="BQ1225" s="163"/>
      <c r="BR1225" s="163"/>
      <c r="BS1225" s="163"/>
    </row>
    <row r="1226" spans="47:71" x14ac:dyDescent="0.3">
      <c r="AX1226" s="102"/>
      <c r="AY1226" s="110"/>
      <c r="AZ1226" s="163"/>
      <c r="BA1226" s="163"/>
      <c r="BB1226" s="163"/>
      <c r="BC1226" s="141"/>
      <c r="BD1226" s="163"/>
      <c r="BE1226" s="198"/>
      <c r="BF1226" s="198"/>
      <c r="BG1226" s="141"/>
      <c r="BI1226" s="163"/>
      <c r="BJ1226" s="163"/>
      <c r="BK1226" s="163"/>
      <c r="BL1226" s="163"/>
      <c r="BM1226" s="163"/>
      <c r="BO1226" s="163"/>
      <c r="BP1226" s="163"/>
      <c r="BQ1226" s="163"/>
      <c r="BR1226" s="163"/>
      <c r="BS1226" s="163"/>
    </row>
    <row r="1227" spans="47:71" x14ac:dyDescent="0.3">
      <c r="BA1227" s="198"/>
      <c r="BB1227" s="163"/>
      <c r="BC1227" s="141"/>
      <c r="BD1227" s="163"/>
      <c r="BE1227" s="198"/>
      <c r="BF1227" s="198"/>
      <c r="BG1227" s="141"/>
      <c r="BM1227" s="163"/>
      <c r="BS1227" s="163"/>
    </row>
    <row r="1228" spans="47:71" x14ac:dyDescent="0.3">
      <c r="AX1228" s="102"/>
      <c r="BA1228" s="198"/>
      <c r="BB1228" s="163"/>
      <c r="BC1228" s="141"/>
      <c r="BD1228" s="163"/>
      <c r="BE1228" s="198"/>
      <c r="BF1228" s="198"/>
      <c r="BG1228" s="141"/>
      <c r="BM1228" s="163"/>
      <c r="BS1228" s="163"/>
    </row>
    <row r="1229" spans="47:71" x14ac:dyDescent="0.3">
      <c r="AX1229" s="102"/>
      <c r="AY1229" s="110"/>
      <c r="AZ1229" s="163"/>
      <c r="BA1229" s="163"/>
      <c r="BB1229" s="163"/>
      <c r="BC1229" s="141"/>
      <c r="BD1229" s="163"/>
      <c r="BE1229" s="198"/>
      <c r="BF1229" s="198"/>
      <c r="BG1229" s="141"/>
      <c r="BI1229" s="163"/>
      <c r="BJ1229" s="163"/>
      <c r="BK1229" s="163"/>
      <c r="BL1229" s="163"/>
      <c r="BM1229" s="163"/>
      <c r="BO1229" s="163"/>
      <c r="BP1229" s="163"/>
      <c r="BQ1229" s="163"/>
      <c r="BR1229" s="163"/>
      <c r="BS1229" s="163"/>
    </row>
    <row r="1230" spans="47:71" x14ac:dyDescent="0.3">
      <c r="AX1230" s="102"/>
      <c r="AY1230" s="110"/>
      <c r="AZ1230" s="163"/>
      <c r="BA1230" s="163"/>
      <c r="BB1230" s="163"/>
      <c r="BC1230" s="141"/>
      <c r="BD1230" s="163"/>
      <c r="BE1230" s="198"/>
      <c r="BF1230" s="198"/>
      <c r="BG1230" s="141"/>
      <c r="BI1230" s="163"/>
      <c r="BJ1230" s="163"/>
      <c r="BK1230" s="163"/>
      <c r="BL1230" s="163"/>
      <c r="BM1230" s="163"/>
      <c r="BO1230" s="163"/>
      <c r="BP1230" s="163"/>
      <c r="BQ1230" s="163"/>
      <c r="BR1230" s="163"/>
      <c r="BS1230" s="163"/>
    </row>
    <row r="1231" spans="47:71" x14ac:dyDescent="0.3">
      <c r="AX1231" s="102"/>
      <c r="AY1231" s="110"/>
      <c r="AZ1231" s="163"/>
      <c r="BA1231" s="163"/>
      <c r="BB1231" s="163"/>
      <c r="BC1231" s="141"/>
      <c r="BD1231" s="163"/>
      <c r="BE1231" s="198"/>
      <c r="BF1231" s="198"/>
      <c r="BG1231" s="141"/>
      <c r="BI1231" s="163"/>
      <c r="BJ1231" s="163"/>
      <c r="BK1231" s="163"/>
      <c r="BL1231" s="163"/>
      <c r="BM1231" s="163"/>
      <c r="BO1231" s="163"/>
      <c r="BP1231" s="163"/>
      <c r="BQ1231" s="163"/>
      <c r="BR1231" s="163"/>
      <c r="BS1231" s="163"/>
    </row>
    <row r="1232" spans="47:71" x14ac:dyDescent="0.3">
      <c r="AX1232" s="102"/>
      <c r="AY1232" s="110"/>
      <c r="AZ1232" s="163"/>
      <c r="BA1232" s="163"/>
      <c r="BB1232" s="163"/>
      <c r="BC1232" s="141"/>
      <c r="BD1232" s="163"/>
      <c r="BE1232" s="198"/>
      <c r="BF1232" s="198"/>
      <c r="BG1232" s="141"/>
      <c r="BI1232" s="163"/>
      <c r="BJ1232" s="163"/>
      <c r="BK1232" s="163"/>
      <c r="BL1232" s="163"/>
      <c r="BM1232" s="163"/>
      <c r="BO1232" s="163"/>
      <c r="BP1232" s="163"/>
      <c r="BQ1232" s="163"/>
      <c r="BR1232" s="163"/>
      <c r="BS1232" s="163"/>
    </row>
    <row r="1233" spans="47:71" x14ac:dyDescent="0.3">
      <c r="AX1233" s="102"/>
      <c r="AY1233" s="110"/>
      <c r="AZ1233" s="163"/>
      <c r="BA1233" s="163"/>
      <c r="BB1233" s="163"/>
      <c r="BC1233" s="141"/>
      <c r="BD1233" s="163"/>
      <c r="BE1233" s="198"/>
      <c r="BF1233" s="198"/>
      <c r="BG1233" s="141"/>
      <c r="BI1233" s="163"/>
      <c r="BJ1233" s="163"/>
      <c r="BK1233" s="163"/>
      <c r="BL1233" s="163"/>
      <c r="BM1233" s="163"/>
      <c r="BO1233" s="163"/>
      <c r="BP1233" s="163"/>
      <c r="BQ1233" s="163"/>
      <c r="BR1233" s="163"/>
      <c r="BS1233" s="163"/>
    </row>
    <row r="1234" spans="47:71" x14ac:dyDescent="0.3">
      <c r="AX1234" s="102"/>
      <c r="AY1234" s="110"/>
      <c r="AZ1234" s="163"/>
      <c r="BA1234" s="163"/>
      <c r="BB1234" s="163"/>
      <c r="BC1234" s="141"/>
      <c r="BD1234" s="163"/>
      <c r="BE1234" s="198"/>
      <c r="BF1234" s="198"/>
      <c r="BG1234" s="141"/>
      <c r="BI1234" s="163"/>
      <c r="BJ1234" s="163"/>
      <c r="BK1234" s="163"/>
      <c r="BL1234" s="163"/>
      <c r="BM1234" s="163"/>
      <c r="BO1234" s="163"/>
      <c r="BP1234" s="163"/>
      <c r="BQ1234" s="163"/>
      <c r="BR1234" s="163"/>
      <c r="BS1234" s="163"/>
    </row>
    <row r="1235" spans="47:71" x14ac:dyDescent="0.3">
      <c r="AX1235" s="102"/>
      <c r="AY1235" s="110"/>
      <c r="AZ1235" s="163"/>
      <c r="BA1235" s="163"/>
      <c r="BB1235" s="163"/>
      <c r="BC1235" s="141"/>
      <c r="BD1235" s="163"/>
      <c r="BE1235" s="198"/>
      <c r="BF1235" s="198"/>
      <c r="BG1235" s="141"/>
      <c r="BI1235" s="163"/>
      <c r="BJ1235" s="163"/>
      <c r="BK1235" s="163"/>
      <c r="BL1235" s="163"/>
      <c r="BM1235" s="163"/>
      <c r="BO1235" s="163"/>
      <c r="BP1235" s="163"/>
      <c r="BQ1235" s="163"/>
      <c r="BR1235" s="163"/>
      <c r="BS1235" s="163"/>
    </row>
    <row r="1236" spans="47:71" x14ac:dyDescent="0.3">
      <c r="AX1236" s="102"/>
      <c r="AY1236" s="110"/>
      <c r="AZ1236" s="163"/>
      <c r="BA1236" s="163"/>
      <c r="BB1236" s="163"/>
      <c r="BC1236" s="141"/>
      <c r="BD1236" s="163"/>
      <c r="BE1236" s="198"/>
      <c r="BF1236" s="198"/>
      <c r="BG1236" s="141"/>
      <c r="BI1236" s="163"/>
      <c r="BJ1236" s="163"/>
      <c r="BK1236" s="163"/>
      <c r="BL1236" s="163"/>
      <c r="BM1236" s="163"/>
      <c r="BO1236" s="163"/>
      <c r="BP1236" s="163"/>
      <c r="BQ1236" s="163"/>
      <c r="BR1236" s="163"/>
      <c r="BS1236" s="163"/>
    </row>
    <row r="1237" spans="47:71" x14ac:dyDescent="0.3">
      <c r="BA1237" s="198"/>
      <c r="BB1237" s="163"/>
      <c r="BC1237" s="141"/>
      <c r="BD1237" s="163"/>
      <c r="BE1237" s="198"/>
      <c r="BF1237" s="198"/>
      <c r="BG1237" s="141"/>
      <c r="BM1237" s="163"/>
      <c r="BS1237" s="163"/>
    </row>
    <row r="1238" spans="47:71" x14ac:dyDescent="0.3">
      <c r="AW1238" s="99"/>
      <c r="BB1238" s="163"/>
      <c r="BD1238" s="163"/>
      <c r="BI1238" s="163"/>
      <c r="BJ1238" s="163"/>
      <c r="BL1238" s="163"/>
      <c r="BM1238" s="163"/>
    </row>
    <row r="1239" spans="47:71" x14ac:dyDescent="0.3">
      <c r="BB1239" s="163"/>
      <c r="BD1239" s="163"/>
    </row>
    <row r="1240" spans="47:71" x14ac:dyDescent="0.3">
      <c r="AU1240" s="99"/>
      <c r="BB1240" s="163"/>
      <c r="BD1240" s="163"/>
      <c r="BK1240" s="163"/>
    </row>
    <row r="1241" spans="47:71" x14ac:dyDescent="0.3">
      <c r="BB1241" s="163"/>
      <c r="BD1241" s="163"/>
    </row>
    <row r="1242" spans="47:71" x14ac:dyDescent="0.3">
      <c r="BA1242" s="163"/>
      <c r="BD1242" s="163"/>
    </row>
    <row r="1243" spans="47:71" x14ac:dyDescent="0.3">
      <c r="BA1243" s="99"/>
      <c r="BB1243" s="163"/>
      <c r="BD1243" s="163"/>
    </row>
    <row r="1244" spans="47:71" x14ac:dyDescent="0.3">
      <c r="BA1244" s="99"/>
      <c r="BB1244" s="163"/>
      <c r="BD1244" s="163"/>
    </row>
    <row r="1245" spans="47:71" x14ac:dyDescent="0.3">
      <c r="BB1245" s="163"/>
      <c r="BD1245" s="163"/>
      <c r="BF1245" s="99"/>
    </row>
    <row r="1246" spans="47:71" x14ac:dyDescent="0.3">
      <c r="BB1246" s="163"/>
      <c r="BD1246" s="163"/>
      <c r="BF1246" s="99"/>
    </row>
    <row r="1247" spans="47:71" x14ac:dyDescent="0.3">
      <c r="AU1247" s="99"/>
      <c r="BB1247" s="163"/>
      <c r="BD1247" s="163"/>
      <c r="BF1247" s="99"/>
    </row>
    <row r="1248" spans="47:71" x14ac:dyDescent="0.3">
      <c r="BB1248" s="163"/>
      <c r="BD1248" s="163"/>
    </row>
    <row r="1249" spans="47:77" x14ac:dyDescent="0.3">
      <c r="AU1249" s="101"/>
      <c r="AV1249" s="101"/>
      <c r="AW1249" s="101"/>
      <c r="AX1249" s="101"/>
      <c r="AY1249" s="101"/>
      <c r="AZ1249" s="101"/>
      <c r="BA1249" s="101"/>
      <c r="BB1249" s="212"/>
      <c r="BC1249" s="101"/>
      <c r="BD1249" s="212"/>
      <c r="BE1249" s="101"/>
      <c r="BF1249" s="101"/>
      <c r="BG1249" s="101"/>
    </row>
    <row r="1250" spans="47:77" x14ac:dyDescent="0.3">
      <c r="AZ1250" s="99"/>
      <c r="BB1250" s="163"/>
      <c r="BD1250" s="163"/>
    </row>
    <row r="1251" spans="47:77" x14ac:dyDescent="0.3">
      <c r="AZ1251" s="101"/>
      <c r="BA1251" s="101"/>
      <c r="BB1251" s="212"/>
      <c r="BC1251" s="101"/>
      <c r="BD1251" s="163"/>
      <c r="BE1251" s="102"/>
      <c r="BF1251" s="102"/>
    </row>
    <row r="1252" spans="47:77" x14ac:dyDescent="0.3">
      <c r="AX1252" s="102"/>
      <c r="AY1252" s="102"/>
      <c r="BB1252" s="213"/>
      <c r="BC1252" s="102"/>
      <c r="BD1252" s="163"/>
      <c r="BE1252" s="102"/>
      <c r="BF1252" s="102"/>
      <c r="BG1252" s="102"/>
      <c r="BI1252" s="101"/>
      <c r="BJ1252" s="101"/>
      <c r="BK1252" s="99"/>
      <c r="BO1252" s="101"/>
      <c r="BP1252" s="101"/>
      <c r="BR1252" s="101"/>
      <c r="BS1252" s="101"/>
      <c r="BT1252" s="99"/>
      <c r="BX1252" s="101"/>
      <c r="BY1252" s="101"/>
    </row>
    <row r="1253" spans="47:77" x14ac:dyDescent="0.3">
      <c r="AX1253" s="102"/>
      <c r="AY1253" s="102"/>
      <c r="AZ1253" s="102"/>
      <c r="BA1253" s="102"/>
      <c r="BB1253" s="213"/>
      <c r="BC1253" s="102"/>
      <c r="BD1253" s="213"/>
      <c r="BE1253" s="102"/>
      <c r="BF1253" s="102"/>
      <c r="BG1253" s="102"/>
      <c r="BJ1253" s="102"/>
      <c r="BK1253" s="102"/>
      <c r="BL1253" s="102"/>
      <c r="BM1253" s="102"/>
      <c r="BN1253" s="102"/>
      <c r="BO1253" s="102"/>
      <c r="BS1253" s="102"/>
      <c r="BT1253" s="102"/>
      <c r="BU1253" s="102"/>
      <c r="BV1253" s="102"/>
      <c r="BW1253" s="102"/>
      <c r="BX1253" s="102"/>
    </row>
    <row r="1254" spans="47:77" x14ac:dyDescent="0.3">
      <c r="AU1254" s="102"/>
      <c r="AW1254" s="99"/>
      <c r="AX1254" s="102"/>
      <c r="AY1254" s="102"/>
      <c r="AZ1254" s="102"/>
      <c r="BA1254" s="102"/>
      <c r="BB1254" s="213"/>
      <c r="BC1254" s="102"/>
      <c r="BD1254" s="213"/>
      <c r="BE1254" s="102"/>
      <c r="BF1254" s="102"/>
      <c r="BG1254" s="102"/>
      <c r="BI1254" s="102"/>
      <c r="BJ1254" s="102"/>
      <c r="BK1254" s="102"/>
      <c r="BL1254" s="102"/>
      <c r="BM1254" s="102"/>
      <c r="BN1254" s="102"/>
      <c r="BO1254" s="102"/>
      <c r="BP1254" s="102"/>
      <c r="BR1254" s="102"/>
      <c r="BS1254" s="102"/>
      <c r="BT1254" s="102"/>
      <c r="BU1254" s="102"/>
      <c r="BV1254" s="102"/>
      <c r="BW1254" s="102"/>
      <c r="BX1254" s="102"/>
      <c r="BY1254" s="102"/>
    </row>
    <row r="1255" spans="47:77" x14ac:dyDescent="0.3">
      <c r="AU1255" s="102"/>
      <c r="AW1255" s="99"/>
      <c r="AX1255" s="102"/>
      <c r="AY1255" s="102"/>
      <c r="AZ1255" s="102"/>
      <c r="BA1255" s="102"/>
      <c r="BB1255" s="213"/>
      <c r="BC1255" s="102"/>
      <c r="BD1255" s="213"/>
      <c r="BE1255" s="102"/>
      <c r="BF1255" s="102"/>
      <c r="BG1255" s="102"/>
      <c r="BI1255" s="102"/>
      <c r="BJ1255" s="102"/>
      <c r="BK1255" s="102"/>
      <c r="BL1255" s="102"/>
      <c r="BM1255" s="102"/>
      <c r="BN1255" s="102"/>
      <c r="BO1255" s="102"/>
      <c r="BP1255" s="102"/>
      <c r="BR1255" s="102"/>
      <c r="BS1255" s="102"/>
      <c r="BT1255" s="102"/>
      <c r="BU1255" s="102"/>
      <c r="BV1255" s="102"/>
      <c r="BW1255" s="102"/>
      <c r="BX1255" s="102"/>
      <c r="BY1255" s="102"/>
    </row>
    <row r="1256" spans="47:77" x14ac:dyDescent="0.3">
      <c r="AU1256" s="101"/>
      <c r="AV1256" s="101"/>
      <c r="AW1256" s="101"/>
      <c r="AX1256" s="101"/>
      <c r="AY1256" s="101"/>
      <c r="AZ1256" s="101"/>
      <c r="BA1256" s="101"/>
      <c r="BB1256" s="212"/>
      <c r="BC1256" s="101"/>
      <c r="BD1256" s="212"/>
      <c r="BE1256" s="101"/>
      <c r="BF1256" s="101"/>
      <c r="BG1256" s="101"/>
      <c r="BI1256" s="101"/>
      <c r="BJ1256" s="101"/>
      <c r="BK1256" s="101"/>
      <c r="BL1256" s="101"/>
      <c r="BM1256" s="101"/>
      <c r="BN1256" s="101"/>
      <c r="BO1256" s="101"/>
      <c r="BP1256" s="101"/>
      <c r="BR1256" s="101"/>
      <c r="BS1256" s="101"/>
      <c r="BT1256" s="101"/>
      <c r="BU1256" s="101"/>
      <c r="BV1256" s="101"/>
      <c r="BW1256" s="101"/>
      <c r="BX1256" s="101"/>
      <c r="BY1256" s="101"/>
    </row>
    <row r="1257" spans="47:77" x14ac:dyDescent="0.3">
      <c r="AX1257" s="102"/>
      <c r="AY1257" s="102"/>
      <c r="AZ1257" s="102"/>
      <c r="BA1257" s="102"/>
      <c r="BB1257" s="213"/>
      <c r="BC1257" s="102"/>
      <c r="BD1257" s="213"/>
      <c r="BE1257" s="102"/>
      <c r="BF1257" s="102"/>
      <c r="BG1257" s="102"/>
      <c r="BI1257" s="163"/>
      <c r="BJ1257" s="163"/>
      <c r="BK1257" s="163"/>
      <c r="BL1257" s="163"/>
      <c r="BM1257" s="163"/>
      <c r="BN1257" s="163"/>
      <c r="BO1257" s="163"/>
      <c r="BP1257" s="163"/>
      <c r="BQ1257" s="163"/>
      <c r="BR1257" s="163"/>
      <c r="BS1257" s="163"/>
      <c r="BT1257" s="163"/>
      <c r="BU1257" s="163"/>
      <c r="BV1257" s="163"/>
      <c r="BW1257" s="163"/>
      <c r="BX1257" s="163"/>
      <c r="BY1257" s="163"/>
    </row>
    <row r="1258" spans="47:77" x14ac:dyDescent="0.3">
      <c r="AW1258" s="99"/>
      <c r="AY1258" s="110"/>
      <c r="AZ1258" s="163"/>
      <c r="BA1258" s="163"/>
      <c r="BB1258" s="163"/>
      <c r="BC1258" s="207"/>
      <c r="BD1258" s="163"/>
      <c r="BE1258" s="163"/>
      <c r="BF1258" s="163"/>
      <c r="BG1258" s="207"/>
      <c r="BI1258" s="163"/>
      <c r="BJ1258" s="163"/>
      <c r="BK1258" s="163"/>
      <c r="BL1258" s="163"/>
      <c r="BM1258" s="163"/>
      <c r="BN1258" s="163"/>
      <c r="BO1258" s="163"/>
      <c r="BP1258" s="163"/>
      <c r="BQ1258" s="163"/>
      <c r="BR1258" s="163"/>
      <c r="BS1258" s="163"/>
      <c r="BT1258" s="163"/>
      <c r="BU1258" s="163"/>
      <c r="BV1258" s="163"/>
      <c r="BW1258" s="163"/>
      <c r="BX1258" s="163"/>
      <c r="BY1258" s="163"/>
    </row>
    <row r="1259" spans="47:77" x14ac:dyDescent="0.3">
      <c r="AY1259" s="110"/>
      <c r="AZ1259" s="163"/>
      <c r="BA1259" s="163"/>
      <c r="BB1259" s="163"/>
      <c r="BC1259" s="207"/>
      <c r="BD1259" s="163"/>
      <c r="BE1259" s="163"/>
      <c r="BF1259" s="163"/>
      <c r="BG1259" s="207"/>
      <c r="BI1259" s="163"/>
      <c r="BJ1259" s="163"/>
      <c r="BK1259" s="163"/>
      <c r="BL1259" s="163"/>
      <c r="BM1259" s="163"/>
      <c r="BN1259" s="163"/>
      <c r="BO1259" s="163"/>
      <c r="BP1259" s="163"/>
      <c r="BQ1259" s="163"/>
      <c r="BR1259" s="163"/>
      <c r="BS1259" s="163"/>
      <c r="BT1259" s="163"/>
      <c r="BU1259" s="163"/>
      <c r="BV1259" s="163"/>
      <c r="BW1259" s="163"/>
      <c r="BX1259" s="163"/>
      <c r="BY1259" s="163"/>
    </row>
    <row r="1260" spans="47:77" x14ac:dyDescent="0.3">
      <c r="AY1260" s="110"/>
      <c r="AZ1260" s="163"/>
      <c r="BA1260" s="163"/>
      <c r="BB1260" s="163"/>
      <c r="BC1260" s="207"/>
      <c r="BD1260" s="163"/>
      <c r="BE1260" s="163"/>
      <c r="BF1260" s="163"/>
      <c r="BG1260" s="207"/>
      <c r="BI1260" s="163"/>
      <c r="BJ1260" s="163"/>
      <c r="BK1260" s="163"/>
      <c r="BL1260" s="163"/>
      <c r="BM1260" s="163"/>
      <c r="BN1260" s="163"/>
      <c r="BO1260" s="163"/>
      <c r="BP1260" s="163"/>
      <c r="BQ1260" s="163"/>
      <c r="BR1260" s="163"/>
      <c r="BS1260" s="163"/>
      <c r="BT1260" s="163"/>
      <c r="BU1260" s="163"/>
      <c r="BV1260" s="163"/>
      <c r="BW1260" s="163"/>
      <c r="BX1260" s="163"/>
      <c r="BY1260" s="163"/>
    </row>
    <row r="1261" spans="47:77" x14ac:dyDescent="0.3">
      <c r="AY1261" s="110"/>
      <c r="AZ1261" s="163"/>
      <c r="BA1261" s="163"/>
      <c r="BB1261" s="163"/>
      <c r="BC1261" s="207"/>
      <c r="BD1261" s="163"/>
      <c r="BE1261" s="163"/>
      <c r="BF1261" s="163"/>
      <c r="BG1261" s="207"/>
      <c r="BI1261" s="163"/>
      <c r="BJ1261" s="163"/>
      <c r="BK1261" s="163"/>
      <c r="BL1261" s="163"/>
      <c r="BM1261" s="163"/>
      <c r="BN1261" s="163"/>
      <c r="BO1261" s="163"/>
      <c r="BP1261" s="163"/>
      <c r="BQ1261" s="163"/>
      <c r="BR1261" s="163"/>
      <c r="BS1261" s="163"/>
      <c r="BT1261" s="163"/>
      <c r="BU1261" s="163"/>
      <c r="BV1261" s="163"/>
      <c r="BW1261" s="163"/>
      <c r="BX1261" s="163"/>
      <c r="BY1261" s="163"/>
    </row>
    <row r="1262" spans="47:77" x14ac:dyDescent="0.3">
      <c r="AY1262" s="110"/>
      <c r="AZ1262" s="163"/>
      <c r="BA1262" s="163"/>
      <c r="BB1262" s="163"/>
      <c r="BC1262" s="207"/>
      <c r="BD1262" s="163"/>
      <c r="BE1262" s="163"/>
      <c r="BF1262" s="163"/>
      <c r="BG1262" s="207"/>
      <c r="BI1262" s="163"/>
      <c r="BJ1262" s="163"/>
      <c r="BK1262" s="163"/>
      <c r="BL1262" s="163"/>
      <c r="BM1262" s="163"/>
      <c r="BN1262" s="163"/>
      <c r="BO1262" s="163"/>
      <c r="BP1262" s="163"/>
      <c r="BQ1262" s="163"/>
      <c r="BR1262" s="163"/>
      <c r="BS1262" s="163"/>
      <c r="BT1262" s="163"/>
      <c r="BU1262" s="163"/>
      <c r="BV1262" s="163"/>
      <c r="BW1262" s="163"/>
      <c r="BX1262" s="163"/>
      <c r="BY1262" s="163"/>
    </row>
    <row r="1263" spans="47:77" x14ac:dyDescent="0.3">
      <c r="AY1263" s="110"/>
      <c r="AZ1263" s="163"/>
      <c r="BA1263" s="163"/>
      <c r="BB1263" s="163"/>
      <c r="BC1263" s="207"/>
      <c r="BD1263" s="163"/>
      <c r="BE1263" s="163"/>
      <c r="BF1263" s="163"/>
      <c r="BG1263" s="207"/>
      <c r="BI1263" s="163"/>
      <c r="BJ1263" s="163"/>
      <c r="BK1263" s="163"/>
      <c r="BL1263" s="163"/>
      <c r="BM1263" s="163"/>
      <c r="BN1263" s="163"/>
      <c r="BO1263" s="163"/>
      <c r="BP1263" s="163"/>
      <c r="BQ1263" s="163"/>
      <c r="BR1263" s="163"/>
      <c r="BS1263" s="163"/>
      <c r="BT1263" s="163"/>
      <c r="BU1263" s="163"/>
      <c r="BV1263" s="163"/>
      <c r="BW1263" s="163"/>
      <c r="BX1263" s="163"/>
      <c r="BY1263" s="163"/>
    </row>
    <row r="1264" spans="47:77" x14ac:dyDescent="0.3">
      <c r="AY1264" s="110"/>
      <c r="AZ1264" s="163"/>
      <c r="BA1264" s="163"/>
      <c r="BB1264" s="163"/>
      <c r="BC1264" s="207"/>
      <c r="BD1264" s="163"/>
      <c r="BE1264" s="163"/>
      <c r="BF1264" s="163"/>
      <c r="BG1264" s="207"/>
      <c r="BI1264" s="163"/>
      <c r="BJ1264" s="163"/>
      <c r="BK1264" s="163"/>
      <c r="BL1264" s="163"/>
      <c r="BM1264" s="163"/>
      <c r="BN1264" s="163"/>
      <c r="BO1264" s="163"/>
      <c r="BP1264" s="163"/>
      <c r="BQ1264" s="163"/>
      <c r="BR1264" s="163"/>
      <c r="BS1264" s="163"/>
      <c r="BT1264" s="163"/>
      <c r="BU1264" s="163"/>
      <c r="BV1264" s="163"/>
      <c r="BW1264" s="163"/>
      <c r="BX1264" s="163"/>
      <c r="BY1264" s="163"/>
    </row>
    <row r="1265" spans="49:77" x14ac:dyDescent="0.3">
      <c r="AY1265" s="110"/>
      <c r="AZ1265" s="163"/>
      <c r="BA1265" s="163"/>
      <c r="BB1265" s="163"/>
      <c r="BC1265" s="207"/>
      <c r="BD1265" s="163"/>
      <c r="BE1265" s="163"/>
      <c r="BF1265" s="163"/>
      <c r="BG1265" s="207"/>
      <c r="BI1265" s="163"/>
      <c r="BJ1265" s="163"/>
      <c r="BK1265" s="163"/>
      <c r="BL1265" s="163"/>
      <c r="BM1265" s="163"/>
      <c r="BN1265" s="163"/>
      <c r="BO1265" s="163"/>
      <c r="BP1265" s="163"/>
      <c r="BQ1265" s="163"/>
      <c r="BR1265" s="163"/>
      <c r="BS1265" s="163"/>
      <c r="BT1265" s="163"/>
      <c r="BU1265" s="163"/>
      <c r="BV1265" s="163"/>
      <c r="BW1265" s="163"/>
      <c r="BX1265" s="163"/>
      <c r="BY1265" s="163"/>
    </row>
    <row r="1266" spans="49:77" x14ac:dyDescent="0.3">
      <c r="AY1266" s="110"/>
      <c r="AZ1266" s="163"/>
      <c r="BA1266" s="163"/>
      <c r="BB1266" s="163"/>
      <c r="BC1266" s="207"/>
      <c r="BD1266" s="163"/>
      <c r="BE1266" s="163"/>
      <c r="BF1266" s="163"/>
      <c r="BG1266" s="207"/>
      <c r="BI1266" s="163"/>
      <c r="BJ1266" s="163"/>
      <c r="BK1266" s="163"/>
      <c r="BL1266" s="163"/>
      <c r="BM1266" s="163"/>
      <c r="BN1266" s="163"/>
      <c r="BO1266" s="163"/>
      <c r="BP1266" s="163"/>
      <c r="BQ1266" s="163"/>
      <c r="BR1266" s="163"/>
      <c r="BS1266" s="163"/>
      <c r="BT1266" s="163"/>
      <c r="BU1266" s="163"/>
      <c r="BV1266" s="163"/>
      <c r="BW1266" s="163"/>
      <c r="BX1266" s="163"/>
      <c r="BY1266" s="163"/>
    </row>
    <row r="1267" spans="49:77" x14ac:dyDescent="0.3">
      <c r="AY1267" s="110"/>
      <c r="AZ1267" s="163"/>
      <c r="BA1267" s="163"/>
      <c r="BB1267" s="163"/>
      <c r="BC1267" s="207"/>
      <c r="BD1267" s="163"/>
      <c r="BE1267" s="163"/>
      <c r="BF1267" s="163"/>
      <c r="BG1267" s="207"/>
      <c r="BI1267" s="163"/>
      <c r="BJ1267" s="163"/>
      <c r="BK1267" s="163"/>
      <c r="BL1267" s="163"/>
      <c r="BM1267" s="163"/>
      <c r="BN1267" s="163"/>
      <c r="BO1267" s="163"/>
      <c r="BP1267" s="163"/>
      <c r="BQ1267" s="163"/>
      <c r="BR1267" s="163"/>
      <c r="BS1267" s="163"/>
      <c r="BT1267" s="163"/>
      <c r="BU1267" s="163"/>
      <c r="BV1267" s="163"/>
      <c r="BW1267" s="163"/>
      <c r="BX1267" s="163"/>
      <c r="BY1267" s="163"/>
    </row>
    <row r="1268" spans="49:77" x14ac:dyDescent="0.3">
      <c r="AY1268" s="110"/>
      <c r="AZ1268" s="163"/>
      <c r="BA1268" s="163"/>
      <c r="BB1268" s="163"/>
      <c r="BC1268" s="207"/>
      <c r="BD1268" s="163"/>
      <c r="BE1268" s="163"/>
      <c r="BF1268" s="163"/>
      <c r="BG1268" s="207"/>
      <c r="BI1268" s="163"/>
      <c r="BJ1268" s="163"/>
      <c r="BK1268" s="163"/>
      <c r="BL1268" s="163"/>
      <c r="BM1268" s="163"/>
      <c r="BN1268" s="163"/>
      <c r="BO1268" s="163"/>
      <c r="BP1268" s="163"/>
      <c r="BQ1268" s="163"/>
      <c r="BR1268" s="163"/>
      <c r="BS1268" s="163"/>
      <c r="BT1268" s="163"/>
      <c r="BU1268" s="163"/>
      <c r="BV1268" s="163"/>
      <c r="BW1268" s="163"/>
      <c r="BX1268" s="163"/>
      <c r="BY1268" s="163"/>
    </row>
    <row r="1269" spans="49:77" x14ac:dyDescent="0.3">
      <c r="AY1269" s="110"/>
      <c r="AZ1269" s="163"/>
      <c r="BA1269" s="163"/>
      <c r="BB1269" s="163"/>
      <c r="BC1269" s="207"/>
      <c r="BD1269" s="163"/>
      <c r="BE1269" s="163"/>
      <c r="BF1269" s="163"/>
      <c r="BG1269" s="207"/>
      <c r="BI1269" s="163"/>
      <c r="BJ1269" s="163"/>
      <c r="BK1269" s="163"/>
      <c r="BL1269" s="163"/>
      <c r="BM1269" s="163"/>
      <c r="BN1269" s="163"/>
      <c r="BO1269" s="163"/>
      <c r="BP1269" s="163"/>
      <c r="BQ1269" s="163"/>
      <c r="BR1269" s="163"/>
      <c r="BS1269" s="163"/>
      <c r="BT1269" s="163"/>
      <c r="BU1269" s="163"/>
      <c r="BV1269" s="163"/>
      <c r="BW1269" s="163"/>
      <c r="BX1269" s="163"/>
      <c r="BY1269" s="163"/>
    </row>
    <row r="1270" spans="49:77" x14ac:dyDescent="0.3">
      <c r="AY1270" s="110"/>
      <c r="AZ1270" s="163"/>
      <c r="BA1270" s="163"/>
      <c r="BB1270" s="163"/>
      <c r="BC1270" s="207"/>
      <c r="BD1270" s="163"/>
      <c r="BE1270" s="163"/>
      <c r="BF1270" s="163"/>
      <c r="BG1270" s="207"/>
      <c r="BI1270" s="163"/>
      <c r="BJ1270" s="163"/>
      <c r="BK1270" s="163"/>
      <c r="BL1270" s="163"/>
      <c r="BM1270" s="163"/>
      <c r="BN1270" s="163"/>
      <c r="BO1270" s="163"/>
      <c r="BP1270" s="163"/>
      <c r="BQ1270" s="163"/>
      <c r="BR1270" s="163"/>
      <c r="BS1270" s="163"/>
      <c r="BT1270" s="163"/>
      <c r="BU1270" s="163"/>
      <c r="BV1270" s="163"/>
      <c r="BW1270" s="163"/>
      <c r="BX1270" s="163"/>
      <c r="BY1270" s="163"/>
    </row>
    <row r="1271" spans="49:77" x14ac:dyDescent="0.3">
      <c r="AY1271" s="110"/>
      <c r="AZ1271" s="163"/>
      <c r="BA1271" s="163"/>
      <c r="BB1271" s="163"/>
      <c r="BC1271" s="207"/>
      <c r="BD1271" s="163"/>
      <c r="BE1271" s="163"/>
      <c r="BF1271" s="163"/>
      <c r="BG1271" s="207"/>
      <c r="BI1271" s="163"/>
      <c r="BJ1271" s="163"/>
      <c r="BK1271" s="163"/>
      <c r="BL1271" s="163"/>
      <c r="BM1271" s="163"/>
      <c r="BN1271" s="163"/>
      <c r="BO1271" s="163"/>
      <c r="BP1271" s="163"/>
      <c r="BQ1271" s="163"/>
      <c r="BR1271" s="163"/>
      <c r="BS1271" s="163"/>
      <c r="BT1271" s="163"/>
      <c r="BU1271" s="163"/>
      <c r="BV1271" s="163"/>
      <c r="BW1271" s="163"/>
      <c r="BX1271" s="163"/>
      <c r="BY1271" s="163"/>
    </row>
    <row r="1272" spans="49:77" x14ac:dyDescent="0.3">
      <c r="AY1272" s="110"/>
      <c r="AZ1272" s="163"/>
      <c r="BA1272" s="163"/>
      <c r="BB1272" s="163"/>
      <c r="BC1272" s="207"/>
      <c r="BD1272" s="163"/>
      <c r="BE1272" s="163"/>
      <c r="BF1272" s="163"/>
      <c r="BG1272" s="207"/>
      <c r="BI1272" s="163"/>
      <c r="BJ1272" s="163"/>
      <c r="BK1272" s="163"/>
      <c r="BL1272" s="163"/>
      <c r="BM1272" s="163"/>
      <c r="BN1272" s="163"/>
      <c r="BO1272" s="163"/>
      <c r="BP1272" s="163"/>
      <c r="BQ1272" s="163"/>
      <c r="BR1272" s="163"/>
      <c r="BS1272" s="163"/>
      <c r="BT1272" s="163"/>
      <c r="BU1272" s="163"/>
      <c r="BV1272" s="163"/>
      <c r="BW1272" s="163"/>
      <c r="BX1272" s="163"/>
      <c r="BY1272" s="163"/>
    </row>
    <row r="1273" spans="49:77" x14ac:dyDescent="0.3">
      <c r="AY1273" s="110"/>
      <c r="AZ1273" s="163"/>
      <c r="BA1273" s="163"/>
      <c r="BB1273" s="163"/>
      <c r="BC1273" s="207"/>
      <c r="BD1273" s="163"/>
      <c r="BE1273" s="163"/>
      <c r="BF1273" s="163"/>
      <c r="BG1273" s="207"/>
      <c r="BI1273" s="163"/>
      <c r="BJ1273" s="163"/>
      <c r="BK1273" s="163"/>
      <c r="BL1273" s="163"/>
      <c r="BM1273" s="163"/>
      <c r="BN1273" s="163"/>
      <c r="BO1273" s="163"/>
      <c r="BP1273" s="163"/>
      <c r="BQ1273" s="163"/>
      <c r="BR1273" s="163"/>
      <c r="BS1273" s="163"/>
      <c r="BT1273" s="163"/>
      <c r="BU1273" s="163"/>
      <c r="BV1273" s="163"/>
      <c r="BW1273" s="163"/>
      <c r="BX1273" s="163"/>
      <c r="BY1273" s="163"/>
    </row>
    <row r="1274" spans="49:77" x14ac:dyDescent="0.3">
      <c r="AY1274" s="110"/>
      <c r="AZ1274" s="163"/>
      <c r="BA1274" s="163"/>
      <c r="BB1274" s="163"/>
      <c r="BC1274" s="207"/>
      <c r="BD1274" s="163"/>
      <c r="BE1274" s="163"/>
      <c r="BF1274" s="163"/>
      <c r="BG1274" s="207"/>
      <c r="BI1274" s="163"/>
      <c r="BJ1274" s="163"/>
      <c r="BK1274" s="163"/>
      <c r="BL1274" s="163"/>
      <c r="BM1274" s="163"/>
      <c r="BN1274" s="163"/>
      <c r="BO1274" s="163"/>
      <c r="BP1274" s="163"/>
      <c r="BQ1274" s="163"/>
      <c r="BR1274" s="163"/>
      <c r="BS1274" s="163"/>
      <c r="BT1274" s="163"/>
      <c r="BU1274" s="163"/>
      <c r="BV1274" s="163"/>
      <c r="BW1274" s="163"/>
      <c r="BX1274" s="163"/>
      <c r="BY1274" s="163"/>
    </row>
    <row r="1275" spans="49:77" x14ac:dyDescent="0.3">
      <c r="AY1275" s="110"/>
      <c r="AZ1275" s="163"/>
      <c r="BA1275" s="163"/>
      <c r="BB1275" s="163"/>
      <c r="BC1275" s="207"/>
      <c r="BD1275" s="163"/>
      <c r="BE1275" s="163"/>
      <c r="BF1275" s="163"/>
      <c r="BG1275" s="207"/>
      <c r="BI1275" s="163"/>
      <c r="BJ1275" s="163"/>
      <c r="BK1275" s="163"/>
      <c r="BL1275" s="163"/>
      <c r="BM1275" s="163"/>
      <c r="BN1275" s="163"/>
      <c r="BO1275" s="163"/>
      <c r="BP1275" s="163"/>
      <c r="BQ1275" s="163"/>
      <c r="BR1275" s="163"/>
      <c r="BS1275" s="163"/>
      <c r="BT1275" s="163"/>
      <c r="BU1275" s="163"/>
      <c r="BV1275" s="163"/>
      <c r="BW1275" s="163"/>
      <c r="BX1275" s="163"/>
      <c r="BY1275" s="163"/>
    </row>
    <row r="1276" spans="49:77" x14ac:dyDescent="0.3">
      <c r="AY1276" s="110"/>
      <c r="AZ1276" s="163"/>
      <c r="BA1276" s="163"/>
      <c r="BB1276" s="163"/>
      <c r="BC1276" s="207"/>
      <c r="BD1276" s="163"/>
      <c r="BE1276" s="163"/>
      <c r="BF1276" s="163"/>
      <c r="BG1276" s="207"/>
      <c r="BI1276" s="163"/>
      <c r="BJ1276" s="163"/>
      <c r="BK1276" s="163"/>
      <c r="BL1276" s="163"/>
      <c r="BM1276" s="163"/>
      <c r="BN1276" s="163"/>
      <c r="BO1276" s="163"/>
      <c r="BP1276" s="163"/>
      <c r="BQ1276" s="163"/>
      <c r="BR1276" s="163"/>
      <c r="BS1276" s="163"/>
      <c r="BT1276" s="163"/>
      <c r="BU1276" s="163"/>
      <c r="BV1276" s="163"/>
      <c r="BW1276" s="163"/>
      <c r="BX1276" s="163"/>
      <c r="BY1276" s="163"/>
    </row>
    <row r="1277" spans="49:77" x14ac:dyDescent="0.3">
      <c r="AY1277" s="110"/>
      <c r="AZ1277" s="163"/>
      <c r="BA1277" s="163"/>
      <c r="BB1277" s="163"/>
      <c r="BC1277" s="207"/>
      <c r="BD1277" s="163"/>
      <c r="BE1277" s="163"/>
      <c r="BF1277" s="163"/>
      <c r="BG1277" s="207"/>
      <c r="BI1277" s="163"/>
      <c r="BJ1277" s="163"/>
      <c r="BK1277" s="163"/>
      <c r="BL1277" s="163"/>
      <c r="BM1277" s="163"/>
      <c r="BN1277" s="163"/>
      <c r="BO1277" s="163"/>
      <c r="BP1277" s="163"/>
      <c r="BQ1277" s="163"/>
      <c r="BR1277" s="163"/>
      <c r="BS1277" s="163"/>
      <c r="BT1277" s="163"/>
      <c r="BU1277" s="163"/>
      <c r="BV1277" s="163"/>
      <c r="BW1277" s="163"/>
      <c r="BX1277" s="163"/>
      <c r="BY1277" s="163"/>
    </row>
    <row r="1278" spans="49:77" x14ac:dyDescent="0.3">
      <c r="AY1278" s="110"/>
      <c r="AZ1278" s="163"/>
      <c r="BA1278" s="163"/>
      <c r="BB1278" s="163"/>
      <c r="BC1278" s="207"/>
      <c r="BD1278" s="163"/>
      <c r="BE1278" s="163"/>
      <c r="BF1278" s="163"/>
      <c r="BG1278" s="207"/>
      <c r="BI1278" s="163"/>
      <c r="BJ1278" s="163"/>
      <c r="BK1278" s="163"/>
      <c r="BL1278" s="163"/>
      <c r="BM1278" s="163"/>
      <c r="BN1278" s="163"/>
      <c r="BO1278" s="163"/>
      <c r="BP1278" s="163"/>
      <c r="BQ1278" s="163"/>
      <c r="BR1278" s="163"/>
      <c r="BS1278" s="163"/>
      <c r="BT1278" s="163"/>
      <c r="BU1278" s="163"/>
      <c r="BV1278" s="163"/>
      <c r="BW1278" s="163"/>
      <c r="BX1278" s="163"/>
      <c r="BY1278" s="163"/>
    </row>
    <row r="1279" spans="49:77" x14ac:dyDescent="0.3">
      <c r="AY1279" s="110"/>
      <c r="AZ1279" s="163"/>
      <c r="BA1279" s="163"/>
      <c r="BB1279" s="163"/>
      <c r="BC1279" s="207"/>
      <c r="BD1279" s="163"/>
      <c r="BE1279" s="163"/>
      <c r="BF1279" s="163"/>
      <c r="BG1279" s="207"/>
      <c r="BI1279" s="101"/>
      <c r="BJ1279" s="101"/>
      <c r="BK1279" s="99"/>
      <c r="BO1279" s="101"/>
      <c r="BP1279" s="101"/>
      <c r="BQ1279" s="163"/>
      <c r="BR1279" s="101"/>
      <c r="BS1279" s="101"/>
      <c r="BT1279" s="99"/>
      <c r="BX1279" s="101"/>
      <c r="BY1279" s="101"/>
    </row>
    <row r="1280" spans="49:77" x14ac:dyDescent="0.3">
      <c r="AW1280" s="99"/>
      <c r="AX1280" s="102"/>
      <c r="AY1280" s="110"/>
      <c r="AZ1280" s="163"/>
      <c r="BA1280" s="163"/>
      <c r="BB1280" s="163"/>
      <c r="BC1280" s="207"/>
      <c r="BD1280" s="163"/>
      <c r="BE1280" s="163"/>
      <c r="BF1280" s="163"/>
      <c r="BG1280" s="207"/>
      <c r="BI1280" s="213"/>
      <c r="BJ1280" s="163"/>
      <c r="BK1280" s="163"/>
      <c r="BL1280" s="163"/>
      <c r="BM1280" s="213"/>
      <c r="BN1280" s="214"/>
      <c r="BO1280" s="163"/>
      <c r="BP1280" s="213"/>
      <c r="BQ1280" s="163"/>
      <c r="BR1280" s="213"/>
      <c r="BS1280" s="163"/>
      <c r="BT1280" s="163"/>
      <c r="BU1280" s="163"/>
      <c r="BV1280" s="213"/>
      <c r="BW1280" s="214"/>
      <c r="BX1280" s="163"/>
      <c r="BY1280" s="213"/>
    </row>
    <row r="1281" spans="47:77" x14ac:dyDescent="0.3">
      <c r="AX1281" s="102"/>
      <c r="AY1281" s="110"/>
      <c r="AZ1281" s="163"/>
      <c r="BA1281" s="163"/>
      <c r="BB1281" s="163"/>
      <c r="BC1281" s="207"/>
      <c r="BD1281" s="163"/>
      <c r="BE1281" s="163"/>
      <c r="BF1281" s="163"/>
      <c r="BG1281" s="207"/>
      <c r="BI1281" s="163"/>
      <c r="BJ1281" s="163"/>
      <c r="BK1281" s="163"/>
      <c r="BL1281" s="163"/>
      <c r="BM1281" s="163"/>
      <c r="BN1281" s="214"/>
      <c r="BO1281" s="163"/>
      <c r="BP1281" s="163"/>
      <c r="BQ1281" s="163"/>
      <c r="BR1281" s="163"/>
      <c r="BS1281" s="163"/>
      <c r="BT1281" s="163"/>
      <c r="BU1281" s="163"/>
      <c r="BV1281" s="163"/>
      <c r="BW1281" s="214"/>
      <c r="BX1281" s="163"/>
      <c r="BY1281" s="163"/>
    </row>
    <row r="1282" spans="47:77" x14ac:dyDescent="0.3">
      <c r="AX1282" s="102"/>
      <c r="AY1282" s="110"/>
      <c r="AZ1282" s="163"/>
      <c r="BA1282" s="163"/>
      <c r="BB1282" s="163"/>
      <c r="BC1282" s="207"/>
      <c r="BD1282" s="163"/>
      <c r="BE1282" s="163"/>
      <c r="BF1282" s="163"/>
      <c r="BG1282" s="207"/>
      <c r="BI1282" s="163"/>
      <c r="BJ1282" s="163"/>
      <c r="BK1282" s="163"/>
      <c r="BL1282" s="163"/>
      <c r="BM1282" s="163"/>
      <c r="BN1282" s="214"/>
      <c r="BO1282" s="163"/>
      <c r="BP1282" s="163"/>
      <c r="BQ1282" s="163"/>
      <c r="BR1282" s="163"/>
      <c r="BS1282" s="163"/>
      <c r="BT1282" s="163"/>
      <c r="BU1282" s="163"/>
      <c r="BV1282" s="163"/>
      <c r="BW1282" s="214"/>
      <c r="BX1282" s="163"/>
      <c r="BY1282" s="163"/>
    </row>
    <row r="1283" spans="47:77" x14ac:dyDescent="0.3">
      <c r="AX1283" s="102"/>
      <c r="AY1283" s="110"/>
      <c r="AZ1283" s="163"/>
      <c r="BA1283" s="163"/>
      <c r="BB1283" s="163"/>
      <c r="BC1283" s="207"/>
      <c r="BD1283" s="163"/>
      <c r="BE1283" s="163"/>
      <c r="BF1283" s="163"/>
      <c r="BG1283" s="207"/>
      <c r="BI1283" s="163"/>
      <c r="BJ1283" s="163"/>
      <c r="BK1283" s="163"/>
      <c r="BL1283" s="163"/>
      <c r="BM1283" s="163"/>
      <c r="BN1283" s="214"/>
      <c r="BO1283" s="163"/>
      <c r="BP1283" s="163"/>
      <c r="BQ1283" s="163"/>
      <c r="BR1283" s="163"/>
      <c r="BS1283" s="163"/>
      <c r="BT1283" s="163"/>
      <c r="BU1283" s="163"/>
      <c r="BV1283" s="163"/>
      <c r="BW1283" s="214"/>
      <c r="BX1283" s="163"/>
      <c r="BY1283" s="163"/>
    </row>
    <row r="1284" spans="47:77" x14ac:dyDescent="0.3">
      <c r="AZ1284" s="163"/>
      <c r="BA1284" s="163"/>
      <c r="BB1284" s="163"/>
      <c r="BC1284" s="207"/>
      <c r="BD1284" s="163"/>
      <c r="BE1284" s="163"/>
      <c r="BF1284" s="163"/>
      <c r="BG1284" s="207"/>
      <c r="BI1284" s="163"/>
      <c r="BJ1284" s="163"/>
      <c r="BK1284" s="163"/>
      <c r="BL1284" s="163"/>
      <c r="BM1284" s="163"/>
      <c r="BN1284" s="163"/>
      <c r="BO1284" s="163"/>
      <c r="BP1284" s="163"/>
      <c r="BQ1284" s="163"/>
      <c r="BR1284" s="163"/>
      <c r="BS1284" s="163"/>
      <c r="BT1284" s="163"/>
      <c r="BU1284" s="163"/>
      <c r="BV1284" s="163"/>
      <c r="BW1284" s="163"/>
      <c r="BX1284" s="163"/>
    </row>
    <row r="1285" spans="47:77" x14ac:dyDescent="0.3">
      <c r="AW1285" s="99"/>
    </row>
    <row r="1286" spans="47:77" x14ac:dyDescent="0.3">
      <c r="AW1286" s="99"/>
      <c r="BB1286" s="163"/>
      <c r="BC1286" s="207"/>
      <c r="BD1286" s="163"/>
      <c r="BE1286" s="163"/>
      <c r="BF1286" s="163"/>
      <c r="BG1286" s="207"/>
      <c r="BI1286" s="163"/>
      <c r="BJ1286" s="163"/>
      <c r="BK1286" s="163"/>
      <c r="BL1286" s="163"/>
      <c r="BM1286" s="163"/>
      <c r="BN1286" s="163"/>
      <c r="BO1286" s="163"/>
      <c r="BP1286" s="163"/>
      <c r="BQ1286" s="163"/>
      <c r="BR1286" s="163"/>
      <c r="BS1286" s="163"/>
      <c r="BT1286" s="163"/>
      <c r="BU1286" s="163"/>
      <c r="BV1286" s="163"/>
      <c r="BW1286" s="163"/>
      <c r="BX1286" s="163"/>
    </row>
    <row r="1287" spans="47:77" x14ac:dyDescent="0.3">
      <c r="AU1287" s="99"/>
      <c r="BB1287" s="163"/>
      <c r="BD1287" s="163"/>
    </row>
    <row r="1288" spans="47:77" x14ac:dyDescent="0.3">
      <c r="BB1288" s="163"/>
      <c r="BD1288" s="163"/>
      <c r="BQ1288" s="163"/>
      <c r="BR1288" s="163"/>
      <c r="BS1288" s="163"/>
      <c r="BT1288" s="163"/>
      <c r="BU1288" s="163"/>
      <c r="BV1288" s="163"/>
      <c r="BW1288" s="163"/>
      <c r="BX1288" s="163"/>
    </row>
    <row r="1289" spans="47:77" x14ac:dyDescent="0.3">
      <c r="BA1289" s="163"/>
      <c r="BB1289" s="163"/>
      <c r="BD1289" s="163"/>
      <c r="BQ1289" s="163"/>
      <c r="BR1289" s="163"/>
      <c r="BS1289" s="163"/>
      <c r="BT1289" s="163"/>
      <c r="BU1289" s="163"/>
      <c r="BV1289" s="163"/>
      <c r="BW1289" s="163"/>
      <c r="BX1289" s="163"/>
    </row>
    <row r="1290" spans="47:77" x14ac:dyDescent="0.3">
      <c r="BA1290" s="99"/>
      <c r="BB1290" s="163"/>
      <c r="BD1290" s="163"/>
      <c r="BQ1290" s="163"/>
      <c r="BR1290" s="163"/>
      <c r="BS1290" s="163"/>
      <c r="BT1290" s="163"/>
      <c r="BU1290" s="163"/>
      <c r="BV1290" s="163"/>
      <c r="BW1290" s="163"/>
      <c r="BX1290" s="163"/>
    </row>
    <row r="1291" spans="47:77" x14ac:dyDescent="0.3">
      <c r="BA1291" s="99"/>
      <c r="BB1291" s="163"/>
      <c r="BD1291" s="163"/>
      <c r="BQ1291" s="163"/>
      <c r="BR1291" s="163"/>
      <c r="BS1291" s="163"/>
      <c r="BT1291" s="163"/>
      <c r="BU1291" s="163"/>
      <c r="BV1291" s="163"/>
      <c r="BW1291" s="163"/>
      <c r="BX1291" s="163"/>
    </row>
    <row r="1292" spans="47:77" x14ac:dyDescent="0.3">
      <c r="BB1292" s="163"/>
      <c r="BD1292" s="163"/>
      <c r="BF1292" s="99"/>
      <c r="BQ1292" s="163"/>
      <c r="BR1292" s="163"/>
      <c r="BS1292" s="163"/>
      <c r="BT1292" s="163"/>
      <c r="BU1292" s="163"/>
      <c r="BV1292" s="163"/>
      <c r="BW1292" s="163"/>
      <c r="BX1292" s="163"/>
    </row>
    <row r="1293" spans="47:77" x14ac:dyDescent="0.3">
      <c r="BB1293" s="163"/>
      <c r="BD1293" s="163"/>
      <c r="BF1293" s="99"/>
      <c r="BQ1293" s="163"/>
      <c r="BR1293" s="163"/>
      <c r="BS1293" s="163"/>
      <c r="BT1293" s="163"/>
      <c r="BU1293" s="163"/>
      <c r="BV1293" s="163"/>
      <c r="BW1293" s="163"/>
      <c r="BX1293" s="163"/>
    </row>
    <row r="1294" spans="47:77" x14ac:dyDescent="0.3">
      <c r="AU1294" s="99"/>
      <c r="BB1294" s="163"/>
      <c r="BD1294" s="163"/>
      <c r="BF1294" s="99"/>
      <c r="BQ1294" s="163"/>
      <c r="BR1294" s="163"/>
      <c r="BS1294" s="163"/>
      <c r="BT1294" s="163"/>
      <c r="BU1294" s="163"/>
      <c r="BV1294" s="163"/>
      <c r="BW1294" s="163"/>
      <c r="BX1294" s="163"/>
    </row>
    <row r="1295" spans="47:77" x14ac:dyDescent="0.3">
      <c r="BB1295" s="163"/>
      <c r="BD1295" s="163"/>
      <c r="BQ1295" s="163"/>
      <c r="BR1295" s="163"/>
      <c r="BS1295" s="163"/>
      <c r="BT1295" s="163"/>
      <c r="BU1295" s="163"/>
      <c r="BV1295" s="163"/>
      <c r="BW1295" s="163"/>
      <c r="BX1295" s="163"/>
    </row>
    <row r="1296" spans="47:77" x14ac:dyDescent="0.3">
      <c r="AU1296" s="101"/>
      <c r="AV1296" s="101"/>
      <c r="AW1296" s="101"/>
      <c r="AX1296" s="101"/>
      <c r="AY1296" s="101"/>
      <c r="AZ1296" s="101"/>
      <c r="BA1296" s="101"/>
      <c r="BB1296" s="212"/>
      <c r="BC1296" s="101"/>
      <c r="BD1296" s="212"/>
      <c r="BE1296" s="101"/>
      <c r="BF1296" s="101"/>
      <c r="BG1296" s="101"/>
      <c r="BQ1296" s="163"/>
      <c r="BR1296" s="163"/>
      <c r="BS1296" s="163"/>
      <c r="BT1296" s="163"/>
      <c r="BU1296" s="163"/>
      <c r="BV1296" s="163"/>
      <c r="BW1296" s="163"/>
      <c r="BX1296" s="163"/>
    </row>
    <row r="1297" spans="47:76" x14ac:dyDescent="0.3">
      <c r="AZ1297" s="99"/>
      <c r="BB1297" s="163"/>
      <c r="BD1297" s="163"/>
      <c r="BQ1297" s="163"/>
      <c r="BR1297" s="163"/>
      <c r="BS1297" s="163"/>
      <c r="BT1297" s="163"/>
      <c r="BU1297" s="163"/>
      <c r="BV1297" s="163"/>
      <c r="BW1297" s="163"/>
      <c r="BX1297" s="163"/>
    </row>
    <row r="1298" spans="47:76" x14ac:dyDescent="0.3">
      <c r="AZ1298" s="101"/>
      <c r="BA1298" s="101"/>
      <c r="BB1298" s="212"/>
      <c r="BC1298" s="101"/>
      <c r="BD1298" s="163"/>
      <c r="BE1298" s="102"/>
      <c r="BF1298" s="102"/>
      <c r="BQ1298" s="163"/>
      <c r="BR1298" s="163"/>
      <c r="BS1298" s="163"/>
      <c r="BT1298" s="163"/>
      <c r="BU1298" s="163"/>
      <c r="BV1298" s="163"/>
      <c r="BW1298" s="163"/>
      <c r="BX1298" s="163"/>
    </row>
    <row r="1299" spans="47:76" x14ac:dyDescent="0.3">
      <c r="AX1299" s="102"/>
      <c r="AY1299" s="102"/>
      <c r="BB1299" s="213"/>
      <c r="BC1299" s="102"/>
      <c r="BD1299" s="163"/>
      <c r="BE1299" s="102"/>
      <c r="BF1299" s="102"/>
      <c r="BG1299" s="102"/>
      <c r="BI1299" s="101"/>
      <c r="BJ1299" s="99"/>
      <c r="BM1299" s="101"/>
      <c r="BO1299" s="101"/>
      <c r="BP1299" s="99"/>
      <c r="BS1299" s="101"/>
    </row>
    <row r="1300" spans="47:76" x14ac:dyDescent="0.3">
      <c r="AX1300" s="102"/>
      <c r="AY1300" s="102"/>
      <c r="AZ1300" s="102"/>
      <c r="BA1300" s="102"/>
      <c r="BB1300" s="213"/>
      <c r="BC1300" s="102"/>
      <c r="BD1300" s="213"/>
      <c r="BE1300" s="102"/>
      <c r="BF1300" s="102"/>
      <c r="BG1300" s="102"/>
      <c r="BJ1300" s="102"/>
      <c r="BK1300" s="102"/>
      <c r="BP1300" s="102"/>
      <c r="BQ1300" s="102"/>
    </row>
    <row r="1301" spans="47:76" x14ac:dyDescent="0.3">
      <c r="AU1301" s="102"/>
      <c r="AW1301" s="99"/>
      <c r="AX1301" s="102"/>
      <c r="AY1301" s="102"/>
      <c r="AZ1301" s="102"/>
      <c r="BA1301" s="102"/>
      <c r="BB1301" s="213"/>
      <c r="BC1301" s="102"/>
      <c r="BD1301" s="213"/>
      <c r="BE1301" s="102"/>
      <c r="BF1301" s="102"/>
      <c r="BG1301" s="102"/>
      <c r="BI1301" s="102"/>
      <c r="BJ1301" s="102"/>
      <c r="BK1301" s="102"/>
      <c r="BL1301" s="102"/>
      <c r="BM1301" s="102"/>
      <c r="BO1301" s="102"/>
      <c r="BP1301" s="102"/>
      <c r="BQ1301" s="102"/>
      <c r="BR1301" s="102"/>
      <c r="BS1301" s="102"/>
    </row>
    <row r="1302" spans="47:76" x14ac:dyDescent="0.3">
      <c r="AU1302" s="102"/>
      <c r="AW1302" s="99"/>
      <c r="AX1302" s="102"/>
      <c r="AY1302" s="102"/>
      <c r="AZ1302" s="102"/>
      <c r="BA1302" s="102"/>
      <c r="BB1302" s="213"/>
      <c r="BC1302" s="102"/>
      <c r="BD1302" s="213"/>
      <c r="BE1302" s="102"/>
      <c r="BF1302" s="102"/>
      <c r="BG1302" s="102"/>
      <c r="BI1302" s="102"/>
      <c r="BJ1302" s="102"/>
      <c r="BK1302" s="102"/>
      <c r="BL1302" s="102"/>
      <c r="BM1302" s="102"/>
      <c r="BO1302" s="102"/>
      <c r="BP1302" s="102"/>
      <c r="BQ1302" s="102"/>
      <c r="BR1302" s="102"/>
      <c r="BS1302" s="102"/>
    </row>
    <row r="1303" spans="47:76" x14ac:dyDescent="0.3">
      <c r="AU1303" s="101"/>
      <c r="AV1303" s="101"/>
      <c r="AW1303" s="101"/>
      <c r="AX1303" s="101"/>
      <c r="AY1303" s="101"/>
      <c r="AZ1303" s="101"/>
      <c r="BA1303" s="101"/>
      <c r="BB1303" s="212"/>
      <c r="BC1303" s="101"/>
      <c r="BD1303" s="212"/>
      <c r="BE1303" s="101"/>
      <c r="BF1303" s="101"/>
      <c r="BG1303" s="101"/>
      <c r="BI1303" s="101"/>
      <c r="BJ1303" s="101"/>
      <c r="BK1303" s="101"/>
      <c r="BL1303" s="101"/>
      <c r="BM1303" s="101"/>
      <c r="BO1303" s="101"/>
      <c r="BP1303" s="101"/>
      <c r="BQ1303" s="101"/>
      <c r="BR1303" s="101"/>
      <c r="BS1303" s="101"/>
    </row>
    <row r="1304" spans="47:76" x14ac:dyDescent="0.3">
      <c r="AX1304" s="102"/>
      <c r="AY1304" s="102"/>
      <c r="AZ1304" s="102"/>
      <c r="BA1304" s="102"/>
      <c r="BB1304" s="213"/>
      <c r="BC1304" s="102"/>
      <c r="BD1304" s="213"/>
      <c r="BE1304" s="102"/>
      <c r="BF1304" s="102"/>
      <c r="BG1304" s="102"/>
      <c r="BI1304" s="163"/>
      <c r="BJ1304" s="163"/>
      <c r="BK1304" s="163"/>
      <c r="BL1304" s="163"/>
      <c r="BM1304" s="163"/>
      <c r="BN1304" s="163"/>
      <c r="BO1304" s="163"/>
      <c r="BP1304" s="163"/>
      <c r="BQ1304" s="163"/>
      <c r="BR1304" s="163"/>
      <c r="BS1304" s="163"/>
    </row>
    <row r="1305" spans="47:76" x14ac:dyDescent="0.3">
      <c r="AV1305" s="99"/>
      <c r="AX1305" s="110"/>
      <c r="AY1305" s="110"/>
      <c r="AZ1305" s="163"/>
      <c r="BA1305" s="163"/>
      <c r="BB1305" s="163"/>
      <c r="BC1305" s="207"/>
      <c r="BD1305" s="163"/>
      <c r="BE1305" s="163"/>
      <c r="BF1305" s="163"/>
      <c r="BG1305" s="207"/>
      <c r="BI1305" s="163"/>
      <c r="BJ1305" s="163"/>
      <c r="BK1305" s="163"/>
      <c r="BL1305" s="163"/>
      <c r="BM1305" s="163"/>
      <c r="BN1305" s="163"/>
      <c r="BO1305" s="163"/>
      <c r="BP1305" s="163"/>
      <c r="BQ1305" s="163"/>
      <c r="BR1305" s="163"/>
      <c r="BS1305" s="163"/>
      <c r="BT1305" s="163"/>
      <c r="BU1305" s="163"/>
    </row>
    <row r="1306" spans="47:76" x14ac:dyDescent="0.3">
      <c r="AX1306" s="110"/>
      <c r="AY1306" s="110"/>
      <c r="AZ1306" s="163"/>
      <c r="BA1306" s="163"/>
      <c r="BB1306" s="163"/>
      <c r="BC1306" s="207"/>
      <c r="BD1306" s="163"/>
      <c r="BE1306" s="163"/>
      <c r="BF1306" s="163"/>
      <c r="BG1306" s="207"/>
      <c r="BI1306" s="163"/>
      <c r="BJ1306" s="163"/>
      <c r="BK1306" s="163"/>
      <c r="BL1306" s="163"/>
      <c r="BM1306" s="163"/>
      <c r="BN1306" s="163"/>
      <c r="BO1306" s="163"/>
      <c r="BP1306" s="163"/>
      <c r="BQ1306" s="163"/>
      <c r="BR1306" s="163"/>
      <c r="BS1306" s="163"/>
      <c r="BT1306" s="163"/>
      <c r="BU1306" s="163"/>
    </row>
    <row r="1307" spans="47:76" x14ac:dyDescent="0.3">
      <c r="AX1307" s="110"/>
      <c r="AY1307" s="110"/>
      <c r="AZ1307" s="163"/>
      <c r="BA1307" s="163"/>
      <c r="BB1307" s="163"/>
      <c r="BC1307" s="207"/>
      <c r="BD1307" s="163"/>
      <c r="BE1307" s="163"/>
      <c r="BF1307" s="163"/>
      <c r="BG1307" s="207"/>
      <c r="BI1307" s="163"/>
      <c r="BJ1307" s="163"/>
      <c r="BK1307" s="163"/>
      <c r="BL1307" s="163"/>
      <c r="BM1307" s="163"/>
      <c r="BN1307" s="163"/>
      <c r="BO1307" s="163"/>
      <c r="BP1307" s="163"/>
      <c r="BQ1307" s="163"/>
      <c r="BR1307" s="163"/>
      <c r="BS1307" s="163"/>
      <c r="BT1307" s="163"/>
      <c r="BU1307" s="163"/>
    </row>
    <row r="1308" spans="47:76" x14ac:dyDescent="0.3">
      <c r="AX1308" s="110"/>
      <c r="AY1308" s="110"/>
      <c r="AZ1308" s="163"/>
      <c r="BA1308" s="163"/>
      <c r="BB1308" s="163"/>
      <c r="BC1308" s="207"/>
      <c r="BD1308" s="163"/>
      <c r="BE1308" s="163"/>
      <c r="BF1308" s="163"/>
      <c r="BG1308" s="207"/>
      <c r="BI1308" s="163"/>
      <c r="BJ1308" s="163"/>
      <c r="BK1308" s="163"/>
      <c r="BL1308" s="163"/>
      <c r="BM1308" s="163"/>
      <c r="BN1308" s="163"/>
      <c r="BO1308" s="163"/>
      <c r="BP1308" s="163"/>
      <c r="BQ1308" s="163"/>
      <c r="BR1308" s="163"/>
      <c r="BS1308" s="163"/>
      <c r="BT1308" s="163"/>
      <c r="BU1308" s="163"/>
    </row>
    <row r="1309" spans="47:76" x14ac:dyDescent="0.3">
      <c r="AX1309" s="110"/>
      <c r="AY1309" s="110"/>
      <c r="AZ1309" s="163"/>
      <c r="BA1309" s="163"/>
      <c r="BB1309" s="163"/>
      <c r="BC1309" s="207"/>
      <c r="BD1309" s="163"/>
      <c r="BE1309" s="163"/>
      <c r="BF1309" s="163"/>
      <c r="BG1309" s="207"/>
      <c r="BI1309" s="163"/>
      <c r="BJ1309" s="163"/>
      <c r="BK1309" s="163"/>
      <c r="BL1309" s="163"/>
      <c r="BM1309" s="163"/>
      <c r="BN1309" s="163"/>
      <c r="BO1309" s="163"/>
      <c r="BP1309" s="163"/>
      <c r="BQ1309" s="163"/>
      <c r="BR1309" s="163"/>
      <c r="BS1309" s="163"/>
      <c r="BT1309" s="163"/>
      <c r="BU1309" s="163"/>
    </row>
    <row r="1310" spans="47:76" x14ac:dyDescent="0.3">
      <c r="AX1310" s="110"/>
      <c r="AY1310" s="110"/>
      <c r="AZ1310" s="163"/>
      <c r="BA1310" s="163"/>
      <c r="BB1310" s="163"/>
      <c r="BC1310" s="207"/>
      <c r="BD1310" s="163"/>
      <c r="BE1310" s="163"/>
      <c r="BF1310" s="163"/>
      <c r="BG1310" s="207"/>
      <c r="BI1310" s="163"/>
      <c r="BJ1310" s="163"/>
      <c r="BK1310" s="163"/>
      <c r="BL1310" s="163"/>
      <c r="BM1310" s="163"/>
      <c r="BN1310" s="163"/>
      <c r="BO1310" s="163"/>
      <c r="BP1310" s="163"/>
      <c r="BQ1310" s="163"/>
      <c r="BR1310" s="163"/>
      <c r="BS1310" s="163"/>
      <c r="BT1310" s="163"/>
      <c r="BU1310" s="163"/>
    </row>
    <row r="1311" spans="47:76" x14ac:dyDescent="0.3">
      <c r="AX1311" s="110"/>
      <c r="AY1311" s="110"/>
      <c r="AZ1311" s="163"/>
      <c r="BA1311" s="163"/>
      <c r="BB1311" s="163"/>
      <c r="BC1311" s="207"/>
      <c r="BD1311" s="163"/>
      <c r="BE1311" s="163"/>
      <c r="BF1311" s="163"/>
      <c r="BG1311" s="207"/>
      <c r="BI1311" s="163"/>
      <c r="BJ1311" s="163"/>
      <c r="BK1311" s="163"/>
      <c r="BL1311" s="163"/>
      <c r="BM1311" s="163"/>
      <c r="BN1311" s="163"/>
      <c r="BO1311" s="163"/>
      <c r="BP1311" s="163"/>
      <c r="BQ1311" s="163"/>
      <c r="BR1311" s="163"/>
      <c r="BS1311" s="163"/>
      <c r="BT1311" s="163"/>
      <c r="BU1311" s="163"/>
    </row>
    <row r="1312" spans="47:76" x14ac:dyDescent="0.3">
      <c r="AX1312" s="110"/>
      <c r="AY1312" s="110"/>
      <c r="AZ1312" s="163"/>
      <c r="BA1312" s="163"/>
      <c r="BB1312" s="163"/>
      <c r="BC1312" s="207"/>
      <c r="BD1312" s="163"/>
      <c r="BE1312" s="163"/>
      <c r="BF1312" s="163"/>
      <c r="BG1312" s="207"/>
      <c r="BI1312" s="163"/>
      <c r="BJ1312" s="163"/>
      <c r="BK1312" s="163"/>
      <c r="BL1312" s="163"/>
      <c r="BM1312" s="163"/>
      <c r="BN1312" s="163"/>
      <c r="BO1312" s="163"/>
      <c r="BP1312" s="163"/>
      <c r="BQ1312" s="163"/>
      <c r="BR1312" s="163"/>
      <c r="BS1312" s="163"/>
      <c r="BT1312" s="163"/>
      <c r="BU1312" s="163"/>
    </row>
    <row r="1313" spans="48:73" x14ac:dyDescent="0.3">
      <c r="AX1313" s="110"/>
      <c r="AY1313" s="110"/>
      <c r="AZ1313" s="163"/>
      <c r="BA1313" s="163"/>
      <c r="BB1313" s="163"/>
      <c r="BC1313" s="207"/>
      <c r="BD1313" s="163"/>
      <c r="BE1313" s="163"/>
      <c r="BF1313" s="163"/>
      <c r="BG1313" s="207"/>
      <c r="BI1313" s="163"/>
      <c r="BJ1313" s="163"/>
      <c r="BK1313" s="163"/>
      <c r="BL1313" s="163"/>
      <c r="BM1313" s="163"/>
      <c r="BN1313" s="163"/>
      <c r="BO1313" s="163"/>
      <c r="BP1313" s="163"/>
      <c r="BQ1313" s="163"/>
      <c r="BR1313" s="163"/>
      <c r="BS1313" s="163"/>
      <c r="BT1313" s="163"/>
      <c r="BU1313" s="163"/>
    </row>
    <row r="1314" spans="48:73" x14ac:dyDescent="0.3">
      <c r="AX1314" s="110"/>
      <c r="AY1314" s="110"/>
      <c r="AZ1314" s="163"/>
      <c r="BA1314" s="163"/>
      <c r="BB1314" s="163"/>
      <c r="BC1314" s="207"/>
      <c r="BD1314" s="163"/>
      <c r="BE1314" s="163"/>
      <c r="BF1314" s="163"/>
      <c r="BG1314" s="207"/>
      <c r="BI1314" s="163"/>
      <c r="BJ1314" s="163"/>
      <c r="BK1314" s="163"/>
      <c r="BL1314" s="163"/>
      <c r="BM1314" s="163"/>
      <c r="BN1314" s="163"/>
      <c r="BO1314" s="163"/>
      <c r="BP1314" s="163"/>
      <c r="BQ1314" s="163"/>
      <c r="BR1314" s="163"/>
      <c r="BS1314" s="163"/>
      <c r="BT1314" s="163"/>
      <c r="BU1314" s="163"/>
    </row>
    <row r="1315" spans="48:73" x14ac:dyDescent="0.3">
      <c r="AX1315" s="110"/>
      <c r="AY1315" s="110"/>
      <c r="AZ1315" s="163"/>
      <c r="BA1315" s="163"/>
      <c r="BB1315" s="163"/>
      <c r="BC1315" s="207"/>
      <c r="BD1315" s="163"/>
      <c r="BE1315" s="163"/>
      <c r="BF1315" s="163"/>
      <c r="BG1315" s="207"/>
      <c r="BI1315" s="163"/>
      <c r="BJ1315" s="163"/>
      <c r="BK1315" s="163"/>
      <c r="BL1315" s="163"/>
      <c r="BM1315" s="163"/>
      <c r="BN1315" s="163"/>
      <c r="BO1315" s="163"/>
      <c r="BP1315" s="163"/>
      <c r="BQ1315" s="163"/>
      <c r="BR1315" s="163"/>
      <c r="BS1315" s="163"/>
      <c r="BT1315" s="163"/>
      <c r="BU1315" s="163"/>
    </row>
    <row r="1316" spans="48:73" x14ac:dyDescent="0.3">
      <c r="AX1316" s="110"/>
      <c r="AY1316" s="110"/>
      <c r="AZ1316" s="163"/>
      <c r="BA1316" s="163"/>
      <c r="BB1316" s="163"/>
      <c r="BC1316" s="207"/>
      <c r="BD1316" s="163"/>
      <c r="BE1316" s="163"/>
      <c r="BF1316" s="163"/>
      <c r="BG1316" s="207"/>
      <c r="BI1316" s="163"/>
      <c r="BJ1316" s="163"/>
      <c r="BK1316" s="163"/>
      <c r="BL1316" s="163"/>
      <c r="BM1316" s="163"/>
      <c r="BN1316" s="163"/>
      <c r="BO1316" s="163"/>
      <c r="BP1316" s="163"/>
      <c r="BQ1316" s="163"/>
      <c r="BR1316" s="163"/>
      <c r="BS1316" s="163"/>
      <c r="BT1316" s="163"/>
      <c r="BU1316" s="163"/>
    </row>
    <row r="1317" spans="48:73" x14ac:dyDescent="0.3">
      <c r="AX1317" s="110"/>
      <c r="AY1317" s="110"/>
      <c r="AZ1317" s="163"/>
      <c r="BA1317" s="163"/>
      <c r="BB1317" s="163"/>
      <c r="BC1317" s="207"/>
      <c r="BD1317" s="163"/>
      <c r="BE1317" s="163"/>
      <c r="BF1317" s="163"/>
      <c r="BG1317" s="207"/>
      <c r="BI1317" s="163"/>
      <c r="BJ1317" s="163"/>
      <c r="BK1317" s="163"/>
      <c r="BL1317" s="163"/>
      <c r="BM1317" s="163"/>
      <c r="BN1317" s="163"/>
      <c r="BO1317" s="163"/>
      <c r="BP1317" s="163"/>
      <c r="BQ1317" s="163"/>
      <c r="BR1317" s="163"/>
      <c r="BS1317" s="163"/>
      <c r="BT1317" s="163"/>
      <c r="BU1317" s="163"/>
    </row>
    <row r="1318" spans="48:73" x14ac:dyDescent="0.3">
      <c r="AX1318" s="110"/>
      <c r="AY1318" s="110"/>
      <c r="AZ1318" s="163"/>
      <c r="BA1318" s="163"/>
      <c r="BB1318" s="163"/>
      <c r="BC1318" s="207"/>
      <c r="BD1318" s="163"/>
      <c r="BE1318" s="163"/>
      <c r="BF1318" s="163"/>
      <c r="BG1318" s="207"/>
      <c r="BI1318" s="163"/>
      <c r="BJ1318" s="163"/>
      <c r="BK1318" s="163"/>
      <c r="BL1318" s="163"/>
      <c r="BM1318" s="163"/>
      <c r="BN1318" s="163"/>
      <c r="BO1318" s="163"/>
      <c r="BP1318" s="163"/>
      <c r="BQ1318" s="163"/>
      <c r="BR1318" s="163"/>
      <c r="BS1318" s="163"/>
      <c r="BT1318" s="163"/>
      <c r="BU1318" s="163"/>
    </row>
    <row r="1319" spans="48:73" x14ac:dyDescent="0.3">
      <c r="AX1319" s="110"/>
      <c r="AY1319" s="110"/>
      <c r="AZ1319" s="163"/>
      <c r="BA1319" s="163"/>
      <c r="BB1319" s="163"/>
      <c r="BC1319" s="207"/>
      <c r="BD1319" s="163"/>
      <c r="BE1319" s="163"/>
      <c r="BF1319" s="163"/>
      <c r="BG1319" s="207"/>
      <c r="BI1319" s="163"/>
      <c r="BJ1319" s="163"/>
      <c r="BK1319" s="163"/>
      <c r="BL1319" s="163"/>
      <c r="BM1319" s="163"/>
      <c r="BN1319" s="163"/>
      <c r="BO1319" s="163"/>
      <c r="BP1319" s="163"/>
      <c r="BQ1319" s="163"/>
      <c r="BR1319" s="163"/>
      <c r="BS1319" s="163"/>
      <c r="BT1319" s="163"/>
      <c r="BU1319" s="163"/>
    </row>
    <row r="1320" spans="48:73" x14ac:dyDescent="0.3">
      <c r="AX1320" s="110"/>
      <c r="AY1320" s="110"/>
      <c r="AZ1320" s="163"/>
      <c r="BA1320" s="163"/>
      <c r="BB1320" s="163"/>
      <c r="BC1320" s="207"/>
      <c r="BD1320" s="163"/>
      <c r="BE1320" s="163"/>
      <c r="BF1320" s="163"/>
      <c r="BG1320" s="207"/>
      <c r="BI1320" s="163"/>
      <c r="BJ1320" s="163"/>
      <c r="BK1320" s="163"/>
      <c r="BL1320" s="163"/>
      <c r="BM1320" s="163"/>
      <c r="BN1320" s="163"/>
      <c r="BO1320" s="163"/>
      <c r="BP1320" s="163"/>
      <c r="BQ1320" s="163"/>
      <c r="BR1320" s="163"/>
      <c r="BS1320" s="163"/>
      <c r="BT1320" s="163"/>
      <c r="BU1320" s="163"/>
    </row>
    <row r="1321" spans="48:73" x14ac:dyDescent="0.3">
      <c r="AX1321" s="110"/>
      <c r="AY1321" s="110"/>
      <c r="AZ1321" s="163"/>
      <c r="BA1321" s="163"/>
      <c r="BB1321" s="163"/>
      <c r="BC1321" s="207"/>
      <c r="BD1321" s="163"/>
      <c r="BE1321" s="163"/>
      <c r="BF1321" s="163"/>
      <c r="BG1321" s="207"/>
      <c r="BI1321" s="163"/>
      <c r="BJ1321" s="163"/>
      <c r="BK1321" s="163"/>
      <c r="BL1321" s="163"/>
      <c r="BM1321" s="163"/>
      <c r="BN1321" s="163"/>
      <c r="BO1321" s="163"/>
      <c r="BP1321" s="163"/>
      <c r="BQ1321" s="163"/>
      <c r="BR1321" s="163"/>
      <c r="BS1321" s="163"/>
      <c r="BT1321" s="163"/>
      <c r="BU1321" s="163"/>
    </row>
    <row r="1322" spans="48:73" x14ac:dyDescent="0.3">
      <c r="AX1322" s="110"/>
      <c r="AY1322" s="110"/>
      <c r="AZ1322" s="163"/>
      <c r="BA1322" s="163"/>
      <c r="BB1322" s="163"/>
      <c r="BC1322" s="207"/>
      <c r="BD1322" s="163"/>
      <c r="BE1322" s="163"/>
      <c r="BF1322" s="163"/>
      <c r="BG1322" s="207"/>
      <c r="BI1322" s="163"/>
      <c r="BJ1322" s="163"/>
      <c r="BK1322" s="163"/>
      <c r="BL1322" s="163"/>
      <c r="BM1322" s="163"/>
      <c r="BN1322" s="163"/>
      <c r="BO1322" s="163"/>
      <c r="BP1322" s="163"/>
      <c r="BQ1322" s="163"/>
      <c r="BR1322" s="163"/>
      <c r="BS1322" s="163"/>
      <c r="BT1322" s="163"/>
      <c r="BU1322" s="163"/>
    </row>
    <row r="1323" spans="48:73" x14ac:dyDescent="0.3">
      <c r="BB1323" s="163"/>
      <c r="BD1323" s="163"/>
      <c r="BE1323" s="163"/>
      <c r="BF1323" s="163"/>
      <c r="BI1323" s="163"/>
      <c r="BJ1323" s="163"/>
      <c r="BK1323" s="163"/>
      <c r="BL1323" s="163"/>
      <c r="BM1323" s="163"/>
      <c r="BN1323" s="163"/>
      <c r="BO1323" s="163"/>
      <c r="BP1323" s="163"/>
      <c r="BQ1323" s="163"/>
      <c r="BR1323" s="163"/>
      <c r="BS1323" s="163"/>
      <c r="BT1323" s="163"/>
      <c r="BU1323" s="163"/>
    </row>
    <row r="1324" spans="48:73" x14ac:dyDescent="0.3">
      <c r="AV1324" s="99"/>
      <c r="AX1324" s="110"/>
      <c r="AY1324" s="110"/>
      <c r="AZ1324" s="163"/>
      <c r="BA1324" s="163"/>
      <c r="BB1324" s="163"/>
      <c r="BC1324" s="207"/>
      <c r="BD1324" s="163"/>
      <c r="BE1324" s="163"/>
      <c r="BF1324" s="163"/>
      <c r="BG1324" s="207"/>
    </row>
    <row r="1325" spans="48:73" x14ac:dyDescent="0.3">
      <c r="AX1325" s="110"/>
      <c r="AY1325" s="110"/>
      <c r="AZ1325" s="163"/>
      <c r="BA1325" s="163"/>
      <c r="BB1325" s="163"/>
      <c r="BC1325" s="207"/>
      <c r="BD1325" s="163"/>
      <c r="BE1325" s="163"/>
      <c r="BF1325" s="163"/>
      <c r="BG1325" s="207"/>
    </row>
    <row r="1326" spans="48:73" x14ac:dyDescent="0.3">
      <c r="AX1326" s="110"/>
      <c r="AY1326" s="110"/>
      <c r="AZ1326" s="163"/>
      <c r="BA1326" s="163"/>
      <c r="BB1326" s="163"/>
      <c r="BC1326" s="207"/>
      <c r="BD1326" s="163"/>
      <c r="BE1326" s="163"/>
      <c r="BF1326" s="163"/>
      <c r="BG1326" s="207"/>
    </row>
    <row r="1327" spans="48:73" x14ac:dyDescent="0.3">
      <c r="AX1327" s="110"/>
      <c r="AY1327" s="110"/>
      <c r="AZ1327" s="163"/>
      <c r="BA1327" s="163"/>
      <c r="BB1327" s="163"/>
      <c r="BC1327" s="207"/>
      <c r="BD1327" s="163"/>
      <c r="BE1327" s="163"/>
      <c r="BF1327" s="163"/>
      <c r="BG1327" s="207"/>
    </row>
    <row r="1328" spans="48:73" x14ac:dyDescent="0.3">
      <c r="AX1328" s="110"/>
      <c r="AY1328" s="110"/>
      <c r="AZ1328" s="163"/>
      <c r="BA1328" s="163"/>
      <c r="BB1328" s="163"/>
      <c r="BC1328" s="207"/>
      <c r="BD1328" s="163"/>
      <c r="BE1328" s="163"/>
      <c r="BF1328" s="163"/>
      <c r="BG1328" s="207"/>
    </row>
    <row r="1329" spans="49:59" x14ac:dyDescent="0.3">
      <c r="AX1329" s="110"/>
      <c r="AY1329" s="110"/>
      <c r="AZ1329" s="163"/>
      <c r="BA1329" s="163"/>
      <c r="BB1329" s="163"/>
      <c r="BC1329" s="207"/>
      <c r="BD1329" s="163"/>
      <c r="BE1329" s="163"/>
      <c r="BF1329" s="163"/>
      <c r="BG1329" s="207"/>
    </row>
    <row r="1330" spans="49:59" x14ac:dyDescent="0.3">
      <c r="AX1330" s="110"/>
      <c r="AY1330" s="110"/>
      <c r="AZ1330" s="163"/>
      <c r="BA1330" s="163"/>
      <c r="BB1330" s="163"/>
      <c r="BC1330" s="207"/>
      <c r="BD1330" s="163"/>
      <c r="BE1330" s="163"/>
      <c r="BF1330" s="163"/>
      <c r="BG1330" s="207"/>
    </row>
    <row r="1331" spans="49:59" x14ac:dyDescent="0.3">
      <c r="AX1331" s="110"/>
      <c r="AY1331" s="110"/>
      <c r="AZ1331" s="163"/>
      <c r="BA1331" s="163"/>
      <c r="BB1331" s="163"/>
      <c r="BC1331" s="207"/>
      <c r="BD1331" s="163"/>
      <c r="BE1331" s="163"/>
      <c r="BF1331" s="163"/>
      <c r="BG1331" s="207"/>
    </row>
    <row r="1332" spans="49:59" x14ac:dyDescent="0.3">
      <c r="AX1332" s="110"/>
      <c r="AY1332" s="110"/>
      <c r="AZ1332" s="163"/>
      <c r="BA1332" s="163"/>
      <c r="BB1332" s="163"/>
      <c r="BC1332" s="207"/>
      <c r="BD1332" s="163"/>
      <c r="BE1332" s="163"/>
      <c r="BF1332" s="163"/>
      <c r="BG1332" s="207"/>
    </row>
    <row r="1333" spans="49:59" x14ac:dyDescent="0.3">
      <c r="AX1333" s="110"/>
      <c r="AY1333" s="110"/>
      <c r="AZ1333" s="163"/>
      <c r="BA1333" s="163"/>
      <c r="BB1333" s="163"/>
      <c r="BC1333" s="207"/>
      <c r="BD1333" s="163"/>
      <c r="BE1333" s="163"/>
      <c r="BF1333" s="163"/>
      <c r="BG1333" s="207"/>
    </row>
    <row r="1334" spans="49:59" x14ac:dyDescent="0.3">
      <c r="AX1334" s="110"/>
      <c r="AY1334" s="110"/>
      <c r="AZ1334" s="163"/>
      <c r="BA1334" s="163"/>
      <c r="BB1334" s="163"/>
      <c r="BC1334" s="207"/>
      <c r="BD1334" s="163"/>
      <c r="BE1334" s="163"/>
      <c r="BF1334" s="163"/>
      <c r="BG1334" s="207"/>
    </row>
    <row r="1335" spans="49:59" x14ac:dyDescent="0.3">
      <c r="AX1335" s="110"/>
      <c r="AY1335" s="110"/>
      <c r="AZ1335" s="163"/>
      <c r="BA1335" s="163"/>
      <c r="BB1335" s="163"/>
      <c r="BC1335" s="207"/>
      <c r="BD1335" s="163"/>
      <c r="BE1335" s="163"/>
      <c r="BF1335" s="163"/>
      <c r="BG1335" s="207"/>
    </row>
    <row r="1336" spans="49:59" x14ac:dyDescent="0.3">
      <c r="AX1336" s="110"/>
      <c r="AY1336" s="110"/>
      <c r="AZ1336" s="163"/>
      <c r="BA1336" s="163"/>
      <c r="BB1336" s="163"/>
      <c r="BC1336" s="207"/>
      <c r="BD1336" s="163"/>
      <c r="BE1336" s="163"/>
      <c r="BF1336" s="163"/>
      <c r="BG1336" s="207"/>
    </row>
    <row r="1337" spans="49:59" x14ac:dyDescent="0.3">
      <c r="AX1337" s="110"/>
      <c r="AY1337" s="110"/>
      <c r="AZ1337" s="163"/>
      <c r="BA1337" s="163"/>
      <c r="BB1337" s="163"/>
      <c r="BC1337" s="207"/>
      <c r="BD1337" s="163"/>
      <c r="BE1337" s="163"/>
      <c r="BF1337" s="163"/>
      <c r="BG1337" s="207"/>
    </row>
    <row r="1338" spans="49:59" x14ac:dyDescent="0.3">
      <c r="AX1338" s="110"/>
      <c r="AY1338" s="110"/>
      <c r="AZ1338" s="163"/>
      <c r="BA1338" s="163"/>
      <c r="BB1338" s="163"/>
      <c r="BC1338" s="207"/>
      <c r="BD1338" s="163"/>
      <c r="BE1338" s="163"/>
      <c r="BF1338" s="163"/>
      <c r="BG1338" s="207"/>
    </row>
    <row r="1339" spans="49:59" x14ac:dyDescent="0.3">
      <c r="AX1339" s="110"/>
      <c r="AY1339" s="110"/>
      <c r="AZ1339" s="163"/>
      <c r="BA1339" s="163"/>
      <c r="BB1339" s="163"/>
      <c r="BC1339" s="207"/>
      <c r="BD1339" s="163"/>
      <c r="BE1339" s="163"/>
      <c r="BF1339" s="163"/>
      <c r="BG1339" s="207"/>
    </row>
    <row r="1340" spans="49:59" x14ac:dyDescent="0.3">
      <c r="AX1340" s="110"/>
      <c r="AY1340" s="110"/>
      <c r="AZ1340" s="163"/>
      <c r="BA1340" s="163"/>
      <c r="BB1340" s="163"/>
      <c r="BC1340" s="207"/>
      <c r="BD1340" s="163"/>
      <c r="BE1340" s="163"/>
      <c r="BF1340" s="163"/>
      <c r="BG1340" s="207"/>
    </row>
    <row r="1341" spans="49:59" x14ac:dyDescent="0.3">
      <c r="AX1341" s="110"/>
      <c r="AY1341" s="110"/>
      <c r="AZ1341" s="163"/>
      <c r="BA1341" s="163"/>
      <c r="BB1341" s="163"/>
      <c r="BC1341" s="207"/>
      <c r="BD1341" s="163"/>
      <c r="BE1341" s="163"/>
      <c r="BF1341" s="163"/>
      <c r="BG1341" s="207"/>
    </row>
    <row r="1342" spans="49:59" x14ac:dyDescent="0.3">
      <c r="BD1342" s="163"/>
    </row>
    <row r="1343" spans="49:59" x14ac:dyDescent="0.3">
      <c r="AW1343" s="99"/>
      <c r="BD1343" s="163"/>
    </row>
    <row r="1344" spans="49:59" x14ac:dyDescent="0.3">
      <c r="AW1344" s="99"/>
    </row>
    <row r="1345" spans="47:59" x14ac:dyDescent="0.3">
      <c r="AW1345" s="99"/>
      <c r="BD1345" s="163"/>
    </row>
    <row r="1346" spans="47:59" x14ac:dyDescent="0.3">
      <c r="AU1346" s="99"/>
      <c r="BB1346" s="163"/>
      <c r="BD1346" s="163"/>
    </row>
    <row r="1347" spans="47:59" x14ac:dyDescent="0.3">
      <c r="BB1347" s="163"/>
      <c r="BD1347" s="163"/>
    </row>
    <row r="1348" spans="47:59" x14ac:dyDescent="0.3">
      <c r="BA1348" s="163"/>
      <c r="BB1348" s="163"/>
      <c r="BD1348" s="163"/>
    </row>
    <row r="1349" spans="47:59" x14ac:dyDescent="0.3">
      <c r="BA1349" s="99"/>
      <c r="BB1349" s="163"/>
      <c r="BD1349" s="163"/>
    </row>
    <row r="1350" spans="47:59" x14ac:dyDescent="0.3">
      <c r="BA1350" s="99"/>
      <c r="BB1350" s="163"/>
      <c r="BD1350" s="163"/>
    </row>
    <row r="1351" spans="47:59" x14ac:dyDescent="0.3">
      <c r="BB1351" s="163"/>
      <c r="BD1351" s="163"/>
      <c r="BF1351" s="99"/>
    </row>
    <row r="1352" spans="47:59" x14ac:dyDescent="0.3">
      <c r="BB1352" s="163"/>
      <c r="BD1352" s="163"/>
      <c r="BF1352" s="99"/>
    </row>
    <row r="1353" spans="47:59" x14ac:dyDescent="0.3">
      <c r="AU1353" s="99"/>
      <c r="BB1353" s="163"/>
      <c r="BD1353" s="163"/>
      <c r="BF1353" s="99"/>
    </row>
    <row r="1354" spans="47:59" x14ac:dyDescent="0.3">
      <c r="BB1354" s="163"/>
      <c r="BD1354" s="163"/>
    </row>
    <row r="1355" spans="47:59" x14ac:dyDescent="0.3">
      <c r="AU1355" s="101"/>
      <c r="AV1355" s="101"/>
      <c r="AW1355" s="101"/>
      <c r="AX1355" s="101"/>
      <c r="AY1355" s="101"/>
      <c r="AZ1355" s="101"/>
      <c r="BA1355" s="101"/>
      <c r="BB1355" s="212"/>
      <c r="BC1355" s="101"/>
      <c r="BD1355" s="212"/>
      <c r="BE1355" s="101"/>
      <c r="BF1355" s="101"/>
      <c r="BG1355" s="101"/>
    </row>
    <row r="1356" spans="47:59" x14ac:dyDescent="0.3">
      <c r="AZ1356" s="99"/>
      <c r="BB1356" s="163"/>
      <c r="BD1356" s="163"/>
    </row>
    <row r="1357" spans="47:59" x14ac:dyDescent="0.3">
      <c r="AZ1357" s="101"/>
      <c r="BA1357" s="101"/>
      <c r="BB1357" s="212"/>
      <c r="BC1357" s="101"/>
      <c r="BD1357" s="163"/>
      <c r="BE1357" s="102"/>
      <c r="BF1357" s="102"/>
    </row>
    <row r="1358" spans="47:59" x14ac:dyDescent="0.3">
      <c r="AX1358" s="102"/>
      <c r="AY1358" s="102"/>
      <c r="BB1358" s="213"/>
      <c r="BC1358" s="102"/>
      <c r="BD1358" s="163"/>
      <c r="BE1358" s="102"/>
      <c r="BF1358" s="102"/>
      <c r="BG1358" s="102"/>
    </row>
    <row r="1359" spans="47:59" x14ac:dyDescent="0.3">
      <c r="AX1359" s="102"/>
      <c r="AY1359" s="102"/>
      <c r="AZ1359" s="102"/>
      <c r="BA1359" s="102"/>
      <c r="BB1359" s="213"/>
      <c r="BC1359" s="102"/>
      <c r="BD1359" s="213"/>
      <c r="BE1359" s="102"/>
      <c r="BF1359" s="102"/>
      <c r="BG1359" s="102"/>
    </row>
    <row r="1360" spans="47:59" x14ac:dyDescent="0.3">
      <c r="AU1360" s="102"/>
      <c r="AW1360" s="99"/>
      <c r="AX1360" s="102"/>
      <c r="AY1360" s="102"/>
      <c r="AZ1360" s="102"/>
      <c r="BA1360" s="102"/>
      <c r="BB1360" s="213"/>
      <c r="BC1360" s="102"/>
      <c r="BD1360" s="213"/>
      <c r="BE1360" s="102"/>
      <c r="BF1360" s="102"/>
      <c r="BG1360" s="102"/>
    </row>
    <row r="1361" spans="47:59" x14ac:dyDescent="0.3">
      <c r="AU1361" s="102"/>
      <c r="AW1361" s="99"/>
      <c r="AX1361" s="102"/>
      <c r="AY1361" s="102"/>
      <c r="AZ1361" s="102"/>
      <c r="BA1361" s="102"/>
      <c r="BB1361" s="213"/>
      <c r="BC1361" s="102"/>
      <c r="BD1361" s="213"/>
      <c r="BE1361" s="102"/>
      <c r="BF1361" s="102"/>
      <c r="BG1361" s="102"/>
    </row>
    <row r="1362" spans="47:59" x14ac:dyDescent="0.3">
      <c r="AU1362" s="101"/>
      <c r="AV1362" s="101"/>
      <c r="AW1362" s="101"/>
      <c r="AX1362" s="101"/>
      <c r="AY1362" s="101"/>
      <c r="AZ1362" s="101"/>
      <c r="BA1362" s="101"/>
      <c r="BB1362" s="212"/>
      <c r="BC1362" s="101"/>
      <c r="BD1362" s="212"/>
      <c r="BE1362" s="101"/>
      <c r="BF1362" s="101"/>
      <c r="BG1362" s="101"/>
    </row>
    <row r="1363" spans="47:59" x14ac:dyDescent="0.3">
      <c r="AX1363" s="102"/>
      <c r="AY1363" s="102"/>
      <c r="AZ1363" s="102"/>
      <c r="BA1363" s="102"/>
      <c r="BB1363" s="213"/>
      <c r="BC1363" s="102"/>
      <c r="BD1363" s="213"/>
      <c r="BE1363" s="102"/>
      <c r="BF1363" s="102"/>
      <c r="BG1363" s="102"/>
    </row>
    <row r="1364" spans="47:59" x14ac:dyDescent="0.3">
      <c r="AV1364" s="99"/>
      <c r="AX1364" s="110"/>
      <c r="AY1364" s="110"/>
      <c r="AZ1364" s="163"/>
      <c r="BA1364" s="163"/>
      <c r="BB1364" s="163"/>
      <c r="BC1364" s="207"/>
      <c r="BD1364" s="163"/>
      <c r="BE1364" s="163"/>
      <c r="BF1364" s="163"/>
      <c r="BG1364" s="207"/>
    </row>
    <row r="1365" spans="47:59" x14ac:dyDescent="0.3">
      <c r="AX1365" s="110"/>
      <c r="AY1365" s="110"/>
      <c r="AZ1365" s="163"/>
      <c r="BA1365" s="163"/>
      <c r="BB1365" s="163"/>
      <c r="BC1365" s="207"/>
      <c r="BD1365" s="163"/>
      <c r="BE1365" s="163"/>
      <c r="BF1365" s="163"/>
      <c r="BG1365" s="207"/>
    </row>
    <row r="1366" spans="47:59" x14ac:dyDescent="0.3">
      <c r="AX1366" s="110"/>
      <c r="AY1366" s="110"/>
      <c r="AZ1366" s="163"/>
      <c r="BA1366" s="163"/>
      <c r="BB1366" s="163"/>
      <c r="BC1366" s="207"/>
      <c r="BD1366" s="163"/>
      <c r="BE1366" s="163"/>
      <c r="BF1366" s="163"/>
      <c r="BG1366" s="207"/>
    </row>
    <row r="1367" spans="47:59" x14ac:dyDescent="0.3">
      <c r="AX1367" s="110"/>
      <c r="AY1367" s="110"/>
      <c r="AZ1367" s="163"/>
      <c r="BA1367" s="163"/>
      <c r="BB1367" s="163"/>
      <c r="BC1367" s="207"/>
      <c r="BD1367" s="163"/>
      <c r="BE1367" s="163"/>
      <c r="BF1367" s="163"/>
      <c r="BG1367" s="207"/>
    </row>
    <row r="1368" spans="47:59" x14ac:dyDescent="0.3">
      <c r="AX1368" s="110"/>
      <c r="AY1368" s="110"/>
      <c r="AZ1368" s="163"/>
      <c r="BA1368" s="163"/>
      <c r="BB1368" s="163"/>
      <c r="BC1368" s="207"/>
      <c r="BD1368" s="163"/>
      <c r="BE1368" s="163"/>
      <c r="BF1368" s="163"/>
      <c r="BG1368" s="207"/>
    </row>
    <row r="1369" spans="47:59" x14ac:dyDescent="0.3">
      <c r="AX1369" s="110"/>
      <c r="AY1369" s="110"/>
      <c r="AZ1369" s="163"/>
      <c r="BA1369" s="163"/>
      <c r="BB1369" s="163"/>
      <c r="BC1369" s="207"/>
      <c r="BD1369" s="163"/>
      <c r="BE1369" s="163"/>
      <c r="BF1369" s="163"/>
      <c r="BG1369" s="207"/>
    </row>
    <row r="1370" spans="47:59" x14ac:dyDescent="0.3">
      <c r="AX1370" s="110"/>
      <c r="AY1370" s="110"/>
      <c r="AZ1370" s="163"/>
      <c r="BA1370" s="163"/>
      <c r="BB1370" s="163"/>
      <c r="BC1370" s="207"/>
      <c r="BD1370" s="163"/>
      <c r="BE1370" s="163"/>
      <c r="BF1370" s="163"/>
      <c r="BG1370" s="207"/>
    </row>
    <row r="1371" spans="47:59" x14ac:dyDescent="0.3">
      <c r="AX1371" s="110"/>
      <c r="AY1371" s="110"/>
      <c r="AZ1371" s="163"/>
      <c r="BA1371" s="163"/>
      <c r="BB1371" s="163"/>
      <c r="BC1371" s="207"/>
      <c r="BD1371" s="163"/>
      <c r="BE1371" s="163"/>
      <c r="BF1371" s="163"/>
      <c r="BG1371" s="207"/>
    </row>
    <row r="1372" spans="47:59" x14ac:dyDescent="0.3">
      <c r="AX1372" s="110"/>
      <c r="AY1372" s="110"/>
      <c r="AZ1372" s="163"/>
      <c r="BA1372" s="163"/>
      <c r="BB1372" s="163"/>
      <c r="BC1372" s="207"/>
      <c r="BD1372" s="163"/>
      <c r="BE1372" s="163"/>
      <c r="BF1372" s="163"/>
      <c r="BG1372" s="207"/>
    </row>
    <row r="1373" spans="47:59" x14ac:dyDescent="0.3">
      <c r="AX1373" s="110"/>
      <c r="AY1373" s="110"/>
      <c r="AZ1373" s="163"/>
      <c r="BA1373" s="163"/>
      <c r="BB1373" s="163"/>
      <c r="BC1373" s="207"/>
      <c r="BD1373" s="163"/>
      <c r="BE1373" s="163"/>
      <c r="BF1373" s="163"/>
      <c r="BG1373" s="207"/>
    </row>
    <row r="1374" spans="47:59" x14ac:dyDescent="0.3">
      <c r="AX1374" s="110"/>
      <c r="AY1374" s="110"/>
      <c r="BD1374" s="163"/>
    </row>
    <row r="1375" spans="47:59" x14ac:dyDescent="0.3">
      <c r="AV1375" s="99"/>
      <c r="AX1375" s="110"/>
      <c r="AY1375" s="110"/>
      <c r="AZ1375" s="163"/>
      <c r="BA1375" s="163"/>
      <c r="BB1375" s="163"/>
      <c r="BC1375" s="207"/>
      <c r="BD1375" s="163"/>
      <c r="BE1375" s="163"/>
      <c r="BF1375" s="163"/>
      <c r="BG1375" s="207"/>
    </row>
    <row r="1376" spans="47:59" x14ac:dyDescent="0.3">
      <c r="AX1376" s="110"/>
      <c r="AY1376" s="110"/>
      <c r="AZ1376" s="163"/>
      <c r="BA1376" s="163"/>
      <c r="BB1376" s="163"/>
      <c r="BC1376" s="207"/>
      <c r="BD1376" s="163"/>
      <c r="BE1376" s="163"/>
      <c r="BF1376" s="163"/>
      <c r="BG1376" s="207"/>
    </row>
    <row r="1377" spans="47:59" x14ac:dyDescent="0.3">
      <c r="AX1377" s="110"/>
      <c r="AY1377" s="110"/>
      <c r="AZ1377" s="163"/>
      <c r="BA1377" s="163"/>
      <c r="BB1377" s="163"/>
      <c r="BC1377" s="207"/>
      <c r="BD1377" s="163"/>
      <c r="BE1377" s="163"/>
      <c r="BF1377" s="163"/>
      <c r="BG1377" s="207"/>
    </row>
    <row r="1378" spans="47:59" x14ac:dyDescent="0.3">
      <c r="AX1378" s="110"/>
      <c r="AY1378" s="110"/>
      <c r="AZ1378" s="163"/>
      <c r="BA1378" s="163"/>
      <c r="BB1378" s="163"/>
      <c r="BC1378" s="207"/>
      <c r="BD1378" s="163"/>
      <c r="BE1378" s="163"/>
      <c r="BF1378" s="163"/>
      <c r="BG1378" s="207"/>
    </row>
    <row r="1379" spans="47:59" x14ac:dyDescent="0.3">
      <c r="AX1379" s="110"/>
      <c r="AY1379" s="110"/>
      <c r="AZ1379" s="163"/>
      <c r="BA1379" s="163"/>
      <c r="BB1379" s="163"/>
      <c r="BC1379" s="207"/>
      <c r="BD1379" s="163"/>
      <c r="BE1379" s="163"/>
      <c r="BF1379" s="163"/>
      <c r="BG1379" s="207"/>
    </row>
    <row r="1380" spans="47:59" x14ac:dyDescent="0.3">
      <c r="AX1380" s="110"/>
      <c r="AY1380" s="110"/>
      <c r="AZ1380" s="163"/>
      <c r="BA1380" s="163"/>
      <c r="BB1380" s="163"/>
      <c r="BC1380" s="207"/>
      <c r="BD1380" s="163"/>
      <c r="BE1380" s="163"/>
      <c r="BF1380" s="163"/>
      <c r="BG1380" s="207"/>
    </row>
    <row r="1381" spans="47:59" x14ac:dyDescent="0.3">
      <c r="AX1381" s="110"/>
      <c r="AY1381" s="110"/>
      <c r="AZ1381" s="163"/>
      <c r="BA1381" s="163"/>
      <c r="BB1381" s="163"/>
      <c r="BC1381" s="207"/>
      <c r="BD1381" s="163"/>
      <c r="BE1381" s="163"/>
      <c r="BF1381" s="163"/>
      <c r="BG1381" s="207"/>
    </row>
    <row r="1382" spans="47:59" x14ac:dyDescent="0.3">
      <c r="AX1382" s="110"/>
      <c r="AY1382" s="110"/>
      <c r="AZ1382" s="163"/>
      <c r="BA1382" s="163"/>
      <c r="BB1382" s="163"/>
      <c r="BC1382" s="207"/>
      <c r="BD1382" s="163"/>
      <c r="BE1382" s="163"/>
      <c r="BF1382" s="163"/>
      <c r="BG1382" s="207"/>
    </row>
    <row r="1383" spans="47:59" x14ac:dyDescent="0.3">
      <c r="AX1383" s="110"/>
      <c r="AY1383" s="110"/>
      <c r="AZ1383" s="163"/>
      <c r="BA1383" s="163"/>
      <c r="BB1383" s="163"/>
      <c r="BC1383" s="207"/>
      <c r="BD1383" s="163"/>
      <c r="BE1383" s="163"/>
      <c r="BF1383" s="163"/>
      <c r="BG1383" s="207"/>
    </row>
    <row r="1384" spans="47:59" x14ac:dyDescent="0.3">
      <c r="AX1384" s="110"/>
      <c r="AY1384" s="110"/>
      <c r="AZ1384" s="163"/>
      <c r="BA1384" s="163"/>
      <c r="BB1384" s="163"/>
      <c r="BC1384" s="207"/>
      <c r="BD1384" s="163"/>
      <c r="BE1384" s="163"/>
      <c r="BF1384" s="163"/>
      <c r="BG1384" s="207"/>
    </row>
    <row r="1386" spans="47:59" x14ac:dyDescent="0.3">
      <c r="AW1386" s="99"/>
    </row>
    <row r="1387" spans="47:59" x14ac:dyDescent="0.3">
      <c r="AW1387" s="99"/>
    </row>
    <row r="1388" spans="47:59" x14ac:dyDescent="0.3">
      <c r="AW1388" s="99"/>
    </row>
    <row r="1389" spans="47:59" x14ac:dyDescent="0.3">
      <c r="AU1389" s="99"/>
    </row>
    <row r="1410" spans="54:73" x14ac:dyDescent="0.3">
      <c r="BB1410" s="163"/>
      <c r="BD1410" s="163"/>
      <c r="BE1410" s="163"/>
      <c r="BF1410" s="163"/>
      <c r="BI1410" s="163"/>
      <c r="BJ1410" s="163"/>
      <c r="BK1410" s="163"/>
      <c r="BL1410" s="163"/>
      <c r="BM1410" s="163"/>
      <c r="BN1410" s="163"/>
      <c r="BO1410" s="163"/>
      <c r="BP1410" s="163"/>
      <c r="BQ1410" s="163"/>
      <c r="BR1410" s="163"/>
      <c r="BS1410" s="163"/>
      <c r="BT1410" s="163"/>
      <c r="BU1410" s="163"/>
    </row>
    <row r="1411" spans="54:73" x14ac:dyDescent="0.3">
      <c r="BB1411" s="163"/>
      <c r="BD1411" s="163"/>
      <c r="BE1411" s="163"/>
      <c r="BF1411" s="163"/>
      <c r="BI1411" s="163"/>
      <c r="BJ1411" s="163"/>
      <c r="BK1411" s="163"/>
      <c r="BL1411" s="163"/>
      <c r="BM1411" s="163"/>
      <c r="BN1411" s="163"/>
      <c r="BO1411" s="163"/>
      <c r="BP1411" s="163"/>
      <c r="BQ1411" s="163"/>
      <c r="BR1411" s="163"/>
      <c r="BS1411" s="163"/>
      <c r="BT1411" s="163"/>
      <c r="BU1411" s="163"/>
    </row>
    <row r="1412" spans="54:73" x14ac:dyDescent="0.3">
      <c r="BB1412" s="163"/>
      <c r="BD1412" s="163"/>
      <c r="BE1412" s="163"/>
      <c r="BF1412" s="163"/>
      <c r="BI1412" s="163"/>
      <c r="BJ1412" s="163"/>
      <c r="BK1412" s="163"/>
      <c r="BL1412" s="163"/>
      <c r="BM1412" s="163"/>
      <c r="BN1412" s="163"/>
      <c r="BO1412" s="163"/>
      <c r="BP1412" s="163"/>
      <c r="BQ1412" s="163"/>
      <c r="BR1412" s="163"/>
      <c r="BS1412" s="163"/>
      <c r="BT1412" s="163"/>
      <c r="BU1412" s="163"/>
    </row>
    <row r="1413" spans="54:73" x14ac:dyDescent="0.3">
      <c r="BB1413" s="163"/>
      <c r="BD1413" s="163"/>
      <c r="BE1413" s="163"/>
      <c r="BF1413" s="163"/>
      <c r="BI1413" s="163"/>
      <c r="BJ1413" s="163"/>
      <c r="BK1413" s="163"/>
      <c r="BL1413" s="163"/>
      <c r="BM1413" s="163"/>
      <c r="BN1413" s="163"/>
      <c r="BO1413" s="163"/>
      <c r="BP1413" s="163"/>
      <c r="BQ1413" s="163"/>
      <c r="BR1413" s="163"/>
      <c r="BS1413" s="163"/>
      <c r="BT1413" s="163"/>
      <c r="BU1413" s="163"/>
    </row>
    <row r="1414" spans="54:73" x14ac:dyDescent="0.3">
      <c r="BB1414" s="163"/>
      <c r="BD1414" s="163"/>
      <c r="BE1414" s="163"/>
      <c r="BF1414" s="163"/>
      <c r="BI1414" s="163"/>
      <c r="BJ1414" s="163"/>
      <c r="BK1414" s="163"/>
      <c r="BL1414" s="163"/>
      <c r="BM1414" s="163"/>
      <c r="BN1414" s="163"/>
      <c r="BO1414" s="163"/>
      <c r="BP1414" s="163"/>
      <c r="BQ1414" s="163"/>
      <c r="BR1414" s="163"/>
      <c r="BS1414" s="163"/>
      <c r="BT1414" s="163"/>
      <c r="BU1414" s="163"/>
    </row>
    <row r="1415" spans="54:73" x14ac:dyDescent="0.3">
      <c r="BB1415" s="163"/>
      <c r="BD1415" s="163"/>
      <c r="BE1415" s="163"/>
      <c r="BF1415" s="163"/>
      <c r="BI1415" s="163"/>
      <c r="BJ1415" s="163"/>
      <c r="BK1415" s="163"/>
      <c r="BL1415" s="163"/>
      <c r="BM1415" s="163"/>
      <c r="BN1415" s="163"/>
      <c r="BO1415" s="163"/>
      <c r="BP1415" s="163"/>
      <c r="BQ1415" s="163"/>
      <c r="BR1415" s="163"/>
      <c r="BS1415" s="163"/>
      <c r="BT1415" s="163"/>
      <c r="BU1415" s="163"/>
    </row>
    <row r="1416" spans="54:73" x14ac:dyDescent="0.3">
      <c r="BB1416" s="163"/>
      <c r="BD1416" s="163"/>
      <c r="BE1416" s="163"/>
      <c r="BF1416" s="163"/>
      <c r="BI1416" s="163"/>
      <c r="BJ1416" s="163"/>
      <c r="BK1416" s="163"/>
      <c r="BL1416" s="163"/>
      <c r="BM1416" s="163"/>
      <c r="BN1416" s="163"/>
      <c r="BO1416" s="163"/>
      <c r="BP1416" s="163"/>
      <c r="BQ1416" s="163"/>
      <c r="BR1416" s="163"/>
      <c r="BS1416" s="163"/>
      <c r="BT1416" s="163"/>
      <c r="BU1416" s="163"/>
    </row>
    <row r="1417" spans="54:73" x14ac:dyDescent="0.3">
      <c r="BB1417" s="163"/>
      <c r="BD1417" s="163"/>
      <c r="BE1417" s="163"/>
      <c r="BF1417" s="163"/>
      <c r="BI1417" s="163"/>
      <c r="BJ1417" s="163"/>
      <c r="BK1417" s="163"/>
      <c r="BL1417" s="163"/>
      <c r="BM1417" s="163"/>
      <c r="BN1417" s="163"/>
      <c r="BO1417" s="163"/>
      <c r="BP1417" s="163"/>
      <c r="BQ1417" s="163"/>
      <c r="BR1417" s="163"/>
      <c r="BS1417" s="163"/>
      <c r="BT1417" s="163"/>
      <c r="BU1417" s="163"/>
    </row>
    <row r="1418" spans="54:73" x14ac:dyDescent="0.3">
      <c r="BB1418" s="163"/>
      <c r="BD1418" s="163"/>
      <c r="BE1418" s="163"/>
      <c r="BF1418" s="163"/>
      <c r="BI1418" s="163"/>
      <c r="BJ1418" s="163"/>
      <c r="BK1418" s="163"/>
      <c r="BL1418" s="163"/>
      <c r="BM1418" s="163"/>
      <c r="BN1418" s="163"/>
      <c r="BO1418" s="163"/>
      <c r="BP1418" s="163"/>
      <c r="BQ1418" s="163"/>
      <c r="BR1418" s="163"/>
      <c r="BS1418" s="163"/>
      <c r="BT1418" s="163"/>
      <c r="BU1418" s="163"/>
    </row>
    <row r="1419" spans="54:73" x14ac:dyDescent="0.3">
      <c r="BB1419" s="163"/>
      <c r="BD1419" s="163"/>
      <c r="BE1419" s="163"/>
      <c r="BF1419" s="163"/>
      <c r="BI1419" s="163"/>
      <c r="BJ1419" s="163"/>
      <c r="BK1419" s="163"/>
      <c r="BL1419" s="163"/>
      <c r="BM1419" s="163"/>
      <c r="BN1419" s="163"/>
      <c r="BO1419" s="163"/>
      <c r="BP1419" s="163"/>
      <c r="BQ1419" s="163"/>
      <c r="BR1419" s="163"/>
      <c r="BS1419" s="163"/>
      <c r="BT1419" s="163"/>
      <c r="BU1419" s="163"/>
    </row>
    <row r="1420" spans="54:73" x14ac:dyDescent="0.3">
      <c r="BB1420" s="163"/>
      <c r="BD1420" s="163"/>
      <c r="BE1420" s="163"/>
      <c r="BF1420" s="163"/>
      <c r="BI1420" s="163"/>
      <c r="BJ1420" s="163"/>
      <c r="BK1420" s="163"/>
      <c r="BL1420" s="163"/>
      <c r="BM1420" s="163"/>
      <c r="BN1420" s="163"/>
      <c r="BO1420" s="163"/>
      <c r="BP1420" s="163"/>
      <c r="BQ1420" s="163"/>
      <c r="BR1420" s="163"/>
      <c r="BS1420" s="163"/>
      <c r="BT1420" s="163"/>
      <c r="BU1420" s="163"/>
    </row>
    <row r="1421" spans="54:73" x14ac:dyDescent="0.3">
      <c r="BB1421" s="163"/>
      <c r="BD1421" s="163"/>
      <c r="BE1421" s="163"/>
      <c r="BF1421" s="163"/>
      <c r="BI1421" s="163"/>
      <c r="BJ1421" s="163"/>
      <c r="BK1421" s="163"/>
      <c r="BL1421" s="163"/>
      <c r="BM1421" s="163"/>
      <c r="BN1421" s="163"/>
      <c r="BO1421" s="163"/>
      <c r="BP1421" s="163"/>
      <c r="BQ1421" s="163"/>
      <c r="BR1421" s="163"/>
      <c r="BS1421" s="163"/>
      <c r="BT1421" s="163"/>
      <c r="BU1421" s="163"/>
    </row>
    <row r="1422" spans="54:73" x14ac:dyDescent="0.3">
      <c r="BB1422" s="163"/>
      <c r="BI1422" s="163"/>
      <c r="BJ1422" s="163"/>
      <c r="BK1422" s="163"/>
      <c r="BL1422" s="163"/>
      <c r="BM1422" s="163"/>
      <c r="BN1422" s="163"/>
      <c r="BO1422" s="163"/>
      <c r="BP1422" s="163"/>
      <c r="BQ1422" s="163"/>
      <c r="BR1422" s="163"/>
      <c r="BS1422" s="163"/>
      <c r="BT1422" s="163"/>
      <c r="BU1422" s="163"/>
    </row>
    <row r="1423" spans="54:73" x14ac:dyDescent="0.3">
      <c r="BB1423" s="163"/>
      <c r="BI1423" s="163"/>
      <c r="BJ1423" s="163"/>
      <c r="BK1423" s="163"/>
      <c r="BL1423" s="163"/>
      <c r="BM1423" s="163"/>
      <c r="BN1423" s="163"/>
      <c r="BO1423" s="163"/>
      <c r="BP1423" s="163"/>
      <c r="BQ1423" s="163"/>
      <c r="BR1423" s="163"/>
      <c r="BS1423" s="163"/>
      <c r="BT1423" s="163"/>
      <c r="BU1423" s="163"/>
    </row>
    <row r="1424" spans="54:73" x14ac:dyDescent="0.3">
      <c r="BB1424" s="163"/>
      <c r="BI1424" s="163"/>
      <c r="BJ1424" s="163"/>
      <c r="BK1424" s="163"/>
      <c r="BL1424" s="163"/>
      <c r="BM1424" s="163"/>
      <c r="BN1424" s="163"/>
      <c r="BO1424" s="163"/>
      <c r="BP1424" s="163"/>
      <c r="BQ1424" s="163"/>
      <c r="BR1424" s="163"/>
      <c r="BS1424" s="163"/>
      <c r="BT1424" s="163"/>
      <c r="BU1424" s="163"/>
    </row>
    <row r="1425" spans="22:73" x14ac:dyDescent="0.3">
      <c r="BB1425" s="163"/>
      <c r="BI1425" s="163"/>
      <c r="BJ1425" s="163"/>
      <c r="BK1425" s="163"/>
      <c r="BL1425" s="163"/>
      <c r="BM1425" s="163"/>
      <c r="BN1425" s="163"/>
      <c r="BO1425" s="163"/>
      <c r="BP1425" s="163"/>
      <c r="BQ1425" s="163"/>
      <c r="BR1425" s="163"/>
      <c r="BS1425" s="163"/>
      <c r="BT1425" s="163"/>
      <c r="BU1425" s="163"/>
    </row>
    <row r="1426" spans="22:73" x14ac:dyDescent="0.3">
      <c r="BB1426" s="163"/>
      <c r="BI1426" s="163"/>
      <c r="BJ1426" s="163"/>
      <c r="BK1426" s="163"/>
      <c r="BL1426" s="163"/>
      <c r="BM1426" s="163"/>
      <c r="BN1426" s="163"/>
      <c r="BO1426" s="163"/>
      <c r="BP1426" s="163"/>
      <c r="BQ1426" s="163"/>
      <c r="BR1426" s="163"/>
      <c r="BS1426" s="163"/>
      <c r="BT1426" s="163"/>
      <c r="BU1426" s="163"/>
    </row>
    <row r="1427" spans="22:73" x14ac:dyDescent="0.3">
      <c r="BB1427" s="163"/>
      <c r="BI1427" s="163"/>
      <c r="BJ1427" s="163"/>
      <c r="BK1427" s="163"/>
      <c r="BL1427" s="163"/>
      <c r="BM1427" s="163"/>
      <c r="BN1427" s="163"/>
      <c r="BO1427" s="163"/>
      <c r="BP1427" s="163"/>
      <c r="BQ1427" s="163"/>
      <c r="BR1427" s="163"/>
      <c r="BS1427" s="163"/>
      <c r="BT1427" s="163"/>
      <c r="BU1427" s="163"/>
    </row>
    <row r="1428" spans="22:73" x14ac:dyDescent="0.3">
      <c r="BB1428" s="163"/>
      <c r="BI1428" s="163"/>
      <c r="BJ1428" s="163"/>
      <c r="BK1428" s="163"/>
      <c r="BL1428" s="163"/>
      <c r="BM1428" s="163"/>
      <c r="BN1428" s="163"/>
      <c r="BO1428" s="163"/>
      <c r="BP1428" s="163"/>
      <c r="BQ1428" s="163"/>
      <c r="BR1428" s="163"/>
      <c r="BS1428" s="163"/>
      <c r="BT1428" s="163"/>
      <c r="BU1428" s="163"/>
    </row>
    <row r="1429" spans="22:73" x14ac:dyDescent="0.3">
      <c r="BB1429" s="163"/>
    </row>
    <row r="1430" spans="22:73" x14ac:dyDescent="0.3">
      <c r="BB1430" s="163"/>
    </row>
    <row r="1437" spans="22:73" x14ac:dyDescent="0.3">
      <c r="AA1437" s="99"/>
    </row>
    <row r="1439" spans="22:73" x14ac:dyDescent="0.3">
      <c r="V1439" s="102"/>
      <c r="AC1439" s="102"/>
      <c r="AD1439" s="102"/>
    </row>
    <row r="1440" spans="22:73" x14ac:dyDescent="0.3">
      <c r="V1440" s="101"/>
      <c r="AC1440" s="101"/>
      <c r="AD1440" s="101"/>
    </row>
    <row r="1441" spans="1:30" x14ac:dyDescent="0.3">
      <c r="U1441" s="99"/>
      <c r="AC1441" s="102"/>
      <c r="AD1441" s="102"/>
    </row>
    <row r="1443" spans="1:30" x14ac:dyDescent="0.3">
      <c r="U1443" s="99"/>
      <c r="AC1443" s="102"/>
      <c r="AD1443" s="102"/>
    </row>
    <row r="1444" spans="1:30" x14ac:dyDescent="0.3">
      <c r="A1444" s="99"/>
    </row>
    <row r="1445" spans="1:30" x14ac:dyDescent="0.3">
      <c r="U1445" s="99"/>
      <c r="V1445" s="231"/>
      <c r="AC1445" s="102"/>
      <c r="AD1445" s="102"/>
    </row>
    <row r="1447" spans="1:30" x14ac:dyDescent="0.3">
      <c r="U1447" s="99"/>
      <c r="AC1447" s="102"/>
      <c r="AD1447" s="102"/>
    </row>
    <row r="1448" spans="1:30" x14ac:dyDescent="0.3">
      <c r="A1448" s="99"/>
      <c r="H1448" s="99"/>
      <c r="I1448" s="99"/>
    </row>
    <row r="1449" spans="1:30" x14ac:dyDescent="0.3">
      <c r="A1449" s="99"/>
      <c r="U1449" s="99"/>
      <c r="AC1449" s="102"/>
      <c r="AD1449" s="102"/>
    </row>
    <row r="1450" spans="1:30" x14ac:dyDescent="0.3">
      <c r="A1450" s="99"/>
    </row>
    <row r="1451" spans="1:30" x14ac:dyDescent="0.3">
      <c r="A1451" s="99"/>
    </row>
    <row r="1452" spans="1:30" x14ac:dyDescent="0.3">
      <c r="A1452" s="99"/>
    </row>
    <row r="1453" spans="1:30" x14ac:dyDescent="0.3">
      <c r="A1453" s="99"/>
    </row>
    <row r="1454" spans="1:30" x14ac:dyDescent="0.3">
      <c r="A1454" s="99"/>
    </row>
    <row r="1455" spans="1:30" x14ac:dyDescent="0.3">
      <c r="A1455" s="99"/>
    </row>
    <row r="1456" spans="1:30" x14ac:dyDescent="0.3">
      <c r="A1456" s="99"/>
    </row>
    <row r="1457" spans="1:9" x14ac:dyDescent="0.3">
      <c r="A1457" s="99"/>
    </row>
    <row r="1458" spans="1:9" x14ac:dyDescent="0.3">
      <c r="A1458" s="99"/>
    </row>
    <row r="1459" spans="1:9" x14ac:dyDescent="0.3">
      <c r="A1459" s="99"/>
    </row>
    <row r="1460" spans="1:9" x14ac:dyDescent="0.3">
      <c r="A1460" s="99"/>
    </row>
    <row r="1461" spans="1:9" x14ac:dyDescent="0.3">
      <c r="A1461" s="99"/>
    </row>
    <row r="1462" spans="1:9" x14ac:dyDescent="0.3">
      <c r="A1462" s="99"/>
    </row>
    <row r="1463" spans="1:9" x14ac:dyDescent="0.3">
      <c r="A1463" s="99"/>
    </row>
    <row r="1464" spans="1:9" x14ac:dyDescent="0.3">
      <c r="A1464" s="99"/>
    </row>
    <row r="1465" spans="1:9" x14ac:dyDescent="0.3">
      <c r="A1465" s="99"/>
    </row>
    <row r="1466" spans="1:9" x14ac:dyDescent="0.3">
      <c r="A1466" s="99"/>
    </row>
    <row r="1467" spans="1:9" x14ac:dyDescent="0.3">
      <c r="A1467" s="99"/>
    </row>
    <row r="1468" spans="1:9" x14ac:dyDescent="0.3">
      <c r="A1468" s="99"/>
    </row>
    <row r="1469" spans="1:9" x14ac:dyDescent="0.3">
      <c r="A1469" s="99"/>
    </row>
    <row r="1470" spans="1:9" x14ac:dyDescent="0.3">
      <c r="A1470" s="99"/>
      <c r="H1470" s="99"/>
      <c r="I1470" s="99"/>
    </row>
    <row r="1473" spans="1:1" x14ac:dyDescent="0.3">
      <c r="A1473" s="99"/>
    </row>
    <row r="1476" spans="1:1" x14ac:dyDescent="0.3">
      <c r="A1476" s="99"/>
    </row>
    <row r="1479" spans="1:1" x14ac:dyDescent="0.3">
      <c r="A1479" s="99"/>
    </row>
    <row r="1480" spans="1:1" x14ac:dyDescent="0.3">
      <c r="A1480" s="99"/>
    </row>
    <row r="1481" spans="1:1" x14ac:dyDescent="0.3">
      <c r="A1481" s="99"/>
    </row>
    <row r="1482" spans="1:1" x14ac:dyDescent="0.3">
      <c r="A1482" s="99"/>
    </row>
    <row r="1483" spans="1:1" x14ac:dyDescent="0.3">
      <c r="A1483" s="99"/>
    </row>
    <row r="1484" spans="1:1" x14ac:dyDescent="0.3">
      <c r="A1484" s="99"/>
    </row>
    <row r="1485" spans="1:1" x14ac:dyDescent="0.3">
      <c r="A1485" s="99"/>
    </row>
    <row r="1486" spans="1:1" x14ac:dyDescent="0.3">
      <c r="A1486" s="99"/>
    </row>
    <row r="1487" spans="1:1" x14ac:dyDescent="0.3">
      <c r="A1487" s="99"/>
    </row>
    <row r="1488" spans="1:1" x14ac:dyDescent="0.3">
      <c r="A1488" s="99"/>
    </row>
    <row r="1489" spans="1:1" x14ac:dyDescent="0.3">
      <c r="A1489" s="99"/>
    </row>
    <row r="1490" spans="1:1" x14ac:dyDescent="0.3">
      <c r="A1490" s="99"/>
    </row>
    <row r="1491" spans="1:1" x14ac:dyDescent="0.3">
      <c r="A1491" s="99"/>
    </row>
    <row r="1492" spans="1:1" x14ac:dyDescent="0.3">
      <c r="A1492" s="99"/>
    </row>
    <row r="1493" spans="1:1" x14ac:dyDescent="0.3">
      <c r="A1493" s="99"/>
    </row>
    <row r="1494" spans="1:1" x14ac:dyDescent="0.3">
      <c r="A1494" s="99"/>
    </row>
    <row r="1495" spans="1:1" x14ac:dyDescent="0.3">
      <c r="A1495" s="99"/>
    </row>
    <row r="1496" spans="1:1" x14ac:dyDescent="0.3">
      <c r="A1496" s="99"/>
    </row>
    <row r="1497" spans="1:1" x14ac:dyDescent="0.3">
      <c r="A1497" s="99"/>
    </row>
    <row r="1498" spans="1:1" x14ac:dyDescent="0.3">
      <c r="A1498" s="99"/>
    </row>
    <row r="1499" spans="1:1" x14ac:dyDescent="0.3">
      <c r="A1499" s="99"/>
    </row>
    <row r="1500" spans="1:1" x14ac:dyDescent="0.3">
      <c r="A1500" s="99"/>
    </row>
    <row r="1501" spans="1:1" x14ac:dyDescent="0.3">
      <c r="A1501" s="99"/>
    </row>
    <row r="1502" spans="1:1" x14ac:dyDescent="0.3">
      <c r="A1502" s="99"/>
    </row>
    <row r="1503" spans="1:1" x14ac:dyDescent="0.3">
      <c r="A1503" s="99"/>
    </row>
    <row r="1504" spans="1:1" x14ac:dyDescent="0.3">
      <c r="A1504" s="99"/>
    </row>
    <row r="1505" spans="1:1" x14ac:dyDescent="0.3">
      <c r="A1505" s="99"/>
    </row>
    <row r="1506" spans="1:1" x14ac:dyDescent="0.3">
      <c r="A1506" s="99"/>
    </row>
    <row r="1507" spans="1:1" x14ac:dyDescent="0.3">
      <c r="A1507" s="99"/>
    </row>
    <row r="1508" spans="1:1" x14ac:dyDescent="0.3">
      <c r="A1508" s="99"/>
    </row>
    <row r="1509" spans="1:1" x14ac:dyDescent="0.3">
      <c r="A1509" s="99"/>
    </row>
    <row r="1510" spans="1:1" x14ac:dyDescent="0.3">
      <c r="A1510" s="99"/>
    </row>
    <row r="1511" spans="1:1" x14ac:dyDescent="0.3">
      <c r="A1511" s="99"/>
    </row>
    <row r="1512" spans="1:1" x14ac:dyDescent="0.3">
      <c r="A1512" s="99"/>
    </row>
    <row r="1513" spans="1:1" x14ac:dyDescent="0.3">
      <c r="A1513" s="99"/>
    </row>
    <row r="1518" spans="1:1" x14ac:dyDescent="0.3">
      <c r="A1518" s="99"/>
    </row>
    <row r="1519" spans="1:1" x14ac:dyDescent="0.3">
      <c r="A1519" s="99"/>
    </row>
    <row r="1522" spans="1:1" x14ac:dyDescent="0.3">
      <c r="A1522" s="99"/>
    </row>
    <row r="1524" spans="1:1" x14ac:dyDescent="0.3">
      <c r="A1524" s="99"/>
    </row>
    <row r="1526" spans="1:1" x14ac:dyDescent="0.3">
      <c r="A1526" s="99"/>
    </row>
    <row r="1528" spans="1:1" x14ac:dyDescent="0.3">
      <c r="A1528" s="99"/>
    </row>
    <row r="1531" spans="1:1" x14ac:dyDescent="0.3">
      <c r="A1531" s="99"/>
    </row>
    <row r="1532" spans="1:1" x14ac:dyDescent="0.3">
      <c r="A1532" s="99"/>
    </row>
    <row r="1533" spans="1:1" x14ac:dyDescent="0.3">
      <c r="A1533" s="99"/>
    </row>
    <row r="1534" spans="1:1" x14ac:dyDescent="0.3">
      <c r="A1534" s="99"/>
    </row>
    <row r="1535" spans="1:1" x14ac:dyDescent="0.3">
      <c r="A1535" s="99"/>
    </row>
    <row r="1536" spans="1:1" x14ac:dyDescent="0.3">
      <c r="A1536" s="99"/>
    </row>
    <row r="1537" spans="1:1" x14ac:dyDescent="0.3">
      <c r="A1537" s="99"/>
    </row>
    <row r="1538" spans="1:1" x14ac:dyDescent="0.3">
      <c r="A1538" s="99"/>
    </row>
  </sheetData>
  <mergeCells count="5">
    <mergeCell ref="T622:AQ622"/>
    <mergeCell ref="T352:AQ352"/>
    <mergeCell ref="T418:AQ418"/>
    <mergeCell ref="T489:AQ489"/>
    <mergeCell ref="T555:AQ555"/>
  </mergeCells>
  <printOptions horizontalCentered="1"/>
  <pageMargins left="0.5" right="0.5" top="1" bottom="0.5" header="0" footer="0"/>
  <pageSetup scale="40" orientation="landscape" r:id="rId1"/>
  <headerFooter alignWithMargins="0"/>
  <rowBreaks count="1" manualBreakCount="1">
    <brk id="122" max="17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>
    <pageSetUpPr fitToPage="1"/>
  </sheetPr>
  <dimension ref="A1:AA247"/>
  <sheetViews>
    <sheetView zoomScale="75" workbookViewId="0"/>
  </sheetViews>
  <sheetFormatPr defaultColWidth="8.9140625" defaultRowHeight="15" x14ac:dyDescent="0.25"/>
  <cols>
    <col min="1" max="1" width="4.25" style="1" customWidth="1"/>
    <col min="2" max="2" width="1" style="1" customWidth="1"/>
    <col min="3" max="3" width="17" style="1" customWidth="1"/>
    <col min="4" max="4" width="8.9140625" style="1"/>
    <col min="5" max="5" width="11.9140625" style="1" customWidth="1"/>
    <col min="6" max="6" width="12.33203125" style="1" customWidth="1"/>
    <col min="7" max="7" width="12" style="1" customWidth="1"/>
    <col min="8" max="8" width="12.9140625" style="1" bestFit="1" customWidth="1"/>
    <col min="9" max="9" width="10.58203125" style="1" customWidth="1"/>
    <col min="10" max="10" width="1.6640625" style="1" customWidth="1"/>
    <col min="11" max="11" width="11.33203125" style="1" bestFit="1" customWidth="1"/>
    <col min="12" max="12" width="9.75" style="1" bestFit="1" customWidth="1"/>
    <col min="13" max="14" width="11.08203125" style="1" customWidth="1"/>
    <col min="15" max="15" width="11.6640625" style="1" customWidth="1"/>
    <col min="16" max="16" width="12.4140625" style="1" bestFit="1" customWidth="1"/>
    <col min="17" max="17" width="17" style="1" bestFit="1" customWidth="1"/>
    <col min="18" max="18" width="9.6640625" style="1" customWidth="1"/>
    <col min="19" max="16384" width="8.9140625" style="1"/>
  </cols>
  <sheetData>
    <row r="1" spans="1:18" ht="15.6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18" ht="15.6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5.6" x14ac:dyDescent="0.3">
      <c r="A3" s="97" t="s">
        <v>171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1:18" ht="15.6" x14ac:dyDescent="0.3">
      <c r="A4" s="97" t="str">
        <f>SERVICE</f>
        <v>(ELECTRIC SERVICE)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15.6" x14ac:dyDescent="0.3">
      <c r="A5" s="99"/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</row>
    <row r="6" spans="1:18" ht="15.6" x14ac:dyDescent="0.3">
      <c r="A6" s="98" t="str">
        <f>DATA_PERIOD</f>
        <v>DATA: __X__ BASE PERIOD   ____FORECASTED PERIOD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O6" s="98"/>
      <c r="P6" s="98"/>
      <c r="Q6" s="99" t="s">
        <v>172</v>
      </c>
      <c r="R6" s="98"/>
    </row>
    <row r="7" spans="1:18" ht="15.6" x14ac:dyDescent="0.3">
      <c r="A7" s="98" t="str">
        <f>TYPE</f>
        <v>TYPE OF FILING: _X_ ORIGINAL   ___UPDATED  ___ REVISED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9" t="s">
        <v>99</v>
      </c>
      <c r="R7" s="98"/>
    </row>
    <row r="8" spans="1:18" ht="15.6" x14ac:dyDescent="0.3">
      <c r="A8" s="99" t="s">
        <v>100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9" t="s">
        <v>3</v>
      </c>
      <c r="R8" s="98"/>
    </row>
    <row r="9" spans="1:18" ht="15.6" x14ac:dyDescent="0.3">
      <c r="A9" s="134" t="str">
        <f>TIME</f>
        <v>6 Months Actual and 6 Months Projected with Riders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 t="str">
        <f>WIT</f>
        <v>B. L. Sailers</v>
      </c>
      <c r="R9" s="98"/>
    </row>
    <row r="10" spans="1:18" ht="15.75" customHeight="1" x14ac:dyDescent="0.3">
      <c r="A10" s="355" t="s">
        <v>424</v>
      </c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</row>
    <row r="11" spans="1:18" ht="15.6" x14ac:dyDescent="0.3">
      <c r="A11" s="100"/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</row>
    <row r="12" spans="1:18" ht="15.6" x14ac:dyDescent="0.3">
      <c r="A12" s="98"/>
      <c r="B12" s="98"/>
      <c r="C12" s="98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</row>
    <row r="13" spans="1:18" ht="15.6" x14ac:dyDescent="0.3">
      <c r="A13" s="98"/>
      <c r="B13" s="98"/>
      <c r="C13" s="98"/>
      <c r="D13" s="98"/>
      <c r="E13" s="98"/>
      <c r="F13" s="8" t="s">
        <v>374</v>
      </c>
      <c r="G13" s="8"/>
      <c r="H13" s="8"/>
      <c r="I13" s="8"/>
      <c r="J13" s="97"/>
      <c r="K13" s="354" t="s">
        <v>357</v>
      </c>
      <c r="L13" s="354"/>
      <c r="M13" s="354"/>
      <c r="N13" s="354"/>
      <c r="O13" s="354"/>
      <c r="P13" s="102" t="s">
        <v>11</v>
      </c>
      <c r="Q13" s="102" t="s">
        <v>11</v>
      </c>
      <c r="R13" s="98"/>
    </row>
    <row r="14" spans="1:18" ht="17.100000000000001" customHeight="1" x14ac:dyDescent="0.3">
      <c r="A14" s="98"/>
      <c r="B14" s="98"/>
      <c r="C14" s="98"/>
      <c r="D14" s="102" t="s">
        <v>101</v>
      </c>
      <c r="E14" s="102" t="s">
        <v>101</v>
      </c>
      <c r="F14" s="98"/>
      <c r="G14" s="98"/>
      <c r="H14" s="102" t="s">
        <v>102</v>
      </c>
      <c r="I14" s="102" t="s">
        <v>103</v>
      </c>
      <c r="J14" s="102"/>
      <c r="K14" s="98"/>
      <c r="L14" s="98"/>
      <c r="O14" s="98"/>
      <c r="P14" s="102" t="s">
        <v>8</v>
      </c>
      <c r="Q14" s="102" t="s">
        <v>6</v>
      </c>
      <c r="R14" s="102" t="s">
        <v>103</v>
      </c>
    </row>
    <row r="15" spans="1:18" ht="15.6" x14ac:dyDescent="0.3">
      <c r="A15" s="98"/>
      <c r="B15" s="98"/>
      <c r="C15" s="98"/>
      <c r="D15" s="102" t="s">
        <v>104</v>
      </c>
      <c r="E15" s="102" t="s">
        <v>104</v>
      </c>
      <c r="F15" s="102" t="s">
        <v>8</v>
      </c>
      <c r="G15" s="102" t="s">
        <v>6</v>
      </c>
      <c r="H15" s="102" t="s">
        <v>105</v>
      </c>
      <c r="I15" s="102" t="s">
        <v>105</v>
      </c>
      <c r="J15" s="102"/>
      <c r="K15" s="102" t="s">
        <v>252</v>
      </c>
      <c r="L15" s="102" t="s">
        <v>252</v>
      </c>
      <c r="M15" s="102" t="s">
        <v>252</v>
      </c>
      <c r="N15" s="102" t="s">
        <v>252</v>
      </c>
      <c r="O15" s="102" t="s">
        <v>252</v>
      </c>
      <c r="P15" s="102" t="s">
        <v>106</v>
      </c>
      <c r="Q15" s="102" t="s">
        <v>106</v>
      </c>
      <c r="R15" s="102" t="s">
        <v>105</v>
      </c>
    </row>
    <row r="16" spans="1:18" ht="15.6" x14ac:dyDescent="0.3">
      <c r="A16" s="102" t="s">
        <v>17</v>
      </c>
      <c r="B16" s="98"/>
      <c r="C16" s="99" t="s">
        <v>18</v>
      </c>
      <c r="D16" s="102" t="s">
        <v>108</v>
      </c>
      <c r="E16" s="102" t="s">
        <v>109</v>
      </c>
      <c r="F16" s="103" t="s">
        <v>581</v>
      </c>
      <c r="G16" s="103" t="s">
        <v>581</v>
      </c>
      <c r="H16" s="131" t="s">
        <v>110</v>
      </c>
      <c r="I16" s="131" t="s">
        <v>111</v>
      </c>
      <c r="J16" s="102"/>
      <c r="K16" s="102" t="s">
        <v>359</v>
      </c>
      <c r="L16" s="103" t="s">
        <v>256</v>
      </c>
      <c r="M16" s="102" t="s">
        <v>530</v>
      </c>
      <c r="N16" s="102" t="s">
        <v>774</v>
      </c>
      <c r="O16" s="103" t="s">
        <v>358</v>
      </c>
      <c r="P16" s="146" t="s">
        <v>775</v>
      </c>
      <c r="Q16" s="146" t="s">
        <v>776</v>
      </c>
      <c r="R16" s="146" t="s">
        <v>712</v>
      </c>
    </row>
    <row r="17" spans="1:22" ht="15.6" x14ac:dyDescent="0.3">
      <c r="A17" s="262" t="s">
        <v>22</v>
      </c>
      <c r="B17" s="104"/>
      <c r="C17" s="338" t="s">
        <v>23</v>
      </c>
      <c r="D17" s="128" t="s">
        <v>33</v>
      </c>
      <c r="E17" s="128" t="s">
        <v>34</v>
      </c>
      <c r="F17" s="128" t="s">
        <v>35</v>
      </c>
      <c r="G17" s="128" t="s">
        <v>36</v>
      </c>
      <c r="H17" s="128" t="s">
        <v>37</v>
      </c>
      <c r="I17" s="128" t="s">
        <v>38</v>
      </c>
      <c r="J17" s="128"/>
      <c r="K17" s="128" t="s">
        <v>39</v>
      </c>
      <c r="L17" s="128" t="s">
        <v>40</v>
      </c>
      <c r="M17" s="128" t="s">
        <v>772</v>
      </c>
      <c r="N17" s="128" t="s">
        <v>773</v>
      </c>
      <c r="O17" s="127" t="s">
        <v>42</v>
      </c>
      <c r="P17" s="127" t="s">
        <v>43</v>
      </c>
      <c r="Q17" s="127" t="s">
        <v>44</v>
      </c>
      <c r="R17" s="127" t="s">
        <v>45</v>
      </c>
    </row>
    <row r="18" spans="1:22" ht="15.6" x14ac:dyDescent="0.3">
      <c r="A18" s="98"/>
      <c r="B18" s="98"/>
      <c r="C18" s="98"/>
      <c r="D18" s="166" t="s">
        <v>117</v>
      </c>
      <c r="E18" s="166" t="s">
        <v>49</v>
      </c>
      <c r="F18" s="166" t="s">
        <v>50</v>
      </c>
      <c r="G18" s="166" t="s">
        <v>50</v>
      </c>
      <c r="H18" s="166" t="s">
        <v>50</v>
      </c>
      <c r="I18" s="166" t="s">
        <v>51</v>
      </c>
      <c r="J18" s="166"/>
      <c r="K18" s="166" t="s">
        <v>50</v>
      </c>
      <c r="L18" s="166" t="s">
        <v>50</v>
      </c>
      <c r="M18" s="166" t="s">
        <v>50</v>
      </c>
      <c r="N18" s="166" t="s">
        <v>50</v>
      </c>
      <c r="O18" s="166" t="s">
        <v>50</v>
      </c>
      <c r="P18" s="166" t="s">
        <v>50</v>
      </c>
      <c r="Q18" s="166" t="s">
        <v>50</v>
      </c>
      <c r="R18" s="166" t="s">
        <v>51</v>
      </c>
    </row>
    <row r="19" spans="1:22" ht="15.6" x14ac:dyDescent="0.3">
      <c r="A19" s="1">
        <v>1</v>
      </c>
      <c r="C19" s="99" t="s">
        <v>52</v>
      </c>
      <c r="D19" s="102"/>
      <c r="G19" s="136"/>
    </row>
    <row r="20" spans="1:22" x14ac:dyDescent="0.25">
      <c r="A20" s="1">
        <v>2</v>
      </c>
      <c r="D20" s="2" t="s">
        <v>118</v>
      </c>
      <c r="E20" s="106">
        <v>300</v>
      </c>
      <c r="F20" s="3">
        <f t="shared" ref="F20:F26" si="0">ROUND((E20*CUR_RS_ENERGY)+CUR_RS_CUST,2)+DSM_RS_CUST</f>
        <v>46.79</v>
      </c>
      <c r="G20" s="3">
        <f t="shared" ref="G20:G26" si="1">ROUND((E20*PRO_RS_ENERGY)+PRO_RS_CUST,2)+DSM_RS_CUST</f>
        <v>55.33</v>
      </c>
      <c r="H20" s="3">
        <f t="shared" ref="H20:H26" si="2">G20-F20</f>
        <v>8.5399999999999991</v>
      </c>
      <c r="I20" s="175">
        <f t="shared" ref="I20:I26" si="3">ROUND(H20/F20,3)*100</f>
        <v>18.3</v>
      </c>
      <c r="J20" s="175"/>
      <c r="K20" s="3">
        <f t="shared" ref="K20:K26" si="4">ROUND(E20*CUR_FAC,2)</f>
        <v>1.05</v>
      </c>
      <c r="L20" s="3">
        <f t="shared" ref="L20:L26" si="5">ROUND(E20*DSM_RES,2)</f>
        <v>0.41</v>
      </c>
      <c r="M20" s="3">
        <f t="shared" ref="M20:M26" si="6">ROUND((F20+$K20+$L20+$O20)*CUR_ESM,2)</f>
        <v>0.2</v>
      </c>
      <c r="N20" s="3">
        <f t="shared" ref="N20:N26" si="7">ROUND((G20+$K20+$L20+$O20)*PRO_ESM,2)</f>
        <v>0.2</v>
      </c>
      <c r="O20" s="3">
        <f t="shared" ref="O20:O26" si="8">ROUND(E20*RS_PSM,2)</f>
        <v>0.74</v>
      </c>
      <c r="P20" s="3">
        <f>F20+K20+L20+M20+O20</f>
        <v>49.19</v>
      </c>
      <c r="Q20" s="3">
        <f>G20+K20+L20+N20+O20</f>
        <v>57.73</v>
      </c>
      <c r="R20" s="175">
        <f t="shared" ref="R20:R26" si="9">ROUND((Q20-P20)/P20,3)*100</f>
        <v>17.399999999999999</v>
      </c>
      <c r="U20" s="3"/>
      <c r="V20" s="3"/>
    </row>
    <row r="21" spans="1:22" x14ac:dyDescent="0.25">
      <c r="A21" s="1">
        <v>3</v>
      </c>
      <c r="D21" s="2" t="s">
        <v>118</v>
      </c>
      <c r="E21" s="106">
        <v>400</v>
      </c>
      <c r="F21" s="3">
        <f t="shared" si="0"/>
        <v>57.959999999999994</v>
      </c>
      <c r="G21" s="3">
        <f t="shared" si="1"/>
        <v>68.34</v>
      </c>
      <c r="H21" s="3">
        <f t="shared" si="2"/>
        <v>10.38000000000001</v>
      </c>
      <c r="I21" s="175">
        <f t="shared" si="3"/>
        <v>17.899999999999999</v>
      </c>
      <c r="J21" s="175"/>
      <c r="K21" s="3">
        <f t="shared" si="4"/>
        <v>1.39</v>
      </c>
      <c r="L21" s="3">
        <f t="shared" si="5"/>
        <v>0.54</v>
      </c>
      <c r="M21" s="3">
        <f t="shared" si="6"/>
        <v>0.25</v>
      </c>
      <c r="N21" s="3">
        <f t="shared" si="7"/>
        <v>0.25</v>
      </c>
      <c r="O21" s="3">
        <f t="shared" si="8"/>
        <v>0.99</v>
      </c>
      <c r="P21" s="3">
        <f t="shared" ref="P21:P26" si="10">F21+K21+L21+M21+O21</f>
        <v>61.129999999999995</v>
      </c>
      <c r="Q21" s="3">
        <f t="shared" ref="Q21:Q26" si="11">G21+K21+L21+N21+O21</f>
        <v>71.510000000000005</v>
      </c>
      <c r="R21" s="175">
        <f t="shared" si="9"/>
        <v>17</v>
      </c>
    </row>
    <row r="22" spans="1:22" x14ac:dyDescent="0.25">
      <c r="A22" s="1">
        <v>4</v>
      </c>
      <c r="D22" s="2" t="s">
        <v>118</v>
      </c>
      <c r="E22" s="106">
        <v>500</v>
      </c>
      <c r="F22" s="3">
        <f t="shared" si="0"/>
        <v>69.11999999999999</v>
      </c>
      <c r="G22" s="3">
        <f t="shared" si="1"/>
        <v>81.36</v>
      </c>
      <c r="H22" s="3">
        <f t="shared" si="2"/>
        <v>12.240000000000009</v>
      </c>
      <c r="I22" s="175">
        <f t="shared" si="3"/>
        <v>17.7</v>
      </c>
      <c r="J22" s="175"/>
      <c r="K22" s="3">
        <f t="shared" si="4"/>
        <v>1.74</v>
      </c>
      <c r="L22" s="3">
        <f t="shared" si="5"/>
        <v>0.68</v>
      </c>
      <c r="M22" s="3">
        <f t="shared" si="6"/>
        <v>0.3</v>
      </c>
      <c r="N22" s="3">
        <f t="shared" si="7"/>
        <v>0.3</v>
      </c>
      <c r="O22" s="3">
        <f t="shared" si="8"/>
        <v>1.24</v>
      </c>
      <c r="P22" s="3">
        <f t="shared" si="10"/>
        <v>73.079999999999984</v>
      </c>
      <c r="Q22" s="3">
        <f t="shared" si="11"/>
        <v>85.32</v>
      </c>
      <c r="R22" s="175">
        <f t="shared" si="9"/>
        <v>16.7</v>
      </c>
    </row>
    <row r="23" spans="1:22" x14ac:dyDescent="0.25">
      <c r="A23" s="1">
        <v>5</v>
      </c>
      <c r="D23" s="2" t="s">
        <v>118</v>
      </c>
      <c r="E23" s="106">
        <v>800</v>
      </c>
      <c r="F23" s="3">
        <f t="shared" si="0"/>
        <v>102.61</v>
      </c>
      <c r="G23" s="3">
        <f t="shared" si="1"/>
        <v>120.39</v>
      </c>
      <c r="H23" s="3">
        <f t="shared" si="2"/>
        <v>17.78</v>
      </c>
      <c r="I23" s="175">
        <f t="shared" si="3"/>
        <v>17.299999999999997</v>
      </c>
      <c r="J23" s="175"/>
      <c r="K23" s="3">
        <f t="shared" si="4"/>
        <v>2.79</v>
      </c>
      <c r="L23" s="3">
        <f t="shared" si="5"/>
        <v>1.08</v>
      </c>
      <c r="M23" s="3">
        <f t="shared" si="6"/>
        <v>0.45</v>
      </c>
      <c r="N23" s="3">
        <f t="shared" si="7"/>
        <v>0.44</v>
      </c>
      <c r="O23" s="3">
        <f t="shared" si="8"/>
        <v>1.98</v>
      </c>
      <c r="P23" s="3">
        <f t="shared" si="10"/>
        <v>108.91000000000001</v>
      </c>
      <c r="Q23" s="3">
        <f t="shared" si="11"/>
        <v>126.68</v>
      </c>
      <c r="R23" s="175">
        <f t="shared" si="9"/>
        <v>16.3</v>
      </c>
    </row>
    <row r="24" spans="1:22" x14ac:dyDescent="0.25">
      <c r="A24" s="1">
        <v>6</v>
      </c>
      <c r="D24" s="2" t="s">
        <v>118</v>
      </c>
      <c r="E24" s="106">
        <v>1000</v>
      </c>
      <c r="F24" s="3">
        <f t="shared" si="0"/>
        <v>124.94</v>
      </c>
      <c r="G24" s="3">
        <f t="shared" si="1"/>
        <v>146.41000000000003</v>
      </c>
      <c r="H24" s="3">
        <f t="shared" si="2"/>
        <v>21.470000000000027</v>
      </c>
      <c r="I24" s="175">
        <f t="shared" si="3"/>
        <v>17.2</v>
      </c>
      <c r="J24" s="175"/>
      <c r="K24" s="3">
        <f t="shared" si="4"/>
        <v>3.49</v>
      </c>
      <c r="L24" s="3">
        <f t="shared" si="5"/>
        <v>1.35</v>
      </c>
      <c r="M24" s="3">
        <f t="shared" si="6"/>
        <v>0.55000000000000004</v>
      </c>
      <c r="N24" s="3">
        <f t="shared" si="7"/>
        <v>0.54</v>
      </c>
      <c r="O24" s="3">
        <f t="shared" si="8"/>
        <v>2.48</v>
      </c>
      <c r="P24" s="3">
        <f t="shared" si="10"/>
        <v>132.81</v>
      </c>
      <c r="Q24" s="3">
        <f t="shared" si="11"/>
        <v>154.27000000000001</v>
      </c>
      <c r="R24" s="175">
        <f t="shared" si="9"/>
        <v>16.2</v>
      </c>
      <c r="S24" s="3">
        <f>Q24-P24</f>
        <v>21.460000000000008</v>
      </c>
    </row>
    <row r="25" spans="1:22" x14ac:dyDescent="0.25">
      <c r="A25" s="1">
        <v>7</v>
      </c>
      <c r="D25" s="2" t="s">
        <v>118</v>
      </c>
      <c r="E25" s="106">
        <v>1500</v>
      </c>
      <c r="F25" s="3">
        <f t="shared" si="0"/>
        <v>180.76000000000002</v>
      </c>
      <c r="G25" s="3">
        <f t="shared" si="1"/>
        <v>211.47</v>
      </c>
      <c r="H25" s="3">
        <f t="shared" si="2"/>
        <v>30.70999999999998</v>
      </c>
      <c r="I25" s="175">
        <f t="shared" si="3"/>
        <v>17</v>
      </c>
      <c r="J25" s="175"/>
      <c r="K25" s="3">
        <f t="shared" si="4"/>
        <v>5.23</v>
      </c>
      <c r="L25" s="3">
        <f t="shared" si="5"/>
        <v>2.0299999999999998</v>
      </c>
      <c r="M25" s="3">
        <f t="shared" si="6"/>
        <v>0.79</v>
      </c>
      <c r="N25" s="3">
        <f t="shared" si="7"/>
        <v>0.77</v>
      </c>
      <c r="O25" s="3">
        <f t="shared" si="8"/>
        <v>3.71</v>
      </c>
      <c r="P25" s="3">
        <f t="shared" si="10"/>
        <v>192.52</v>
      </c>
      <c r="Q25" s="3">
        <f t="shared" si="11"/>
        <v>223.21</v>
      </c>
      <c r="R25" s="175">
        <f t="shared" si="9"/>
        <v>15.9</v>
      </c>
    </row>
    <row r="26" spans="1:22" x14ac:dyDescent="0.25">
      <c r="A26" s="1">
        <v>8</v>
      </c>
      <c r="D26" s="2" t="s">
        <v>118</v>
      </c>
      <c r="E26" s="106">
        <v>2000</v>
      </c>
      <c r="F26" s="3">
        <f t="shared" si="0"/>
        <v>236.58</v>
      </c>
      <c r="G26" s="3">
        <f t="shared" si="1"/>
        <v>276.52000000000004</v>
      </c>
      <c r="H26" s="3">
        <f t="shared" si="2"/>
        <v>39.940000000000026</v>
      </c>
      <c r="I26" s="175">
        <f t="shared" si="3"/>
        <v>16.900000000000002</v>
      </c>
      <c r="J26" s="175"/>
      <c r="K26" s="3">
        <f t="shared" si="4"/>
        <v>6.97</v>
      </c>
      <c r="L26" s="3">
        <f t="shared" si="5"/>
        <v>2.7</v>
      </c>
      <c r="M26" s="3">
        <f t="shared" si="6"/>
        <v>1.04</v>
      </c>
      <c r="N26" s="3">
        <f t="shared" si="7"/>
        <v>1.01</v>
      </c>
      <c r="O26" s="3">
        <f t="shared" si="8"/>
        <v>4.95</v>
      </c>
      <c r="P26" s="3">
        <f t="shared" si="10"/>
        <v>252.23999999999998</v>
      </c>
      <c r="Q26" s="3">
        <f t="shared" si="11"/>
        <v>292.15000000000003</v>
      </c>
      <c r="R26" s="175">
        <f t="shared" si="9"/>
        <v>15.8</v>
      </c>
    </row>
    <row r="27" spans="1:22" x14ac:dyDescent="0.25">
      <c r="G27" s="136"/>
      <c r="H27" s="3"/>
      <c r="I27" s="175"/>
      <c r="J27" s="175"/>
      <c r="K27" s="3"/>
      <c r="L27" s="3"/>
      <c r="M27" s="3"/>
      <c r="N27" s="3"/>
      <c r="O27" s="3"/>
      <c r="P27" s="3"/>
      <c r="Q27" s="3"/>
      <c r="R27" s="175"/>
    </row>
    <row r="28" spans="1:22" ht="15.6" x14ac:dyDescent="0.3">
      <c r="C28" s="99" t="str">
        <f>"(1) REFLECTS DSM HEA RIDER  OF "&amp;TEXT(DSM_RS_CUST,"$0.00;($0.00)")&amp;" PER BILL."</f>
        <v>(1) REFLECTS DSM HEA RIDER  OF $0.30 PER BILL.</v>
      </c>
      <c r="D28" s="2"/>
      <c r="E28" s="106"/>
      <c r="F28" s="3"/>
      <c r="G28" s="3"/>
      <c r="H28" s="3"/>
      <c r="I28" s="175"/>
      <c r="J28" s="175"/>
      <c r="K28" s="3"/>
      <c r="L28" s="3"/>
      <c r="M28" s="3"/>
      <c r="N28" s="3"/>
      <c r="O28" s="3"/>
      <c r="P28" s="3"/>
      <c r="Q28" s="3"/>
      <c r="R28" s="175"/>
    </row>
    <row r="29" spans="1:22" ht="15.6" x14ac:dyDescent="0.3">
      <c r="C29" s="99" t="str">
        <f>"(2) REFLECTS FUEL ADJUSTMENT CLAUSE (FAC) OF "&amp;TEXT(CUR_FAC,"$0.000000;($0.000000)")&amp;" PER KWH."</f>
        <v>(2) REFLECTS FUEL ADJUSTMENT CLAUSE (FAC) OF $0.003487 PER KWH.</v>
      </c>
      <c r="G29" s="136"/>
      <c r="H29" s="3"/>
      <c r="I29" s="175"/>
      <c r="J29" s="175"/>
      <c r="K29" s="3"/>
      <c r="L29" s="3"/>
      <c r="M29" s="3"/>
      <c r="N29" s="3"/>
      <c r="O29" s="3"/>
      <c r="P29" s="136"/>
      <c r="Q29" s="136"/>
      <c r="R29" s="175"/>
    </row>
    <row r="30" spans="1:22" ht="15.6" x14ac:dyDescent="0.3">
      <c r="C30" s="99" t="str">
        <f>"(3) RIDER DSMR "&amp;TEXT(DSM_RES,"$0.000000")&amp;"  PER KWH."</f>
        <v>(3) RIDER DSMR $0.001352  PER KWH.</v>
      </c>
      <c r="H30" s="3"/>
      <c r="K30" s="3"/>
      <c r="L30" s="3"/>
      <c r="M30" s="3"/>
      <c r="N30" s="3"/>
      <c r="O30" s="3"/>
    </row>
    <row r="31" spans="1:22" ht="15.6" x14ac:dyDescent="0.3">
      <c r="C31" s="99" t="str">
        <f>"(4) RIDER ESM "&amp;TEXT(CUR_ESM,"#0.00%")&amp;"  OF TOTAL CURRENT BILL."</f>
        <v>(4) RIDER ESM 0.41%  OF TOTAL CURRENT BILL.</v>
      </c>
      <c r="H31" s="3"/>
      <c r="K31" s="3"/>
      <c r="L31" s="3"/>
      <c r="M31" s="3"/>
      <c r="N31" s="3"/>
      <c r="O31" s="3"/>
    </row>
    <row r="32" spans="1:22" ht="15.6" x14ac:dyDescent="0.3">
      <c r="C32" s="99" t="str">
        <f>"(5) RIDER PSM "&amp;TEXT(RS_PSM,"$0.000000;($0.000000)")&amp;"  PER KWH."</f>
        <v>(5) RIDER PSM $0.002475  PER KWH.</v>
      </c>
      <c r="H32" s="3"/>
      <c r="K32" s="3"/>
      <c r="L32" s="3"/>
      <c r="M32" s="3"/>
      <c r="N32" s="3"/>
      <c r="O32" s="3"/>
    </row>
    <row r="33" spans="1:18" ht="15.6" x14ac:dyDescent="0.3">
      <c r="C33" s="99" t="str">
        <f>"(6) REFLECTS FUEL COST RECOVERY INCLUDED IN BASE RATES OF "&amp;TEXT(CUR_BASE_FUEL,"$0.000000;($0.000000)")&amp;"  PER KWH."</f>
        <v>(6) REFLECTS FUEL COST RECOVERY INCLUDED IN BASE RATES OF $0.033780  PER KWH.</v>
      </c>
      <c r="H33" s="3"/>
      <c r="K33" s="3"/>
      <c r="L33" s="3"/>
      <c r="M33" s="3"/>
      <c r="N33" s="3"/>
      <c r="O33" s="3"/>
    </row>
    <row r="34" spans="1:18" ht="15.6" x14ac:dyDescent="0.3">
      <c r="C34" s="99" t="str">
        <f>"(7) RIDER ESM "&amp;TEXT(PRO_ESM,"#0.00%")&amp;"  OF TOTAL PROPOSED BILL."</f>
        <v>(7) RIDER ESM 0.35%  OF TOTAL PROPOSED BILL.</v>
      </c>
      <c r="H34" s="3"/>
      <c r="K34" s="3"/>
      <c r="L34" s="3"/>
      <c r="M34" s="3"/>
      <c r="N34" s="3"/>
      <c r="O34" s="3"/>
    </row>
    <row r="35" spans="1:18" ht="15.6" x14ac:dyDescent="0.3">
      <c r="A35" s="97" t="str">
        <f>NAME</f>
        <v>DUKE ENERGY KENTUCKY, INC.</v>
      </c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</row>
    <row r="36" spans="1:18" ht="15.6" x14ac:dyDescent="0.3">
      <c r="A36" s="97" t="str">
        <f>CASE_NO</f>
        <v>CASE NO.   2024-00354</v>
      </c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</row>
    <row r="37" spans="1:18" ht="15.6" x14ac:dyDescent="0.3">
      <c r="A37" s="97" t="s">
        <v>171</v>
      </c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</row>
    <row r="38" spans="1:18" ht="15.6" x14ac:dyDescent="0.3">
      <c r="A38" s="97" t="str">
        <f>SERVICE</f>
        <v>(ELECTRIC SERVICE)</v>
      </c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</row>
    <row r="39" spans="1:18" ht="15.6" x14ac:dyDescent="0.3">
      <c r="A39" s="99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</row>
    <row r="40" spans="1:18" ht="15.6" x14ac:dyDescent="0.3">
      <c r="A40" s="98" t="str">
        <f>DATA_PERIOD</f>
        <v>DATA: __X__ BASE PERIOD   ____FORECASTED PERIOD</v>
      </c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9" t="s">
        <v>172</v>
      </c>
      <c r="R40" s="98"/>
    </row>
    <row r="41" spans="1:18" ht="15.6" x14ac:dyDescent="0.3">
      <c r="A41" s="98" t="str">
        <f>TYPE</f>
        <v>TYPE OF FILING: _X_ ORIGINAL   ___UPDATED  ___ REVISED</v>
      </c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9" t="s">
        <v>120</v>
      </c>
      <c r="R41" s="98"/>
    </row>
    <row r="42" spans="1:18" ht="15.6" x14ac:dyDescent="0.3">
      <c r="A42" s="99" t="s">
        <v>100</v>
      </c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9" t="s">
        <v>3</v>
      </c>
      <c r="R42" s="98"/>
    </row>
    <row r="43" spans="1:18" ht="15.6" x14ac:dyDescent="0.3">
      <c r="A43" s="134" t="str">
        <f>TIME</f>
        <v>6 Months Actual and 6 Months Projected with Riders</v>
      </c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 t="str">
        <f>WIT</f>
        <v>B. L. Sailers</v>
      </c>
      <c r="R43" s="98"/>
    </row>
    <row r="44" spans="1:18" ht="15.6" x14ac:dyDescent="0.3">
      <c r="A44" s="355" t="s">
        <v>424</v>
      </c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</row>
    <row r="45" spans="1:18" ht="15.6" x14ac:dyDescent="0.3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</row>
    <row r="46" spans="1:18" ht="15.6" x14ac:dyDescent="0.3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</row>
    <row r="47" spans="1:18" ht="15.6" x14ac:dyDescent="0.3">
      <c r="A47" s="98"/>
      <c r="B47" s="98"/>
      <c r="C47" s="98"/>
      <c r="D47" s="98"/>
      <c r="E47" s="98"/>
      <c r="F47" s="8" t="s">
        <v>374</v>
      </c>
      <c r="G47" s="8"/>
      <c r="H47" s="8"/>
      <c r="I47" s="8"/>
      <c r="J47" s="97"/>
      <c r="K47" s="354" t="s">
        <v>357</v>
      </c>
      <c r="L47" s="354"/>
      <c r="M47" s="354"/>
      <c r="N47" s="354"/>
      <c r="O47" s="354"/>
      <c r="P47" s="102" t="s">
        <v>11</v>
      </c>
      <c r="Q47" s="102" t="s">
        <v>11</v>
      </c>
      <c r="R47" s="98"/>
    </row>
    <row r="48" spans="1:18" ht="17.100000000000001" customHeight="1" x14ac:dyDescent="0.3">
      <c r="A48" s="98"/>
      <c r="B48" s="98"/>
      <c r="C48" s="98"/>
      <c r="D48" s="102" t="s">
        <v>101</v>
      </c>
      <c r="E48" s="102" t="s">
        <v>101</v>
      </c>
      <c r="F48" s="98"/>
      <c r="G48" s="98"/>
      <c r="H48" s="102" t="s">
        <v>102</v>
      </c>
      <c r="I48" s="102" t="s">
        <v>103</v>
      </c>
      <c r="J48" s="102"/>
      <c r="K48" s="98"/>
      <c r="L48" s="98"/>
      <c r="O48" s="98"/>
      <c r="P48" s="102" t="s">
        <v>8</v>
      </c>
      <c r="Q48" s="102" t="s">
        <v>6</v>
      </c>
      <c r="R48" s="102" t="s">
        <v>103</v>
      </c>
    </row>
    <row r="49" spans="1:18" ht="15.6" x14ac:dyDescent="0.3">
      <c r="A49" s="98"/>
      <c r="B49" s="98"/>
      <c r="C49" s="98"/>
      <c r="D49" s="102" t="s">
        <v>104</v>
      </c>
      <c r="E49" s="102" t="s">
        <v>104</v>
      </c>
      <c r="F49" s="102" t="s">
        <v>8</v>
      </c>
      <c r="G49" s="102" t="s">
        <v>6</v>
      </c>
      <c r="H49" s="102" t="s">
        <v>105</v>
      </c>
      <c r="I49" s="102" t="s">
        <v>105</v>
      </c>
      <c r="J49" s="102"/>
      <c r="K49" s="102" t="s">
        <v>252</v>
      </c>
      <c r="L49" s="102" t="s">
        <v>252</v>
      </c>
      <c r="M49" s="102" t="s">
        <v>252</v>
      </c>
      <c r="N49" s="102" t="s">
        <v>252</v>
      </c>
      <c r="O49" s="102" t="s">
        <v>252</v>
      </c>
      <c r="P49" s="102" t="s">
        <v>106</v>
      </c>
      <c r="Q49" s="102" t="s">
        <v>106</v>
      </c>
      <c r="R49" s="102" t="s">
        <v>105</v>
      </c>
    </row>
    <row r="50" spans="1:18" ht="15.6" x14ac:dyDescent="0.3">
      <c r="A50" s="102" t="s">
        <v>17</v>
      </c>
      <c r="B50" s="98"/>
      <c r="C50" s="99" t="s">
        <v>18</v>
      </c>
      <c r="D50" s="102" t="s">
        <v>108</v>
      </c>
      <c r="E50" s="102" t="s">
        <v>109</v>
      </c>
      <c r="F50" s="103" t="s">
        <v>780</v>
      </c>
      <c r="G50" s="103" t="s">
        <v>780</v>
      </c>
      <c r="H50" s="131" t="s">
        <v>110</v>
      </c>
      <c r="I50" s="131" t="s">
        <v>111</v>
      </c>
      <c r="J50" s="102"/>
      <c r="K50" s="102" t="s">
        <v>355</v>
      </c>
      <c r="L50" s="103" t="s">
        <v>255</v>
      </c>
      <c r="M50" s="103" t="s">
        <v>532</v>
      </c>
      <c r="N50" s="102" t="s">
        <v>777</v>
      </c>
      <c r="O50" s="103" t="s">
        <v>583</v>
      </c>
      <c r="P50" s="146" t="s">
        <v>775</v>
      </c>
      <c r="Q50" s="146" t="s">
        <v>776</v>
      </c>
      <c r="R50" s="146" t="s">
        <v>712</v>
      </c>
    </row>
    <row r="51" spans="1:18" ht="15.6" x14ac:dyDescent="0.3">
      <c r="A51" s="262" t="s">
        <v>22</v>
      </c>
      <c r="B51" s="104"/>
      <c r="C51" s="338" t="s">
        <v>23</v>
      </c>
      <c r="D51" s="128" t="s">
        <v>33</v>
      </c>
      <c r="E51" s="128" t="s">
        <v>34</v>
      </c>
      <c r="F51" s="128" t="s">
        <v>35</v>
      </c>
      <c r="G51" s="128" t="s">
        <v>36</v>
      </c>
      <c r="H51" s="128" t="s">
        <v>37</v>
      </c>
      <c r="I51" s="128" t="s">
        <v>38</v>
      </c>
      <c r="J51" s="128"/>
      <c r="K51" s="128" t="s">
        <v>39</v>
      </c>
      <c r="L51" s="128" t="s">
        <v>40</v>
      </c>
      <c r="M51" s="128" t="s">
        <v>772</v>
      </c>
      <c r="N51" s="128" t="s">
        <v>773</v>
      </c>
      <c r="O51" s="127" t="s">
        <v>42</v>
      </c>
      <c r="P51" s="127" t="s">
        <v>43</v>
      </c>
      <c r="Q51" s="127" t="s">
        <v>44</v>
      </c>
      <c r="R51" s="127" t="s">
        <v>45</v>
      </c>
    </row>
    <row r="52" spans="1:18" ht="15.6" x14ac:dyDescent="0.3">
      <c r="A52" s="98"/>
      <c r="B52" s="98"/>
      <c r="C52" s="98"/>
      <c r="D52" s="166" t="s">
        <v>117</v>
      </c>
      <c r="E52" s="166" t="s">
        <v>49</v>
      </c>
      <c r="F52" s="166" t="s">
        <v>50</v>
      </c>
      <c r="G52" s="166" t="s">
        <v>50</v>
      </c>
      <c r="H52" s="166" t="s">
        <v>50</v>
      </c>
      <c r="I52" s="166" t="s">
        <v>51</v>
      </c>
      <c r="J52" s="166"/>
      <c r="K52" s="166" t="s">
        <v>50</v>
      </c>
      <c r="L52" s="166" t="s">
        <v>50</v>
      </c>
      <c r="M52" s="166" t="s">
        <v>50</v>
      </c>
      <c r="N52" s="166" t="s">
        <v>50</v>
      </c>
      <c r="O52" s="166" t="s">
        <v>50</v>
      </c>
      <c r="P52" s="166" t="s">
        <v>50</v>
      </c>
      <c r="Q52" s="166" t="s">
        <v>50</v>
      </c>
      <c r="R52" s="166" t="s">
        <v>51</v>
      </c>
    </row>
    <row r="53" spans="1:18" ht="15.6" x14ac:dyDescent="0.3">
      <c r="A53" s="1">
        <v>1</v>
      </c>
      <c r="C53" s="99" t="s">
        <v>91</v>
      </c>
      <c r="D53" s="1">
        <v>5</v>
      </c>
      <c r="E53" s="106">
        <v>2000</v>
      </c>
      <c r="F53" s="3">
        <f>'BILL CALC'!I21</f>
        <v>259.58000000000004</v>
      </c>
      <c r="G53" s="3">
        <f>'BILL CALC'!R21</f>
        <v>295.75</v>
      </c>
      <c r="H53" s="3">
        <f t="shared" ref="H53:H73" si="12">G53-F53</f>
        <v>36.169999999999959</v>
      </c>
      <c r="I53" s="138">
        <f t="shared" ref="I53:I73" si="13">ROUND(H53/F53,3)*100</f>
        <v>13.900000000000002</v>
      </c>
      <c r="J53" s="138"/>
      <c r="K53" s="3">
        <f t="shared" ref="K53:K73" si="14">ROUND(E53*CUR_FAC,2)</f>
        <v>6.97</v>
      </c>
      <c r="L53" s="3">
        <f t="shared" ref="L53:L73" si="15">ROUND(E53*DSM_DIST,2)</f>
        <v>7.01</v>
      </c>
      <c r="M53" s="3">
        <f t="shared" ref="M53:M73" si="16">ROUND((F53+$L53+$O53-PRO_BASE_FUEL*$E53)*CUR_ESM_NonRes,2)</f>
        <v>1.3</v>
      </c>
      <c r="N53" s="3">
        <f t="shared" ref="N53:N73" si="17">ROUND((G53+$L53+$O53-PRO_BASE_FUEL*$E53)*PRO_ESM_NONRES,2)</f>
        <v>1.29</v>
      </c>
      <c r="O53" s="3">
        <f t="shared" ref="O53:O73" si="18">ROUND(E53*RS_PSM,2)</f>
        <v>4.95</v>
      </c>
      <c r="P53" s="3">
        <f>F53+K53+L53+M53+O53</f>
        <v>279.81000000000006</v>
      </c>
      <c r="Q53" s="3">
        <f>G53+K53+L53+N53+O53</f>
        <v>315.97000000000003</v>
      </c>
      <c r="R53" s="175">
        <f>ROUND((Q53-P53)/P53,3)*100</f>
        <v>12.9</v>
      </c>
    </row>
    <row r="54" spans="1:18" x14ac:dyDescent="0.25">
      <c r="A54" s="1">
        <v>2</v>
      </c>
      <c r="D54" s="1">
        <v>10</v>
      </c>
      <c r="E54" s="106">
        <v>4000</v>
      </c>
      <c r="F54" s="3">
        <f>'BILL CALC'!I22</f>
        <v>489.15</v>
      </c>
      <c r="G54" s="3">
        <f>'BILL CALC'!R22</f>
        <v>561.5</v>
      </c>
      <c r="H54" s="3">
        <f t="shared" si="12"/>
        <v>72.350000000000023</v>
      </c>
      <c r="I54" s="138">
        <f t="shared" si="13"/>
        <v>14.799999999999999</v>
      </c>
      <c r="J54" s="138"/>
      <c r="K54" s="3">
        <f t="shared" si="14"/>
        <v>13.95</v>
      </c>
      <c r="L54" s="3">
        <f t="shared" si="15"/>
        <v>14.01</v>
      </c>
      <c r="M54" s="3">
        <f t="shared" si="16"/>
        <v>2.41</v>
      </c>
      <c r="N54" s="3">
        <f t="shared" si="17"/>
        <v>2.42</v>
      </c>
      <c r="O54" s="3">
        <f t="shared" si="18"/>
        <v>9.9</v>
      </c>
      <c r="P54" s="3">
        <f t="shared" ref="P54:P73" si="19">F54+K54+L54+M54+O54</f>
        <v>529.41999999999996</v>
      </c>
      <c r="Q54" s="3">
        <f t="shared" ref="Q54:Q73" si="20">G54+K54+L54+N54+O54</f>
        <v>601.78</v>
      </c>
      <c r="R54" s="175">
        <f>ROUND((Q54-P54)/P54,3)*100</f>
        <v>13.700000000000001</v>
      </c>
    </row>
    <row r="55" spans="1:18" x14ac:dyDescent="0.25">
      <c r="A55" s="1">
        <v>3</v>
      </c>
      <c r="D55" s="1">
        <v>10</v>
      </c>
      <c r="E55" s="106">
        <v>6000</v>
      </c>
      <c r="F55" s="3">
        <f>'BILL CALC'!I23</f>
        <v>718.73</v>
      </c>
      <c r="G55" s="3">
        <f>'BILL CALC'!R23</f>
        <v>827.24</v>
      </c>
      <c r="H55" s="3">
        <f t="shared" si="12"/>
        <v>108.50999999999999</v>
      </c>
      <c r="I55" s="138">
        <f t="shared" si="13"/>
        <v>15.1</v>
      </c>
      <c r="J55" s="138"/>
      <c r="K55" s="3">
        <f t="shared" si="14"/>
        <v>20.92</v>
      </c>
      <c r="L55" s="3">
        <f t="shared" si="15"/>
        <v>21.02</v>
      </c>
      <c r="M55" s="3">
        <f t="shared" si="16"/>
        <v>3.52</v>
      </c>
      <c r="N55" s="3">
        <f t="shared" si="17"/>
        <v>3.55</v>
      </c>
      <c r="O55" s="3">
        <f t="shared" si="18"/>
        <v>14.85</v>
      </c>
      <c r="P55" s="3">
        <f t="shared" si="19"/>
        <v>779.04</v>
      </c>
      <c r="Q55" s="3">
        <f t="shared" si="20"/>
        <v>887.57999999999993</v>
      </c>
      <c r="R55" s="138">
        <f t="shared" ref="R55:R73" si="21">ROUND((Q55-P55)/P55,3)*100</f>
        <v>13.900000000000002</v>
      </c>
    </row>
    <row r="56" spans="1:18" x14ac:dyDescent="0.25">
      <c r="A56" s="1">
        <v>4</v>
      </c>
      <c r="D56" s="1">
        <v>30</v>
      </c>
      <c r="E56" s="106">
        <v>6000</v>
      </c>
      <c r="F56" s="3">
        <f>'BILL CALC'!I24</f>
        <v>878.93000000000006</v>
      </c>
      <c r="G56" s="3">
        <f>'BILL CALC'!R24</f>
        <v>1012.64</v>
      </c>
      <c r="H56" s="3">
        <f t="shared" si="12"/>
        <v>133.70999999999992</v>
      </c>
      <c r="I56" s="138">
        <f t="shared" si="13"/>
        <v>15.2</v>
      </c>
      <c r="J56" s="138"/>
      <c r="K56" s="3">
        <f t="shared" si="14"/>
        <v>20.92</v>
      </c>
      <c r="L56" s="3">
        <f t="shared" si="15"/>
        <v>21.02</v>
      </c>
      <c r="M56" s="3">
        <f t="shared" si="16"/>
        <v>4.55</v>
      </c>
      <c r="N56" s="3">
        <f t="shared" si="17"/>
        <v>4.54</v>
      </c>
      <c r="O56" s="3">
        <f t="shared" si="18"/>
        <v>14.85</v>
      </c>
      <c r="P56" s="3">
        <f t="shared" si="19"/>
        <v>940.27</v>
      </c>
      <c r="Q56" s="3">
        <f t="shared" si="20"/>
        <v>1073.9699999999998</v>
      </c>
      <c r="R56" s="138">
        <f t="shared" si="21"/>
        <v>14.2</v>
      </c>
    </row>
    <row r="57" spans="1:18" x14ac:dyDescent="0.25">
      <c r="A57" s="1">
        <v>5</v>
      </c>
      <c r="D57" s="1">
        <v>30</v>
      </c>
      <c r="E57" s="106">
        <v>9000</v>
      </c>
      <c r="F57" s="3">
        <f>'BILL CALC'!I25</f>
        <v>1102.79</v>
      </c>
      <c r="G57" s="3">
        <f>'BILL CALC'!R25</f>
        <v>1271.77</v>
      </c>
      <c r="H57" s="3">
        <f t="shared" si="12"/>
        <v>168.98000000000002</v>
      </c>
      <c r="I57" s="138">
        <f t="shared" si="13"/>
        <v>15.299999999999999</v>
      </c>
      <c r="J57" s="138"/>
      <c r="K57" s="3">
        <f t="shared" si="14"/>
        <v>31.38</v>
      </c>
      <c r="L57" s="3">
        <f t="shared" si="15"/>
        <v>31.53</v>
      </c>
      <c r="M57" s="3">
        <f t="shared" si="16"/>
        <v>5.44</v>
      </c>
      <c r="N57" s="3">
        <f t="shared" si="17"/>
        <v>5.48</v>
      </c>
      <c r="O57" s="3">
        <f t="shared" si="18"/>
        <v>22.28</v>
      </c>
      <c r="P57" s="3">
        <f t="shared" si="19"/>
        <v>1193.42</v>
      </c>
      <c r="Q57" s="3">
        <f t="shared" si="20"/>
        <v>1362.44</v>
      </c>
      <c r="R57" s="138">
        <f t="shared" si="21"/>
        <v>14.2</v>
      </c>
    </row>
    <row r="58" spans="1:18" x14ac:dyDescent="0.25">
      <c r="A58" s="1">
        <v>6</v>
      </c>
      <c r="D58" s="1">
        <v>30</v>
      </c>
      <c r="E58" s="106">
        <v>12000</v>
      </c>
      <c r="F58" s="3">
        <f>'BILL CALC'!I26</f>
        <v>1326.64</v>
      </c>
      <c r="G58" s="3">
        <f>'BILL CALC'!R26</f>
        <v>1530.9</v>
      </c>
      <c r="H58" s="3">
        <f t="shared" si="12"/>
        <v>204.26</v>
      </c>
      <c r="I58" s="138">
        <f t="shared" si="13"/>
        <v>15.4</v>
      </c>
      <c r="J58" s="138"/>
      <c r="K58" s="3">
        <f t="shared" si="14"/>
        <v>41.85</v>
      </c>
      <c r="L58" s="3">
        <f t="shared" si="15"/>
        <v>42.04</v>
      </c>
      <c r="M58" s="3">
        <f t="shared" si="16"/>
        <v>6.34</v>
      </c>
      <c r="N58" s="3">
        <f t="shared" si="17"/>
        <v>6.43</v>
      </c>
      <c r="O58" s="3">
        <f t="shared" si="18"/>
        <v>29.7</v>
      </c>
      <c r="P58" s="3">
        <f t="shared" si="19"/>
        <v>1446.57</v>
      </c>
      <c r="Q58" s="3">
        <f t="shared" si="20"/>
        <v>1650.92</v>
      </c>
      <c r="R58" s="138">
        <f t="shared" si="21"/>
        <v>14.099999999999998</v>
      </c>
    </row>
    <row r="59" spans="1:18" x14ac:dyDescent="0.25">
      <c r="A59" s="1">
        <v>7</v>
      </c>
      <c r="D59" s="1">
        <v>50</v>
      </c>
      <c r="E59" s="106">
        <v>10000</v>
      </c>
      <c r="F59" s="3">
        <f>'BILL CALC'!I27</f>
        <v>1391.01</v>
      </c>
      <c r="G59" s="3">
        <f>'BILL CALC'!R27</f>
        <v>1605.3400000000001</v>
      </c>
      <c r="H59" s="3">
        <f t="shared" si="12"/>
        <v>214.33000000000015</v>
      </c>
      <c r="I59" s="138">
        <f t="shared" si="13"/>
        <v>15.4</v>
      </c>
      <c r="J59" s="138"/>
      <c r="K59" s="3">
        <f t="shared" si="14"/>
        <v>34.869999999999997</v>
      </c>
      <c r="L59" s="3">
        <f t="shared" si="15"/>
        <v>35.03</v>
      </c>
      <c r="M59" s="3">
        <f t="shared" si="16"/>
        <v>7.11</v>
      </c>
      <c r="N59" s="3">
        <f t="shared" si="17"/>
        <v>7.13</v>
      </c>
      <c r="O59" s="3">
        <f t="shared" si="18"/>
        <v>24.75</v>
      </c>
      <c r="P59" s="3">
        <f t="shared" si="19"/>
        <v>1492.7699999999998</v>
      </c>
      <c r="Q59" s="3">
        <f t="shared" si="20"/>
        <v>1707.1200000000001</v>
      </c>
      <c r="R59" s="138">
        <f t="shared" si="21"/>
        <v>14.399999999999999</v>
      </c>
    </row>
    <row r="60" spans="1:18" x14ac:dyDescent="0.25">
      <c r="A60" s="1">
        <v>8</v>
      </c>
      <c r="D60" s="1">
        <v>50</v>
      </c>
      <c r="E60" s="106">
        <v>15000</v>
      </c>
      <c r="F60" s="3">
        <f>'BILL CALC'!I28</f>
        <v>1764.1</v>
      </c>
      <c r="G60" s="3">
        <f>'BILL CALC'!R28</f>
        <v>2037.2200000000003</v>
      </c>
      <c r="H60" s="3">
        <f t="shared" si="12"/>
        <v>273.12000000000035</v>
      </c>
      <c r="I60" s="138">
        <f t="shared" si="13"/>
        <v>15.5</v>
      </c>
      <c r="J60" s="138"/>
      <c r="K60" s="3">
        <f t="shared" si="14"/>
        <v>52.31</v>
      </c>
      <c r="L60" s="3">
        <f t="shared" si="15"/>
        <v>52.55</v>
      </c>
      <c r="M60" s="3">
        <f t="shared" si="16"/>
        <v>8.6</v>
      </c>
      <c r="N60" s="3">
        <f t="shared" si="17"/>
        <v>8.6999999999999993</v>
      </c>
      <c r="O60" s="3">
        <f t="shared" si="18"/>
        <v>37.130000000000003</v>
      </c>
      <c r="P60" s="3">
        <f t="shared" si="19"/>
        <v>1914.6899999999998</v>
      </c>
      <c r="Q60" s="3">
        <f t="shared" si="20"/>
        <v>2187.9100000000003</v>
      </c>
      <c r="R60" s="138">
        <f t="shared" si="21"/>
        <v>14.299999999999999</v>
      </c>
    </row>
    <row r="61" spans="1:18" x14ac:dyDescent="0.25">
      <c r="A61" s="1">
        <v>9</v>
      </c>
      <c r="D61" s="1">
        <v>50</v>
      </c>
      <c r="E61" s="106">
        <v>20000</v>
      </c>
      <c r="F61" s="3">
        <f>'BILL CALC'!I29</f>
        <v>2137.1999999999998</v>
      </c>
      <c r="G61" s="3">
        <f>'BILL CALC'!R29</f>
        <v>2469.1000000000004</v>
      </c>
      <c r="H61" s="3">
        <f t="shared" si="12"/>
        <v>331.90000000000055</v>
      </c>
      <c r="I61" s="138">
        <f t="shared" si="13"/>
        <v>15.5</v>
      </c>
      <c r="J61" s="138"/>
      <c r="K61" s="3">
        <f t="shared" si="14"/>
        <v>69.739999999999995</v>
      </c>
      <c r="L61" s="3">
        <f t="shared" si="15"/>
        <v>70.06</v>
      </c>
      <c r="M61" s="3">
        <f t="shared" si="16"/>
        <v>10.1</v>
      </c>
      <c r="N61" s="3">
        <f t="shared" si="17"/>
        <v>10.27</v>
      </c>
      <c r="O61" s="3">
        <f t="shared" si="18"/>
        <v>49.5</v>
      </c>
      <c r="P61" s="3">
        <f t="shared" si="19"/>
        <v>2336.5999999999995</v>
      </c>
      <c r="Q61" s="3">
        <f t="shared" si="20"/>
        <v>2668.67</v>
      </c>
      <c r="R61" s="138">
        <f t="shared" si="21"/>
        <v>14.2</v>
      </c>
    </row>
    <row r="62" spans="1:18" x14ac:dyDescent="0.25">
      <c r="A62" s="1">
        <v>10</v>
      </c>
      <c r="D62" s="1">
        <v>75</v>
      </c>
      <c r="E62" s="106">
        <v>15000</v>
      </c>
      <c r="F62" s="3">
        <f>'BILL CALC'!I30</f>
        <v>2031.1</v>
      </c>
      <c r="G62" s="3">
        <f>'BILL CALC'!R30</f>
        <v>2346.2200000000003</v>
      </c>
      <c r="H62" s="3">
        <f t="shared" si="12"/>
        <v>315.12000000000035</v>
      </c>
      <c r="I62" s="138">
        <f t="shared" si="13"/>
        <v>15.5</v>
      </c>
      <c r="J62" s="138"/>
      <c r="K62" s="3">
        <f t="shared" si="14"/>
        <v>52.31</v>
      </c>
      <c r="L62" s="3">
        <f t="shared" si="15"/>
        <v>52.55</v>
      </c>
      <c r="M62" s="3">
        <f t="shared" si="16"/>
        <v>10.31</v>
      </c>
      <c r="N62" s="3">
        <f t="shared" si="17"/>
        <v>10.36</v>
      </c>
      <c r="O62" s="3">
        <f t="shared" si="18"/>
        <v>37.130000000000003</v>
      </c>
      <c r="P62" s="3">
        <f t="shared" si="19"/>
        <v>2183.4</v>
      </c>
      <c r="Q62" s="3">
        <f t="shared" si="20"/>
        <v>2498.5700000000006</v>
      </c>
      <c r="R62" s="138">
        <f t="shared" si="21"/>
        <v>14.399999999999999</v>
      </c>
    </row>
    <row r="63" spans="1:18" x14ac:dyDescent="0.25">
      <c r="A63" s="1">
        <v>11</v>
      </c>
      <c r="D63" s="1">
        <v>75</v>
      </c>
      <c r="E63" s="106">
        <v>20000</v>
      </c>
      <c r="F63" s="3">
        <f>'BILL CALC'!I31</f>
        <v>2404.1999999999998</v>
      </c>
      <c r="G63" s="3">
        <f>'BILL CALC'!R31</f>
        <v>2778.1000000000004</v>
      </c>
      <c r="H63" s="3">
        <f t="shared" si="12"/>
        <v>373.90000000000055</v>
      </c>
      <c r="I63" s="138">
        <f t="shared" si="13"/>
        <v>15.6</v>
      </c>
      <c r="J63" s="138"/>
      <c r="K63" s="3">
        <f t="shared" si="14"/>
        <v>69.739999999999995</v>
      </c>
      <c r="L63" s="3">
        <f t="shared" si="15"/>
        <v>70.06</v>
      </c>
      <c r="M63" s="3">
        <f t="shared" si="16"/>
        <v>11.8</v>
      </c>
      <c r="N63" s="3">
        <f t="shared" si="17"/>
        <v>11.93</v>
      </c>
      <c r="O63" s="3">
        <f t="shared" si="18"/>
        <v>49.5</v>
      </c>
      <c r="P63" s="3">
        <f t="shared" si="19"/>
        <v>2605.2999999999997</v>
      </c>
      <c r="Q63" s="3">
        <f t="shared" si="20"/>
        <v>2979.33</v>
      </c>
      <c r="R63" s="138">
        <f t="shared" si="21"/>
        <v>14.399999999999999</v>
      </c>
    </row>
    <row r="64" spans="1:18" x14ac:dyDescent="0.25">
      <c r="A64" s="1">
        <v>12</v>
      </c>
      <c r="D64" s="1">
        <v>75</v>
      </c>
      <c r="E64" s="106">
        <v>30000</v>
      </c>
      <c r="F64" s="3">
        <f>'BILL CALC'!I32</f>
        <v>3133.04</v>
      </c>
      <c r="G64" s="3">
        <f>'BILL CALC'!R32</f>
        <v>3621.78</v>
      </c>
      <c r="H64" s="3">
        <f t="shared" si="12"/>
        <v>488.74000000000024</v>
      </c>
      <c r="I64" s="138">
        <f t="shared" si="13"/>
        <v>15.6</v>
      </c>
      <c r="J64" s="138"/>
      <c r="K64" s="3">
        <f t="shared" si="14"/>
        <v>104.62</v>
      </c>
      <c r="L64" s="3">
        <f t="shared" si="15"/>
        <v>105.09</v>
      </c>
      <c r="M64" s="3">
        <f t="shared" si="16"/>
        <v>14.68</v>
      </c>
      <c r="N64" s="3">
        <f t="shared" si="17"/>
        <v>14.97</v>
      </c>
      <c r="O64" s="3">
        <f t="shared" si="18"/>
        <v>74.25</v>
      </c>
      <c r="P64" s="3">
        <f t="shared" si="19"/>
        <v>3431.68</v>
      </c>
      <c r="Q64" s="3">
        <f t="shared" si="20"/>
        <v>3920.71</v>
      </c>
      <c r="R64" s="138">
        <f t="shared" si="21"/>
        <v>14.299999999999999</v>
      </c>
    </row>
    <row r="65" spans="1:18" x14ac:dyDescent="0.25">
      <c r="A65" s="1">
        <v>13</v>
      </c>
      <c r="D65" s="1">
        <v>100</v>
      </c>
      <c r="E65" s="106">
        <v>20000</v>
      </c>
      <c r="F65" s="3">
        <f>'BILL CALC'!I33</f>
        <v>2671.2</v>
      </c>
      <c r="G65" s="3">
        <f>'BILL CALC'!R33</f>
        <v>3087.1</v>
      </c>
      <c r="H65" s="3">
        <f t="shared" si="12"/>
        <v>415.90000000000009</v>
      </c>
      <c r="I65" s="138">
        <f t="shared" si="13"/>
        <v>15.6</v>
      </c>
      <c r="J65" s="138"/>
      <c r="K65" s="3">
        <f t="shared" si="14"/>
        <v>69.739999999999995</v>
      </c>
      <c r="L65" s="3">
        <f t="shared" si="15"/>
        <v>70.06</v>
      </c>
      <c r="M65" s="3">
        <f t="shared" si="16"/>
        <v>13.51</v>
      </c>
      <c r="N65" s="3">
        <f t="shared" si="17"/>
        <v>13.59</v>
      </c>
      <c r="O65" s="3">
        <f t="shared" si="18"/>
        <v>49.5</v>
      </c>
      <c r="P65" s="3">
        <f t="shared" si="19"/>
        <v>2874.0099999999998</v>
      </c>
      <c r="Q65" s="3">
        <f t="shared" si="20"/>
        <v>3289.99</v>
      </c>
      <c r="R65" s="138">
        <f t="shared" si="21"/>
        <v>14.499999999999998</v>
      </c>
    </row>
    <row r="66" spans="1:18" x14ac:dyDescent="0.25">
      <c r="A66" s="1">
        <v>14</v>
      </c>
      <c r="D66" s="1">
        <v>100</v>
      </c>
      <c r="E66" s="106">
        <v>30000</v>
      </c>
      <c r="F66" s="3">
        <f>'BILL CALC'!I34</f>
        <v>3417.39</v>
      </c>
      <c r="G66" s="3">
        <f>'BILL CALC'!R34</f>
        <v>3950.8599999999997</v>
      </c>
      <c r="H66" s="3">
        <f t="shared" si="12"/>
        <v>533.4699999999998</v>
      </c>
      <c r="I66" s="138">
        <f t="shared" si="13"/>
        <v>15.6</v>
      </c>
      <c r="J66" s="138"/>
      <c r="K66" s="3">
        <f t="shared" si="14"/>
        <v>104.62</v>
      </c>
      <c r="L66" s="3">
        <f t="shared" si="15"/>
        <v>105.09</v>
      </c>
      <c r="M66" s="3">
        <f t="shared" si="16"/>
        <v>16.5</v>
      </c>
      <c r="N66" s="3">
        <f t="shared" si="17"/>
        <v>16.73</v>
      </c>
      <c r="O66" s="3">
        <f t="shared" si="18"/>
        <v>74.25</v>
      </c>
      <c r="P66" s="3">
        <f t="shared" si="19"/>
        <v>3717.85</v>
      </c>
      <c r="Q66" s="3">
        <f t="shared" si="20"/>
        <v>4251.5499999999993</v>
      </c>
      <c r="R66" s="138">
        <f t="shared" si="21"/>
        <v>14.399999999999999</v>
      </c>
    </row>
    <row r="67" spans="1:18" x14ac:dyDescent="0.25">
      <c r="A67" s="1">
        <v>15</v>
      </c>
      <c r="D67" s="1">
        <v>100</v>
      </c>
      <c r="E67" s="106">
        <v>40000</v>
      </c>
      <c r="F67" s="3">
        <f>'BILL CALC'!I35</f>
        <v>4117.3200000000006</v>
      </c>
      <c r="G67" s="3">
        <f>'BILL CALC'!R35</f>
        <v>4761.08</v>
      </c>
      <c r="H67" s="3">
        <f t="shared" si="12"/>
        <v>643.75999999999931</v>
      </c>
      <c r="I67" s="138">
        <f t="shared" si="13"/>
        <v>15.6</v>
      </c>
      <c r="J67" s="138"/>
      <c r="K67" s="3">
        <f t="shared" si="14"/>
        <v>139.49</v>
      </c>
      <c r="L67" s="3">
        <f t="shared" si="15"/>
        <v>140.12</v>
      </c>
      <c r="M67" s="3">
        <f t="shared" si="16"/>
        <v>19.190000000000001</v>
      </c>
      <c r="N67" s="3">
        <f t="shared" si="17"/>
        <v>19.59</v>
      </c>
      <c r="O67" s="3">
        <f t="shared" si="18"/>
        <v>99</v>
      </c>
      <c r="P67" s="3">
        <f t="shared" si="19"/>
        <v>4515.12</v>
      </c>
      <c r="Q67" s="3">
        <f t="shared" si="20"/>
        <v>5159.28</v>
      </c>
      <c r="R67" s="138">
        <f t="shared" si="21"/>
        <v>14.299999999999999</v>
      </c>
    </row>
    <row r="68" spans="1:18" x14ac:dyDescent="0.25">
      <c r="A68" s="1">
        <v>16</v>
      </c>
      <c r="D68" s="1">
        <v>300</v>
      </c>
      <c r="E68" s="106">
        <v>60000</v>
      </c>
      <c r="F68" s="3">
        <f>'BILL CALC'!I36</f>
        <v>7791.96</v>
      </c>
      <c r="G68" s="3">
        <f>'BILL CALC'!R36</f>
        <v>9014.14</v>
      </c>
      <c r="H68" s="3">
        <f t="shared" si="12"/>
        <v>1222.1799999999994</v>
      </c>
      <c r="I68" s="138">
        <f t="shared" si="13"/>
        <v>15.7</v>
      </c>
      <c r="J68" s="138"/>
      <c r="K68" s="3">
        <f t="shared" si="14"/>
        <v>209.23</v>
      </c>
      <c r="L68" s="3">
        <f t="shared" si="15"/>
        <v>210.18</v>
      </c>
      <c r="M68" s="3">
        <f t="shared" si="16"/>
        <v>39.11</v>
      </c>
      <c r="N68" s="3">
        <f t="shared" si="17"/>
        <v>39.43</v>
      </c>
      <c r="O68" s="3">
        <f t="shared" si="18"/>
        <v>148.5</v>
      </c>
      <c r="P68" s="3">
        <f t="shared" si="19"/>
        <v>8398.98</v>
      </c>
      <c r="Q68" s="3">
        <f t="shared" si="20"/>
        <v>9621.48</v>
      </c>
      <c r="R68" s="138">
        <f t="shared" si="21"/>
        <v>14.6</v>
      </c>
    </row>
    <row r="69" spans="1:18" x14ac:dyDescent="0.25">
      <c r="A69" s="1">
        <v>17</v>
      </c>
      <c r="D69" s="1">
        <v>300</v>
      </c>
      <c r="E69" s="106">
        <v>90000</v>
      </c>
      <c r="F69" s="3">
        <f>'BILL CALC'!I37</f>
        <v>10030.530000000001</v>
      </c>
      <c r="G69" s="3">
        <f>'BILL CALC'!R37</f>
        <v>11605.42</v>
      </c>
      <c r="H69" s="3">
        <f t="shared" si="12"/>
        <v>1574.8899999999994</v>
      </c>
      <c r="I69" s="138">
        <f t="shared" si="13"/>
        <v>15.7</v>
      </c>
      <c r="J69" s="138"/>
      <c r="K69" s="3">
        <f t="shared" si="14"/>
        <v>313.85000000000002</v>
      </c>
      <c r="L69" s="3">
        <f t="shared" si="15"/>
        <v>315.27</v>
      </c>
      <c r="M69" s="3">
        <f t="shared" si="16"/>
        <v>48.08</v>
      </c>
      <c r="N69" s="3">
        <f t="shared" si="17"/>
        <v>48.87</v>
      </c>
      <c r="O69" s="3">
        <f t="shared" si="18"/>
        <v>222.75</v>
      </c>
      <c r="P69" s="3">
        <f t="shared" si="19"/>
        <v>10930.480000000001</v>
      </c>
      <c r="Q69" s="3">
        <f t="shared" si="20"/>
        <v>12506.160000000002</v>
      </c>
      <c r="R69" s="138">
        <f t="shared" si="21"/>
        <v>14.399999999999999</v>
      </c>
    </row>
    <row r="70" spans="1:18" x14ac:dyDescent="0.25">
      <c r="A70" s="1">
        <v>18</v>
      </c>
      <c r="D70" s="1">
        <v>300</v>
      </c>
      <c r="E70" s="106">
        <v>120000</v>
      </c>
      <c r="F70" s="3">
        <f>'BILL CALC'!I38</f>
        <v>11991.58</v>
      </c>
      <c r="G70" s="3">
        <f>'BILL CALC'!R38</f>
        <v>13875.42</v>
      </c>
      <c r="H70" s="3">
        <f t="shared" si="12"/>
        <v>1883.8400000000001</v>
      </c>
      <c r="I70" s="138">
        <f t="shared" si="13"/>
        <v>15.7</v>
      </c>
      <c r="J70" s="138"/>
      <c r="K70" s="3">
        <f t="shared" si="14"/>
        <v>418.47</v>
      </c>
      <c r="L70" s="3">
        <f t="shared" si="15"/>
        <v>420.36</v>
      </c>
      <c r="M70" s="3">
        <f t="shared" si="16"/>
        <v>55.28</v>
      </c>
      <c r="N70" s="3">
        <f t="shared" si="17"/>
        <v>56.58</v>
      </c>
      <c r="O70" s="3">
        <f t="shared" si="18"/>
        <v>297</v>
      </c>
      <c r="P70" s="3">
        <f t="shared" si="19"/>
        <v>13182.69</v>
      </c>
      <c r="Q70" s="3">
        <f t="shared" si="20"/>
        <v>15067.83</v>
      </c>
      <c r="R70" s="138">
        <f t="shared" si="21"/>
        <v>14.299999999999999</v>
      </c>
    </row>
    <row r="71" spans="1:18" x14ac:dyDescent="0.25">
      <c r="A71" s="1">
        <v>19</v>
      </c>
      <c r="D71" s="1">
        <v>500</v>
      </c>
      <c r="E71" s="106">
        <v>100000</v>
      </c>
      <c r="F71" s="3">
        <f>'BILL CALC'!I39</f>
        <v>12912.720000000001</v>
      </c>
      <c r="G71" s="3">
        <f>'BILL CALC'!R39</f>
        <v>14941.18</v>
      </c>
      <c r="H71" s="3">
        <f t="shared" si="12"/>
        <v>2028.4599999999991</v>
      </c>
      <c r="I71" s="138">
        <f t="shared" si="13"/>
        <v>15.7</v>
      </c>
      <c r="J71" s="138"/>
      <c r="K71" s="3">
        <f t="shared" si="14"/>
        <v>348.72</v>
      </c>
      <c r="L71" s="3">
        <f t="shared" si="15"/>
        <v>350.3</v>
      </c>
      <c r="M71" s="3">
        <f t="shared" si="16"/>
        <v>64.709999999999994</v>
      </c>
      <c r="N71" s="3">
        <f t="shared" si="17"/>
        <v>65.28</v>
      </c>
      <c r="O71" s="3">
        <f t="shared" si="18"/>
        <v>247.5</v>
      </c>
      <c r="P71" s="3">
        <f t="shared" si="19"/>
        <v>13923.949999999999</v>
      </c>
      <c r="Q71" s="3">
        <f t="shared" si="20"/>
        <v>15952.98</v>
      </c>
      <c r="R71" s="138">
        <f t="shared" si="21"/>
        <v>14.6</v>
      </c>
    </row>
    <row r="72" spans="1:18" x14ac:dyDescent="0.25">
      <c r="A72" s="1">
        <v>20</v>
      </c>
      <c r="D72" s="1">
        <v>500</v>
      </c>
      <c r="E72" s="106">
        <v>200000</v>
      </c>
      <c r="F72" s="3">
        <f>'BILL CALC'!I40</f>
        <v>19865.84</v>
      </c>
      <c r="G72" s="3">
        <f>'BILL CALC'!R40</f>
        <v>22989.759999999998</v>
      </c>
      <c r="H72" s="3">
        <f t="shared" si="12"/>
        <v>3123.9199999999983</v>
      </c>
      <c r="I72" s="138">
        <f t="shared" si="13"/>
        <v>15.7</v>
      </c>
      <c r="J72" s="138"/>
      <c r="K72" s="3">
        <f t="shared" si="14"/>
        <v>697.44</v>
      </c>
      <c r="L72" s="3">
        <f t="shared" si="15"/>
        <v>700.6</v>
      </c>
      <c r="M72" s="3">
        <f t="shared" si="16"/>
        <v>91.36</v>
      </c>
      <c r="N72" s="3">
        <f t="shared" si="17"/>
        <v>93.56</v>
      </c>
      <c r="O72" s="3">
        <f t="shared" si="18"/>
        <v>495</v>
      </c>
      <c r="P72" s="3">
        <f t="shared" si="19"/>
        <v>21850.239999999998</v>
      </c>
      <c r="Q72" s="3">
        <f t="shared" si="20"/>
        <v>24976.359999999997</v>
      </c>
      <c r="R72" s="138">
        <f t="shared" si="21"/>
        <v>14.299999999999999</v>
      </c>
    </row>
    <row r="73" spans="1:18" x14ac:dyDescent="0.25">
      <c r="A73" s="1">
        <v>21</v>
      </c>
      <c r="D73" s="1">
        <v>500</v>
      </c>
      <c r="E73" s="106">
        <v>300000</v>
      </c>
      <c r="F73" s="3">
        <f>'BILL CALC'!I41</f>
        <v>26171.440000000002</v>
      </c>
      <c r="G73" s="3">
        <f>'BILL CALC'!R41</f>
        <v>30288.659999999996</v>
      </c>
      <c r="H73" s="3">
        <f t="shared" si="12"/>
        <v>4117.2199999999939</v>
      </c>
      <c r="I73" s="138">
        <f t="shared" si="13"/>
        <v>15.7</v>
      </c>
      <c r="J73" s="138"/>
      <c r="K73" s="3">
        <f t="shared" si="14"/>
        <v>1046.1600000000001</v>
      </c>
      <c r="L73" s="3">
        <f t="shared" si="15"/>
        <v>1050.9000000000001</v>
      </c>
      <c r="M73" s="3">
        <f t="shared" si="16"/>
        <v>113.87</v>
      </c>
      <c r="N73" s="3">
        <f t="shared" si="17"/>
        <v>117.82</v>
      </c>
      <c r="O73" s="3">
        <f t="shared" si="18"/>
        <v>742.5</v>
      </c>
      <c r="P73" s="3">
        <f t="shared" si="19"/>
        <v>29124.870000000003</v>
      </c>
      <c r="Q73" s="3">
        <f t="shared" si="20"/>
        <v>33246.039999999994</v>
      </c>
      <c r="R73" s="138">
        <f t="shared" si="21"/>
        <v>14.2</v>
      </c>
    </row>
    <row r="74" spans="1:18" x14ac:dyDescent="0.25">
      <c r="E74" s="106"/>
      <c r="F74" s="3"/>
      <c r="G74" s="3"/>
      <c r="H74" s="3"/>
      <c r="I74" s="138"/>
      <c r="J74" s="138"/>
      <c r="K74" s="3"/>
      <c r="L74" s="3"/>
      <c r="M74" s="3"/>
      <c r="N74" s="3"/>
      <c r="O74" s="3"/>
      <c r="P74" s="3"/>
      <c r="Q74" s="3"/>
      <c r="R74" s="138"/>
    </row>
    <row r="75" spans="1:18" ht="15.6" x14ac:dyDescent="0.3">
      <c r="A75" s="1">
        <v>22</v>
      </c>
      <c r="C75" s="99" t="s">
        <v>94</v>
      </c>
      <c r="D75" s="102" t="s">
        <v>119</v>
      </c>
      <c r="E75" s="106"/>
      <c r="F75" s="3"/>
      <c r="G75" s="3"/>
      <c r="H75" s="3"/>
      <c r="I75" s="138"/>
      <c r="J75" s="138"/>
      <c r="K75" s="3"/>
      <c r="L75" s="3"/>
      <c r="M75" s="3"/>
      <c r="N75" s="3"/>
      <c r="O75" s="3"/>
      <c r="P75" s="3"/>
      <c r="Q75" s="3"/>
      <c r="R75" s="138"/>
    </row>
    <row r="76" spans="1:18" x14ac:dyDescent="0.25">
      <c r="A76" s="1">
        <v>23</v>
      </c>
      <c r="D76" s="2" t="s">
        <v>118</v>
      </c>
      <c r="E76" s="106">
        <v>9400</v>
      </c>
      <c r="F76" s="3">
        <f>ROUND(($E76*CUR_EH_KWH_1)+CUR_EH_CST_2,2)</f>
        <v>881.98</v>
      </c>
      <c r="G76" s="3">
        <f>ROUND($E76*PRO_EH_KWH_1+PRO_EH_CST_2,2)</f>
        <v>1015.44</v>
      </c>
      <c r="H76" s="3">
        <f>G76-F76</f>
        <v>133.46000000000004</v>
      </c>
      <c r="I76" s="138">
        <f>ROUND(H76/F76,3)*100</f>
        <v>15.1</v>
      </c>
      <c r="J76" s="138"/>
      <c r="K76" s="3">
        <f>ROUND(E76*CUR_FAC,2)</f>
        <v>32.78</v>
      </c>
      <c r="L76" s="3">
        <f>ROUND(E76*DSM_DIST,2)</f>
        <v>32.93</v>
      </c>
      <c r="M76" s="3">
        <f>ROUND((F76+$L76+$O76-PRO_BASE_FUEL*$E76)*CUR_ESM_NonRes,2)</f>
        <v>3.96</v>
      </c>
      <c r="N76" s="3">
        <f>ROUND((G76+$L76+$O76-PRO_BASE_FUEL*$E76)*PRO_ESM_NONRES,2)</f>
        <v>4.05</v>
      </c>
      <c r="O76" s="3">
        <f>ROUND(E76*RS_PSM,2)</f>
        <v>23.27</v>
      </c>
      <c r="P76" s="3">
        <f>F76+K76+L76+M76+O76</f>
        <v>974.92</v>
      </c>
      <c r="Q76" s="3">
        <f>G76+K76+L76+N76+O76</f>
        <v>1108.47</v>
      </c>
      <c r="R76" s="138">
        <f>ROUND((Q76-P76)/P76,3)*100</f>
        <v>13.700000000000001</v>
      </c>
    </row>
    <row r="77" spans="1:18" x14ac:dyDescent="0.25">
      <c r="A77" s="1">
        <v>24</v>
      </c>
      <c r="D77" s="2" t="s">
        <v>118</v>
      </c>
      <c r="E77" s="106">
        <v>23600</v>
      </c>
      <c r="F77" s="3">
        <f>ROUND($E77*CUR_EH_KWH_1+CUR_EH_CST_2,2)</f>
        <v>2169.0100000000002</v>
      </c>
      <c r="G77" s="3">
        <f>ROUND($E77*PRO_EH_KWH_1+PRO_EH_CST_2,2)</f>
        <v>2504.08</v>
      </c>
      <c r="H77" s="3">
        <f>G77-F77</f>
        <v>335.06999999999971</v>
      </c>
      <c r="I77" s="138">
        <f>ROUND(H77/F77,3)*100</f>
        <v>15.4</v>
      </c>
      <c r="J77" s="138"/>
      <c r="K77" s="3">
        <f>ROUND(E77*CUR_FAC,2)</f>
        <v>82.3</v>
      </c>
      <c r="L77" s="3">
        <f>ROUND(E77*DSM_DIST,2)</f>
        <v>82.67</v>
      </c>
      <c r="M77" s="3">
        <f>ROUND((F77+$L77+$O77-PRO_BASE_FUEL*$E77)*CUR_ESM_NonRes,2)</f>
        <v>9.66</v>
      </c>
      <c r="N77" s="3">
        <f>ROUND((G77+$L77+$O77-PRO_BASE_FUEL*$E77)*PRO_ESM_NONRES,2)</f>
        <v>9.92</v>
      </c>
      <c r="O77" s="3">
        <f>ROUND(E77*RS_PSM,2)</f>
        <v>58.41</v>
      </c>
      <c r="P77" s="3">
        <f>F77+K77+L77+M77+O77</f>
        <v>2402.0500000000002</v>
      </c>
      <c r="Q77" s="3">
        <f>G77+K77+L77+N77+O77</f>
        <v>2737.38</v>
      </c>
      <c r="R77" s="138">
        <f>ROUND((Q77-P77)/P77,3)*100</f>
        <v>14.000000000000002</v>
      </c>
    </row>
    <row r="78" spans="1:18" x14ac:dyDescent="0.25">
      <c r="A78" s="1">
        <v>25</v>
      </c>
      <c r="D78" s="2" t="s">
        <v>118</v>
      </c>
      <c r="E78" s="106">
        <v>37800</v>
      </c>
      <c r="F78" s="3">
        <f>ROUND($E78*CUR_EH_KWH_1+CUR_EH_CST_2,2)</f>
        <v>3456.04</v>
      </c>
      <c r="G78" s="3">
        <f>ROUND($E78*PRO_EH_KWH_1+PRO_EH_CST_2,2)</f>
        <v>3992.73</v>
      </c>
      <c r="H78" s="3">
        <f>G78-F78</f>
        <v>536.69000000000005</v>
      </c>
      <c r="I78" s="138">
        <f>ROUND(H78/F78,3)*100</f>
        <v>15.5</v>
      </c>
      <c r="J78" s="138"/>
      <c r="K78" s="3">
        <f>ROUND(E78*CUR_FAC,2)</f>
        <v>131.82</v>
      </c>
      <c r="L78" s="3">
        <f>ROUND(E78*DSM_DIST,2)</f>
        <v>132.41</v>
      </c>
      <c r="M78" s="3">
        <f>ROUND((F78+$L78+$O78-PRO_BASE_FUEL*$E78)*CUR_ESM_NonRes,2)</f>
        <v>15.36</v>
      </c>
      <c r="N78" s="3">
        <f>ROUND((G78+$L78+$O78-PRO_BASE_FUEL*$E78)*PRO_ESM_NONRES,2)</f>
        <v>15.79</v>
      </c>
      <c r="O78" s="3">
        <f>ROUND(E78*RS_PSM,2)</f>
        <v>93.56</v>
      </c>
      <c r="P78" s="3">
        <f>F78+K78+L78+M78+O78</f>
        <v>3829.19</v>
      </c>
      <c r="Q78" s="3">
        <f>G78+K78+L78+N78+O78</f>
        <v>4366.3100000000004</v>
      </c>
      <c r="R78" s="138">
        <f>ROUND((Q78-P78)/P78,3)*100</f>
        <v>14.000000000000002</v>
      </c>
    </row>
    <row r="79" spans="1:18" x14ac:dyDescent="0.25">
      <c r="F79" s="3"/>
      <c r="G79" s="3"/>
      <c r="H79" s="3"/>
      <c r="I79" s="138"/>
      <c r="J79" s="138"/>
      <c r="K79" s="3"/>
      <c r="L79" s="3"/>
      <c r="M79" s="3"/>
      <c r="N79" s="3"/>
      <c r="O79" s="3"/>
      <c r="P79" s="3"/>
      <c r="Q79" s="3"/>
      <c r="R79" s="138"/>
    </row>
    <row r="80" spans="1:18" ht="15.6" x14ac:dyDescent="0.3">
      <c r="C80" s="99" t="str">
        <f>"(1) REFLECTS FUEL ADJUSTMENT COMPONENT (FAC) OF "&amp;TEXT(CUR_FAC,"$0.000000;($0.000000)")&amp;" PER KWH."</f>
        <v>(1) REFLECTS FUEL ADJUSTMENT COMPONENT (FAC) OF $0.003487 PER KWH.</v>
      </c>
      <c r="K80" s="99"/>
    </row>
    <row r="81" spans="1:18" ht="15.6" x14ac:dyDescent="0.3">
      <c r="C81" s="99" t="str">
        <f>"(2) RIDER DSMR "&amp;TEXT(DSM_DIST,"$0.000000;($0.000000)")&amp;" PER KWH."</f>
        <v>(2) RIDER DSMR $0.003503 PER KWH.</v>
      </c>
      <c r="H81" s="3"/>
      <c r="I81" s="138"/>
      <c r="J81" s="138"/>
      <c r="K81" s="3"/>
      <c r="L81" s="3"/>
      <c r="M81" s="3"/>
      <c r="N81" s="3"/>
      <c r="O81" s="3"/>
      <c r="P81" s="3"/>
      <c r="Q81" s="3"/>
      <c r="R81" s="138"/>
    </row>
    <row r="82" spans="1:18" ht="15.6" x14ac:dyDescent="0.3">
      <c r="A82" s="339"/>
      <c r="C82" s="99" t="str">
        <f>"(3) RIDER ESM "&amp;TEXT(CUR_ESM_NonRes,"#0.00%")&amp;"  OF TOTAL CURRENT BILL."</f>
        <v>(3) RIDER ESM 0.64%  OF TOTAL CURRENT BILL.</v>
      </c>
      <c r="H82" s="3"/>
      <c r="K82" s="3"/>
      <c r="L82" s="3"/>
      <c r="M82" s="3"/>
      <c r="N82" s="3"/>
      <c r="O82" s="3"/>
    </row>
    <row r="83" spans="1:18" ht="15.6" x14ac:dyDescent="0.3">
      <c r="A83" s="339"/>
      <c r="C83" s="99" t="str">
        <f>"(4) RIDER PSM  "&amp;TEXT(RS_PSM,"$0.000000;($0.000000)")&amp;" PER KWH."</f>
        <v>(4) RIDER PSM  $0.002475 PER KWH.</v>
      </c>
      <c r="H83" s="3"/>
      <c r="K83" s="3"/>
      <c r="L83" s="3"/>
      <c r="M83" s="3"/>
      <c r="N83" s="3"/>
      <c r="O83" s="3"/>
    </row>
    <row r="84" spans="1:18" ht="15.6" x14ac:dyDescent="0.3">
      <c r="A84" s="339"/>
      <c r="C84" s="99" t="str">
        <f>"(5) REFLECTS FUEL COST RECOVERY INCLUDED IN BASE RATES OF "&amp;TEXT(CUR_BASE_FUEL,"$0.000000;($0.000000)")&amp;"  PER KWH."</f>
        <v>(5) REFLECTS FUEL COST RECOVERY INCLUDED IN BASE RATES OF $0.033780  PER KWH.</v>
      </c>
      <c r="H84" s="3"/>
      <c r="K84" s="3"/>
      <c r="L84" s="3"/>
      <c r="M84" s="3"/>
      <c r="N84" s="3"/>
      <c r="O84" s="3"/>
    </row>
    <row r="85" spans="1:18" ht="15.6" x14ac:dyDescent="0.3">
      <c r="A85" s="339"/>
      <c r="C85" s="99" t="str">
        <f>"(6) RIDER ESM "&amp;TEXT(PRO_ESM_NONRES,"#0.00%")&amp;"  OF TOTAL PROPOSED BILL."</f>
        <v>(6) RIDER ESM 0.54%  OF TOTAL PROPOSED BILL.</v>
      </c>
      <c r="H85" s="3"/>
      <c r="K85" s="3"/>
      <c r="L85" s="3"/>
      <c r="M85" s="3"/>
      <c r="N85" s="3"/>
      <c r="O85" s="3"/>
    </row>
    <row r="86" spans="1:18" ht="15.6" x14ac:dyDescent="0.3">
      <c r="A86" s="339"/>
      <c r="C86" s="99" t="s">
        <v>779</v>
      </c>
      <c r="H86" s="3"/>
      <c r="K86" s="3"/>
      <c r="L86" s="3"/>
      <c r="M86" s="3"/>
      <c r="N86" s="3"/>
      <c r="O86" s="3"/>
    </row>
    <row r="87" spans="1:18" ht="15.6" x14ac:dyDescent="0.3">
      <c r="A87" s="97" t="str">
        <f>NAME</f>
        <v>DUKE ENERGY KENTUCKY, INC.</v>
      </c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</row>
    <row r="88" spans="1:18" ht="15.6" x14ac:dyDescent="0.3">
      <c r="A88" s="97" t="str">
        <f>CASE_NO</f>
        <v>CASE NO.   2024-00354</v>
      </c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</row>
    <row r="89" spans="1:18" ht="15.6" x14ac:dyDescent="0.3">
      <c r="A89" s="97" t="s">
        <v>171</v>
      </c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</row>
    <row r="90" spans="1:18" ht="15.6" x14ac:dyDescent="0.3">
      <c r="A90" s="97" t="str">
        <f>SERVICE</f>
        <v>(ELECTRIC SERVICE)</v>
      </c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</row>
    <row r="91" spans="1:18" ht="15.6" x14ac:dyDescent="0.3">
      <c r="A91" s="99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</row>
    <row r="92" spans="1:18" ht="15.6" x14ac:dyDescent="0.3">
      <c r="A92" s="98" t="str">
        <f>DATA_PERIOD</f>
        <v>DATA: __X__ BASE PERIOD   ____FORECASTED PERIOD</v>
      </c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9" t="s">
        <v>172</v>
      </c>
      <c r="R92" s="98"/>
    </row>
    <row r="93" spans="1:18" ht="15.6" x14ac:dyDescent="0.3">
      <c r="A93" s="98" t="str">
        <f>TYPE</f>
        <v>TYPE OF FILING: _X_ ORIGINAL   ___UPDATED  ___ REVISED</v>
      </c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9" t="s">
        <v>126</v>
      </c>
      <c r="R93" s="98"/>
    </row>
    <row r="94" spans="1:18" ht="15.6" x14ac:dyDescent="0.3">
      <c r="A94" s="99" t="s">
        <v>100</v>
      </c>
      <c r="B94" s="98"/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9" t="s">
        <v>3</v>
      </c>
      <c r="R94" s="98"/>
    </row>
    <row r="95" spans="1:18" ht="15.6" x14ac:dyDescent="0.3">
      <c r="A95" s="134" t="str">
        <f>TIME</f>
        <v>6 Months Actual and 6 Months Projected with Riders</v>
      </c>
      <c r="B95" s="98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 t="str">
        <f>WIT</f>
        <v>B. L. Sailers</v>
      </c>
      <c r="R95" s="98"/>
    </row>
    <row r="96" spans="1:18" ht="15.6" x14ac:dyDescent="0.3">
      <c r="A96" s="355" t="s">
        <v>424</v>
      </c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</row>
    <row r="97" spans="1:25" ht="15.6" x14ac:dyDescent="0.3">
      <c r="A97" s="100"/>
      <c r="B97" s="100"/>
      <c r="C97" s="100"/>
      <c r="D97" s="100"/>
      <c r="E97" s="100"/>
      <c r="F97" s="100"/>
      <c r="G97" s="100"/>
      <c r="H97" s="100"/>
      <c r="I97" s="100"/>
      <c r="J97" s="100"/>
      <c r="K97" s="100"/>
      <c r="L97" s="100"/>
      <c r="M97" s="100"/>
      <c r="N97" s="100"/>
      <c r="O97" s="100"/>
      <c r="P97" s="100"/>
      <c r="Q97" s="100"/>
      <c r="R97" s="100"/>
    </row>
    <row r="98" spans="1:25" ht="15.6" x14ac:dyDescent="0.3">
      <c r="A98" s="98"/>
      <c r="B98" s="98"/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</row>
    <row r="99" spans="1:25" ht="15.6" x14ac:dyDescent="0.3">
      <c r="A99" s="98"/>
      <c r="B99" s="98"/>
      <c r="C99" s="98"/>
      <c r="D99" s="98"/>
      <c r="E99" s="98"/>
      <c r="F99" s="8" t="s">
        <v>374</v>
      </c>
      <c r="G99" s="8"/>
      <c r="H99" s="8"/>
      <c r="I99" s="8"/>
      <c r="J99" s="97"/>
      <c r="K99" s="354" t="s">
        <v>357</v>
      </c>
      <c r="L99" s="354"/>
      <c r="M99" s="354"/>
      <c r="N99" s="354"/>
      <c r="O99" s="354"/>
      <c r="P99" s="102" t="s">
        <v>11</v>
      </c>
      <c r="Q99" s="102" t="s">
        <v>11</v>
      </c>
      <c r="R99" s="98"/>
    </row>
    <row r="100" spans="1:25" ht="17.100000000000001" customHeight="1" x14ac:dyDescent="0.3">
      <c r="A100" s="98"/>
      <c r="B100" s="98"/>
      <c r="C100" s="98"/>
      <c r="D100" s="102" t="s">
        <v>101</v>
      </c>
      <c r="E100" s="102" t="s">
        <v>101</v>
      </c>
      <c r="F100" s="98"/>
      <c r="G100" s="98"/>
      <c r="H100" s="102" t="s">
        <v>102</v>
      </c>
      <c r="I100" s="102" t="s">
        <v>103</v>
      </c>
      <c r="J100" s="102"/>
      <c r="K100" s="98"/>
      <c r="L100" s="98"/>
      <c r="O100" s="98"/>
      <c r="P100" s="102" t="s">
        <v>8</v>
      </c>
      <c r="Q100" s="102" t="s">
        <v>6</v>
      </c>
      <c r="R100" s="102" t="s">
        <v>103</v>
      </c>
    </row>
    <row r="101" spans="1:25" ht="15.6" x14ac:dyDescent="0.3">
      <c r="A101" s="98"/>
      <c r="B101" s="98"/>
      <c r="C101" s="98"/>
      <c r="D101" s="102" t="s">
        <v>104</v>
      </c>
      <c r="E101" s="102" t="s">
        <v>104</v>
      </c>
      <c r="F101" s="102" t="s">
        <v>8</v>
      </c>
      <c r="G101" s="102" t="s">
        <v>6</v>
      </c>
      <c r="H101" s="102" t="s">
        <v>105</v>
      </c>
      <c r="I101" s="102" t="s">
        <v>105</v>
      </c>
      <c r="J101" s="102"/>
      <c r="K101" s="102" t="s">
        <v>252</v>
      </c>
      <c r="L101" s="102" t="s">
        <v>252</v>
      </c>
      <c r="M101" s="102" t="s">
        <v>252</v>
      </c>
      <c r="N101" s="102" t="s">
        <v>252</v>
      </c>
      <c r="O101" s="102" t="s">
        <v>252</v>
      </c>
      <c r="P101" s="102" t="s">
        <v>106</v>
      </c>
      <c r="Q101" s="102" t="s">
        <v>106</v>
      </c>
      <c r="R101" s="102" t="s">
        <v>105</v>
      </c>
    </row>
    <row r="102" spans="1:25" ht="15.6" x14ac:dyDescent="0.3">
      <c r="A102" s="102" t="s">
        <v>17</v>
      </c>
      <c r="B102" s="98"/>
      <c r="C102" s="99" t="s">
        <v>18</v>
      </c>
      <c r="D102" s="102" t="s">
        <v>108</v>
      </c>
      <c r="E102" s="103" t="s">
        <v>109</v>
      </c>
      <c r="F102" s="103" t="s">
        <v>584</v>
      </c>
      <c r="G102" s="103" t="s">
        <v>584</v>
      </c>
      <c r="H102" s="131" t="s">
        <v>110</v>
      </c>
      <c r="I102" s="131" t="s">
        <v>111</v>
      </c>
      <c r="J102" s="102"/>
      <c r="K102" s="102" t="s">
        <v>355</v>
      </c>
      <c r="L102" s="103" t="s">
        <v>255</v>
      </c>
      <c r="M102" s="103" t="s">
        <v>532</v>
      </c>
      <c r="N102" s="102" t="s">
        <v>774</v>
      </c>
      <c r="O102" s="103" t="s">
        <v>583</v>
      </c>
      <c r="P102" s="146" t="s">
        <v>775</v>
      </c>
      <c r="Q102" s="146" t="s">
        <v>776</v>
      </c>
      <c r="R102" s="146" t="s">
        <v>712</v>
      </c>
    </row>
    <row r="103" spans="1:25" ht="15.6" x14ac:dyDescent="0.3">
      <c r="A103" s="262" t="s">
        <v>22</v>
      </c>
      <c r="B103" s="104"/>
      <c r="C103" s="338" t="s">
        <v>23</v>
      </c>
      <c r="D103" s="340" t="s">
        <v>33</v>
      </c>
      <c r="E103" s="340" t="s">
        <v>34</v>
      </c>
      <c r="F103" s="340" t="s">
        <v>35</v>
      </c>
      <c r="G103" s="340" t="s">
        <v>36</v>
      </c>
      <c r="H103" s="340" t="s">
        <v>37</v>
      </c>
      <c r="I103" s="340" t="s">
        <v>38</v>
      </c>
      <c r="J103" s="340"/>
      <c r="K103" s="340" t="s">
        <v>39</v>
      </c>
      <c r="L103" s="340" t="s">
        <v>40</v>
      </c>
      <c r="M103" s="128" t="s">
        <v>772</v>
      </c>
      <c r="N103" s="128" t="s">
        <v>773</v>
      </c>
      <c r="O103" s="127" t="s">
        <v>42</v>
      </c>
      <c r="P103" s="127" t="s">
        <v>43</v>
      </c>
      <c r="Q103" s="127" t="s">
        <v>44</v>
      </c>
      <c r="R103" s="127" t="s">
        <v>45</v>
      </c>
      <c r="V103" s="1" t="s">
        <v>523</v>
      </c>
      <c r="X103" s="1" t="s">
        <v>524</v>
      </c>
    </row>
    <row r="104" spans="1:25" ht="15.6" x14ac:dyDescent="0.3">
      <c r="A104" s="98"/>
      <c r="B104" s="98"/>
      <c r="C104" s="98"/>
      <c r="D104" s="166" t="s">
        <v>117</v>
      </c>
      <c r="E104" s="166" t="s">
        <v>49</v>
      </c>
      <c r="F104" s="166" t="s">
        <v>50</v>
      </c>
      <c r="G104" s="166" t="s">
        <v>50</v>
      </c>
      <c r="H104" s="166" t="s">
        <v>50</v>
      </c>
      <c r="I104" s="166" t="s">
        <v>51</v>
      </c>
      <c r="J104" s="166"/>
      <c r="K104" s="166" t="s">
        <v>50</v>
      </c>
      <c r="L104" s="166" t="s">
        <v>50</v>
      </c>
      <c r="M104" s="166" t="s">
        <v>50</v>
      </c>
      <c r="N104" s="166" t="s">
        <v>50</v>
      </c>
      <c r="O104" s="166" t="s">
        <v>50</v>
      </c>
      <c r="P104" s="166" t="s">
        <v>50</v>
      </c>
      <c r="Q104" s="166" t="s">
        <v>50</v>
      </c>
      <c r="R104" s="166" t="s">
        <v>51</v>
      </c>
      <c r="V104" s="1" t="s">
        <v>174</v>
      </c>
      <c r="W104" s="1" t="s">
        <v>175</v>
      </c>
      <c r="X104" s="1" t="s">
        <v>174</v>
      </c>
      <c r="Y104" s="1" t="s">
        <v>175</v>
      </c>
    </row>
    <row r="105" spans="1:25" ht="15.6" x14ac:dyDescent="0.3">
      <c r="A105" s="1">
        <v>1</v>
      </c>
      <c r="C105" s="99" t="s">
        <v>127</v>
      </c>
      <c r="D105" s="106">
        <v>500</v>
      </c>
      <c r="E105" s="106">
        <v>144000</v>
      </c>
      <c r="F105" s="3">
        <f>ROUND($E105*$V$105*CUR_DT_SUM_E_ON,2)+ROUND($E105*(1-$V$105)*CUR_DT_SUM_E_OFF,2)+ROUND($D105*INPUT!$C$82,2)+ROUND($D105*$X$105*CUR_DT_SEC_DEMON,2)+ROUND($D105*(1-$X$105)*CUR_DT_SEC_DEMOFF,2)+CUR_DT_SEC_CST3</f>
        <v>17754.53</v>
      </c>
      <c r="G105" s="341">
        <f>ROUND($E105*$V$105*PRO_DT_SUM_E_ON,2)+ROUND($E105*(1-$V$105)*PRO_DT_SUM_E_OFF,2)+ROUND($D105*'Rate DT-Sec'!$J$30,2)+ROUND($D105*$X$105*PRO_DT_SUM_PEAK,2)+ROUND($D105*(1-$X$105)*PRO_DT_SUM_PK_OFF,2)+PRO_DT_SEC_CST3</f>
        <v>20607.759999999998</v>
      </c>
      <c r="H105" s="3">
        <f t="shared" ref="H105:H114" si="22">G105-F105</f>
        <v>2853.2299999999996</v>
      </c>
      <c r="I105" s="138">
        <f t="shared" ref="I105:I114" si="23">ROUND(H105/F105,3)*100</f>
        <v>16.100000000000001</v>
      </c>
      <c r="J105" s="138"/>
      <c r="K105" s="3">
        <f t="shared" ref="K105:K114" si="24">ROUND(E105*CUR_FAC,2)</f>
        <v>502.16</v>
      </c>
      <c r="L105" s="3">
        <f t="shared" ref="L105:L114" si="25">ROUND(E105*DSM_DIST,2)</f>
        <v>504.43</v>
      </c>
      <c r="M105" s="3">
        <f t="shared" ref="M105:M114" si="26">ROUND((F105+$L105+$O105-PRO_BASE_FUEL*$E105)*CUR_ESM_NonRes,2)</f>
        <v>87.82</v>
      </c>
      <c r="N105" s="3">
        <f t="shared" ref="N105:N114" si="27">ROUND((G105+$L105+$O105-PRO_BASE_FUEL*$E105)*PRO_ESM_NONRES,2)</f>
        <v>89.13</v>
      </c>
      <c r="O105" s="3">
        <f t="shared" ref="O105:O114" si="28">ROUND(E105*RS_PSM,2)</f>
        <v>356.4</v>
      </c>
      <c r="P105" s="3">
        <f t="shared" ref="P105:P114" si="29">F105+K105+L105+M105+O105</f>
        <v>19205.34</v>
      </c>
      <c r="Q105" s="3">
        <f>G105+K105+L105+N105+O105</f>
        <v>22059.88</v>
      </c>
      <c r="R105" s="175">
        <f>ROUND((Q105-P105)/P105,3)*100</f>
        <v>14.899999999999999</v>
      </c>
      <c r="V105" s="1">
        <f>'Rate DT-Sec'!H34/'Rate DT-Sec'!H36</f>
        <v>0.29419509403516259</v>
      </c>
      <c r="W105" s="1">
        <f>'Rate DT-Sec'!H51/'Rate DT-Sec'!H53</f>
        <v>0.285282248887261</v>
      </c>
      <c r="X105" s="1">
        <f>'Rate DT-Sec'!H28/'Rate DT-Sec'!H31</f>
        <v>0.98799089099329518</v>
      </c>
      <c r="Y105" s="1">
        <f>'Rate DT-Sec'!H45/'Rate DT-Sec'!H48</f>
        <v>0.98095803944459836</v>
      </c>
    </row>
    <row r="106" spans="1:25" x14ac:dyDescent="0.25">
      <c r="A106" s="1">
        <v>2</v>
      </c>
      <c r="D106" s="106">
        <v>500</v>
      </c>
      <c r="E106" s="106">
        <v>288000</v>
      </c>
      <c r="F106" s="3">
        <f>ROUND($E106*$V$105*CUR_DT_SUM_E_ON,2)+ROUND($E106*(1-$V$105)*CUR_DT_SUM_E_OFF,2)+ROUND($D106*INPUT!$C$82,2)+ROUND($D106*$X$105*CUR_DT_SEC_DEMON,2)+ROUND($D106*(1-$X$105)*CUR_DT_SEC_DEMOFF,2)+CUR_DT_SEC_CST3</f>
        <v>25072.46</v>
      </c>
      <c r="G106" s="3">
        <f>ROUND($E106*$V$105*PRO_DT_SUM_E_ON,2)+ROUND($E106*(1-$V$105)*PRO_DT_SUM_E_OFF,2)+ROUND($D106*'Rate DT-Sec'!$J$30,2)+ROUND($D106*$X$105*PRO_DT_SUM_PEAK,2)+ROUND($D106*(1-$X$105)*PRO_DT_SUM_PK_OFF,2)+PRO_DT_SEC_CST3</f>
        <v>28928.959999999999</v>
      </c>
      <c r="H106" s="3">
        <f t="shared" si="22"/>
        <v>3856.5</v>
      </c>
      <c r="I106" s="138">
        <f t="shared" si="23"/>
        <v>15.4</v>
      </c>
      <c r="J106" s="138"/>
      <c r="K106" s="3">
        <f t="shared" si="24"/>
        <v>1004.32</v>
      </c>
      <c r="L106" s="3">
        <f t="shared" si="25"/>
        <v>1008.86</v>
      </c>
      <c r="M106" s="3">
        <f t="shared" si="26"/>
        <v>108.99</v>
      </c>
      <c r="N106" s="3">
        <f t="shared" si="27"/>
        <v>112.31</v>
      </c>
      <c r="O106" s="3">
        <f t="shared" si="28"/>
        <v>712.8</v>
      </c>
      <c r="P106" s="3">
        <f t="shared" si="29"/>
        <v>27907.43</v>
      </c>
      <c r="Q106" s="3">
        <f t="shared" ref="Q106:Q114" si="30">G106+K106+L106+N106+O106</f>
        <v>31767.25</v>
      </c>
      <c r="R106" s="138">
        <f t="shared" ref="R106:R114" si="31">ROUND((Q106-P106)/P106,3)*100</f>
        <v>13.8</v>
      </c>
    </row>
    <row r="107" spans="1:25" x14ac:dyDescent="0.25">
      <c r="A107" s="1">
        <v>3</v>
      </c>
      <c r="D107" s="106">
        <v>800</v>
      </c>
      <c r="E107" s="106">
        <v>230400</v>
      </c>
      <c r="F107" s="3">
        <f>ROUND($E107*$V$105*CUR_DT_SUM_E_ON,2)+ROUND($E107*(1-$V$105)*CUR_DT_SUM_E_OFF,2)+ROUND($D107*INPUT!$C$82,2)+ROUND($D107*$X$105*CUR_DT_SEC_DEMON,2)+ROUND($D107*(1-$X$105)*CUR_DT_SEC_DEMOFF,2)+CUR_DT_SEC_CST3</f>
        <v>28331.05</v>
      </c>
      <c r="G107" s="3">
        <f>ROUND($E107*$V$105*PRO_DT_SUM_E_ON,2)+ROUND($E107*(1-$V$105)*PRO_DT_SUM_E_OFF,2)+ROUND($D107*'Rate DT-Sec'!$J$30,2)+ROUND($D107*$X$105*PRO_DT_SUM_PEAK,2)+ROUND($D107*(1-$X$105)*PRO_DT_SUM_PK_OFF,2)+PRO_DT_SEC_CST3</f>
        <v>32895.61</v>
      </c>
      <c r="H107" s="3">
        <f t="shared" si="22"/>
        <v>4564.5600000000013</v>
      </c>
      <c r="I107" s="138">
        <f t="shared" si="23"/>
        <v>16.100000000000001</v>
      </c>
      <c r="J107" s="138"/>
      <c r="K107" s="3">
        <f t="shared" si="24"/>
        <v>803.45</v>
      </c>
      <c r="L107" s="3">
        <f t="shared" si="25"/>
        <v>807.09</v>
      </c>
      <c r="M107" s="3">
        <f t="shared" si="26"/>
        <v>140.02000000000001</v>
      </c>
      <c r="N107" s="3">
        <f t="shared" si="27"/>
        <v>142.19999999999999</v>
      </c>
      <c r="O107" s="3">
        <f t="shared" si="28"/>
        <v>570.24</v>
      </c>
      <c r="P107" s="3">
        <f t="shared" si="29"/>
        <v>30651.850000000002</v>
      </c>
      <c r="Q107" s="3">
        <f t="shared" si="30"/>
        <v>35218.589999999989</v>
      </c>
      <c r="R107" s="138">
        <f t="shared" si="31"/>
        <v>14.899999999999999</v>
      </c>
    </row>
    <row r="108" spans="1:25" x14ac:dyDescent="0.25">
      <c r="A108" s="1">
        <v>4</v>
      </c>
      <c r="D108" s="106">
        <v>800</v>
      </c>
      <c r="E108" s="106">
        <v>460800</v>
      </c>
      <c r="F108" s="3">
        <f>ROUND($E108*$V$105*CUR_DT_SUM_E_ON,2)+ROUND($E108*(1-$V$105)*CUR_DT_SUM_E_OFF,2)+ROUND($D108*INPUT!$C$82,2)+ROUND($D108*$X$105*CUR_DT_SEC_DEMON,2)+ROUND($D108*(1-$X$105)*CUR_DT_SEC_DEMOFF,2)+CUR_DT_SEC_CST3</f>
        <v>40039.730000000003</v>
      </c>
      <c r="G108" s="3">
        <f>ROUND($E108*$V$105*PRO_DT_SUM_E_ON,2)+ROUND($E108*(1-$V$105)*PRO_DT_SUM_E_OFF,2)+ROUND($D108*'Rate DT-Sec'!$J$30,2)+ROUND($D108*$X$105*PRO_DT_SUM_PEAK,2)+ROUND($D108*(1-$X$105)*PRO_DT_SUM_PK_OFF,2)+PRO_DT_SEC_CST3</f>
        <v>46209.53</v>
      </c>
      <c r="H108" s="3">
        <f t="shared" si="22"/>
        <v>6169.7999999999956</v>
      </c>
      <c r="I108" s="138">
        <f t="shared" si="23"/>
        <v>15.4</v>
      </c>
      <c r="J108" s="138"/>
      <c r="K108" s="3">
        <f t="shared" si="24"/>
        <v>1606.91</v>
      </c>
      <c r="L108" s="3">
        <f t="shared" si="25"/>
        <v>1614.18</v>
      </c>
      <c r="M108" s="3">
        <f t="shared" si="26"/>
        <v>173.89</v>
      </c>
      <c r="N108" s="3">
        <f t="shared" si="27"/>
        <v>179.29</v>
      </c>
      <c r="O108" s="3">
        <f t="shared" si="28"/>
        <v>1140.48</v>
      </c>
      <c r="P108" s="3">
        <f t="shared" si="29"/>
        <v>44575.19000000001</v>
      </c>
      <c r="Q108" s="3">
        <f t="shared" si="30"/>
        <v>50750.390000000007</v>
      </c>
      <c r="R108" s="138">
        <f t="shared" si="31"/>
        <v>13.900000000000002</v>
      </c>
    </row>
    <row r="109" spans="1:25" x14ac:dyDescent="0.25">
      <c r="A109" s="1">
        <v>5</v>
      </c>
      <c r="D109" s="106">
        <v>1000</v>
      </c>
      <c r="E109" s="106">
        <v>288000</v>
      </c>
      <c r="F109" s="3">
        <f>ROUND($E109*$V$105*CUR_DT_SUM_E_ON,2)+ROUND($E109*(1-$V$105)*CUR_DT_SUM_E_OFF,2)+ROUND($D109*INPUT!$C$82,2)+ROUND($D109*$X$105*CUR_DT_SEC_DEMON,2)+ROUND($D109*(1-$X$105)*CUR_DT_SEC_DEMOFF,2)+CUR_DT_SEC_CST3</f>
        <v>35382.06</v>
      </c>
      <c r="G109" s="3">
        <f>ROUND($E109*$V$105*PRO_DT_SUM_E_ON,2)+ROUND($E109*(1-$V$105)*PRO_DT_SUM_E_OFF,2)+ROUND($D109*'Rate DT-Sec'!$J$30,2)+ROUND($D109*$X$105*PRO_DT_SUM_PEAK,2)+ROUND($D109*(1-$X$105)*PRO_DT_SUM_PK_OFF,2)+PRO_DT_SEC_CST3</f>
        <v>41087.51</v>
      </c>
      <c r="H109" s="3">
        <f t="shared" si="22"/>
        <v>5705.4500000000044</v>
      </c>
      <c r="I109" s="138">
        <f t="shared" si="23"/>
        <v>16.100000000000001</v>
      </c>
      <c r="J109" s="138"/>
      <c r="K109" s="3">
        <f t="shared" si="24"/>
        <v>1004.32</v>
      </c>
      <c r="L109" s="3">
        <f t="shared" si="25"/>
        <v>1008.86</v>
      </c>
      <c r="M109" s="3">
        <f t="shared" si="26"/>
        <v>174.83</v>
      </c>
      <c r="N109" s="3">
        <f t="shared" si="27"/>
        <v>177.58</v>
      </c>
      <c r="O109" s="3">
        <f t="shared" si="28"/>
        <v>712.8</v>
      </c>
      <c r="P109" s="3">
        <f t="shared" si="29"/>
        <v>38282.870000000003</v>
      </c>
      <c r="Q109" s="3">
        <f t="shared" si="30"/>
        <v>43991.070000000007</v>
      </c>
      <c r="R109" s="138">
        <f t="shared" si="31"/>
        <v>14.899999999999999</v>
      </c>
    </row>
    <row r="110" spans="1:25" x14ac:dyDescent="0.25">
      <c r="A110" s="1">
        <v>6</v>
      </c>
      <c r="D110" s="106">
        <v>1000</v>
      </c>
      <c r="E110" s="106">
        <v>576000</v>
      </c>
      <c r="F110" s="3">
        <f>ROUND($E110*$V$105*CUR_DT_SUM_E_ON,2)+ROUND($E110*(1-$V$105)*CUR_DT_SUM_E_OFF,2)+ROUND($D110*INPUT!$C$82,2)+ROUND($D110*$X$105*CUR_DT_SEC_DEMON,2)+ROUND($D110*(1-$X$105)*CUR_DT_SEC_DEMOFF,2)+CUR_DT_SEC_CST3</f>
        <v>50017.909999999996</v>
      </c>
      <c r="G110" s="3">
        <f>ROUND($E110*$V$105*PRO_DT_SUM_E_ON,2)+ROUND($E110*(1-$V$105)*PRO_DT_SUM_E_OFF,2)+ROUND($D110*'Rate DT-Sec'!$J$30,2)+ROUND($D110*$X$105*PRO_DT_SUM_PEAK,2)+ROUND($D110*(1-$X$105)*PRO_DT_SUM_PK_OFF,2)+PRO_DT_SEC_CST3</f>
        <v>57729.920000000006</v>
      </c>
      <c r="H110" s="3">
        <f t="shared" si="22"/>
        <v>7712.0100000000093</v>
      </c>
      <c r="I110" s="138">
        <f t="shared" si="23"/>
        <v>15.4</v>
      </c>
      <c r="J110" s="138"/>
      <c r="K110" s="3">
        <f t="shared" si="24"/>
        <v>2008.63</v>
      </c>
      <c r="L110" s="3">
        <f t="shared" si="25"/>
        <v>2017.73</v>
      </c>
      <c r="M110" s="3">
        <f t="shared" si="26"/>
        <v>217.16</v>
      </c>
      <c r="N110" s="3">
        <f t="shared" si="27"/>
        <v>223.94</v>
      </c>
      <c r="O110" s="3">
        <f t="shared" si="28"/>
        <v>1425.6</v>
      </c>
      <c r="P110" s="3">
        <f t="shared" si="29"/>
        <v>55687.03</v>
      </c>
      <c r="Q110" s="3">
        <f t="shared" si="30"/>
        <v>63405.820000000007</v>
      </c>
      <c r="R110" s="138">
        <f t="shared" si="31"/>
        <v>13.900000000000002</v>
      </c>
    </row>
    <row r="111" spans="1:25" x14ac:dyDescent="0.25">
      <c r="A111" s="1">
        <v>7</v>
      </c>
      <c r="D111" s="106">
        <v>1200</v>
      </c>
      <c r="E111" s="106">
        <v>345600</v>
      </c>
      <c r="F111" s="3">
        <f>ROUND($E111*$V$105*CUR_DT_SUM_E_ON,2)+ROUND($E111*(1-$V$105)*CUR_DT_SUM_E_OFF,2)+ROUND($D111*INPUT!$C$82,2)+ROUND($D111*$X$105*CUR_DT_SEC_DEMON,2)+ROUND($D111*(1-$X$105)*CUR_DT_SEC_DEMOFF,2)+CUR_DT_SEC_CST3</f>
        <v>42433.06</v>
      </c>
      <c r="G111" s="3">
        <f>ROUND($E111*$V$105*PRO_DT_SUM_E_ON,2)+ROUND($E111*(1-$V$105)*PRO_DT_SUM_E_OFF,2)+ROUND($D111*'Rate DT-Sec'!$J$30,2)+ROUND($D111*$X$105*PRO_DT_SUM_PEAK,2)+ROUND($D111*(1-$X$105)*PRO_DT_SUM_PK_OFF,2)+PRO_DT_SEC_CST3</f>
        <v>49279.43</v>
      </c>
      <c r="H111" s="3">
        <f t="shared" si="22"/>
        <v>6846.3700000000026</v>
      </c>
      <c r="I111" s="138">
        <f t="shared" si="23"/>
        <v>16.100000000000001</v>
      </c>
      <c r="J111" s="138"/>
      <c r="K111" s="3">
        <f t="shared" si="24"/>
        <v>1205.18</v>
      </c>
      <c r="L111" s="3">
        <f t="shared" si="25"/>
        <v>1210.6400000000001</v>
      </c>
      <c r="M111" s="3">
        <f t="shared" si="26"/>
        <v>209.63</v>
      </c>
      <c r="N111" s="3">
        <f t="shared" si="27"/>
        <v>212.96</v>
      </c>
      <c r="O111" s="3">
        <f t="shared" si="28"/>
        <v>855.36</v>
      </c>
      <c r="P111" s="3">
        <f t="shared" si="29"/>
        <v>45913.869999999995</v>
      </c>
      <c r="Q111" s="3">
        <f t="shared" si="30"/>
        <v>52763.57</v>
      </c>
      <c r="R111" s="138">
        <f t="shared" si="31"/>
        <v>14.899999999999999</v>
      </c>
    </row>
    <row r="112" spans="1:25" x14ac:dyDescent="0.25">
      <c r="A112" s="1">
        <v>8</v>
      </c>
      <c r="D112" s="106">
        <v>1200</v>
      </c>
      <c r="E112" s="106">
        <v>691200</v>
      </c>
      <c r="F112" s="3">
        <f>ROUND($E112*$V$105*CUR_DT_SUM_E_ON,2)+ROUND($E112*(1-$V$105)*CUR_DT_SUM_E_OFF,2)+ROUND($D112*INPUT!$C$82,2)+ROUND($D112*$X$105*CUR_DT_SEC_DEMON,2)+ROUND($D112*(1-$X$105)*CUR_DT_SEC_DEMOFF,2)+CUR_DT_SEC_CST3</f>
        <v>59996.1</v>
      </c>
      <c r="G112" s="3">
        <f>ROUND($E112*$V$105*PRO_DT_SUM_E_ON,2)+ROUND($E112*(1-$V$105)*PRO_DT_SUM_E_OFF,2)+ROUND($D112*'Rate DT-Sec'!$J$30,2)+ROUND($D112*$X$105*PRO_DT_SUM_PEAK,2)+ROUND($D112*(1-$X$105)*PRO_DT_SUM_PK_OFF,2)+PRO_DT_SEC_CST3</f>
        <v>69250.319999999992</v>
      </c>
      <c r="H112" s="3">
        <f t="shared" si="22"/>
        <v>9254.2199999999939</v>
      </c>
      <c r="I112" s="138">
        <f t="shared" si="23"/>
        <v>15.4</v>
      </c>
      <c r="J112" s="138"/>
      <c r="K112" s="3">
        <f t="shared" si="24"/>
        <v>2410.36</v>
      </c>
      <c r="L112" s="3">
        <f t="shared" si="25"/>
        <v>2421.27</v>
      </c>
      <c r="M112" s="3">
        <f t="shared" si="26"/>
        <v>260.43</v>
      </c>
      <c r="N112" s="3">
        <f t="shared" si="27"/>
        <v>268.58999999999997</v>
      </c>
      <c r="O112" s="3">
        <f t="shared" si="28"/>
        <v>1710.72</v>
      </c>
      <c r="P112" s="3">
        <f t="shared" si="29"/>
        <v>66798.87999999999</v>
      </c>
      <c r="Q112" s="3">
        <f t="shared" si="30"/>
        <v>76061.259999999995</v>
      </c>
      <c r="R112" s="138">
        <f t="shared" si="31"/>
        <v>13.900000000000002</v>
      </c>
    </row>
    <row r="113" spans="1:18" x14ac:dyDescent="0.25">
      <c r="A113" s="1">
        <v>9</v>
      </c>
      <c r="D113" s="106">
        <v>1500</v>
      </c>
      <c r="E113" s="106">
        <v>432000</v>
      </c>
      <c r="F113" s="3">
        <f>ROUND($E113*$V$105*CUR_DT_SUM_E_ON,2)+ROUND($E113*(1-$V$105)*CUR_DT_SUM_E_OFF,2)+ROUND($D113*INPUT!$C$82,2)+ROUND($D113*$X$105*CUR_DT_SEC_DEMON,2)+ROUND($D113*(1-$X$105)*CUR_DT_SEC_DEMOFF,2)+CUR_DT_SEC_CST3</f>
        <v>53009.59</v>
      </c>
      <c r="G113" s="3">
        <f>ROUND($E113*$V$105*PRO_DT_SUM_E_ON,2)+ROUND($E113*(1-$V$105)*PRO_DT_SUM_E_OFF,2)+ROUND($D113*'Rate DT-Sec'!$J$30,2)+ROUND($D113*$X$105*PRO_DT_SUM_PEAK,2)+ROUND($D113*(1-$X$105)*PRO_DT_SUM_PK_OFF,2)+PRO_DT_SEC_CST3</f>
        <v>61567.27</v>
      </c>
      <c r="H113" s="3">
        <f t="shared" si="22"/>
        <v>8557.68</v>
      </c>
      <c r="I113" s="138">
        <f t="shared" si="23"/>
        <v>16.100000000000001</v>
      </c>
      <c r="J113" s="138"/>
      <c r="K113" s="3">
        <f t="shared" si="24"/>
        <v>1506.48</v>
      </c>
      <c r="L113" s="3">
        <f t="shared" si="25"/>
        <v>1513.3</v>
      </c>
      <c r="M113" s="3">
        <f t="shared" si="26"/>
        <v>261.83</v>
      </c>
      <c r="N113" s="3">
        <f t="shared" si="27"/>
        <v>266.02999999999997</v>
      </c>
      <c r="O113" s="3">
        <f t="shared" si="28"/>
        <v>1069.2</v>
      </c>
      <c r="P113" s="3">
        <f t="shared" si="29"/>
        <v>57360.4</v>
      </c>
      <c r="Q113" s="3">
        <f t="shared" si="30"/>
        <v>65922.28</v>
      </c>
      <c r="R113" s="138">
        <f t="shared" si="31"/>
        <v>14.899999999999999</v>
      </c>
    </row>
    <row r="114" spans="1:18" x14ac:dyDescent="0.25">
      <c r="A114" s="1">
        <v>10</v>
      </c>
      <c r="D114" s="106">
        <v>1500</v>
      </c>
      <c r="E114" s="106">
        <v>864000</v>
      </c>
      <c r="F114" s="3">
        <f>ROUND($E114*$V$105*CUR_DT_SUM_E_ON,2)+ROUND($E114*(1-$V$105)*CUR_DT_SUM_E_OFF,2)+ROUND($D114*INPUT!$C$82,2)+ROUND($D114*$X$105*CUR_DT_SEC_DEMON,2)+ROUND($D114*(1-$X$105)*CUR_DT_SEC_DEMOFF,2)+CUR_DT_SEC_CST3</f>
        <v>74963.37</v>
      </c>
      <c r="G114" s="3">
        <f>ROUND($E114*$V$105*PRO_DT_SUM_E_ON,2)+ROUND($E114*(1-$V$105)*PRO_DT_SUM_E_OFF,2)+ROUND($D114*'Rate DT-Sec'!$J$30,2)+ROUND($D114*$X$105*PRO_DT_SUM_PEAK,2)+ROUND($D114*(1-$X$105)*PRO_DT_SUM_PK_OFF,2)+PRO_DT_SEC_CST3</f>
        <v>86530.880000000005</v>
      </c>
      <c r="H114" s="3">
        <f t="shared" si="22"/>
        <v>11567.510000000009</v>
      </c>
      <c r="I114" s="138">
        <f t="shared" si="23"/>
        <v>15.4</v>
      </c>
      <c r="J114" s="138"/>
      <c r="K114" s="3">
        <f t="shared" si="24"/>
        <v>3012.95</v>
      </c>
      <c r="L114" s="3">
        <f t="shared" si="25"/>
        <v>3026.59</v>
      </c>
      <c r="M114" s="3">
        <f t="shared" si="26"/>
        <v>325.33</v>
      </c>
      <c r="N114" s="3">
        <f t="shared" si="27"/>
        <v>335.57</v>
      </c>
      <c r="O114" s="3">
        <f t="shared" si="28"/>
        <v>2138.4</v>
      </c>
      <c r="P114" s="3">
        <f t="shared" si="29"/>
        <v>83466.639999999985</v>
      </c>
      <c r="Q114" s="3">
        <f t="shared" si="30"/>
        <v>95044.39</v>
      </c>
      <c r="R114" s="138">
        <f t="shared" si="31"/>
        <v>13.900000000000002</v>
      </c>
    </row>
    <row r="115" spans="1:18" x14ac:dyDescent="0.25">
      <c r="D115" s="106"/>
      <c r="E115" s="106"/>
      <c r="K115" s="3"/>
      <c r="L115" s="3"/>
      <c r="M115" s="3"/>
      <c r="N115" s="3"/>
      <c r="O115" s="3"/>
      <c r="P115" s="3"/>
      <c r="Q115" s="3"/>
    </row>
    <row r="116" spans="1:18" ht="15.6" x14ac:dyDescent="0.3">
      <c r="A116" s="1">
        <v>11</v>
      </c>
      <c r="C116" s="99" t="s">
        <v>128</v>
      </c>
      <c r="D116" s="106">
        <v>500</v>
      </c>
      <c r="E116" s="106">
        <v>144000</v>
      </c>
      <c r="F116" s="3">
        <f>ROUND($E116*$W$105*CUR_DT_WIN_E_ON,2)+ROUND($E116*(1-$W$105)*CUR_DT_SUM_E_OFF,2)+ROUND($D116*INPUT!$C$82,2)+ROUND($D116*$Y$105*CUR_DT_WIN_PEAK_ON,2)+ROUND($D116*(1-$Y$105)*CUR_DT_WIN_PK_OFF,2)+CUR_DT_SEC_CST3</f>
        <v>17222.64</v>
      </c>
      <c r="G116" s="3">
        <f>ROUND($E116*$W$105*PRO_DT_WIN_E_ON,2)+ROUND($E116*(1-$W$105)*PRO_DT_WIN_E_OFF,2)+ROUND($D116*'Rate DT-Sec'!$J$47,2)+ROUND($D116*$Y$105*PRO_DT_WIN_PEAK,2)+ROUND($D116*(1-$Y$105)*PRO_DT_WIN_PK_OFF,2)+PRO_DT_SEC_CST3</f>
        <v>20002.109999999997</v>
      </c>
      <c r="H116" s="3">
        <f t="shared" ref="H116:H125" si="32">G116-F116</f>
        <v>2779.4699999999975</v>
      </c>
      <c r="I116" s="138">
        <f t="shared" ref="I116:I125" si="33">ROUND(H116/F116,3)*100</f>
        <v>16.100000000000001</v>
      </c>
      <c r="J116" s="138"/>
      <c r="K116" s="3">
        <f t="shared" ref="K116:K125" si="34">ROUND(E116*CUR_FAC,2)</f>
        <v>502.16</v>
      </c>
      <c r="L116" s="3">
        <f t="shared" ref="L116:L125" si="35">ROUND(E116*DSM_DIST,2)</f>
        <v>504.43</v>
      </c>
      <c r="M116" s="3">
        <f t="shared" ref="M116:M125" si="36">ROUND((F116+$L116+$O116-PRO_BASE_FUEL*$E116)*CUR_ESM_NonRes,2)</f>
        <v>84.42</v>
      </c>
      <c r="N116" s="3">
        <f t="shared" ref="N116:N125" si="37">ROUND((G116+$L116+$O116-PRO_BASE_FUEL*$E116)*PRO_ESM_NONRES,2)</f>
        <v>85.88</v>
      </c>
      <c r="O116" s="3">
        <f t="shared" ref="O116:O125" si="38">ROUND(E116*RS_PSM,2)</f>
        <v>356.4</v>
      </c>
      <c r="P116" s="3">
        <f>F116+K116+L116+M116+O116</f>
        <v>18670.05</v>
      </c>
      <c r="Q116" s="3">
        <f>G116+K116+L116+N116+O116</f>
        <v>21450.98</v>
      </c>
      <c r="R116" s="138">
        <f t="shared" ref="R116:R125" si="39">ROUND((Q116-P116)/P116,3)*100</f>
        <v>14.899999999999999</v>
      </c>
    </row>
    <row r="117" spans="1:18" x14ac:dyDescent="0.25">
      <c r="A117" s="1">
        <v>12</v>
      </c>
      <c r="D117" s="106">
        <v>500</v>
      </c>
      <c r="E117" s="106">
        <v>288000</v>
      </c>
      <c r="F117" s="3">
        <f>ROUND($E117*$W$105*CUR_DT_WIN_E_ON,2)+ROUND($E117*(1-$W$105)*CUR_DT_SUM_E_OFF,2)+ROUND($D117*INPUT!$C$82,2)+ROUND($D117*$Y$105*CUR_DT_WIN_PEAK_ON,2)+ROUND($D117*(1-$Y$105)*CUR_DT_WIN_PK_OFF,2)+CUR_DT_SEC_CST3</f>
        <v>24443.22</v>
      </c>
      <c r="G117" s="3">
        <f>ROUND($E117*$W$105*PRO_DT_WIN_E_ON,2)+ROUND($E117*(1-$W$105)*PRO_DT_WIN_E_OFF,2)+ROUND($D117*'Rate DT-Sec'!$J$47,2)+ROUND($D117*$Y$105*PRO_DT_WIN_PEAK,2)+ROUND($D117*(1-$Y$105)*PRO_DT_WIN_PK_OFF,2)+PRO_DT_SEC_CST3</f>
        <v>28212.68</v>
      </c>
      <c r="H117" s="3">
        <f t="shared" si="32"/>
        <v>3769.4599999999991</v>
      </c>
      <c r="I117" s="138">
        <f t="shared" si="33"/>
        <v>15.4</v>
      </c>
      <c r="J117" s="138"/>
      <c r="K117" s="3">
        <f t="shared" si="34"/>
        <v>1004.32</v>
      </c>
      <c r="L117" s="3">
        <f t="shared" si="35"/>
        <v>1008.86</v>
      </c>
      <c r="M117" s="3">
        <f t="shared" si="36"/>
        <v>104.97</v>
      </c>
      <c r="N117" s="3">
        <f t="shared" si="37"/>
        <v>108.47</v>
      </c>
      <c r="O117" s="3">
        <f t="shared" si="38"/>
        <v>712.8</v>
      </c>
      <c r="P117" s="3">
        <f t="shared" ref="P117:P125" si="40">F117+K117+L117+M117+O117</f>
        <v>27274.170000000002</v>
      </c>
      <c r="Q117" s="3">
        <f t="shared" ref="Q117:Q125" si="41">G117+K117+L117+N117+O117</f>
        <v>31047.13</v>
      </c>
      <c r="R117" s="138">
        <f t="shared" si="39"/>
        <v>13.8</v>
      </c>
    </row>
    <row r="118" spans="1:18" x14ac:dyDescent="0.25">
      <c r="A118" s="1">
        <v>13</v>
      </c>
      <c r="D118" s="106">
        <v>800</v>
      </c>
      <c r="E118" s="106">
        <v>230400</v>
      </c>
      <c r="F118" s="3">
        <f>ROUND($E118*$W$105*CUR_DT_WIN_E_ON,2)+ROUND($E118*(1-$W$105)*CUR_DT_SUM_E_OFF,2)+ROUND($D118*INPUT!$C$82,2)+ROUND($D118*$Y$105*CUR_DT_WIN_PEAK_ON,2)+ROUND($D118*(1-$Y$105)*CUR_DT_WIN_PK_OFF,2)+CUR_DT_SEC_CST3</f>
        <v>27480.000000000004</v>
      </c>
      <c r="G118" s="3">
        <f>ROUND($E118*$W$105*PRO_DT_WIN_E_ON,2)+ROUND($E118*(1-$W$105)*PRO_DT_WIN_E_OFF,2)+ROUND($D118*'Rate DT-Sec'!$J$47,2)+ROUND($D118*$Y$105*PRO_DT_WIN_PEAK,2)+ROUND($D118*(1-$Y$105)*PRO_DT_WIN_PK_OFF,2)+PRO_DT_SEC_CST3</f>
        <v>31926.589999999997</v>
      </c>
      <c r="H118" s="3">
        <f t="shared" si="32"/>
        <v>4446.5899999999929</v>
      </c>
      <c r="I118" s="138">
        <f t="shared" si="33"/>
        <v>16.2</v>
      </c>
      <c r="J118" s="138"/>
      <c r="K118" s="3">
        <f t="shared" si="34"/>
        <v>803.45</v>
      </c>
      <c r="L118" s="3">
        <f t="shared" si="35"/>
        <v>807.09</v>
      </c>
      <c r="M118" s="3">
        <f t="shared" si="36"/>
        <v>134.59</v>
      </c>
      <c r="N118" s="3">
        <f t="shared" si="37"/>
        <v>137</v>
      </c>
      <c r="O118" s="3">
        <f t="shared" si="38"/>
        <v>570.24</v>
      </c>
      <c r="P118" s="3">
        <f t="shared" si="40"/>
        <v>29795.370000000006</v>
      </c>
      <c r="Q118" s="3">
        <f t="shared" si="41"/>
        <v>34244.369999999995</v>
      </c>
      <c r="R118" s="138">
        <f t="shared" si="39"/>
        <v>14.899999999999999</v>
      </c>
    </row>
    <row r="119" spans="1:18" x14ac:dyDescent="0.25">
      <c r="A119" s="1">
        <v>14</v>
      </c>
      <c r="D119" s="106">
        <v>800</v>
      </c>
      <c r="E119" s="106">
        <v>460800</v>
      </c>
      <c r="F119" s="3">
        <f>ROUND($E119*$W$105*CUR_DT_WIN_E_ON,2)+ROUND($E119*(1-$W$105)*CUR_DT_SUM_E_OFF,2)+ROUND($D119*INPUT!$C$82,2)+ROUND($D119*$Y$105*CUR_DT_WIN_PEAK_ON,2)+ROUND($D119*(1-$Y$105)*CUR_DT_WIN_PK_OFF,2)+CUR_DT_SEC_CST3</f>
        <v>39032.949999999997</v>
      </c>
      <c r="G119" s="3">
        <f>ROUND($E119*$W$105*PRO_DT_WIN_E_ON,2)+ROUND($E119*(1-$W$105)*PRO_DT_WIN_E_OFF,2)+ROUND($D119*'Rate DT-Sec'!$J$47,2)+ROUND($D119*$Y$105*PRO_DT_WIN_PEAK,2)+ROUND($D119*(1-$Y$105)*PRO_DT_WIN_PK_OFF,2)+PRO_DT_SEC_CST3</f>
        <v>45063.48</v>
      </c>
      <c r="H119" s="3">
        <f t="shared" si="32"/>
        <v>6030.5300000000061</v>
      </c>
      <c r="I119" s="138">
        <f t="shared" si="33"/>
        <v>15.4</v>
      </c>
      <c r="J119" s="138"/>
      <c r="K119" s="3">
        <f t="shared" si="34"/>
        <v>1606.91</v>
      </c>
      <c r="L119" s="3">
        <f t="shared" si="35"/>
        <v>1614.18</v>
      </c>
      <c r="M119" s="3">
        <f t="shared" si="36"/>
        <v>167.46</v>
      </c>
      <c r="N119" s="3">
        <f t="shared" si="37"/>
        <v>173.14</v>
      </c>
      <c r="O119" s="3">
        <f t="shared" si="38"/>
        <v>1140.48</v>
      </c>
      <c r="P119" s="3">
        <f t="shared" si="40"/>
        <v>43561.98</v>
      </c>
      <c r="Q119" s="3">
        <f t="shared" si="41"/>
        <v>49598.19000000001</v>
      </c>
      <c r="R119" s="138">
        <f t="shared" si="39"/>
        <v>13.900000000000002</v>
      </c>
    </row>
    <row r="120" spans="1:18" x14ac:dyDescent="0.25">
      <c r="A120" s="1">
        <v>15</v>
      </c>
      <c r="D120" s="106">
        <v>1000</v>
      </c>
      <c r="E120" s="106">
        <v>288000</v>
      </c>
      <c r="F120" s="3">
        <f>ROUND($E120*$W$105*CUR_DT_WIN_E_ON,2)+ROUND($E120*(1-$W$105)*CUR_DT_SUM_E_OFF,2)+ROUND($D120*INPUT!$C$82,2)+ROUND($D120*$Y$105*CUR_DT_WIN_PEAK_ON,2)+ROUND($D120*(1-$Y$105)*CUR_DT_WIN_PK_OFF,2)+CUR_DT_SEC_CST3</f>
        <v>34318.26</v>
      </c>
      <c r="G120" s="3">
        <f>ROUND($E120*$W$105*PRO_DT_WIN_E_ON,2)+ROUND($E120*(1-$W$105)*PRO_DT_WIN_E_OFF,2)+ROUND($D120*'Rate DT-Sec'!$J$47,2)+ROUND($D120*$Y$105*PRO_DT_WIN_PEAK,2)+ROUND($D120*(1-$Y$105)*PRO_DT_WIN_PK_OFF,2)+PRO_DT_SEC_CST3</f>
        <v>39876.25</v>
      </c>
      <c r="H120" s="3">
        <f t="shared" si="32"/>
        <v>5557.989999999998</v>
      </c>
      <c r="I120" s="138">
        <f t="shared" si="33"/>
        <v>16.2</v>
      </c>
      <c r="J120" s="138"/>
      <c r="K120" s="3">
        <f t="shared" si="34"/>
        <v>1004.32</v>
      </c>
      <c r="L120" s="3">
        <f t="shared" si="35"/>
        <v>1008.86</v>
      </c>
      <c r="M120" s="3">
        <f t="shared" si="36"/>
        <v>168.03</v>
      </c>
      <c r="N120" s="3">
        <f t="shared" si="37"/>
        <v>171.08</v>
      </c>
      <c r="O120" s="3">
        <f t="shared" si="38"/>
        <v>712.8</v>
      </c>
      <c r="P120" s="3">
        <f t="shared" si="40"/>
        <v>37212.270000000004</v>
      </c>
      <c r="Q120" s="3">
        <f t="shared" si="41"/>
        <v>42773.310000000005</v>
      </c>
      <c r="R120" s="138">
        <f t="shared" si="39"/>
        <v>14.899999999999999</v>
      </c>
    </row>
    <row r="121" spans="1:18" x14ac:dyDescent="0.25">
      <c r="A121" s="1">
        <v>16</v>
      </c>
      <c r="D121" s="106">
        <v>1000</v>
      </c>
      <c r="E121" s="106">
        <v>576000</v>
      </c>
      <c r="F121" s="3">
        <f>ROUND($E121*$W$105*CUR_DT_WIN_E_ON,2)+ROUND($E121*(1-$W$105)*CUR_DT_SUM_E_OFF,2)+ROUND($D121*INPUT!$C$82,2)+ROUND($D121*$Y$105*CUR_DT_WIN_PEAK_ON,2)+ROUND($D121*(1-$Y$105)*CUR_DT_WIN_PK_OFF,2)+CUR_DT_SEC_CST3</f>
        <v>48759.45</v>
      </c>
      <c r="G121" s="3">
        <f>ROUND($E121*$W$105*PRO_DT_WIN_E_ON,2)+ROUND($E121*(1-$W$105)*PRO_DT_WIN_E_OFF,2)+ROUND($D121*'Rate DT-Sec'!$J$47,2)+ROUND($D121*$Y$105*PRO_DT_WIN_PEAK,2)+ROUND($D121*(1-$Y$105)*PRO_DT_WIN_PK_OFF,2)+PRO_DT_SEC_CST3</f>
        <v>56297.36</v>
      </c>
      <c r="H121" s="3">
        <f t="shared" si="32"/>
        <v>7537.9100000000035</v>
      </c>
      <c r="I121" s="138">
        <f t="shared" si="33"/>
        <v>15.5</v>
      </c>
      <c r="J121" s="138"/>
      <c r="K121" s="3">
        <f t="shared" si="34"/>
        <v>2008.63</v>
      </c>
      <c r="L121" s="3">
        <f t="shared" si="35"/>
        <v>2017.73</v>
      </c>
      <c r="M121" s="3">
        <f t="shared" si="36"/>
        <v>209.12</v>
      </c>
      <c r="N121" s="3">
        <f t="shared" si="37"/>
        <v>216.25</v>
      </c>
      <c r="O121" s="3">
        <f t="shared" si="38"/>
        <v>1425.6</v>
      </c>
      <c r="P121" s="3">
        <f t="shared" si="40"/>
        <v>54420.53</v>
      </c>
      <c r="Q121" s="3">
        <f t="shared" si="41"/>
        <v>61965.57</v>
      </c>
      <c r="R121" s="138">
        <f t="shared" si="39"/>
        <v>13.900000000000002</v>
      </c>
    </row>
    <row r="122" spans="1:18" x14ac:dyDescent="0.25">
      <c r="A122" s="1">
        <v>17</v>
      </c>
      <c r="D122" s="106">
        <v>1200</v>
      </c>
      <c r="E122" s="106">
        <v>345600</v>
      </c>
      <c r="F122" s="3">
        <f>ROUND($E122*$W$105*CUR_DT_WIN_E_ON,2)+ROUND($E122*(1-$W$105)*CUR_DT_SUM_E_OFF,2)+ROUND($D122*INPUT!$C$82,2)+ROUND($D122*$Y$105*CUR_DT_WIN_PEAK_ON,2)+ROUND($D122*(1-$Y$105)*CUR_DT_WIN_PK_OFF,2)+CUR_DT_SEC_CST3</f>
        <v>41156.5</v>
      </c>
      <c r="G122" s="3">
        <f>ROUND($E122*$W$105*PRO_DT_WIN_E_ON,2)+ROUND($E122*(1-$W$105)*PRO_DT_WIN_E_OFF,2)+ROUND($D122*'Rate DT-Sec'!$J$47,2)+ROUND($D122*$Y$105*PRO_DT_WIN_PEAK,2)+ROUND($D122*(1-$Y$105)*PRO_DT_WIN_PK_OFF,2)+PRO_DT_SEC_CST3</f>
        <v>47825.899999999994</v>
      </c>
      <c r="H122" s="3">
        <f t="shared" si="32"/>
        <v>6669.3999999999942</v>
      </c>
      <c r="I122" s="138">
        <f t="shared" si="33"/>
        <v>16.2</v>
      </c>
      <c r="J122" s="138"/>
      <c r="K122" s="3">
        <f t="shared" si="34"/>
        <v>1205.18</v>
      </c>
      <c r="L122" s="3">
        <f t="shared" si="35"/>
        <v>1210.6400000000001</v>
      </c>
      <c r="M122" s="3">
        <f t="shared" si="36"/>
        <v>201.48</v>
      </c>
      <c r="N122" s="3">
        <f t="shared" si="37"/>
        <v>205.16</v>
      </c>
      <c r="O122" s="3">
        <f t="shared" si="38"/>
        <v>855.36</v>
      </c>
      <c r="P122" s="3">
        <f t="shared" si="40"/>
        <v>44629.16</v>
      </c>
      <c r="Q122" s="3">
        <f t="shared" si="41"/>
        <v>51302.239999999998</v>
      </c>
      <c r="R122" s="138">
        <f t="shared" si="39"/>
        <v>15</v>
      </c>
    </row>
    <row r="123" spans="1:18" x14ac:dyDescent="0.25">
      <c r="A123" s="1">
        <v>18</v>
      </c>
      <c r="D123" s="106">
        <v>1200</v>
      </c>
      <c r="E123" s="106">
        <v>691200</v>
      </c>
      <c r="F123" s="3">
        <f>ROUND($E123*$W$105*CUR_DT_WIN_E_ON,2)+ROUND($E123*(1-$W$105)*CUR_DT_SUM_E_OFF,2)+ROUND($D123*INPUT!$C$82,2)+ROUND($D123*$Y$105*CUR_DT_WIN_PEAK_ON,2)+ROUND($D123*(1-$Y$105)*CUR_DT_WIN_PK_OFF,2)+CUR_DT_SEC_CST3</f>
        <v>58485.919999999998</v>
      </c>
      <c r="G123" s="3">
        <f>ROUND($E123*$W$105*PRO_DT_WIN_E_ON,2)+ROUND($E123*(1-$W$105)*PRO_DT_WIN_E_OFF,2)+ROUND($D123*'Rate DT-Sec'!$J$47,2)+ROUND($D123*$Y$105*PRO_DT_WIN_PEAK,2)+ROUND($D123*(1-$Y$105)*PRO_DT_WIN_PK_OFF,2)+PRO_DT_SEC_CST3</f>
        <v>67531.239999999991</v>
      </c>
      <c r="H123" s="3">
        <f t="shared" si="32"/>
        <v>9045.3199999999924</v>
      </c>
      <c r="I123" s="138">
        <f t="shared" si="33"/>
        <v>15.5</v>
      </c>
      <c r="J123" s="138"/>
      <c r="K123" s="3">
        <f t="shared" si="34"/>
        <v>2410.36</v>
      </c>
      <c r="L123" s="3">
        <f t="shared" si="35"/>
        <v>2421.27</v>
      </c>
      <c r="M123" s="3">
        <f t="shared" si="36"/>
        <v>250.79</v>
      </c>
      <c r="N123" s="3">
        <f t="shared" si="37"/>
        <v>259.36</v>
      </c>
      <c r="O123" s="3">
        <f t="shared" si="38"/>
        <v>1710.72</v>
      </c>
      <c r="P123" s="3">
        <f t="shared" si="40"/>
        <v>65279.06</v>
      </c>
      <c r="Q123" s="3">
        <f t="shared" si="41"/>
        <v>74332.95</v>
      </c>
      <c r="R123" s="138">
        <f t="shared" si="39"/>
        <v>13.900000000000002</v>
      </c>
    </row>
    <row r="124" spans="1:18" x14ac:dyDescent="0.25">
      <c r="A124" s="1">
        <v>19</v>
      </c>
      <c r="D124" s="106">
        <v>1500</v>
      </c>
      <c r="E124" s="106">
        <v>432000</v>
      </c>
      <c r="F124" s="3">
        <f>ROUND($E124*$W$105*CUR_DT_WIN_E_ON,2)+ROUND($E124*(1-$W$105)*CUR_DT_SUM_E_OFF,2)+ROUND($D124*INPUT!$C$82,2)+ROUND($D124*$Y$105*CUR_DT_WIN_PEAK_ON,2)+ROUND($D124*(1-$Y$105)*CUR_DT_WIN_PK_OFF,2)+CUR_DT_SEC_CST3</f>
        <v>51413.88</v>
      </c>
      <c r="G124" s="3">
        <f>ROUND($E124*$W$105*PRO_DT_WIN_E_ON,2)+ROUND($E124*(1-$W$105)*PRO_DT_WIN_E_OFF,2)+ROUND($D124*'Rate DT-Sec'!$J$47,2)+ROUND($D124*$Y$105*PRO_DT_WIN_PEAK,2)+ROUND($D124*(1-$Y$105)*PRO_DT_WIN_PK_OFF,2)+PRO_DT_SEC_CST3</f>
        <v>59750.359999999993</v>
      </c>
      <c r="H124" s="3">
        <f t="shared" si="32"/>
        <v>8336.4799999999959</v>
      </c>
      <c r="I124" s="138">
        <f t="shared" si="33"/>
        <v>16.2</v>
      </c>
      <c r="J124" s="138"/>
      <c r="K124" s="3">
        <f t="shared" si="34"/>
        <v>1506.48</v>
      </c>
      <c r="L124" s="3">
        <f t="shared" si="35"/>
        <v>1513.3</v>
      </c>
      <c r="M124" s="3">
        <f t="shared" si="36"/>
        <v>251.64</v>
      </c>
      <c r="N124" s="3">
        <f t="shared" si="37"/>
        <v>256.27999999999997</v>
      </c>
      <c r="O124" s="3">
        <f t="shared" si="38"/>
        <v>1069.2</v>
      </c>
      <c r="P124" s="3">
        <f t="shared" si="40"/>
        <v>55754.5</v>
      </c>
      <c r="Q124" s="3">
        <f t="shared" si="41"/>
        <v>64095.619999999995</v>
      </c>
      <c r="R124" s="138">
        <f t="shared" si="39"/>
        <v>15</v>
      </c>
    </row>
    <row r="125" spans="1:18" x14ac:dyDescent="0.25">
      <c r="A125" s="1">
        <v>20</v>
      </c>
      <c r="D125" s="106">
        <v>1500</v>
      </c>
      <c r="E125" s="106">
        <v>864000</v>
      </c>
      <c r="F125" s="3">
        <f>ROUND($E125*$W$105*CUR_DT_WIN_E_ON,2)+ROUND($E125*(1-$W$105)*CUR_DT_SUM_E_OFF,2)+ROUND($D125*INPUT!$C$82,2)+ROUND($D125*$Y$105*CUR_DT_WIN_PEAK_ON,2)+ROUND($D125*(1-$Y$105)*CUR_DT_WIN_PK_OFF,2)+CUR_DT_SEC_CST3</f>
        <v>73075.649999999994</v>
      </c>
      <c r="G125" s="3">
        <f>ROUND($E125*$W$105*PRO_DT_WIN_E_ON,2)+ROUND($E125*(1-$W$105)*PRO_DT_WIN_E_OFF,2)+ROUND($D125*'Rate DT-Sec'!$J$47,2)+ROUND($D125*$Y$105*PRO_DT_WIN_PEAK,2)+ROUND($D125*(1-$Y$105)*PRO_DT_WIN_PK_OFF,2)+PRO_DT_SEC_CST3</f>
        <v>84382.04</v>
      </c>
      <c r="H125" s="3">
        <f t="shared" si="32"/>
        <v>11306.39</v>
      </c>
      <c r="I125" s="138">
        <f t="shared" si="33"/>
        <v>15.5</v>
      </c>
      <c r="J125" s="138"/>
      <c r="K125" s="3">
        <f t="shared" si="34"/>
        <v>3012.95</v>
      </c>
      <c r="L125" s="3">
        <f t="shared" si="35"/>
        <v>3026.59</v>
      </c>
      <c r="M125" s="3">
        <f t="shared" si="36"/>
        <v>313.27999999999997</v>
      </c>
      <c r="N125" s="3">
        <f t="shared" si="37"/>
        <v>324.02999999999997</v>
      </c>
      <c r="O125" s="3">
        <f t="shared" si="38"/>
        <v>2138.4</v>
      </c>
      <c r="P125" s="3">
        <f t="shared" si="40"/>
        <v>81566.869999999981</v>
      </c>
      <c r="Q125" s="3">
        <f t="shared" si="41"/>
        <v>92884.00999999998</v>
      </c>
      <c r="R125" s="138">
        <f t="shared" si="39"/>
        <v>13.900000000000002</v>
      </c>
    </row>
    <row r="127" spans="1:18" ht="15.6" x14ac:dyDescent="0.3">
      <c r="C127" s="99" t="str">
        <f>"(1) REFLECTS FUEL ADJUSTMENT COMPONENT (FAC) OF "&amp;TEXT(CUR_FAC,"$0.000000;($0.000000)")&amp;" PER KWH."</f>
        <v>(1) REFLECTS FUEL ADJUSTMENT COMPONENT (FAC) OF $0.003487 PER KWH.</v>
      </c>
    </row>
    <row r="128" spans="1:18" ht="15.6" x14ac:dyDescent="0.3">
      <c r="C128" s="99" t="str">
        <f>"(2) RIDER DSMR "&amp;TEXT(DSM_DIST,"$0.000000;($0.000000)")&amp;" PER KWH."</f>
        <v>(2) RIDER DSMR $0.003503 PER KWH.</v>
      </c>
    </row>
    <row r="129" spans="1:18" ht="15.6" x14ac:dyDescent="0.3">
      <c r="A129" s="339"/>
      <c r="C129" s="99" t="str">
        <f>"(3) RIDER ESM "&amp;TEXT(CUR_ESM_NonRes,"#0.00%")&amp;"  OF TOTAL CURRENT BILL."</f>
        <v>(3) RIDER ESM 0.64%  OF TOTAL CURRENT BILL.</v>
      </c>
    </row>
    <row r="130" spans="1:18" ht="15.6" x14ac:dyDescent="0.3">
      <c r="A130" s="339"/>
      <c r="C130" s="99" t="str">
        <f>"(4) RIDER PSM "&amp;TEXT(RS_PSM,"$0.000000;($0.000000)")&amp;"  PER KWH."</f>
        <v>(4) RIDER PSM $0.002475  PER KWH.</v>
      </c>
    </row>
    <row r="131" spans="1:18" ht="15.6" x14ac:dyDescent="0.3">
      <c r="A131" s="339"/>
      <c r="C131" s="99" t="str">
        <f>"(5) REFLECTS FUEL COST RECOVERY INCLUDED IN BASE RATES OF "&amp;TEXT(CUR_BASE_FUEL,"$0.000000;($0.000000)")&amp;"  PER KWH AND THREE PHASE SECONDARY SERVICE."</f>
        <v>(5) REFLECTS FUEL COST RECOVERY INCLUDED IN BASE RATES OF $0.033780  PER KWH AND THREE PHASE SECONDARY SERVICE.</v>
      </c>
    </row>
    <row r="132" spans="1:18" ht="15.6" x14ac:dyDescent="0.3">
      <c r="A132" s="339"/>
      <c r="C132" s="99" t="str">
        <f>"(6) DEMAND AND ENERGY VALUES REPRESENT THE SUM OF ON AND OFF PEAK.  FOR BILL CALCULATION, VALUES ARE SPLIT USING THE RATIO OF VALUES IN SCHEDULE M-2.3."</f>
        <v>(6) DEMAND AND ENERGY VALUES REPRESENT THE SUM OF ON AND OFF PEAK.  FOR BILL CALCULATION, VALUES ARE SPLIT USING THE RATIO OF VALUES IN SCHEDULE M-2.3.</v>
      </c>
    </row>
    <row r="133" spans="1:18" ht="15.6" x14ac:dyDescent="0.3">
      <c r="A133" s="339"/>
      <c r="C133" s="99" t="str">
        <f>"(7) RIDER ESM "&amp;TEXT(PRO_ESM_NONRES,"#0.00%")&amp;"  OF TOTAL PROPOSED BILL."</f>
        <v>(7) RIDER ESM 0.54%  OF TOTAL PROPOSED BILL.</v>
      </c>
    </row>
    <row r="134" spans="1:18" ht="15.6" x14ac:dyDescent="0.3">
      <c r="A134" s="97" t="str">
        <f>NAME</f>
        <v>DUKE ENERGY KENTUCKY, INC.</v>
      </c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</row>
    <row r="135" spans="1:18" ht="15.6" x14ac:dyDescent="0.3">
      <c r="A135" s="97" t="str">
        <f>CASE_NO</f>
        <v>CASE NO.   2024-00354</v>
      </c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</row>
    <row r="136" spans="1:18" ht="15.6" x14ac:dyDescent="0.3">
      <c r="A136" s="97" t="s">
        <v>171</v>
      </c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</row>
    <row r="137" spans="1:18" ht="15.6" x14ac:dyDescent="0.3">
      <c r="A137" s="97" t="str">
        <f>SERVICE</f>
        <v>(ELECTRIC SERVICE)</v>
      </c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</row>
    <row r="138" spans="1:18" ht="15.6" x14ac:dyDescent="0.3">
      <c r="A138" s="99"/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</row>
    <row r="139" spans="1:18" ht="15.6" x14ac:dyDescent="0.3">
      <c r="A139" s="98" t="str">
        <f>DATA_PERIOD</f>
        <v>DATA: __X__ BASE PERIOD   ____FORECASTED PERIOD</v>
      </c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9" t="s">
        <v>172</v>
      </c>
      <c r="R139" s="98"/>
    </row>
    <row r="140" spans="1:18" ht="15.6" x14ac:dyDescent="0.3">
      <c r="A140" s="98" t="str">
        <f>TYPE</f>
        <v>TYPE OF FILING: _X_ ORIGINAL   ___UPDATED  ___ REVISED</v>
      </c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9" t="s">
        <v>180</v>
      </c>
      <c r="R140" s="98"/>
    </row>
    <row r="141" spans="1:18" ht="15.6" x14ac:dyDescent="0.3">
      <c r="A141" s="99" t="s">
        <v>100</v>
      </c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9" t="s">
        <v>3</v>
      </c>
      <c r="R141" s="98"/>
    </row>
    <row r="142" spans="1:18" ht="16.5" customHeight="1" x14ac:dyDescent="0.3">
      <c r="A142" s="134" t="str">
        <f>TIME</f>
        <v>6 Months Actual and 6 Months Projected with Riders</v>
      </c>
      <c r="B142" s="98"/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 t="str">
        <f>WIT</f>
        <v>B. L. Sailers</v>
      </c>
      <c r="R142" s="98"/>
    </row>
    <row r="143" spans="1:18" ht="15.6" x14ac:dyDescent="0.3">
      <c r="A143" s="355" t="s">
        <v>424</v>
      </c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</row>
    <row r="144" spans="1:18" ht="15.6" x14ac:dyDescent="0.3">
      <c r="A144" s="100"/>
      <c r="B144" s="100"/>
      <c r="C144" s="100"/>
      <c r="D144" s="100"/>
      <c r="E144" s="100"/>
      <c r="F144" s="100"/>
      <c r="G144" s="100"/>
      <c r="H144" s="100"/>
      <c r="I144" s="100"/>
      <c r="J144" s="100"/>
      <c r="K144" s="100"/>
      <c r="L144" s="100"/>
      <c r="M144" s="100"/>
      <c r="N144" s="100"/>
      <c r="O144" s="100"/>
      <c r="P144" s="100"/>
      <c r="Q144" s="100"/>
      <c r="R144" s="100"/>
    </row>
    <row r="145" spans="1:18" ht="15.6" x14ac:dyDescent="0.3">
      <c r="A145" s="98"/>
      <c r="B145" s="98"/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</row>
    <row r="146" spans="1:18" ht="15.6" x14ac:dyDescent="0.3">
      <c r="A146" s="98"/>
      <c r="B146" s="98"/>
      <c r="C146" s="98"/>
      <c r="D146" s="98"/>
      <c r="E146" s="98"/>
      <c r="F146" s="8" t="s">
        <v>374</v>
      </c>
      <c r="G146" s="8"/>
      <c r="H146" s="8"/>
      <c r="I146" s="8"/>
      <c r="J146" s="97"/>
      <c r="K146" s="354" t="s">
        <v>357</v>
      </c>
      <c r="L146" s="354"/>
      <c r="M146" s="354"/>
      <c r="N146" s="354"/>
      <c r="O146" s="354"/>
      <c r="P146" s="102" t="s">
        <v>11</v>
      </c>
      <c r="Q146" s="102" t="s">
        <v>11</v>
      </c>
      <c r="R146" s="98"/>
    </row>
    <row r="147" spans="1:18" ht="17.100000000000001" customHeight="1" x14ac:dyDescent="0.3">
      <c r="A147" s="98"/>
      <c r="B147" s="98"/>
      <c r="C147" s="98"/>
      <c r="D147" s="102" t="s">
        <v>101</v>
      </c>
      <c r="E147" s="102" t="s">
        <v>101</v>
      </c>
      <c r="F147" s="98"/>
      <c r="G147" s="98"/>
      <c r="H147" s="102" t="s">
        <v>102</v>
      </c>
      <c r="I147" s="102" t="s">
        <v>103</v>
      </c>
      <c r="J147" s="102"/>
      <c r="K147" s="98"/>
      <c r="L147" s="98"/>
      <c r="O147" s="98"/>
      <c r="P147" s="102" t="s">
        <v>8</v>
      </c>
      <c r="Q147" s="102" t="s">
        <v>6</v>
      </c>
      <c r="R147" s="102" t="s">
        <v>103</v>
      </c>
    </row>
    <row r="148" spans="1:18" ht="15.6" x14ac:dyDescent="0.3">
      <c r="A148" s="98"/>
      <c r="B148" s="98"/>
      <c r="C148" s="98"/>
      <c r="D148" s="102" t="s">
        <v>104</v>
      </c>
      <c r="E148" s="102" t="s">
        <v>104</v>
      </c>
      <c r="F148" s="102" t="s">
        <v>8</v>
      </c>
      <c r="G148" s="102" t="s">
        <v>6</v>
      </c>
      <c r="H148" s="102" t="s">
        <v>105</v>
      </c>
      <c r="I148" s="102" t="s">
        <v>105</v>
      </c>
      <c r="J148" s="102"/>
      <c r="K148" s="102" t="s">
        <v>252</v>
      </c>
      <c r="L148" s="102" t="s">
        <v>252</v>
      </c>
      <c r="M148" s="102" t="s">
        <v>252</v>
      </c>
      <c r="N148" s="102" t="s">
        <v>252</v>
      </c>
      <c r="O148" s="102" t="s">
        <v>252</v>
      </c>
      <c r="P148" s="102" t="s">
        <v>106</v>
      </c>
      <c r="Q148" s="102" t="s">
        <v>106</v>
      </c>
      <c r="R148" s="102" t="s">
        <v>105</v>
      </c>
    </row>
    <row r="149" spans="1:18" ht="15.6" x14ac:dyDescent="0.3">
      <c r="A149" s="102" t="s">
        <v>17</v>
      </c>
      <c r="B149" s="98"/>
      <c r="C149" s="99" t="s">
        <v>18</v>
      </c>
      <c r="D149" s="102" t="s">
        <v>108</v>
      </c>
      <c r="E149" s="102" t="s">
        <v>109</v>
      </c>
      <c r="F149" s="103" t="s">
        <v>582</v>
      </c>
      <c r="G149" s="103" t="s">
        <v>582</v>
      </c>
      <c r="H149" s="131" t="s">
        <v>110</v>
      </c>
      <c r="I149" s="131" t="s">
        <v>111</v>
      </c>
      <c r="J149" s="102"/>
      <c r="K149" s="102" t="s">
        <v>355</v>
      </c>
      <c r="L149" s="103" t="s">
        <v>255</v>
      </c>
      <c r="M149" s="103" t="s">
        <v>532</v>
      </c>
      <c r="N149" s="103" t="s">
        <v>777</v>
      </c>
      <c r="O149" s="103" t="s">
        <v>583</v>
      </c>
      <c r="P149" s="146" t="s">
        <v>775</v>
      </c>
      <c r="Q149" s="146" t="s">
        <v>776</v>
      </c>
      <c r="R149" s="146" t="s">
        <v>712</v>
      </c>
    </row>
    <row r="150" spans="1:18" ht="15.6" x14ac:dyDescent="0.3">
      <c r="A150" s="262" t="s">
        <v>22</v>
      </c>
      <c r="B150" s="104"/>
      <c r="C150" s="338" t="s">
        <v>23</v>
      </c>
      <c r="D150" s="340" t="s">
        <v>33</v>
      </c>
      <c r="E150" s="340" t="s">
        <v>34</v>
      </c>
      <c r="F150" s="340" t="s">
        <v>35</v>
      </c>
      <c r="G150" s="340" t="s">
        <v>36</v>
      </c>
      <c r="H150" s="340" t="s">
        <v>37</v>
      </c>
      <c r="I150" s="340" t="s">
        <v>38</v>
      </c>
      <c r="J150" s="340"/>
      <c r="K150" s="340" t="s">
        <v>39</v>
      </c>
      <c r="L150" s="340" t="s">
        <v>40</v>
      </c>
      <c r="M150" s="128" t="s">
        <v>772</v>
      </c>
      <c r="N150" s="128" t="s">
        <v>773</v>
      </c>
      <c r="O150" s="127" t="s">
        <v>42</v>
      </c>
      <c r="P150" s="127" t="s">
        <v>43</v>
      </c>
      <c r="Q150" s="127" t="s">
        <v>44</v>
      </c>
      <c r="R150" s="127" t="s">
        <v>45</v>
      </c>
    </row>
    <row r="151" spans="1:18" ht="15.6" x14ac:dyDescent="0.3">
      <c r="A151" s="98"/>
      <c r="B151" s="98"/>
      <c r="C151" s="98"/>
      <c r="D151" s="166" t="s">
        <v>117</v>
      </c>
      <c r="E151" s="166" t="s">
        <v>49</v>
      </c>
      <c r="F151" s="166" t="s">
        <v>50</v>
      </c>
      <c r="G151" s="166" t="s">
        <v>50</v>
      </c>
      <c r="H151" s="166" t="s">
        <v>50</v>
      </c>
      <c r="I151" s="166" t="s">
        <v>51</v>
      </c>
      <c r="J151" s="166"/>
      <c r="K151" s="166" t="s">
        <v>50</v>
      </c>
      <c r="L151" s="166" t="s">
        <v>50</v>
      </c>
      <c r="M151" s="166" t="s">
        <v>50</v>
      </c>
      <c r="N151" s="166" t="s">
        <v>50</v>
      </c>
      <c r="O151" s="166" t="s">
        <v>50</v>
      </c>
      <c r="P151" s="166" t="s">
        <v>50</v>
      </c>
      <c r="Q151" s="166" t="s">
        <v>50</v>
      </c>
      <c r="R151" s="166" t="s">
        <v>51</v>
      </c>
    </row>
    <row r="152" spans="1:18" ht="15.6" x14ac:dyDescent="0.3">
      <c r="A152" s="1">
        <v>1</v>
      </c>
      <c r="C152" s="99" t="s">
        <v>92</v>
      </c>
      <c r="D152" s="1">
        <v>100</v>
      </c>
      <c r="E152" s="106">
        <v>14400</v>
      </c>
      <c r="F152" s="3">
        <f t="shared" ref="F152:F175" si="42">IF($E152&gt;($D152*300),((($D152*300)*CUR_DP_KWH1)+(($E152-($D152*300))*CUR_DP_KWH2)+($D152*CUR_DP_DEMAND)+CUR_DP_CST),(($E152*CUR_DP_KWH1)+($D152*CUR_DP_DEMAND)+CUR_DP_CST))</f>
        <v>2097.4928</v>
      </c>
      <c r="G152" s="3">
        <f t="shared" ref="G152:G175" si="43">IF($E152&gt;($D152*300),((($D152*300)*PRO_DP_KWH1)+(($E152-($D152*300))*PRO_DP_KWH2)+($D152*PRO_DP_DEMAND)+PRO_DP_CST),(($E152*PRO_DP_KWH1)+($D152*PRO_DP_DEMAND)+PRO_DP_CST))</f>
        <v>2231.6336000000001</v>
      </c>
      <c r="H152" s="3">
        <f t="shared" ref="H152:H175" si="44">G152-F152</f>
        <v>134.14080000000013</v>
      </c>
      <c r="I152" s="138">
        <f t="shared" ref="I152:I175" si="45">ROUND(H152/F152,3)*100</f>
        <v>6.4</v>
      </c>
      <c r="J152" s="3"/>
      <c r="K152" s="3">
        <f t="shared" ref="K152:K175" si="46">ROUND(E152*CUR_FAC,2)</f>
        <v>50.22</v>
      </c>
      <c r="L152" s="3">
        <f t="shared" ref="L152:L175" si="47">ROUND(E152*DSM_DIST,2)</f>
        <v>50.44</v>
      </c>
      <c r="M152" s="3">
        <f t="shared" ref="M152:M175" si="48">ROUND((F152+$L152+$O152-PRO_BASE_FUEL*$E152)*CUR_ESM_NonRes,2)</f>
        <v>10.84</v>
      </c>
      <c r="N152" s="3">
        <f t="shared" ref="N152:N175" si="49">ROUND((G152+$L152+$O152-PRO_BASE_FUEL*$E152)*PRO_ESM_NONRES,2)</f>
        <v>9.83</v>
      </c>
      <c r="O152" s="3">
        <f t="shared" ref="O152:O175" si="50">ROUND(E152*RS_PSM,2)</f>
        <v>35.64</v>
      </c>
      <c r="P152" s="3">
        <f t="shared" ref="P152:P175" si="51">F152+K152+L152+M152+O152</f>
        <v>2244.6327999999999</v>
      </c>
      <c r="Q152" s="3">
        <f>G152+K152+L152+N152+O152</f>
        <v>2377.7635999999998</v>
      </c>
      <c r="R152" s="175">
        <f>ROUND((Q152-P152)/P152,3)*100</f>
        <v>5.8999999999999995</v>
      </c>
    </row>
    <row r="153" spans="1:18" x14ac:dyDescent="0.25">
      <c r="A153" s="1">
        <v>2</v>
      </c>
      <c r="D153" s="1">
        <v>100</v>
      </c>
      <c r="E153" s="106">
        <v>28800</v>
      </c>
      <c r="F153" s="3">
        <f t="shared" si="42"/>
        <v>3127.9856</v>
      </c>
      <c r="G153" s="3">
        <f t="shared" si="43"/>
        <v>3330.2672000000002</v>
      </c>
      <c r="H153" s="3">
        <f t="shared" si="44"/>
        <v>202.28160000000025</v>
      </c>
      <c r="I153" s="138">
        <f t="shared" si="45"/>
        <v>6.5</v>
      </c>
      <c r="J153" s="3"/>
      <c r="K153" s="3">
        <f t="shared" si="46"/>
        <v>100.43</v>
      </c>
      <c r="L153" s="3">
        <f t="shared" si="47"/>
        <v>100.89</v>
      </c>
      <c r="M153" s="3">
        <f t="shared" si="48"/>
        <v>14.86</v>
      </c>
      <c r="N153" s="3">
        <f t="shared" si="49"/>
        <v>13.58</v>
      </c>
      <c r="O153" s="3">
        <f t="shared" si="50"/>
        <v>71.28</v>
      </c>
      <c r="P153" s="3">
        <f t="shared" si="51"/>
        <v>3415.4456</v>
      </c>
      <c r="Q153" s="3">
        <f t="shared" ref="Q153:Q175" si="52">G153+K153+L153+N153+O153</f>
        <v>3616.4472000000001</v>
      </c>
      <c r="R153" s="175">
        <f t="shared" ref="R153:R175" si="53">ROUND((Q153-P153)/P153,3)*100</f>
        <v>5.8999999999999995</v>
      </c>
    </row>
    <row r="154" spans="1:18" x14ac:dyDescent="0.25">
      <c r="A154" s="1">
        <v>3</v>
      </c>
      <c r="D154" s="1">
        <v>100</v>
      </c>
      <c r="E154" s="106">
        <v>43200</v>
      </c>
      <c r="F154" s="3">
        <f t="shared" si="42"/>
        <v>4033.1576</v>
      </c>
      <c r="G154" s="3">
        <f t="shared" si="43"/>
        <v>4294.4984000000004</v>
      </c>
      <c r="H154" s="3">
        <f t="shared" si="44"/>
        <v>261.3408000000004</v>
      </c>
      <c r="I154" s="138">
        <f t="shared" si="45"/>
        <v>6.5</v>
      </c>
      <c r="J154" s="3"/>
      <c r="K154" s="3">
        <f t="shared" si="46"/>
        <v>150.65</v>
      </c>
      <c r="L154" s="3">
        <f t="shared" si="47"/>
        <v>151.33000000000001</v>
      </c>
      <c r="M154" s="3">
        <f t="shared" si="48"/>
        <v>18.09</v>
      </c>
      <c r="N154" s="3">
        <f t="shared" si="49"/>
        <v>16.61</v>
      </c>
      <c r="O154" s="3">
        <f t="shared" si="50"/>
        <v>106.92</v>
      </c>
      <c r="P154" s="3">
        <f t="shared" si="51"/>
        <v>4460.1476000000002</v>
      </c>
      <c r="Q154" s="3">
        <f t="shared" si="52"/>
        <v>4720.0083999999997</v>
      </c>
      <c r="R154" s="175">
        <f t="shared" si="53"/>
        <v>5.8000000000000007</v>
      </c>
    </row>
    <row r="155" spans="1:18" x14ac:dyDescent="0.25">
      <c r="A155" s="1">
        <v>4</v>
      </c>
      <c r="D155" s="1">
        <v>200</v>
      </c>
      <c r="E155" s="106">
        <v>28800</v>
      </c>
      <c r="F155" s="3">
        <f t="shared" si="42"/>
        <v>4077.9856</v>
      </c>
      <c r="G155" s="3">
        <f t="shared" si="43"/>
        <v>4343.2672000000002</v>
      </c>
      <c r="H155" s="3">
        <f t="shared" si="44"/>
        <v>265.28160000000025</v>
      </c>
      <c r="I155" s="138">
        <f t="shared" si="45"/>
        <v>6.5</v>
      </c>
      <c r="J155" s="3"/>
      <c r="K155" s="3">
        <f t="shared" si="46"/>
        <v>100.43</v>
      </c>
      <c r="L155" s="3">
        <f t="shared" si="47"/>
        <v>100.89</v>
      </c>
      <c r="M155" s="3">
        <f t="shared" si="48"/>
        <v>20.93</v>
      </c>
      <c r="N155" s="3">
        <f t="shared" si="49"/>
        <v>19.02</v>
      </c>
      <c r="O155" s="3">
        <f t="shared" si="50"/>
        <v>71.28</v>
      </c>
      <c r="P155" s="3">
        <f t="shared" si="51"/>
        <v>4371.5156000000006</v>
      </c>
      <c r="Q155" s="3">
        <f t="shared" si="52"/>
        <v>4634.887200000001</v>
      </c>
      <c r="R155" s="175">
        <f t="shared" si="53"/>
        <v>6</v>
      </c>
    </row>
    <row r="156" spans="1:18" x14ac:dyDescent="0.25">
      <c r="A156" s="1">
        <v>5</v>
      </c>
      <c r="D156" s="1">
        <v>200</v>
      </c>
      <c r="E156" s="106">
        <v>57600</v>
      </c>
      <c r="F156" s="3">
        <f t="shared" si="42"/>
        <v>6138.9712</v>
      </c>
      <c r="G156" s="3">
        <f t="shared" si="43"/>
        <v>6540.5344000000005</v>
      </c>
      <c r="H156" s="3">
        <f t="shared" si="44"/>
        <v>401.56320000000051</v>
      </c>
      <c r="I156" s="138">
        <f t="shared" si="45"/>
        <v>6.5</v>
      </c>
      <c r="J156" s="3"/>
      <c r="K156" s="3">
        <f t="shared" si="46"/>
        <v>200.86</v>
      </c>
      <c r="L156" s="3">
        <f t="shared" si="47"/>
        <v>201.77</v>
      </c>
      <c r="M156" s="3">
        <f t="shared" si="48"/>
        <v>28.98</v>
      </c>
      <c r="N156" s="3">
        <f t="shared" si="49"/>
        <v>26.51</v>
      </c>
      <c r="O156" s="3">
        <f t="shared" si="50"/>
        <v>142.56</v>
      </c>
      <c r="P156" s="3">
        <f t="shared" si="51"/>
        <v>6713.1412</v>
      </c>
      <c r="Q156" s="3">
        <f t="shared" si="52"/>
        <v>7112.2344000000012</v>
      </c>
      <c r="R156" s="175">
        <f t="shared" si="53"/>
        <v>5.8999999999999995</v>
      </c>
    </row>
    <row r="157" spans="1:18" x14ac:dyDescent="0.25">
      <c r="A157" s="1">
        <v>6</v>
      </c>
      <c r="D157" s="1">
        <v>200</v>
      </c>
      <c r="E157" s="106">
        <v>86400</v>
      </c>
      <c r="F157" s="3">
        <f t="shared" si="42"/>
        <v>7949.3152</v>
      </c>
      <c r="G157" s="3">
        <f t="shared" si="43"/>
        <v>8468.9968000000008</v>
      </c>
      <c r="H157" s="3">
        <f t="shared" si="44"/>
        <v>519.6816000000008</v>
      </c>
      <c r="I157" s="138">
        <f t="shared" si="45"/>
        <v>6.5</v>
      </c>
      <c r="J157" s="3"/>
      <c r="K157" s="3">
        <f t="shared" si="46"/>
        <v>301.3</v>
      </c>
      <c r="L157" s="3">
        <f t="shared" si="47"/>
        <v>302.66000000000003</v>
      </c>
      <c r="M157" s="3">
        <f t="shared" si="48"/>
        <v>35.43</v>
      </c>
      <c r="N157" s="3">
        <f t="shared" si="49"/>
        <v>32.57</v>
      </c>
      <c r="O157" s="3">
        <f t="shared" si="50"/>
        <v>213.84</v>
      </c>
      <c r="P157" s="3">
        <f t="shared" si="51"/>
        <v>8802.5452000000005</v>
      </c>
      <c r="Q157" s="3">
        <f t="shared" si="52"/>
        <v>9319.3667999999998</v>
      </c>
      <c r="R157" s="175">
        <f t="shared" si="53"/>
        <v>5.8999999999999995</v>
      </c>
    </row>
    <row r="158" spans="1:18" x14ac:dyDescent="0.25">
      <c r="A158" s="1">
        <v>7</v>
      </c>
      <c r="D158" s="1">
        <v>300</v>
      </c>
      <c r="E158" s="106">
        <v>43200</v>
      </c>
      <c r="F158" s="3">
        <f t="shared" si="42"/>
        <v>6058.4784</v>
      </c>
      <c r="G158" s="3">
        <f t="shared" si="43"/>
        <v>6454.9008000000003</v>
      </c>
      <c r="H158" s="3">
        <f t="shared" si="44"/>
        <v>396.42240000000038</v>
      </c>
      <c r="I158" s="138">
        <f t="shared" si="45"/>
        <v>6.5</v>
      </c>
      <c r="J158" s="3"/>
      <c r="K158" s="3">
        <f t="shared" si="46"/>
        <v>150.65</v>
      </c>
      <c r="L158" s="3">
        <f t="shared" si="47"/>
        <v>151.33000000000001</v>
      </c>
      <c r="M158" s="3">
        <f t="shared" si="48"/>
        <v>31.02</v>
      </c>
      <c r="N158" s="3">
        <f t="shared" si="49"/>
        <v>28.2</v>
      </c>
      <c r="O158" s="3">
        <f t="shared" si="50"/>
        <v>106.92</v>
      </c>
      <c r="P158" s="3">
        <f t="shared" si="51"/>
        <v>6498.3984</v>
      </c>
      <c r="Q158" s="3">
        <f t="shared" si="52"/>
        <v>6892.0007999999998</v>
      </c>
      <c r="R158" s="175">
        <f t="shared" si="53"/>
        <v>6.1</v>
      </c>
    </row>
    <row r="159" spans="1:18" x14ac:dyDescent="0.25">
      <c r="A159" s="1">
        <v>8</v>
      </c>
      <c r="D159" s="1">
        <v>300</v>
      </c>
      <c r="E159" s="106">
        <v>86400</v>
      </c>
      <c r="F159" s="3">
        <f t="shared" si="42"/>
        <v>9149.9567999999999</v>
      </c>
      <c r="G159" s="3">
        <f t="shared" si="43"/>
        <v>9750.8016000000007</v>
      </c>
      <c r="H159" s="3">
        <f t="shared" si="44"/>
        <v>600.84480000000076</v>
      </c>
      <c r="I159" s="138">
        <f t="shared" si="45"/>
        <v>6.6000000000000005</v>
      </c>
      <c r="J159" s="3"/>
      <c r="K159" s="3">
        <f t="shared" si="46"/>
        <v>301.3</v>
      </c>
      <c r="L159" s="3">
        <f t="shared" si="47"/>
        <v>302.66000000000003</v>
      </c>
      <c r="M159" s="3">
        <f t="shared" si="48"/>
        <v>43.09</v>
      </c>
      <c r="N159" s="3">
        <f t="shared" si="49"/>
        <v>39.450000000000003</v>
      </c>
      <c r="O159" s="3">
        <f t="shared" si="50"/>
        <v>213.84</v>
      </c>
      <c r="P159" s="3">
        <f t="shared" si="51"/>
        <v>10010.846799999999</v>
      </c>
      <c r="Q159" s="3">
        <f t="shared" si="52"/>
        <v>10608.051600000001</v>
      </c>
      <c r="R159" s="175">
        <f t="shared" si="53"/>
        <v>6</v>
      </c>
    </row>
    <row r="160" spans="1:18" x14ac:dyDescent="0.25">
      <c r="A160" s="1">
        <v>9</v>
      </c>
      <c r="D160" s="1">
        <v>300</v>
      </c>
      <c r="E160" s="106">
        <v>129600</v>
      </c>
      <c r="F160" s="3">
        <f t="shared" si="42"/>
        <v>11865.4728</v>
      </c>
      <c r="G160" s="3">
        <f t="shared" si="43"/>
        <v>12643.495199999999</v>
      </c>
      <c r="H160" s="3">
        <f t="shared" si="44"/>
        <v>778.02239999999983</v>
      </c>
      <c r="I160" s="138">
        <f t="shared" si="45"/>
        <v>6.6000000000000005</v>
      </c>
      <c r="J160" s="3"/>
      <c r="K160" s="3">
        <f t="shared" si="46"/>
        <v>451.94</v>
      </c>
      <c r="L160" s="3">
        <f t="shared" si="47"/>
        <v>453.99</v>
      </c>
      <c r="M160" s="3">
        <f t="shared" si="48"/>
        <v>52.77</v>
      </c>
      <c r="N160" s="3">
        <f t="shared" si="49"/>
        <v>48.53</v>
      </c>
      <c r="O160" s="3">
        <f t="shared" si="50"/>
        <v>320.76</v>
      </c>
      <c r="P160" s="3">
        <f t="shared" si="51"/>
        <v>13144.9328</v>
      </c>
      <c r="Q160" s="3">
        <f t="shared" si="52"/>
        <v>13918.715200000001</v>
      </c>
      <c r="R160" s="175">
        <f t="shared" si="53"/>
        <v>5.8999999999999995</v>
      </c>
    </row>
    <row r="161" spans="1:18" x14ac:dyDescent="0.25">
      <c r="A161" s="1">
        <v>10</v>
      </c>
      <c r="D161" s="1">
        <v>500</v>
      </c>
      <c r="E161" s="106">
        <v>72000</v>
      </c>
      <c r="F161" s="3">
        <f t="shared" si="42"/>
        <v>10019.464</v>
      </c>
      <c r="G161" s="3">
        <f t="shared" si="43"/>
        <v>10678.168</v>
      </c>
      <c r="H161" s="3">
        <f t="shared" si="44"/>
        <v>658.70399999999972</v>
      </c>
      <c r="I161" s="138">
        <f t="shared" si="45"/>
        <v>6.6000000000000005</v>
      </c>
      <c r="J161" s="3"/>
      <c r="K161" s="3">
        <f t="shared" si="46"/>
        <v>251.08</v>
      </c>
      <c r="L161" s="3">
        <f t="shared" si="47"/>
        <v>252.22</v>
      </c>
      <c r="M161" s="3">
        <f t="shared" si="48"/>
        <v>51.2</v>
      </c>
      <c r="N161" s="3">
        <f t="shared" si="49"/>
        <v>46.58</v>
      </c>
      <c r="O161" s="3">
        <f t="shared" si="50"/>
        <v>178.2</v>
      </c>
      <c r="P161" s="3">
        <f t="shared" si="51"/>
        <v>10752.164000000001</v>
      </c>
      <c r="Q161" s="3">
        <f t="shared" si="52"/>
        <v>11406.248</v>
      </c>
      <c r="R161" s="175">
        <f t="shared" si="53"/>
        <v>6.1</v>
      </c>
    </row>
    <row r="162" spans="1:18" x14ac:dyDescent="0.25">
      <c r="A162" s="1">
        <v>11</v>
      </c>
      <c r="D162" s="1">
        <v>500</v>
      </c>
      <c r="E162" s="106">
        <v>144000</v>
      </c>
      <c r="F162" s="3">
        <f t="shared" si="42"/>
        <v>15171.928</v>
      </c>
      <c r="G162" s="3">
        <f t="shared" si="43"/>
        <v>16171.335999999999</v>
      </c>
      <c r="H162" s="3">
        <f t="shared" si="44"/>
        <v>999.40799999999945</v>
      </c>
      <c r="I162" s="138">
        <f t="shared" si="45"/>
        <v>6.6000000000000005</v>
      </c>
      <c r="J162" s="3"/>
      <c r="K162" s="3">
        <f t="shared" si="46"/>
        <v>502.16</v>
      </c>
      <c r="L162" s="3">
        <f t="shared" si="47"/>
        <v>504.43</v>
      </c>
      <c r="M162" s="3">
        <f t="shared" si="48"/>
        <v>71.33</v>
      </c>
      <c r="N162" s="3">
        <f t="shared" si="49"/>
        <v>65.319999999999993</v>
      </c>
      <c r="O162" s="3">
        <f t="shared" si="50"/>
        <v>356.4</v>
      </c>
      <c r="P162" s="3">
        <f t="shared" si="51"/>
        <v>16606.248</v>
      </c>
      <c r="Q162" s="3">
        <f t="shared" si="52"/>
        <v>17599.646000000001</v>
      </c>
      <c r="R162" s="175">
        <f t="shared" si="53"/>
        <v>6</v>
      </c>
    </row>
    <row r="163" spans="1:18" x14ac:dyDescent="0.25">
      <c r="A163" s="1">
        <v>12</v>
      </c>
      <c r="D163" s="1">
        <v>500</v>
      </c>
      <c r="E163" s="106">
        <v>216000</v>
      </c>
      <c r="F163" s="3">
        <f t="shared" si="42"/>
        <v>19697.788</v>
      </c>
      <c r="G163" s="3">
        <f t="shared" si="43"/>
        <v>20992.491999999998</v>
      </c>
      <c r="H163" s="3">
        <f t="shared" si="44"/>
        <v>1294.7039999999979</v>
      </c>
      <c r="I163" s="138">
        <f t="shared" si="45"/>
        <v>6.6000000000000005</v>
      </c>
      <c r="J163" s="3"/>
      <c r="K163" s="3">
        <f t="shared" si="46"/>
        <v>753.24</v>
      </c>
      <c r="L163" s="3">
        <f t="shared" si="47"/>
        <v>756.65</v>
      </c>
      <c r="M163" s="3">
        <f t="shared" si="48"/>
        <v>87.44</v>
      </c>
      <c r="N163" s="3">
        <f t="shared" si="49"/>
        <v>80.45</v>
      </c>
      <c r="O163" s="3">
        <f t="shared" si="50"/>
        <v>534.6</v>
      </c>
      <c r="P163" s="3">
        <f t="shared" si="51"/>
        <v>21829.718000000001</v>
      </c>
      <c r="Q163" s="3">
        <f t="shared" si="52"/>
        <v>23117.432000000001</v>
      </c>
      <c r="R163" s="175">
        <f t="shared" si="53"/>
        <v>5.8999999999999995</v>
      </c>
    </row>
    <row r="164" spans="1:18" x14ac:dyDescent="0.25">
      <c r="A164" s="1">
        <v>13</v>
      </c>
      <c r="D164" s="1">
        <v>800</v>
      </c>
      <c r="E164" s="106">
        <v>115200</v>
      </c>
      <c r="F164" s="3">
        <f t="shared" si="42"/>
        <v>15960.9424</v>
      </c>
      <c r="G164" s="3">
        <f t="shared" si="43"/>
        <v>17013.068800000001</v>
      </c>
      <c r="H164" s="3">
        <f t="shared" si="44"/>
        <v>1052.126400000001</v>
      </c>
      <c r="I164" s="138">
        <f t="shared" si="45"/>
        <v>6.6000000000000005</v>
      </c>
      <c r="J164" s="3"/>
      <c r="K164" s="3">
        <f t="shared" si="46"/>
        <v>401.73</v>
      </c>
      <c r="L164" s="3">
        <f t="shared" si="47"/>
        <v>403.55</v>
      </c>
      <c r="M164" s="3">
        <f t="shared" si="48"/>
        <v>81.48</v>
      </c>
      <c r="N164" s="3">
        <f t="shared" si="49"/>
        <v>74.14</v>
      </c>
      <c r="O164" s="3">
        <f t="shared" si="50"/>
        <v>285.12</v>
      </c>
      <c r="P164" s="3">
        <f t="shared" si="51"/>
        <v>17132.822399999997</v>
      </c>
      <c r="Q164" s="3">
        <f t="shared" si="52"/>
        <v>18177.608799999998</v>
      </c>
      <c r="R164" s="175">
        <f t="shared" si="53"/>
        <v>6.1</v>
      </c>
    </row>
    <row r="165" spans="1:18" x14ac:dyDescent="0.25">
      <c r="A165" s="1">
        <v>14</v>
      </c>
      <c r="D165" s="1">
        <v>800</v>
      </c>
      <c r="E165" s="106">
        <v>230400</v>
      </c>
      <c r="F165" s="3">
        <f t="shared" si="42"/>
        <v>24204.8848</v>
      </c>
      <c r="G165" s="3">
        <f t="shared" si="43"/>
        <v>25802.137600000002</v>
      </c>
      <c r="H165" s="3">
        <f t="shared" si="44"/>
        <v>1597.252800000002</v>
      </c>
      <c r="I165" s="138">
        <f t="shared" si="45"/>
        <v>6.6000000000000005</v>
      </c>
      <c r="J165" s="3"/>
      <c r="K165" s="3">
        <f t="shared" si="46"/>
        <v>803.45</v>
      </c>
      <c r="L165" s="3">
        <f t="shared" si="47"/>
        <v>807.09</v>
      </c>
      <c r="M165" s="3">
        <f t="shared" si="48"/>
        <v>113.67</v>
      </c>
      <c r="N165" s="3">
        <f t="shared" si="49"/>
        <v>104.12</v>
      </c>
      <c r="O165" s="3">
        <f t="shared" si="50"/>
        <v>570.24</v>
      </c>
      <c r="P165" s="3">
        <f t="shared" si="51"/>
        <v>26499.334800000001</v>
      </c>
      <c r="Q165" s="3">
        <f t="shared" si="52"/>
        <v>28087.037600000003</v>
      </c>
      <c r="R165" s="175">
        <f t="shared" si="53"/>
        <v>6</v>
      </c>
    </row>
    <row r="166" spans="1:18" x14ac:dyDescent="0.25">
      <c r="A166" s="1">
        <v>15</v>
      </c>
      <c r="D166" s="1">
        <v>800</v>
      </c>
      <c r="E166" s="106">
        <v>345600</v>
      </c>
      <c r="F166" s="3">
        <f t="shared" si="42"/>
        <v>31446.2608</v>
      </c>
      <c r="G166" s="3">
        <f t="shared" si="43"/>
        <v>33515.987200000003</v>
      </c>
      <c r="H166" s="3">
        <f t="shared" si="44"/>
        <v>2069.7264000000032</v>
      </c>
      <c r="I166" s="138">
        <f t="shared" si="45"/>
        <v>6.6000000000000005</v>
      </c>
      <c r="J166" s="3"/>
      <c r="K166" s="3">
        <f t="shared" si="46"/>
        <v>1205.18</v>
      </c>
      <c r="L166" s="3">
        <f t="shared" si="47"/>
        <v>1210.6400000000001</v>
      </c>
      <c r="M166" s="3">
        <f t="shared" si="48"/>
        <v>139.46</v>
      </c>
      <c r="N166" s="3">
        <f t="shared" si="49"/>
        <v>128.34</v>
      </c>
      <c r="O166" s="3">
        <f t="shared" si="50"/>
        <v>855.36</v>
      </c>
      <c r="P166" s="3">
        <f t="shared" si="51"/>
        <v>34856.900800000003</v>
      </c>
      <c r="Q166" s="3">
        <f t="shared" si="52"/>
        <v>36915.5072</v>
      </c>
      <c r="R166" s="175">
        <f t="shared" si="53"/>
        <v>5.8999999999999995</v>
      </c>
    </row>
    <row r="167" spans="1:18" x14ac:dyDescent="0.25">
      <c r="A167" s="1">
        <v>16</v>
      </c>
      <c r="D167" s="1">
        <v>1000</v>
      </c>
      <c r="E167" s="106">
        <v>144000</v>
      </c>
      <c r="F167" s="3">
        <f t="shared" si="42"/>
        <v>19921.928</v>
      </c>
      <c r="G167" s="3">
        <f t="shared" si="43"/>
        <v>21236.335999999999</v>
      </c>
      <c r="H167" s="3">
        <f t="shared" si="44"/>
        <v>1314.4079999999994</v>
      </c>
      <c r="I167" s="138">
        <f t="shared" si="45"/>
        <v>6.6000000000000005</v>
      </c>
      <c r="J167" s="3"/>
      <c r="K167" s="3">
        <f t="shared" si="46"/>
        <v>502.16</v>
      </c>
      <c r="L167" s="3">
        <f t="shared" si="47"/>
        <v>504.43</v>
      </c>
      <c r="M167" s="3">
        <f t="shared" si="48"/>
        <v>101.66</v>
      </c>
      <c r="N167" s="3">
        <f t="shared" si="49"/>
        <v>92.51</v>
      </c>
      <c r="O167" s="3">
        <f t="shared" si="50"/>
        <v>356.4</v>
      </c>
      <c r="P167" s="3">
        <f t="shared" si="51"/>
        <v>21386.578000000001</v>
      </c>
      <c r="Q167" s="3">
        <f t="shared" si="52"/>
        <v>22691.835999999999</v>
      </c>
      <c r="R167" s="175">
        <f t="shared" si="53"/>
        <v>6.1</v>
      </c>
    </row>
    <row r="168" spans="1:18" x14ac:dyDescent="0.25">
      <c r="A168" s="1">
        <v>17</v>
      </c>
      <c r="D168" s="1">
        <v>1000</v>
      </c>
      <c r="E168" s="106">
        <v>288000</v>
      </c>
      <c r="F168" s="3">
        <f t="shared" si="42"/>
        <v>30226.856</v>
      </c>
      <c r="G168" s="3">
        <f t="shared" si="43"/>
        <v>32222.671999999999</v>
      </c>
      <c r="H168" s="3">
        <f t="shared" si="44"/>
        <v>1995.8159999999989</v>
      </c>
      <c r="I168" s="138">
        <f t="shared" si="45"/>
        <v>6.6000000000000005</v>
      </c>
      <c r="J168" s="3"/>
      <c r="K168" s="3">
        <f t="shared" si="46"/>
        <v>1004.32</v>
      </c>
      <c r="L168" s="3">
        <f t="shared" si="47"/>
        <v>1008.86</v>
      </c>
      <c r="M168" s="3">
        <f t="shared" si="48"/>
        <v>141.9</v>
      </c>
      <c r="N168" s="3">
        <f t="shared" si="49"/>
        <v>129.99</v>
      </c>
      <c r="O168" s="3">
        <f t="shared" si="50"/>
        <v>712.8</v>
      </c>
      <c r="P168" s="3">
        <f t="shared" si="51"/>
        <v>33094.736000000004</v>
      </c>
      <c r="Q168" s="3">
        <f t="shared" si="52"/>
        <v>35078.642</v>
      </c>
      <c r="R168" s="175">
        <f t="shared" si="53"/>
        <v>6</v>
      </c>
    </row>
    <row r="169" spans="1:18" x14ac:dyDescent="0.25">
      <c r="A169" s="1">
        <v>18</v>
      </c>
      <c r="D169" s="1">
        <v>1000</v>
      </c>
      <c r="E169" s="106">
        <v>432000</v>
      </c>
      <c r="F169" s="3">
        <f t="shared" si="42"/>
        <v>39278.576000000001</v>
      </c>
      <c r="G169" s="3">
        <f t="shared" si="43"/>
        <v>41864.983999999997</v>
      </c>
      <c r="H169" s="3">
        <f t="shared" si="44"/>
        <v>2586.4079999999958</v>
      </c>
      <c r="I169" s="138">
        <f t="shared" si="45"/>
        <v>6.6000000000000005</v>
      </c>
      <c r="J169" s="3"/>
      <c r="K169" s="3">
        <f t="shared" si="46"/>
        <v>1506.48</v>
      </c>
      <c r="L169" s="3">
        <f t="shared" si="47"/>
        <v>1513.3</v>
      </c>
      <c r="M169" s="3">
        <f t="shared" si="48"/>
        <v>174.14</v>
      </c>
      <c r="N169" s="3">
        <f t="shared" si="49"/>
        <v>160.26</v>
      </c>
      <c r="O169" s="3">
        <f t="shared" si="50"/>
        <v>1069.2</v>
      </c>
      <c r="P169" s="3">
        <f t="shared" si="51"/>
        <v>43541.696000000004</v>
      </c>
      <c r="Q169" s="3">
        <f t="shared" si="52"/>
        <v>46114.224000000002</v>
      </c>
      <c r="R169" s="175">
        <f t="shared" si="53"/>
        <v>5.8999999999999995</v>
      </c>
    </row>
    <row r="170" spans="1:18" x14ac:dyDescent="0.25">
      <c r="A170" s="1">
        <v>19</v>
      </c>
      <c r="D170" s="1">
        <v>1500</v>
      </c>
      <c r="E170" s="106">
        <v>216000</v>
      </c>
      <c r="F170" s="3">
        <f t="shared" si="42"/>
        <v>29824.392</v>
      </c>
      <c r="G170" s="3">
        <f t="shared" si="43"/>
        <v>31794.504000000001</v>
      </c>
      <c r="H170" s="3">
        <f t="shared" si="44"/>
        <v>1970.112000000001</v>
      </c>
      <c r="I170" s="138">
        <f t="shared" si="45"/>
        <v>6.6000000000000005</v>
      </c>
      <c r="J170" s="3"/>
      <c r="K170" s="3">
        <f t="shared" si="46"/>
        <v>753.24</v>
      </c>
      <c r="L170" s="3">
        <f t="shared" si="47"/>
        <v>756.65</v>
      </c>
      <c r="M170" s="3">
        <f t="shared" si="48"/>
        <v>152.12</v>
      </c>
      <c r="N170" s="3">
        <f t="shared" si="49"/>
        <v>138.44</v>
      </c>
      <c r="O170" s="3">
        <f t="shared" si="50"/>
        <v>534.6</v>
      </c>
      <c r="P170" s="3">
        <f t="shared" si="51"/>
        <v>32021.002</v>
      </c>
      <c r="Q170" s="3">
        <f t="shared" si="52"/>
        <v>33977.434000000001</v>
      </c>
      <c r="R170" s="175">
        <f t="shared" si="53"/>
        <v>6.1</v>
      </c>
    </row>
    <row r="171" spans="1:18" x14ac:dyDescent="0.25">
      <c r="A171" s="1">
        <v>20</v>
      </c>
      <c r="D171" s="1">
        <v>1500</v>
      </c>
      <c r="E171" s="106">
        <v>432000</v>
      </c>
      <c r="F171" s="3">
        <f t="shared" si="42"/>
        <v>45281.784</v>
      </c>
      <c r="G171" s="3">
        <f t="shared" si="43"/>
        <v>48274.008000000002</v>
      </c>
      <c r="H171" s="3">
        <f t="shared" si="44"/>
        <v>2992.224000000002</v>
      </c>
      <c r="I171" s="138">
        <f t="shared" si="45"/>
        <v>6.6000000000000005</v>
      </c>
      <c r="J171" s="3"/>
      <c r="K171" s="3">
        <f t="shared" si="46"/>
        <v>1506.48</v>
      </c>
      <c r="L171" s="3">
        <f t="shared" si="47"/>
        <v>1513.3</v>
      </c>
      <c r="M171" s="3">
        <f t="shared" si="48"/>
        <v>212.48</v>
      </c>
      <c r="N171" s="3">
        <f t="shared" si="49"/>
        <v>194.67</v>
      </c>
      <c r="O171" s="3">
        <f t="shared" si="50"/>
        <v>1069.2</v>
      </c>
      <c r="P171" s="3">
        <f t="shared" si="51"/>
        <v>49583.244000000006</v>
      </c>
      <c r="Q171" s="3">
        <f t="shared" si="52"/>
        <v>52557.658000000003</v>
      </c>
      <c r="R171" s="175">
        <f t="shared" si="53"/>
        <v>6</v>
      </c>
    </row>
    <row r="172" spans="1:18" x14ac:dyDescent="0.25">
      <c r="A172" s="1">
        <v>21</v>
      </c>
      <c r="D172" s="1">
        <v>1500</v>
      </c>
      <c r="E172" s="106">
        <v>648000</v>
      </c>
      <c r="F172" s="3">
        <f t="shared" si="42"/>
        <v>58859.364000000001</v>
      </c>
      <c r="G172" s="3">
        <f t="shared" si="43"/>
        <v>62737.476000000002</v>
      </c>
      <c r="H172" s="3">
        <f t="shared" si="44"/>
        <v>3878.112000000001</v>
      </c>
      <c r="I172" s="138">
        <f t="shared" si="45"/>
        <v>6.6000000000000005</v>
      </c>
      <c r="J172" s="3"/>
      <c r="K172" s="3">
        <f t="shared" si="46"/>
        <v>2259.71</v>
      </c>
      <c r="L172" s="3">
        <f t="shared" si="47"/>
        <v>2269.94</v>
      </c>
      <c r="M172" s="3">
        <f t="shared" si="48"/>
        <v>260.83999999999997</v>
      </c>
      <c r="N172" s="3">
        <f t="shared" si="49"/>
        <v>240.07</v>
      </c>
      <c r="O172" s="3">
        <f t="shared" si="50"/>
        <v>1603.8</v>
      </c>
      <c r="P172" s="3">
        <f t="shared" si="51"/>
        <v>65253.654000000002</v>
      </c>
      <c r="Q172" s="3">
        <f t="shared" si="52"/>
        <v>69110.996000000014</v>
      </c>
      <c r="R172" s="175">
        <f t="shared" si="53"/>
        <v>5.8999999999999995</v>
      </c>
    </row>
    <row r="173" spans="1:18" x14ac:dyDescent="0.25">
      <c r="A173" s="1">
        <v>22</v>
      </c>
      <c r="D173" s="1">
        <v>3000</v>
      </c>
      <c r="E173" s="106">
        <v>432000</v>
      </c>
      <c r="F173" s="3">
        <f t="shared" si="42"/>
        <v>59531.784</v>
      </c>
      <c r="G173" s="3">
        <f t="shared" si="43"/>
        <v>63469.008000000002</v>
      </c>
      <c r="H173" s="3">
        <f t="shared" si="44"/>
        <v>3937.224000000002</v>
      </c>
      <c r="I173" s="138">
        <f t="shared" si="45"/>
        <v>6.6000000000000005</v>
      </c>
      <c r="J173" s="3"/>
      <c r="K173" s="3">
        <f t="shared" si="46"/>
        <v>1506.48</v>
      </c>
      <c r="L173" s="3">
        <f t="shared" si="47"/>
        <v>1513.3</v>
      </c>
      <c r="M173" s="3">
        <f t="shared" si="48"/>
        <v>303.49</v>
      </c>
      <c r="N173" s="3">
        <f t="shared" si="49"/>
        <v>276.24</v>
      </c>
      <c r="O173" s="3">
        <f t="shared" si="50"/>
        <v>1069.2</v>
      </c>
      <c r="P173" s="3">
        <f t="shared" si="51"/>
        <v>63924.254000000001</v>
      </c>
      <c r="Q173" s="3">
        <f t="shared" si="52"/>
        <v>67834.228000000003</v>
      </c>
      <c r="R173" s="175">
        <f t="shared" si="53"/>
        <v>6.1</v>
      </c>
    </row>
    <row r="174" spans="1:18" x14ac:dyDescent="0.25">
      <c r="A174" s="1">
        <v>23</v>
      </c>
      <c r="D174" s="1">
        <v>3000</v>
      </c>
      <c r="E174" s="106">
        <v>864000</v>
      </c>
      <c r="F174" s="3">
        <f t="shared" si="42"/>
        <v>90446.567999999999</v>
      </c>
      <c r="G174" s="3">
        <f t="shared" si="43"/>
        <v>96428.016000000003</v>
      </c>
      <c r="H174" s="3">
        <f t="shared" si="44"/>
        <v>5981.448000000004</v>
      </c>
      <c r="I174" s="138">
        <f t="shared" si="45"/>
        <v>6.6000000000000005</v>
      </c>
      <c r="J174" s="3"/>
      <c r="K174" s="3">
        <f t="shared" si="46"/>
        <v>3012.95</v>
      </c>
      <c r="L174" s="3">
        <f t="shared" si="47"/>
        <v>3026.59</v>
      </c>
      <c r="M174" s="3">
        <f t="shared" si="48"/>
        <v>424.21</v>
      </c>
      <c r="N174" s="3">
        <f t="shared" si="49"/>
        <v>388.69</v>
      </c>
      <c r="O174" s="3">
        <f t="shared" si="50"/>
        <v>2138.4</v>
      </c>
      <c r="P174" s="3">
        <f t="shared" si="51"/>
        <v>99048.717999999993</v>
      </c>
      <c r="Q174" s="3">
        <f t="shared" si="52"/>
        <v>104994.64599999999</v>
      </c>
      <c r="R174" s="175">
        <f t="shared" si="53"/>
        <v>6</v>
      </c>
    </row>
    <row r="175" spans="1:18" x14ac:dyDescent="0.25">
      <c r="A175" s="1">
        <v>24</v>
      </c>
      <c r="D175" s="1">
        <v>3000</v>
      </c>
      <c r="E175" s="106">
        <v>1296000</v>
      </c>
      <c r="F175" s="3">
        <f t="shared" si="42"/>
        <v>117601.728</v>
      </c>
      <c r="G175" s="3">
        <f t="shared" si="43"/>
        <v>125354.952</v>
      </c>
      <c r="H175" s="3">
        <f t="shared" si="44"/>
        <v>7753.224000000002</v>
      </c>
      <c r="I175" s="138">
        <f t="shared" si="45"/>
        <v>6.6000000000000005</v>
      </c>
      <c r="J175" s="3"/>
      <c r="K175" s="3">
        <f t="shared" si="46"/>
        <v>4519.43</v>
      </c>
      <c r="L175" s="3">
        <f t="shared" si="47"/>
        <v>4539.8900000000003</v>
      </c>
      <c r="M175" s="3">
        <f t="shared" si="48"/>
        <v>520.92999999999995</v>
      </c>
      <c r="N175" s="3">
        <f t="shared" si="49"/>
        <v>479.51</v>
      </c>
      <c r="O175" s="3">
        <f t="shared" si="50"/>
        <v>3207.6</v>
      </c>
      <c r="P175" s="3">
        <f t="shared" si="51"/>
        <v>130389.57799999999</v>
      </c>
      <c r="Q175" s="3">
        <f t="shared" si="52"/>
        <v>138101.38200000004</v>
      </c>
      <c r="R175" s="175">
        <f t="shared" si="53"/>
        <v>5.8999999999999995</v>
      </c>
    </row>
    <row r="176" spans="1:18" x14ac:dyDescent="0.25">
      <c r="A176" s="339" t="s">
        <v>173</v>
      </c>
    </row>
    <row r="177" spans="1:18" x14ac:dyDescent="0.25">
      <c r="H177" s="3"/>
      <c r="I177" s="138"/>
      <c r="J177" s="138"/>
      <c r="K177" s="3"/>
      <c r="L177" s="3"/>
      <c r="M177" s="3"/>
      <c r="N177" s="3"/>
      <c r="O177" s="3"/>
      <c r="P177" s="3"/>
      <c r="Q177" s="3"/>
      <c r="R177" s="138"/>
    </row>
    <row r="178" spans="1:18" ht="15.6" x14ac:dyDescent="0.3">
      <c r="C178" s="99" t="str">
        <f>"(1) REFLECTS FUEL ADJUSTMENT COMPONENT (FAC) OF "&amp;TEXT(CUR_FAC,"$0.000000;($0.000000)")&amp;" PER KWH."</f>
        <v>(1) REFLECTS FUEL ADJUSTMENT COMPONENT (FAC) OF $0.003487 PER KWH.</v>
      </c>
      <c r="H178" s="3"/>
      <c r="I178" s="138"/>
      <c r="J178" s="138"/>
      <c r="K178" s="3"/>
      <c r="L178" s="3"/>
      <c r="M178" s="3"/>
      <c r="N178" s="3"/>
      <c r="O178" s="3"/>
      <c r="P178" s="3"/>
      <c r="Q178" s="3"/>
      <c r="R178" s="138"/>
    </row>
    <row r="179" spans="1:18" ht="15.6" x14ac:dyDescent="0.3">
      <c r="A179" s="339" t="s">
        <v>173</v>
      </c>
      <c r="C179" s="99" t="str">
        <f>"(2) RIDER DSMR "&amp;TEXT(DSM_DIST,"$0.000000;($0.000000)")&amp;" PER KWH."</f>
        <v>(2) RIDER DSMR $0.003503 PER KWH.</v>
      </c>
      <c r="H179" s="3"/>
      <c r="K179" s="3"/>
      <c r="L179" s="3"/>
      <c r="M179" s="3"/>
      <c r="N179" s="3"/>
      <c r="O179" s="3"/>
    </row>
    <row r="180" spans="1:18" ht="15.6" x14ac:dyDescent="0.3">
      <c r="A180" s="339"/>
      <c r="C180" s="99" t="str">
        <f>"(3) RIDER ESM "&amp;TEXT(CUR_ESM_NonRes,"#0.00%")&amp;"  OF TOTAL CURRENT BILL."</f>
        <v>(3) RIDER ESM 0.64%  OF TOTAL CURRENT BILL.</v>
      </c>
      <c r="H180" s="3"/>
      <c r="K180" s="3"/>
      <c r="L180" s="3"/>
      <c r="M180" s="3"/>
      <c r="N180" s="3"/>
      <c r="O180" s="3"/>
    </row>
    <row r="181" spans="1:18" ht="15.6" x14ac:dyDescent="0.3">
      <c r="A181" s="339"/>
      <c r="C181" s="99" t="str">
        <f>"(4) RIDER PSM "&amp;TEXT(RS_PSM,"$0.000000;($0.000000)")&amp;"  PER KWH."</f>
        <v>(4) RIDER PSM $0.002475  PER KWH.</v>
      </c>
      <c r="H181" s="3"/>
      <c r="K181" s="3"/>
      <c r="L181" s="3"/>
      <c r="M181" s="3"/>
      <c r="N181" s="3"/>
      <c r="O181" s="3"/>
    </row>
    <row r="182" spans="1:18" ht="15.6" x14ac:dyDescent="0.3">
      <c r="C182" s="99" t="str">
        <f>"(5) REFLECTS FUEL COST RECOVERY INCLUDED IN BASE RATES OF "&amp;TEXT(CUR_BASE_FUEL,"$0.000000;($0.000000)")&amp;"  PER KWH."</f>
        <v>(5) REFLECTS FUEL COST RECOVERY INCLUDED IN BASE RATES OF $0.033780  PER KWH.</v>
      </c>
    </row>
    <row r="183" spans="1:18" ht="15.6" x14ac:dyDescent="0.3">
      <c r="C183" s="99" t="str">
        <f>"(6) RIDER ESM "&amp;TEXT(PRO_ESM_NONRES,"#0.00%")&amp;"  OF TOTAL CURRENT BILL."</f>
        <v>(6) RIDER ESM 0.54%  OF TOTAL CURRENT BILL.</v>
      </c>
    </row>
    <row r="184" spans="1:18" ht="15.6" x14ac:dyDescent="0.3">
      <c r="A184" s="97" t="str">
        <f>NAME</f>
        <v>DUKE ENERGY KENTUCKY, INC.</v>
      </c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</row>
    <row r="185" spans="1:18" ht="15.6" x14ac:dyDescent="0.3">
      <c r="A185" s="97" t="str">
        <f>CASE_NO</f>
        <v>CASE NO.   2024-00354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</row>
    <row r="186" spans="1:18" ht="15.6" x14ac:dyDescent="0.3">
      <c r="A186" s="97" t="s">
        <v>171</v>
      </c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</row>
    <row r="187" spans="1:18" ht="15.6" x14ac:dyDescent="0.3">
      <c r="A187" s="97" t="str">
        <f>SERVICE</f>
        <v>(ELECTRIC SERVICE)</v>
      </c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</row>
    <row r="188" spans="1:18" ht="15.6" x14ac:dyDescent="0.3">
      <c r="A188" s="99"/>
      <c r="B188" s="98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</row>
    <row r="189" spans="1:18" ht="15.6" x14ac:dyDescent="0.3">
      <c r="A189" s="98" t="str">
        <f>DATA_PERIOD</f>
        <v>DATA: __X__ BASE PERIOD   ____FORECASTED PERIOD</v>
      </c>
      <c r="B189" s="98"/>
      <c r="C189" s="98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9" t="s">
        <v>172</v>
      </c>
      <c r="R189" s="98"/>
    </row>
    <row r="190" spans="1:18" ht="15.6" x14ac:dyDescent="0.3">
      <c r="A190" s="98" t="str">
        <f>TYPE</f>
        <v>TYPE OF FILING: _X_ ORIGINAL   ___UPDATED  ___ REVISED</v>
      </c>
      <c r="B190" s="98"/>
      <c r="C190" s="98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9" t="s">
        <v>123</v>
      </c>
      <c r="R190" s="98"/>
    </row>
    <row r="191" spans="1:18" ht="15.6" x14ac:dyDescent="0.3">
      <c r="A191" s="99" t="s">
        <v>100</v>
      </c>
      <c r="B191" s="98"/>
      <c r="C191" s="98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9" t="s">
        <v>3</v>
      </c>
      <c r="R191" s="98"/>
    </row>
    <row r="192" spans="1:18" ht="15.6" x14ac:dyDescent="0.3">
      <c r="A192" s="134" t="str">
        <f>TIME</f>
        <v>6 Months Actual and 6 Months Projected with Riders</v>
      </c>
      <c r="B192" s="98"/>
      <c r="C192" s="98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 t="str">
        <f>WIT</f>
        <v>B. L. Sailers</v>
      </c>
      <c r="R192" s="98"/>
    </row>
    <row r="193" spans="1:27" ht="15.6" x14ac:dyDescent="0.3">
      <c r="A193" s="355" t="s">
        <v>424</v>
      </c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</row>
    <row r="194" spans="1:27" ht="15.6" x14ac:dyDescent="0.3">
      <c r="A194" s="100"/>
      <c r="B194" s="100"/>
      <c r="C194" s="100"/>
      <c r="D194" s="100"/>
      <c r="E194" s="100"/>
      <c r="F194" s="100"/>
      <c r="G194" s="100"/>
      <c r="H194" s="100"/>
      <c r="I194" s="100"/>
      <c r="J194" s="100"/>
      <c r="K194" s="100"/>
      <c r="L194" s="100"/>
      <c r="M194" s="100"/>
      <c r="N194" s="100"/>
      <c r="O194" s="100"/>
      <c r="P194" s="100"/>
      <c r="Q194" s="100"/>
      <c r="R194" s="100"/>
    </row>
    <row r="195" spans="1:27" ht="15.6" x14ac:dyDescent="0.3">
      <c r="A195" s="98"/>
      <c r="B195" s="98"/>
      <c r="C195" s="98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</row>
    <row r="196" spans="1:27" ht="15.6" x14ac:dyDescent="0.3">
      <c r="A196" s="98"/>
      <c r="B196" s="98"/>
      <c r="C196" s="98"/>
      <c r="D196" s="98"/>
      <c r="E196" s="98"/>
      <c r="F196" s="8" t="s">
        <v>374</v>
      </c>
      <c r="G196" s="8"/>
      <c r="H196" s="8"/>
      <c r="I196" s="8"/>
      <c r="J196" s="97"/>
      <c r="K196" s="354" t="s">
        <v>357</v>
      </c>
      <c r="L196" s="354"/>
      <c r="M196" s="354"/>
      <c r="N196" s="354"/>
      <c r="O196" s="354"/>
      <c r="P196" s="102" t="s">
        <v>11</v>
      </c>
      <c r="Q196" s="102" t="s">
        <v>11</v>
      </c>
      <c r="R196" s="98"/>
    </row>
    <row r="197" spans="1:27" ht="17.100000000000001" customHeight="1" x14ac:dyDescent="0.3">
      <c r="A197" s="98"/>
      <c r="B197" s="98"/>
      <c r="C197" s="98"/>
      <c r="D197" s="102" t="s">
        <v>101</v>
      </c>
      <c r="E197" s="102" t="s">
        <v>101</v>
      </c>
      <c r="F197" s="98"/>
      <c r="G197" s="98"/>
      <c r="H197" s="102" t="s">
        <v>102</v>
      </c>
      <c r="I197" s="102" t="s">
        <v>103</v>
      </c>
      <c r="J197" s="102"/>
      <c r="K197" s="98"/>
      <c r="L197" s="98"/>
      <c r="O197" s="98"/>
      <c r="P197" s="102" t="s">
        <v>8</v>
      </c>
      <c r="Q197" s="102" t="s">
        <v>6</v>
      </c>
      <c r="R197" s="102" t="s">
        <v>103</v>
      </c>
    </row>
    <row r="198" spans="1:27" ht="15.6" x14ac:dyDescent="0.3">
      <c r="A198" s="98"/>
      <c r="B198" s="98"/>
      <c r="C198" s="98"/>
      <c r="D198" s="102" t="s">
        <v>104</v>
      </c>
      <c r="E198" s="102" t="s">
        <v>104</v>
      </c>
      <c r="F198" s="102" t="s">
        <v>8</v>
      </c>
      <c r="G198" s="102" t="s">
        <v>6</v>
      </c>
      <c r="H198" s="102" t="s">
        <v>105</v>
      </c>
      <c r="I198" s="102" t="s">
        <v>105</v>
      </c>
      <c r="J198" s="102"/>
      <c r="K198" s="102" t="s">
        <v>252</v>
      </c>
      <c r="L198" s="102" t="s">
        <v>252</v>
      </c>
      <c r="M198" s="102" t="s">
        <v>252</v>
      </c>
      <c r="N198" s="102" t="s">
        <v>252</v>
      </c>
      <c r="O198" s="102" t="s">
        <v>252</v>
      </c>
      <c r="P198" s="102" t="s">
        <v>106</v>
      </c>
      <c r="Q198" s="102" t="s">
        <v>106</v>
      </c>
      <c r="R198" s="102" t="s">
        <v>105</v>
      </c>
    </row>
    <row r="199" spans="1:27" ht="15.6" x14ac:dyDescent="0.3">
      <c r="A199" s="102" t="s">
        <v>17</v>
      </c>
      <c r="B199" s="98"/>
      <c r="C199" s="99" t="s">
        <v>18</v>
      </c>
      <c r="D199" s="102" t="s">
        <v>108</v>
      </c>
      <c r="E199" s="102" t="s">
        <v>109</v>
      </c>
      <c r="F199" s="103" t="s">
        <v>584</v>
      </c>
      <c r="G199" s="103" t="s">
        <v>584</v>
      </c>
      <c r="H199" s="131" t="s">
        <v>110</v>
      </c>
      <c r="I199" s="131" t="s">
        <v>111</v>
      </c>
      <c r="J199" s="102"/>
      <c r="K199" s="102" t="s">
        <v>355</v>
      </c>
      <c r="L199" s="103" t="s">
        <v>255</v>
      </c>
      <c r="M199" s="103" t="s">
        <v>532</v>
      </c>
      <c r="N199" s="103" t="s">
        <v>774</v>
      </c>
      <c r="O199" s="103" t="s">
        <v>583</v>
      </c>
      <c r="P199" s="146" t="s">
        <v>775</v>
      </c>
      <c r="Q199" s="146" t="s">
        <v>776</v>
      </c>
      <c r="R199" s="146" t="s">
        <v>712</v>
      </c>
    </row>
    <row r="200" spans="1:27" ht="15.6" x14ac:dyDescent="0.3">
      <c r="A200" s="262" t="s">
        <v>22</v>
      </c>
      <c r="B200" s="104"/>
      <c r="C200" s="338" t="s">
        <v>23</v>
      </c>
      <c r="D200" s="340" t="s">
        <v>33</v>
      </c>
      <c r="E200" s="340" t="s">
        <v>34</v>
      </c>
      <c r="F200" s="340" t="s">
        <v>35</v>
      </c>
      <c r="G200" s="340" t="s">
        <v>36</v>
      </c>
      <c r="H200" s="340" t="s">
        <v>37</v>
      </c>
      <c r="I200" s="340" t="s">
        <v>38</v>
      </c>
      <c r="J200" s="340"/>
      <c r="K200" s="340" t="s">
        <v>39</v>
      </c>
      <c r="L200" s="340" t="s">
        <v>40</v>
      </c>
      <c r="M200" s="128" t="s">
        <v>772</v>
      </c>
      <c r="N200" s="128" t="s">
        <v>773</v>
      </c>
      <c r="O200" s="127" t="s">
        <v>42</v>
      </c>
      <c r="P200" s="127" t="s">
        <v>43</v>
      </c>
      <c r="Q200" s="127" t="s">
        <v>44</v>
      </c>
      <c r="R200" s="127" t="s">
        <v>45</v>
      </c>
      <c r="X200" s="1" t="s">
        <v>524</v>
      </c>
      <c r="Z200" s="1" t="s">
        <v>523</v>
      </c>
    </row>
    <row r="201" spans="1:27" ht="15.6" x14ac:dyDescent="0.3">
      <c r="A201" s="98"/>
      <c r="B201" s="98"/>
      <c r="C201" s="98"/>
      <c r="D201" s="166" t="s">
        <v>117</v>
      </c>
      <c r="E201" s="166" t="s">
        <v>49</v>
      </c>
      <c r="F201" s="166" t="s">
        <v>50</v>
      </c>
      <c r="G201" s="166" t="s">
        <v>50</v>
      </c>
      <c r="H201" s="166" t="s">
        <v>50</v>
      </c>
      <c r="I201" s="166" t="s">
        <v>51</v>
      </c>
      <c r="J201" s="166"/>
      <c r="K201" s="166" t="s">
        <v>50</v>
      </c>
      <c r="L201" s="166" t="s">
        <v>50</v>
      </c>
      <c r="M201" s="166" t="s">
        <v>50</v>
      </c>
      <c r="N201" s="166" t="s">
        <v>50</v>
      </c>
      <c r="O201" s="166" t="s">
        <v>50</v>
      </c>
      <c r="P201" s="166" t="s">
        <v>50</v>
      </c>
      <c r="Q201" s="166" t="s">
        <v>50</v>
      </c>
      <c r="R201" s="166" t="s">
        <v>51</v>
      </c>
      <c r="X201" s="1" t="s">
        <v>174</v>
      </c>
      <c r="Y201" s="1" t="s">
        <v>175</v>
      </c>
      <c r="Z201" s="1" t="s">
        <v>174</v>
      </c>
      <c r="AA201" s="1" t="s">
        <v>175</v>
      </c>
    </row>
    <row r="202" spans="1:27" ht="15.6" x14ac:dyDescent="0.3">
      <c r="A202" s="1">
        <v>1</v>
      </c>
      <c r="C202" s="99" t="s">
        <v>124</v>
      </c>
      <c r="D202" s="106">
        <v>1000</v>
      </c>
      <c r="E202" s="106">
        <v>200000</v>
      </c>
      <c r="F202" s="3">
        <f t="shared" ref="F202:F219" si="54">ROUND($E202*$Z$202*CUR_SUM_TT_ON_KWH,2)+ROUND($E202*(1-$Z$202)*CUR_TT_OFF,2)+ROUND($D202*$X$202*CUR_TT_SUM_PEAK,2)+ROUND($D202*(1-$X$202)*CUR_TT_SUM_PK_OFF,2)+CUR_TT_SUM_CST</f>
        <v>21592.720000000001</v>
      </c>
      <c r="G202" s="3">
        <f t="shared" ref="G202:G219" si="55">ROUND($E202*$Z$202*PRO_SUM_TT_ON_KWH,2)+ROUND($E202*(1-$Z$202)*PRO_TT_OFF,2)+ROUND($D202*$X$202*PRO_TT_SUM_PEAK,2)+ROUND($D202*(1-$X$202)*PRO_TT_SUM_PK_OFF,2)+PRO_TT_SUM_CST</f>
        <v>23432.35</v>
      </c>
      <c r="H202" s="3">
        <f t="shared" ref="H202:H219" si="56">G202-F202</f>
        <v>1839.6299999999974</v>
      </c>
      <c r="I202" s="138">
        <f t="shared" ref="I202:I219" si="57">ROUND(H202/F202,3)*100</f>
        <v>8.5</v>
      </c>
      <c r="J202" s="138"/>
      <c r="K202" s="3">
        <f t="shared" ref="K202:K219" si="58">ROUND(E202*CUR_FAC,2)</f>
        <v>697.44</v>
      </c>
      <c r="L202" s="3">
        <f t="shared" ref="L202:L219" si="59">ROUND(E202*DSM_TRANS,2)</f>
        <v>102.8</v>
      </c>
      <c r="M202" s="3">
        <f t="shared" ref="M202:M219" si="60">ROUND((F202+$L202+$O202-PRO_BASE_FUEL*$E202)*CUR_ESM_NonRes,2)</f>
        <v>98.57</v>
      </c>
      <c r="N202" s="3">
        <f t="shared" ref="N202:N219" si="61">ROUND((G202+$L202+$O202-PRO_BASE_FUEL*$E202)*PRO_ESM_NONRES,2)</f>
        <v>92.73</v>
      </c>
      <c r="O202" s="3">
        <f t="shared" ref="O202:O219" si="62">ROUND(E202*RS_PSM,2)</f>
        <v>495</v>
      </c>
      <c r="P202" s="3">
        <f t="shared" ref="P202:P219" si="63">F202+K202+L202+M202+O202</f>
        <v>22986.53</v>
      </c>
      <c r="Q202" s="3">
        <f>G202+K202+L202+N202+O202</f>
        <v>24820.319999999996</v>
      </c>
      <c r="R202" s="175">
        <f>ROUND((Q202-P202)/P202,3)*100</f>
        <v>8</v>
      </c>
      <c r="X202" s="1">
        <f>'Rate TT'!H24/'Rate TT'!H26</f>
        <v>0.95967401231294946</v>
      </c>
      <c r="Y202" s="1">
        <f>'Rate TT'!H38/'Rate TT'!H40</f>
        <v>0.96786789011523533</v>
      </c>
      <c r="Z202" s="1">
        <f>'Rate TT'!H29/'Rate TT'!H31</f>
        <v>0.26328641099324507</v>
      </c>
      <c r="AA202" s="1">
        <f>'Rate TT'!H43/'Rate TT'!H45</f>
        <v>0.26506241890534049</v>
      </c>
    </row>
    <row r="203" spans="1:27" x14ac:dyDescent="0.25">
      <c r="A203" s="1">
        <v>2</v>
      </c>
      <c r="D203" s="106">
        <v>1000</v>
      </c>
      <c r="E203" s="106">
        <v>400000</v>
      </c>
      <c r="F203" s="3">
        <f t="shared" si="54"/>
        <v>33597.24</v>
      </c>
      <c r="G203" s="3">
        <f t="shared" si="55"/>
        <v>36484.730000000003</v>
      </c>
      <c r="H203" s="3">
        <f t="shared" si="56"/>
        <v>2887.4900000000052</v>
      </c>
      <c r="I203" s="138">
        <f t="shared" si="57"/>
        <v>8.6</v>
      </c>
      <c r="J203" s="138"/>
      <c r="K203" s="3">
        <f t="shared" si="58"/>
        <v>1394.89</v>
      </c>
      <c r="L203" s="3">
        <f t="shared" si="59"/>
        <v>205.6</v>
      </c>
      <c r="M203" s="3">
        <f t="shared" si="60"/>
        <v>135.91</v>
      </c>
      <c r="N203" s="3">
        <f t="shared" si="61"/>
        <v>129.74</v>
      </c>
      <c r="O203" s="3">
        <f t="shared" si="62"/>
        <v>990</v>
      </c>
      <c r="P203" s="3">
        <f t="shared" si="63"/>
        <v>36323.64</v>
      </c>
      <c r="Q203" s="3">
        <f t="shared" ref="Q203:Q219" si="64">G203+K203+L203+N203+O203</f>
        <v>39204.959999999999</v>
      </c>
      <c r="R203" s="138">
        <f t="shared" ref="R203:R219" si="65">ROUND((Q203-P203)/P203,3)*100</f>
        <v>7.9</v>
      </c>
    </row>
    <row r="204" spans="1:27" x14ac:dyDescent="0.25">
      <c r="A204" s="1">
        <v>3</v>
      </c>
      <c r="D204" s="106">
        <v>2500</v>
      </c>
      <c r="E204" s="106">
        <v>500000</v>
      </c>
      <c r="F204" s="3">
        <f t="shared" si="54"/>
        <v>53231.8</v>
      </c>
      <c r="G204" s="3">
        <f t="shared" si="55"/>
        <v>57830.85</v>
      </c>
      <c r="H204" s="3">
        <f t="shared" si="56"/>
        <v>4599.0499999999956</v>
      </c>
      <c r="I204" s="138">
        <f t="shared" si="57"/>
        <v>8.6</v>
      </c>
      <c r="J204" s="138"/>
      <c r="K204" s="3">
        <f t="shared" si="58"/>
        <v>1743.61</v>
      </c>
      <c r="L204" s="3">
        <f t="shared" si="59"/>
        <v>257</v>
      </c>
      <c r="M204" s="3">
        <f t="shared" si="60"/>
        <v>241.63</v>
      </c>
      <c r="N204" s="3">
        <f t="shared" si="61"/>
        <v>227.8</v>
      </c>
      <c r="O204" s="3">
        <f t="shared" si="62"/>
        <v>1237.5</v>
      </c>
      <c r="P204" s="3">
        <f t="shared" si="63"/>
        <v>56711.54</v>
      </c>
      <c r="Q204" s="3">
        <f t="shared" si="64"/>
        <v>61296.76</v>
      </c>
      <c r="R204" s="138">
        <f t="shared" si="65"/>
        <v>8.1</v>
      </c>
    </row>
    <row r="205" spans="1:27" x14ac:dyDescent="0.25">
      <c r="A205" s="1">
        <v>4</v>
      </c>
      <c r="D205" s="106">
        <v>2500</v>
      </c>
      <c r="E205" s="106">
        <v>1000000</v>
      </c>
      <c r="F205" s="3">
        <f t="shared" si="54"/>
        <v>83243.09</v>
      </c>
      <c r="G205" s="3">
        <f t="shared" si="55"/>
        <v>90461.79</v>
      </c>
      <c r="H205" s="3">
        <f t="shared" si="56"/>
        <v>7218.6999999999971</v>
      </c>
      <c r="I205" s="138">
        <f t="shared" si="57"/>
        <v>8.6999999999999993</v>
      </c>
      <c r="J205" s="138"/>
      <c r="K205" s="3">
        <f t="shared" si="58"/>
        <v>3487.21</v>
      </c>
      <c r="L205" s="3">
        <f t="shared" si="59"/>
        <v>514</v>
      </c>
      <c r="M205" s="3">
        <f t="shared" si="60"/>
        <v>334.98</v>
      </c>
      <c r="N205" s="3">
        <f t="shared" si="61"/>
        <v>320.32</v>
      </c>
      <c r="O205" s="3">
        <f t="shared" si="62"/>
        <v>2475</v>
      </c>
      <c r="P205" s="3">
        <f t="shared" si="63"/>
        <v>90054.28</v>
      </c>
      <c r="Q205" s="3">
        <f t="shared" si="64"/>
        <v>97258.32</v>
      </c>
      <c r="R205" s="138">
        <f t="shared" si="65"/>
        <v>8</v>
      </c>
    </row>
    <row r="206" spans="1:27" x14ac:dyDescent="0.25">
      <c r="A206" s="1">
        <v>5</v>
      </c>
      <c r="D206" s="106">
        <v>5000</v>
      </c>
      <c r="E206" s="106">
        <v>1000000</v>
      </c>
      <c r="F206" s="3">
        <f t="shared" si="54"/>
        <v>105963.58</v>
      </c>
      <c r="G206" s="3">
        <f t="shared" si="55"/>
        <v>115161.73000000001</v>
      </c>
      <c r="H206" s="3">
        <f t="shared" si="56"/>
        <v>9198.1500000000087</v>
      </c>
      <c r="I206" s="138">
        <f t="shared" si="57"/>
        <v>8.6999999999999993</v>
      </c>
      <c r="J206" s="138"/>
      <c r="K206" s="3">
        <f t="shared" si="58"/>
        <v>3487.21</v>
      </c>
      <c r="L206" s="3">
        <f t="shared" si="59"/>
        <v>514</v>
      </c>
      <c r="M206" s="3">
        <f t="shared" si="60"/>
        <v>480.08</v>
      </c>
      <c r="N206" s="3">
        <f t="shared" si="61"/>
        <v>452.92</v>
      </c>
      <c r="O206" s="3">
        <f t="shared" si="62"/>
        <v>2475</v>
      </c>
      <c r="P206" s="3">
        <f t="shared" si="63"/>
        <v>112919.87000000001</v>
      </c>
      <c r="Q206" s="3">
        <f t="shared" si="64"/>
        <v>122090.86000000002</v>
      </c>
      <c r="R206" s="138">
        <f t="shared" si="65"/>
        <v>8.1</v>
      </c>
    </row>
    <row r="207" spans="1:27" x14ac:dyDescent="0.25">
      <c r="A207" s="1">
        <v>6</v>
      </c>
      <c r="D207" s="106">
        <v>5000</v>
      </c>
      <c r="E207" s="106">
        <v>2000000</v>
      </c>
      <c r="F207" s="3">
        <f t="shared" si="54"/>
        <v>165986.16999999998</v>
      </c>
      <c r="G207" s="3">
        <f t="shared" si="55"/>
        <v>180423.59</v>
      </c>
      <c r="H207" s="3">
        <f t="shared" si="56"/>
        <v>14437.420000000013</v>
      </c>
      <c r="I207" s="138">
        <f t="shared" si="57"/>
        <v>8.6999999999999993</v>
      </c>
      <c r="J207" s="138"/>
      <c r="K207" s="3">
        <f t="shared" si="58"/>
        <v>6974.43</v>
      </c>
      <c r="L207" s="3">
        <f t="shared" si="59"/>
        <v>1028</v>
      </c>
      <c r="M207" s="3">
        <f t="shared" si="60"/>
        <v>666.76</v>
      </c>
      <c r="N207" s="3">
        <f t="shared" si="61"/>
        <v>637.96</v>
      </c>
      <c r="O207" s="3">
        <f t="shared" si="62"/>
        <v>4950</v>
      </c>
      <c r="P207" s="3">
        <f t="shared" si="63"/>
        <v>179605.36</v>
      </c>
      <c r="Q207" s="3">
        <f t="shared" si="64"/>
        <v>194013.97999999998</v>
      </c>
      <c r="R207" s="138">
        <f t="shared" si="65"/>
        <v>8</v>
      </c>
    </row>
    <row r="208" spans="1:27" x14ac:dyDescent="0.25">
      <c r="A208" s="1">
        <v>7</v>
      </c>
      <c r="D208" s="106">
        <v>10000</v>
      </c>
      <c r="E208" s="106">
        <v>2000000</v>
      </c>
      <c r="F208" s="3">
        <f t="shared" si="54"/>
        <v>211427.16</v>
      </c>
      <c r="G208" s="3">
        <f t="shared" si="55"/>
        <v>229823.43</v>
      </c>
      <c r="H208" s="3">
        <f t="shared" si="56"/>
        <v>18396.26999999999</v>
      </c>
      <c r="I208" s="138">
        <f t="shared" si="57"/>
        <v>8.6999999999999993</v>
      </c>
      <c r="J208" s="138"/>
      <c r="K208" s="3">
        <f t="shared" si="58"/>
        <v>6974.43</v>
      </c>
      <c r="L208" s="3">
        <f t="shared" si="59"/>
        <v>1028</v>
      </c>
      <c r="M208" s="3">
        <f t="shared" si="60"/>
        <v>956.96</v>
      </c>
      <c r="N208" s="3">
        <f t="shared" si="61"/>
        <v>903.15</v>
      </c>
      <c r="O208" s="3">
        <f t="shared" si="62"/>
        <v>4950</v>
      </c>
      <c r="P208" s="3">
        <f t="shared" si="63"/>
        <v>225336.55</v>
      </c>
      <c r="Q208" s="3">
        <f t="shared" si="64"/>
        <v>243679.00999999998</v>
      </c>
      <c r="R208" s="138">
        <f t="shared" si="65"/>
        <v>8.1</v>
      </c>
    </row>
    <row r="209" spans="1:18" x14ac:dyDescent="0.25">
      <c r="A209" s="1">
        <v>8</v>
      </c>
      <c r="D209" s="106">
        <v>10000</v>
      </c>
      <c r="E209" s="106">
        <v>4000000</v>
      </c>
      <c r="F209" s="3">
        <f t="shared" si="54"/>
        <v>331472.36</v>
      </c>
      <c r="G209" s="3">
        <f t="shared" si="55"/>
        <v>360347.18</v>
      </c>
      <c r="H209" s="3">
        <f t="shared" si="56"/>
        <v>28874.820000000007</v>
      </c>
      <c r="I209" s="138">
        <f t="shared" si="57"/>
        <v>8.6999999999999993</v>
      </c>
      <c r="J209" s="138"/>
      <c r="K209" s="3">
        <f t="shared" si="58"/>
        <v>13948.85</v>
      </c>
      <c r="L209" s="3">
        <f t="shared" si="59"/>
        <v>2056</v>
      </c>
      <c r="M209" s="3">
        <f t="shared" si="60"/>
        <v>1330.32</v>
      </c>
      <c r="N209" s="3">
        <f t="shared" si="61"/>
        <v>1273.24</v>
      </c>
      <c r="O209" s="3">
        <f t="shared" si="62"/>
        <v>9900</v>
      </c>
      <c r="P209" s="3">
        <f t="shared" si="63"/>
        <v>358707.52999999997</v>
      </c>
      <c r="Q209" s="3">
        <f t="shared" si="64"/>
        <v>387525.26999999996</v>
      </c>
      <c r="R209" s="138">
        <f t="shared" si="65"/>
        <v>8</v>
      </c>
    </row>
    <row r="210" spans="1:18" x14ac:dyDescent="0.25">
      <c r="A210" s="1">
        <v>9</v>
      </c>
      <c r="D210" s="106">
        <v>10000</v>
      </c>
      <c r="E210" s="106">
        <v>6000000</v>
      </c>
      <c r="F210" s="3">
        <f t="shared" si="54"/>
        <v>451517.54</v>
      </c>
      <c r="G210" s="3">
        <f t="shared" si="55"/>
        <v>490870.91</v>
      </c>
      <c r="H210" s="3">
        <f t="shared" si="56"/>
        <v>39353.369999999995</v>
      </c>
      <c r="I210" s="138">
        <f t="shared" si="57"/>
        <v>8.6999999999999993</v>
      </c>
      <c r="J210" s="138"/>
      <c r="K210" s="3">
        <f t="shared" si="58"/>
        <v>20923.28</v>
      </c>
      <c r="L210" s="3">
        <f t="shared" si="59"/>
        <v>3084</v>
      </c>
      <c r="M210" s="3">
        <f t="shared" si="60"/>
        <v>1703.69</v>
      </c>
      <c r="N210" s="3">
        <f t="shared" si="61"/>
        <v>1643.34</v>
      </c>
      <c r="O210" s="3">
        <f t="shared" si="62"/>
        <v>14850</v>
      </c>
      <c r="P210" s="3">
        <f t="shared" si="63"/>
        <v>492078.50999999995</v>
      </c>
      <c r="Q210" s="3">
        <f t="shared" si="64"/>
        <v>531371.53</v>
      </c>
      <c r="R210" s="138">
        <f t="shared" si="65"/>
        <v>8</v>
      </c>
    </row>
    <row r="211" spans="1:18" x14ac:dyDescent="0.25">
      <c r="A211" s="1">
        <v>10</v>
      </c>
      <c r="D211" s="106">
        <v>20000</v>
      </c>
      <c r="E211" s="106">
        <v>4000000</v>
      </c>
      <c r="F211" s="3">
        <f t="shared" si="54"/>
        <v>422354.35000000003</v>
      </c>
      <c r="G211" s="3">
        <f t="shared" si="55"/>
        <v>459146.88999999996</v>
      </c>
      <c r="H211" s="3">
        <f t="shared" si="56"/>
        <v>36792.539999999921</v>
      </c>
      <c r="I211" s="138">
        <f t="shared" si="57"/>
        <v>8.6999999999999993</v>
      </c>
      <c r="J211" s="138"/>
      <c r="K211" s="3">
        <f t="shared" si="58"/>
        <v>13948.85</v>
      </c>
      <c r="L211" s="3">
        <f t="shared" si="59"/>
        <v>2056</v>
      </c>
      <c r="M211" s="3">
        <f t="shared" si="60"/>
        <v>1910.72</v>
      </c>
      <c r="N211" s="3">
        <f t="shared" si="61"/>
        <v>1803.62</v>
      </c>
      <c r="O211" s="3">
        <f t="shared" si="62"/>
        <v>9900</v>
      </c>
      <c r="P211" s="3">
        <f t="shared" si="63"/>
        <v>450169.92</v>
      </c>
      <c r="Q211" s="3">
        <f t="shared" si="64"/>
        <v>486855.35999999993</v>
      </c>
      <c r="R211" s="138">
        <f t="shared" si="65"/>
        <v>8.1</v>
      </c>
    </row>
    <row r="212" spans="1:18" x14ac:dyDescent="0.25">
      <c r="A212" s="1">
        <v>11</v>
      </c>
      <c r="D212" s="106">
        <v>20000</v>
      </c>
      <c r="E212" s="106">
        <v>8000000</v>
      </c>
      <c r="F212" s="3">
        <f t="shared" si="54"/>
        <v>662444.72</v>
      </c>
      <c r="G212" s="3">
        <f t="shared" si="55"/>
        <v>720194.35</v>
      </c>
      <c r="H212" s="3">
        <f t="shared" si="56"/>
        <v>57749.630000000005</v>
      </c>
      <c r="I212" s="138">
        <f t="shared" si="57"/>
        <v>8.6999999999999993</v>
      </c>
      <c r="J212" s="138"/>
      <c r="K212" s="3">
        <f t="shared" si="58"/>
        <v>27897.7</v>
      </c>
      <c r="L212" s="3">
        <f t="shared" si="59"/>
        <v>4112</v>
      </c>
      <c r="M212" s="3">
        <f t="shared" si="60"/>
        <v>2657.45</v>
      </c>
      <c r="N212" s="3">
        <f t="shared" si="61"/>
        <v>2543.8000000000002</v>
      </c>
      <c r="O212" s="3">
        <f t="shared" si="62"/>
        <v>19800</v>
      </c>
      <c r="P212" s="3">
        <f t="shared" si="63"/>
        <v>716911.86999999988</v>
      </c>
      <c r="Q212" s="3">
        <f t="shared" si="64"/>
        <v>774547.85</v>
      </c>
      <c r="R212" s="138">
        <f t="shared" si="65"/>
        <v>8</v>
      </c>
    </row>
    <row r="213" spans="1:18" x14ac:dyDescent="0.25">
      <c r="A213" s="1">
        <v>12</v>
      </c>
      <c r="D213" s="106">
        <v>20000</v>
      </c>
      <c r="E213" s="106">
        <v>12000000</v>
      </c>
      <c r="F213" s="3">
        <f t="shared" si="54"/>
        <v>902535.1</v>
      </c>
      <c r="G213" s="3">
        <f t="shared" si="55"/>
        <v>981241.83</v>
      </c>
      <c r="H213" s="3">
        <f t="shared" si="56"/>
        <v>78706.729999999981</v>
      </c>
      <c r="I213" s="138">
        <f t="shared" si="57"/>
        <v>8.6999999999999993</v>
      </c>
      <c r="J213" s="138"/>
      <c r="K213" s="3">
        <f t="shared" si="58"/>
        <v>41846.550000000003</v>
      </c>
      <c r="L213" s="3">
        <f t="shared" si="59"/>
        <v>6168</v>
      </c>
      <c r="M213" s="3">
        <f t="shared" si="60"/>
        <v>3404.18</v>
      </c>
      <c r="N213" s="3">
        <f t="shared" si="61"/>
        <v>3283.99</v>
      </c>
      <c r="O213" s="3">
        <f t="shared" si="62"/>
        <v>29700</v>
      </c>
      <c r="P213" s="3">
        <f t="shared" si="63"/>
        <v>983653.83000000007</v>
      </c>
      <c r="Q213" s="3">
        <f t="shared" si="64"/>
        <v>1062240.3700000001</v>
      </c>
      <c r="R213" s="138">
        <f t="shared" si="65"/>
        <v>8</v>
      </c>
    </row>
    <row r="214" spans="1:18" x14ac:dyDescent="0.25">
      <c r="A214" s="1">
        <v>13</v>
      </c>
      <c r="D214" s="106">
        <v>40000</v>
      </c>
      <c r="E214" s="106">
        <v>16000000</v>
      </c>
      <c r="F214" s="3">
        <f t="shared" si="54"/>
        <v>1324389.46</v>
      </c>
      <c r="G214" s="3">
        <f t="shared" si="55"/>
        <v>1439888.71</v>
      </c>
      <c r="H214" s="3">
        <f t="shared" si="56"/>
        <v>115499.25</v>
      </c>
      <c r="I214" s="138">
        <f t="shared" si="57"/>
        <v>8.6999999999999993</v>
      </c>
      <c r="J214" s="138"/>
      <c r="K214" s="3">
        <f t="shared" si="58"/>
        <v>55795.4</v>
      </c>
      <c r="L214" s="3">
        <f t="shared" si="59"/>
        <v>8224</v>
      </c>
      <c r="M214" s="3">
        <f t="shared" si="60"/>
        <v>5311.71</v>
      </c>
      <c r="N214" s="3">
        <f t="shared" si="61"/>
        <v>5084.92</v>
      </c>
      <c r="O214" s="3">
        <f t="shared" si="62"/>
        <v>39600</v>
      </c>
      <c r="P214" s="3">
        <f t="shared" si="63"/>
        <v>1433320.5699999998</v>
      </c>
      <c r="Q214" s="3">
        <f t="shared" si="64"/>
        <v>1548593.0299999998</v>
      </c>
      <c r="R214" s="138">
        <f t="shared" si="65"/>
        <v>8</v>
      </c>
    </row>
    <row r="215" spans="1:18" x14ac:dyDescent="0.25">
      <c r="A215" s="1">
        <v>14</v>
      </c>
      <c r="D215" s="106">
        <v>40000</v>
      </c>
      <c r="E215" s="106">
        <v>24000000</v>
      </c>
      <c r="F215" s="3">
        <f t="shared" si="54"/>
        <v>1804570.2</v>
      </c>
      <c r="G215" s="3">
        <f t="shared" si="55"/>
        <v>1961983.65</v>
      </c>
      <c r="H215" s="3">
        <f t="shared" si="56"/>
        <v>157413.44999999995</v>
      </c>
      <c r="I215" s="138">
        <f t="shared" si="57"/>
        <v>8.6999999999999993</v>
      </c>
      <c r="J215" s="138"/>
      <c r="K215" s="3">
        <f t="shared" si="58"/>
        <v>83693.11</v>
      </c>
      <c r="L215" s="3">
        <f t="shared" si="59"/>
        <v>12336</v>
      </c>
      <c r="M215" s="3">
        <f t="shared" si="60"/>
        <v>6805.17</v>
      </c>
      <c r="N215" s="3">
        <f t="shared" si="61"/>
        <v>6565.29</v>
      </c>
      <c r="O215" s="3">
        <f t="shared" si="62"/>
        <v>59400</v>
      </c>
      <c r="P215" s="3">
        <f t="shared" si="63"/>
        <v>1966804.48</v>
      </c>
      <c r="Q215" s="3">
        <f t="shared" si="64"/>
        <v>2123978.0499999998</v>
      </c>
      <c r="R215" s="138">
        <f t="shared" si="65"/>
        <v>8</v>
      </c>
    </row>
    <row r="216" spans="1:18" x14ac:dyDescent="0.25">
      <c r="A216" s="1">
        <v>15</v>
      </c>
      <c r="D216" s="106">
        <v>80000</v>
      </c>
      <c r="E216" s="106">
        <v>32000000</v>
      </c>
      <c r="F216" s="3">
        <f t="shared" si="54"/>
        <v>2648278.9</v>
      </c>
      <c r="G216" s="3">
        <f t="shared" si="55"/>
        <v>2879277.42</v>
      </c>
      <c r="H216" s="3">
        <f t="shared" si="56"/>
        <v>230998.52000000002</v>
      </c>
      <c r="I216" s="138">
        <f t="shared" si="57"/>
        <v>8.6999999999999993</v>
      </c>
      <c r="J216" s="138"/>
      <c r="K216" s="3">
        <f t="shared" si="58"/>
        <v>111590.81</v>
      </c>
      <c r="L216" s="3">
        <f t="shared" si="59"/>
        <v>16448</v>
      </c>
      <c r="M216" s="3">
        <f t="shared" si="60"/>
        <v>10620.23</v>
      </c>
      <c r="N216" s="3">
        <f t="shared" si="61"/>
        <v>10167.16</v>
      </c>
      <c r="O216" s="3">
        <f t="shared" si="62"/>
        <v>79200</v>
      </c>
      <c r="P216" s="3">
        <f t="shared" si="63"/>
        <v>2866137.94</v>
      </c>
      <c r="Q216" s="3">
        <f t="shared" si="64"/>
        <v>3096683.39</v>
      </c>
      <c r="R216" s="138">
        <f t="shared" si="65"/>
        <v>8</v>
      </c>
    </row>
    <row r="217" spans="1:18" x14ac:dyDescent="0.25">
      <c r="A217" s="1">
        <v>16</v>
      </c>
      <c r="D217" s="106">
        <v>80000</v>
      </c>
      <c r="E217" s="106">
        <v>48000000</v>
      </c>
      <c r="F217" s="3">
        <f t="shared" si="54"/>
        <v>3608640.41</v>
      </c>
      <c r="G217" s="3">
        <f t="shared" si="55"/>
        <v>3923467.3099999996</v>
      </c>
      <c r="H217" s="3">
        <f t="shared" si="56"/>
        <v>314826.89999999944</v>
      </c>
      <c r="I217" s="138">
        <f t="shared" si="57"/>
        <v>8.6999999999999993</v>
      </c>
      <c r="J217" s="138"/>
      <c r="K217" s="3">
        <f t="shared" si="58"/>
        <v>167386.21</v>
      </c>
      <c r="L217" s="3">
        <f t="shared" si="59"/>
        <v>24672</v>
      </c>
      <c r="M217" s="3">
        <f t="shared" si="60"/>
        <v>13607.14</v>
      </c>
      <c r="N217" s="3">
        <f t="shared" si="61"/>
        <v>13127.9</v>
      </c>
      <c r="O217" s="3">
        <f t="shared" si="62"/>
        <v>118800</v>
      </c>
      <c r="P217" s="3">
        <f t="shared" si="63"/>
        <v>3933105.7600000002</v>
      </c>
      <c r="Q217" s="3">
        <f t="shared" si="64"/>
        <v>4247453.42</v>
      </c>
      <c r="R217" s="138">
        <f t="shared" si="65"/>
        <v>8</v>
      </c>
    </row>
    <row r="218" spans="1:18" x14ac:dyDescent="0.25">
      <c r="A218" s="1">
        <v>17</v>
      </c>
      <c r="D218" s="106">
        <v>160000</v>
      </c>
      <c r="E218" s="106">
        <v>64000000</v>
      </c>
      <c r="F218" s="3">
        <f t="shared" si="54"/>
        <v>5296057.8000000007</v>
      </c>
      <c r="G218" s="3">
        <f t="shared" si="55"/>
        <v>5758054.8300000001</v>
      </c>
      <c r="H218" s="3">
        <f t="shared" si="56"/>
        <v>461997.02999999933</v>
      </c>
      <c r="I218" s="138">
        <f t="shared" si="57"/>
        <v>8.6999999999999993</v>
      </c>
      <c r="J218" s="138"/>
      <c r="K218" s="3">
        <f t="shared" si="58"/>
        <v>223181.62</v>
      </c>
      <c r="L218" s="3">
        <f t="shared" si="59"/>
        <v>32896</v>
      </c>
      <c r="M218" s="3">
        <f t="shared" si="60"/>
        <v>21237.26</v>
      </c>
      <c r="N218" s="3">
        <f t="shared" si="61"/>
        <v>20331.64</v>
      </c>
      <c r="O218" s="3">
        <f t="shared" si="62"/>
        <v>158400</v>
      </c>
      <c r="P218" s="3">
        <f t="shared" si="63"/>
        <v>5731772.6800000006</v>
      </c>
      <c r="Q218" s="3">
        <f t="shared" si="64"/>
        <v>6192864.0899999999</v>
      </c>
      <c r="R218" s="138">
        <f t="shared" si="65"/>
        <v>8</v>
      </c>
    </row>
    <row r="219" spans="1:18" x14ac:dyDescent="0.25">
      <c r="A219" s="1">
        <v>18</v>
      </c>
      <c r="D219" s="106">
        <v>160000</v>
      </c>
      <c r="E219" s="106">
        <v>96000000</v>
      </c>
      <c r="F219" s="3">
        <f t="shared" si="54"/>
        <v>7216780.8100000005</v>
      </c>
      <c r="G219" s="3">
        <f t="shared" si="55"/>
        <v>7846434.6099999994</v>
      </c>
      <c r="H219" s="3">
        <f t="shared" si="56"/>
        <v>629653.79999999888</v>
      </c>
      <c r="I219" s="138">
        <f t="shared" si="57"/>
        <v>8.6999999999999993</v>
      </c>
      <c r="J219" s="138"/>
      <c r="K219" s="3">
        <f t="shared" si="58"/>
        <v>334772.43</v>
      </c>
      <c r="L219" s="3">
        <f t="shared" si="59"/>
        <v>49344</v>
      </c>
      <c r="M219" s="3">
        <f t="shared" si="60"/>
        <v>27211.09</v>
      </c>
      <c r="N219" s="3">
        <f t="shared" si="61"/>
        <v>26253.11</v>
      </c>
      <c r="O219" s="3">
        <f t="shared" si="62"/>
        <v>237600</v>
      </c>
      <c r="P219" s="3">
        <f t="shared" si="63"/>
        <v>7865708.3300000001</v>
      </c>
      <c r="Q219" s="3">
        <f t="shared" si="64"/>
        <v>8494404.1499999985</v>
      </c>
      <c r="R219" s="138">
        <f t="shared" si="65"/>
        <v>8</v>
      </c>
    </row>
    <row r="220" spans="1:18" x14ac:dyDescent="0.25">
      <c r="H220" s="3"/>
      <c r="K220" s="3"/>
      <c r="L220" s="3"/>
      <c r="M220" s="3"/>
      <c r="N220" s="3"/>
      <c r="O220" s="3"/>
      <c r="P220" s="3"/>
      <c r="Q220" s="3"/>
    </row>
    <row r="221" spans="1:18" ht="15.6" x14ac:dyDescent="0.3">
      <c r="A221" s="1">
        <v>19</v>
      </c>
      <c r="C221" s="99" t="s">
        <v>125</v>
      </c>
      <c r="D221" s="106">
        <v>1000</v>
      </c>
      <c r="E221" s="106">
        <v>200000</v>
      </c>
      <c r="F221" s="3">
        <f t="shared" ref="F221:F238" si="66">ROUND($E221*$AA$202*CUR_WIN_TT_ON_KWH,2)+ROUND($E221*(1-$AA$202)*CUR_TT_OFF,2)+ROUND($D221*$Y$202*CUR_TT_WIN_PEAK,2)+ROUND($D221*(1-$Y$202)*CUR_TT_WIN_PK_OFF,2)+CUR_TT_WIN_CST</f>
        <v>19888.52</v>
      </c>
      <c r="G221" s="3">
        <f t="shared" ref="G221:G238" si="67">ROUND($E221*$AA$202*PRO_WIN_TT_ON_KWH,2)+ROUND($E221*(1-$AA$202)*PRO_TT_OFF,2)+ROUND($D221*$Y$202*PRO_TT_WIN_PEAK,2)+ROUND($D221*(1-$Y$202)*PRO_TT_WIN_PK_OFF,2)+PRO_TT_WIN_CST</f>
        <v>21576.98</v>
      </c>
      <c r="H221" s="3">
        <f t="shared" ref="H221:H238" si="68">G221-F221</f>
        <v>1688.4599999999991</v>
      </c>
      <c r="I221" s="138">
        <f t="shared" ref="I221:I238" si="69">ROUND(H221/F221,3)*100</f>
        <v>8.5</v>
      </c>
      <c r="J221" s="138"/>
      <c r="K221" s="3">
        <f t="shared" ref="K221:K238" si="70">ROUND(E221*CUR_FAC,2)</f>
        <v>697.44</v>
      </c>
      <c r="L221" s="3">
        <f t="shared" ref="L221:L238" si="71">ROUND(E221*DSM_TRANS,2)</f>
        <v>102.8</v>
      </c>
      <c r="M221" s="3">
        <f t="shared" ref="M221:M238" si="72">ROUND((F221+$L221+$O221-PRO_BASE_FUEL*$E221)*CUR_ESM_NonRes,2)</f>
        <v>87.69</v>
      </c>
      <c r="N221" s="3">
        <f t="shared" ref="N221:N238" si="73">ROUND((G221+$L221+$O221-PRO_BASE_FUEL*$E221)*PRO_ESM_NONRES,2)</f>
        <v>82.77</v>
      </c>
      <c r="O221" s="3">
        <f t="shared" ref="O221:O238" si="74">ROUND(E221*RS_PSM,2)</f>
        <v>495</v>
      </c>
      <c r="P221" s="3">
        <f t="shared" ref="P221:P238" si="75">F221+K221+L221+M221+O221</f>
        <v>21271.449999999997</v>
      </c>
      <c r="Q221" s="3">
        <f>G221+K221+L221+N221+O221</f>
        <v>22954.989999999998</v>
      </c>
      <c r="R221" s="138">
        <f t="shared" ref="R221:R238" si="76">ROUND((Q221-P221)/P221,3)*100</f>
        <v>7.9</v>
      </c>
    </row>
    <row r="222" spans="1:18" x14ac:dyDescent="0.25">
      <c r="A222" s="1">
        <v>20</v>
      </c>
      <c r="D222" s="106">
        <v>1000</v>
      </c>
      <c r="E222" s="106">
        <v>400000</v>
      </c>
      <c r="F222" s="3">
        <f t="shared" si="66"/>
        <v>31759.15</v>
      </c>
      <c r="G222" s="3">
        <f t="shared" si="67"/>
        <v>34483.75</v>
      </c>
      <c r="H222" s="3">
        <f t="shared" si="68"/>
        <v>2724.5999999999985</v>
      </c>
      <c r="I222" s="138">
        <f t="shared" si="69"/>
        <v>8.6</v>
      </c>
      <c r="J222" s="138"/>
      <c r="K222" s="3">
        <f t="shared" si="70"/>
        <v>1394.89</v>
      </c>
      <c r="L222" s="3">
        <f t="shared" si="71"/>
        <v>205.6</v>
      </c>
      <c r="M222" s="3">
        <f t="shared" si="72"/>
        <v>124.17</v>
      </c>
      <c r="N222" s="3">
        <f t="shared" si="73"/>
        <v>119</v>
      </c>
      <c r="O222" s="3">
        <f t="shared" si="74"/>
        <v>990</v>
      </c>
      <c r="P222" s="3">
        <f t="shared" si="75"/>
        <v>34473.81</v>
      </c>
      <c r="Q222" s="3">
        <f t="shared" ref="Q222:Q238" si="77">G222+K222+L222+N222+O222</f>
        <v>37193.24</v>
      </c>
      <c r="R222" s="138">
        <f t="shared" si="76"/>
        <v>7.9</v>
      </c>
    </row>
    <row r="223" spans="1:18" x14ac:dyDescent="0.25">
      <c r="A223" s="1">
        <v>21</v>
      </c>
      <c r="D223" s="106">
        <v>2500</v>
      </c>
      <c r="E223" s="106">
        <v>500000</v>
      </c>
      <c r="F223" s="3">
        <f t="shared" si="66"/>
        <v>48971.29</v>
      </c>
      <c r="G223" s="3">
        <f t="shared" si="67"/>
        <v>53192.47</v>
      </c>
      <c r="H223" s="3">
        <f t="shared" si="68"/>
        <v>4221.18</v>
      </c>
      <c r="I223" s="138">
        <f t="shared" si="69"/>
        <v>8.6</v>
      </c>
      <c r="J223" s="138"/>
      <c r="K223" s="3">
        <f t="shared" si="70"/>
        <v>1743.61</v>
      </c>
      <c r="L223" s="3">
        <f t="shared" si="71"/>
        <v>257</v>
      </c>
      <c r="M223" s="3">
        <f t="shared" si="72"/>
        <v>214.43</v>
      </c>
      <c r="N223" s="3">
        <f t="shared" si="73"/>
        <v>202.9</v>
      </c>
      <c r="O223" s="3">
        <f t="shared" si="74"/>
        <v>1237.5</v>
      </c>
      <c r="P223" s="3">
        <f t="shared" si="75"/>
        <v>52423.83</v>
      </c>
      <c r="Q223" s="3">
        <f t="shared" si="77"/>
        <v>56633.48</v>
      </c>
      <c r="R223" s="138">
        <f t="shared" si="76"/>
        <v>8</v>
      </c>
    </row>
    <row r="224" spans="1:18" x14ac:dyDescent="0.25">
      <c r="A224" s="1">
        <v>22</v>
      </c>
      <c r="D224" s="106">
        <v>2500</v>
      </c>
      <c r="E224" s="106">
        <v>1000000</v>
      </c>
      <c r="F224" s="3">
        <f t="shared" si="66"/>
        <v>78647.87</v>
      </c>
      <c r="G224" s="3">
        <f t="shared" si="67"/>
        <v>85459.409999999989</v>
      </c>
      <c r="H224" s="3">
        <f t="shared" si="68"/>
        <v>6811.5399999999936</v>
      </c>
      <c r="I224" s="138">
        <f t="shared" si="69"/>
        <v>8.6999999999999993</v>
      </c>
      <c r="J224" s="138"/>
      <c r="K224" s="3">
        <f t="shared" si="70"/>
        <v>3487.21</v>
      </c>
      <c r="L224" s="3">
        <f t="shared" si="71"/>
        <v>514</v>
      </c>
      <c r="M224" s="3">
        <f t="shared" si="72"/>
        <v>305.63</v>
      </c>
      <c r="N224" s="3">
        <f t="shared" si="73"/>
        <v>293.47000000000003</v>
      </c>
      <c r="O224" s="3">
        <f t="shared" si="74"/>
        <v>2475</v>
      </c>
      <c r="P224" s="3">
        <f t="shared" si="75"/>
        <v>85429.71</v>
      </c>
      <c r="Q224" s="3">
        <f t="shared" si="77"/>
        <v>92229.09</v>
      </c>
      <c r="R224" s="138">
        <f t="shared" si="76"/>
        <v>8</v>
      </c>
    </row>
    <row r="225" spans="1:18" x14ac:dyDescent="0.25">
      <c r="A225" s="1">
        <v>23</v>
      </c>
      <c r="D225" s="106">
        <v>5000</v>
      </c>
      <c r="E225" s="106">
        <v>1000000</v>
      </c>
      <c r="F225" s="3">
        <f t="shared" si="66"/>
        <v>97442.590000000011</v>
      </c>
      <c r="G225" s="3">
        <f t="shared" si="67"/>
        <v>105884.95</v>
      </c>
      <c r="H225" s="3">
        <f t="shared" si="68"/>
        <v>8442.359999999986</v>
      </c>
      <c r="I225" s="138">
        <f t="shared" si="69"/>
        <v>8.6999999999999993</v>
      </c>
      <c r="J225" s="138"/>
      <c r="K225" s="3">
        <f t="shared" si="70"/>
        <v>3487.21</v>
      </c>
      <c r="L225" s="3">
        <f t="shared" si="71"/>
        <v>514</v>
      </c>
      <c r="M225" s="3">
        <f t="shared" si="72"/>
        <v>425.66</v>
      </c>
      <c r="N225" s="3">
        <f t="shared" si="73"/>
        <v>403.12</v>
      </c>
      <c r="O225" s="3">
        <f t="shared" si="74"/>
        <v>2475</v>
      </c>
      <c r="P225" s="3">
        <f t="shared" si="75"/>
        <v>104344.46000000002</v>
      </c>
      <c r="Q225" s="3">
        <f t="shared" si="77"/>
        <v>112764.28</v>
      </c>
      <c r="R225" s="138">
        <f t="shared" si="76"/>
        <v>8.1</v>
      </c>
    </row>
    <row r="226" spans="1:18" x14ac:dyDescent="0.25">
      <c r="A226" s="1">
        <v>24</v>
      </c>
      <c r="D226" s="106">
        <v>5000</v>
      </c>
      <c r="E226" s="106">
        <v>2000000</v>
      </c>
      <c r="F226" s="3">
        <f t="shared" si="66"/>
        <v>156795.74</v>
      </c>
      <c r="G226" s="3">
        <f t="shared" si="67"/>
        <v>170418.8</v>
      </c>
      <c r="H226" s="3">
        <f t="shared" si="68"/>
        <v>13623.059999999998</v>
      </c>
      <c r="I226" s="138">
        <f t="shared" si="69"/>
        <v>8.6999999999999993</v>
      </c>
      <c r="J226" s="138"/>
      <c r="K226" s="3">
        <f t="shared" si="70"/>
        <v>6974.43</v>
      </c>
      <c r="L226" s="3">
        <f t="shared" si="71"/>
        <v>1028</v>
      </c>
      <c r="M226" s="3">
        <f t="shared" si="72"/>
        <v>608.05999999999995</v>
      </c>
      <c r="N226" s="3">
        <f t="shared" si="73"/>
        <v>584.26</v>
      </c>
      <c r="O226" s="3">
        <f t="shared" si="74"/>
        <v>4950</v>
      </c>
      <c r="P226" s="3">
        <f t="shared" si="75"/>
        <v>170356.22999999998</v>
      </c>
      <c r="Q226" s="3">
        <f t="shared" si="77"/>
        <v>183955.49</v>
      </c>
      <c r="R226" s="138">
        <f t="shared" si="76"/>
        <v>8</v>
      </c>
    </row>
    <row r="227" spans="1:18" x14ac:dyDescent="0.25">
      <c r="A227" s="1">
        <v>25</v>
      </c>
      <c r="D227" s="106">
        <v>10000</v>
      </c>
      <c r="E227" s="106">
        <v>2000000</v>
      </c>
      <c r="F227" s="3">
        <f t="shared" si="66"/>
        <v>194385.19</v>
      </c>
      <c r="G227" s="3">
        <f t="shared" si="67"/>
        <v>211269.88999999998</v>
      </c>
      <c r="H227" s="3">
        <f t="shared" si="68"/>
        <v>16884.699999999983</v>
      </c>
      <c r="I227" s="138">
        <f t="shared" si="69"/>
        <v>8.6999999999999993</v>
      </c>
      <c r="J227" s="138"/>
      <c r="K227" s="3">
        <f t="shared" si="70"/>
        <v>6974.43</v>
      </c>
      <c r="L227" s="3">
        <f t="shared" si="71"/>
        <v>1028</v>
      </c>
      <c r="M227" s="3">
        <f t="shared" si="72"/>
        <v>848.12</v>
      </c>
      <c r="N227" s="3">
        <f t="shared" si="73"/>
        <v>803.55</v>
      </c>
      <c r="O227" s="3">
        <f t="shared" si="74"/>
        <v>4950</v>
      </c>
      <c r="P227" s="3">
        <f t="shared" si="75"/>
        <v>208185.74</v>
      </c>
      <c r="Q227" s="3">
        <f t="shared" si="77"/>
        <v>225025.86999999997</v>
      </c>
      <c r="R227" s="138">
        <f t="shared" si="76"/>
        <v>8.1</v>
      </c>
    </row>
    <row r="228" spans="1:18" x14ac:dyDescent="0.25">
      <c r="A228" s="1">
        <v>26</v>
      </c>
      <c r="D228" s="106">
        <v>10000</v>
      </c>
      <c r="E228" s="106">
        <v>4000000</v>
      </c>
      <c r="F228" s="3">
        <f t="shared" si="66"/>
        <v>313091.48</v>
      </c>
      <c r="G228" s="3">
        <f t="shared" si="67"/>
        <v>340337.62</v>
      </c>
      <c r="H228" s="3">
        <f t="shared" si="68"/>
        <v>27246.140000000014</v>
      </c>
      <c r="I228" s="138">
        <f t="shared" si="69"/>
        <v>8.6999999999999993</v>
      </c>
      <c r="J228" s="138"/>
      <c r="K228" s="3">
        <f t="shared" si="70"/>
        <v>13948.85</v>
      </c>
      <c r="L228" s="3">
        <f t="shared" si="71"/>
        <v>2056</v>
      </c>
      <c r="M228" s="3">
        <f t="shared" si="72"/>
        <v>1212.94</v>
      </c>
      <c r="N228" s="3">
        <f t="shared" si="73"/>
        <v>1165.83</v>
      </c>
      <c r="O228" s="3">
        <f t="shared" si="74"/>
        <v>9900</v>
      </c>
      <c r="P228" s="3">
        <f t="shared" si="75"/>
        <v>340209.26999999996</v>
      </c>
      <c r="Q228" s="3">
        <f t="shared" si="77"/>
        <v>367408.3</v>
      </c>
      <c r="R228" s="138">
        <f t="shared" si="76"/>
        <v>8</v>
      </c>
    </row>
    <row r="229" spans="1:18" x14ac:dyDescent="0.25">
      <c r="A229" s="1">
        <v>27</v>
      </c>
      <c r="D229" s="106">
        <v>10000</v>
      </c>
      <c r="E229" s="106">
        <v>6000000</v>
      </c>
      <c r="F229" s="3">
        <f t="shared" si="66"/>
        <v>431797.78</v>
      </c>
      <c r="G229" s="3">
        <f t="shared" si="67"/>
        <v>469405.33999999997</v>
      </c>
      <c r="H229" s="3">
        <f t="shared" si="68"/>
        <v>37607.559999999939</v>
      </c>
      <c r="I229" s="138">
        <f t="shared" si="69"/>
        <v>8.6999999999999993</v>
      </c>
      <c r="J229" s="138"/>
      <c r="K229" s="3">
        <f t="shared" si="70"/>
        <v>20923.28</v>
      </c>
      <c r="L229" s="3">
        <f t="shared" si="71"/>
        <v>3084</v>
      </c>
      <c r="M229" s="3">
        <f t="shared" si="72"/>
        <v>1577.75</v>
      </c>
      <c r="N229" s="3">
        <f t="shared" si="73"/>
        <v>1528.1</v>
      </c>
      <c r="O229" s="3">
        <f t="shared" si="74"/>
        <v>14850</v>
      </c>
      <c r="P229" s="3">
        <f t="shared" si="75"/>
        <v>472232.81000000006</v>
      </c>
      <c r="Q229" s="3">
        <f t="shared" si="77"/>
        <v>509790.71999999997</v>
      </c>
      <c r="R229" s="138">
        <f t="shared" si="76"/>
        <v>8</v>
      </c>
    </row>
    <row r="230" spans="1:18" x14ac:dyDescent="0.25">
      <c r="A230" s="1">
        <v>28</v>
      </c>
      <c r="D230" s="106">
        <v>20000</v>
      </c>
      <c r="E230" s="106">
        <v>4000000</v>
      </c>
      <c r="F230" s="3">
        <f t="shared" si="66"/>
        <v>388270.37</v>
      </c>
      <c r="G230" s="3">
        <f t="shared" si="67"/>
        <v>422039.78</v>
      </c>
      <c r="H230" s="3">
        <f t="shared" si="68"/>
        <v>33769.410000000033</v>
      </c>
      <c r="I230" s="138">
        <f t="shared" si="69"/>
        <v>8.6999999999999993</v>
      </c>
      <c r="J230" s="138"/>
      <c r="K230" s="3">
        <f t="shared" si="70"/>
        <v>13948.85</v>
      </c>
      <c r="L230" s="3">
        <f t="shared" si="71"/>
        <v>2056</v>
      </c>
      <c r="M230" s="3">
        <f t="shared" si="72"/>
        <v>1693.05</v>
      </c>
      <c r="N230" s="3">
        <f t="shared" si="73"/>
        <v>1604.42</v>
      </c>
      <c r="O230" s="3">
        <f t="shared" si="74"/>
        <v>9900</v>
      </c>
      <c r="P230" s="3">
        <f t="shared" si="75"/>
        <v>415868.26999999996</v>
      </c>
      <c r="Q230" s="3">
        <f t="shared" si="77"/>
        <v>449549.05</v>
      </c>
      <c r="R230" s="138">
        <f t="shared" si="76"/>
        <v>8.1</v>
      </c>
    </row>
    <row r="231" spans="1:18" x14ac:dyDescent="0.25">
      <c r="A231" s="1">
        <v>29</v>
      </c>
      <c r="D231" s="106">
        <v>20000</v>
      </c>
      <c r="E231" s="106">
        <v>8000000</v>
      </c>
      <c r="F231" s="3">
        <f t="shared" si="66"/>
        <v>625682.98</v>
      </c>
      <c r="G231" s="3">
        <f t="shared" si="67"/>
        <v>680175.22</v>
      </c>
      <c r="H231" s="3">
        <f t="shared" si="68"/>
        <v>54492.239999999991</v>
      </c>
      <c r="I231" s="138">
        <f t="shared" si="69"/>
        <v>8.6999999999999993</v>
      </c>
      <c r="J231" s="138"/>
      <c r="K231" s="3">
        <f t="shared" si="70"/>
        <v>27897.7</v>
      </c>
      <c r="L231" s="3">
        <f t="shared" si="71"/>
        <v>4112</v>
      </c>
      <c r="M231" s="3">
        <f t="shared" si="72"/>
        <v>2422.6799999999998</v>
      </c>
      <c r="N231" s="3">
        <f t="shared" si="73"/>
        <v>2328.9699999999998</v>
      </c>
      <c r="O231" s="3">
        <f t="shared" si="74"/>
        <v>19800</v>
      </c>
      <c r="P231" s="3">
        <f t="shared" si="75"/>
        <v>679915.36</v>
      </c>
      <c r="Q231" s="3">
        <f t="shared" si="77"/>
        <v>734313.8899999999</v>
      </c>
      <c r="R231" s="138">
        <f t="shared" si="76"/>
        <v>8</v>
      </c>
    </row>
    <row r="232" spans="1:18" x14ac:dyDescent="0.25">
      <c r="A232" s="1">
        <v>30</v>
      </c>
      <c r="D232" s="106">
        <v>20000</v>
      </c>
      <c r="E232" s="106">
        <v>12000000</v>
      </c>
      <c r="F232" s="3">
        <f t="shared" si="66"/>
        <v>863095.57000000007</v>
      </c>
      <c r="G232" s="3">
        <f t="shared" si="67"/>
        <v>938310.66999999993</v>
      </c>
      <c r="H232" s="3">
        <f t="shared" si="68"/>
        <v>75215.09999999986</v>
      </c>
      <c r="I232" s="138">
        <f t="shared" si="69"/>
        <v>8.6999999999999993</v>
      </c>
      <c r="J232" s="138"/>
      <c r="K232" s="3">
        <f t="shared" si="70"/>
        <v>41846.550000000003</v>
      </c>
      <c r="L232" s="3">
        <f t="shared" si="71"/>
        <v>6168</v>
      </c>
      <c r="M232" s="3">
        <f t="shared" si="72"/>
        <v>3152.31</v>
      </c>
      <c r="N232" s="3">
        <f t="shared" si="73"/>
        <v>3053.53</v>
      </c>
      <c r="O232" s="3">
        <f t="shared" si="74"/>
        <v>29700</v>
      </c>
      <c r="P232" s="3">
        <f t="shared" si="75"/>
        <v>943962.43000000017</v>
      </c>
      <c r="Q232" s="3">
        <f t="shared" si="77"/>
        <v>1019078.75</v>
      </c>
      <c r="R232" s="138">
        <f t="shared" si="76"/>
        <v>8</v>
      </c>
    </row>
    <row r="233" spans="1:18" x14ac:dyDescent="0.25">
      <c r="A233" s="1">
        <v>31</v>
      </c>
      <c r="D233" s="106">
        <v>40000</v>
      </c>
      <c r="E233" s="106">
        <v>16000000</v>
      </c>
      <c r="F233" s="3">
        <f t="shared" si="66"/>
        <v>1250865.95</v>
      </c>
      <c r="G233" s="3">
        <f t="shared" si="67"/>
        <v>1359850.43</v>
      </c>
      <c r="H233" s="3">
        <f t="shared" si="68"/>
        <v>108984.47999999998</v>
      </c>
      <c r="I233" s="138">
        <f t="shared" si="69"/>
        <v>8.6999999999999993</v>
      </c>
      <c r="J233" s="138"/>
      <c r="K233" s="3">
        <f t="shared" si="70"/>
        <v>55795.4</v>
      </c>
      <c r="L233" s="3">
        <f t="shared" si="71"/>
        <v>8224</v>
      </c>
      <c r="M233" s="3">
        <f t="shared" si="72"/>
        <v>4842.17</v>
      </c>
      <c r="N233" s="3">
        <f t="shared" si="73"/>
        <v>4655.26</v>
      </c>
      <c r="O233" s="3">
        <f t="shared" si="74"/>
        <v>39600</v>
      </c>
      <c r="P233" s="3">
        <f t="shared" si="75"/>
        <v>1359327.5199999998</v>
      </c>
      <c r="Q233" s="3">
        <f t="shared" si="77"/>
        <v>1468125.0899999999</v>
      </c>
      <c r="R233" s="138">
        <f t="shared" si="76"/>
        <v>8</v>
      </c>
    </row>
    <row r="234" spans="1:18" x14ac:dyDescent="0.25">
      <c r="A234" s="1">
        <v>32</v>
      </c>
      <c r="D234" s="106">
        <v>40000</v>
      </c>
      <c r="E234" s="106">
        <v>24000000</v>
      </c>
      <c r="F234" s="3">
        <f t="shared" si="66"/>
        <v>1725691.15</v>
      </c>
      <c r="G234" s="3">
        <f t="shared" si="67"/>
        <v>1876121.3399999999</v>
      </c>
      <c r="H234" s="3">
        <f t="shared" si="68"/>
        <v>150430.18999999994</v>
      </c>
      <c r="I234" s="138">
        <f t="shared" si="69"/>
        <v>8.6999999999999993</v>
      </c>
      <c r="J234" s="138"/>
      <c r="K234" s="3">
        <f t="shared" si="70"/>
        <v>83693.11</v>
      </c>
      <c r="L234" s="3">
        <f t="shared" si="71"/>
        <v>12336</v>
      </c>
      <c r="M234" s="3">
        <f t="shared" si="72"/>
        <v>6301.42</v>
      </c>
      <c r="N234" s="3">
        <f t="shared" si="73"/>
        <v>6104.37</v>
      </c>
      <c r="O234" s="3">
        <f t="shared" si="74"/>
        <v>59400</v>
      </c>
      <c r="P234" s="3">
        <f t="shared" si="75"/>
        <v>1887421.68</v>
      </c>
      <c r="Q234" s="3">
        <f t="shared" si="77"/>
        <v>2037654.82</v>
      </c>
      <c r="R234" s="138">
        <f t="shared" si="76"/>
        <v>8</v>
      </c>
    </row>
    <row r="235" spans="1:18" x14ac:dyDescent="0.25">
      <c r="A235" s="1">
        <v>33</v>
      </c>
      <c r="D235" s="106">
        <v>80000</v>
      </c>
      <c r="E235" s="106">
        <v>32000000</v>
      </c>
      <c r="F235" s="3">
        <f t="shared" si="66"/>
        <v>2501231.91</v>
      </c>
      <c r="G235" s="3">
        <f t="shared" si="67"/>
        <v>2719200.89</v>
      </c>
      <c r="H235" s="3">
        <f t="shared" si="68"/>
        <v>217968.97999999998</v>
      </c>
      <c r="I235" s="138">
        <f t="shared" si="69"/>
        <v>8.6999999999999993</v>
      </c>
      <c r="J235" s="138"/>
      <c r="K235" s="3">
        <f t="shared" si="70"/>
        <v>111590.81</v>
      </c>
      <c r="L235" s="3">
        <f t="shared" si="71"/>
        <v>16448</v>
      </c>
      <c r="M235" s="3">
        <f t="shared" si="72"/>
        <v>9681.14</v>
      </c>
      <c r="N235" s="3">
        <f t="shared" si="73"/>
        <v>9307.84</v>
      </c>
      <c r="O235" s="3">
        <f t="shared" si="74"/>
        <v>79200</v>
      </c>
      <c r="P235" s="3">
        <f t="shared" si="75"/>
        <v>2718151.8600000003</v>
      </c>
      <c r="Q235" s="3">
        <f t="shared" si="77"/>
        <v>2935747.54</v>
      </c>
      <c r="R235" s="138">
        <f t="shared" si="76"/>
        <v>8</v>
      </c>
    </row>
    <row r="236" spans="1:18" x14ac:dyDescent="0.25">
      <c r="A236" s="1">
        <v>34</v>
      </c>
      <c r="D236" s="106">
        <v>80000</v>
      </c>
      <c r="E236" s="106">
        <v>48000000</v>
      </c>
      <c r="F236" s="3">
        <f t="shared" si="66"/>
        <v>3450882.3</v>
      </c>
      <c r="G236" s="3">
        <f t="shared" si="67"/>
        <v>3751742.67</v>
      </c>
      <c r="H236" s="3">
        <f t="shared" si="68"/>
        <v>300860.37000000011</v>
      </c>
      <c r="I236" s="138">
        <f t="shared" si="69"/>
        <v>8.6999999999999993</v>
      </c>
      <c r="J236" s="138"/>
      <c r="K236" s="3">
        <f t="shared" si="70"/>
        <v>167386.21</v>
      </c>
      <c r="L236" s="3">
        <f t="shared" si="71"/>
        <v>24672</v>
      </c>
      <c r="M236" s="3">
        <f t="shared" si="72"/>
        <v>12599.65</v>
      </c>
      <c r="N236" s="3">
        <f t="shared" si="73"/>
        <v>12206.05</v>
      </c>
      <c r="O236" s="3">
        <f t="shared" si="74"/>
        <v>118800</v>
      </c>
      <c r="P236" s="3">
        <f t="shared" si="75"/>
        <v>3774340.1599999997</v>
      </c>
      <c r="Q236" s="3">
        <f t="shared" si="77"/>
        <v>4074806.9299999997</v>
      </c>
      <c r="R236" s="138">
        <f t="shared" si="76"/>
        <v>8</v>
      </c>
    </row>
    <row r="237" spans="1:18" x14ac:dyDescent="0.25">
      <c r="A237" s="1">
        <v>35</v>
      </c>
      <c r="D237" s="106">
        <v>160000</v>
      </c>
      <c r="E237" s="106">
        <v>64000000</v>
      </c>
      <c r="F237" s="3">
        <f t="shared" si="66"/>
        <v>5001963.8100000005</v>
      </c>
      <c r="G237" s="3">
        <f t="shared" si="67"/>
        <v>5437901.7800000003</v>
      </c>
      <c r="H237" s="3">
        <f t="shared" si="68"/>
        <v>435937.96999999974</v>
      </c>
      <c r="I237" s="138">
        <f t="shared" si="69"/>
        <v>8.6999999999999993</v>
      </c>
      <c r="J237" s="138"/>
      <c r="K237" s="3">
        <f t="shared" si="70"/>
        <v>223181.62</v>
      </c>
      <c r="L237" s="3">
        <f t="shared" si="71"/>
        <v>32896</v>
      </c>
      <c r="M237" s="3">
        <f t="shared" si="72"/>
        <v>19359.09</v>
      </c>
      <c r="N237" s="3">
        <f t="shared" si="73"/>
        <v>18613</v>
      </c>
      <c r="O237" s="3">
        <f t="shared" si="74"/>
        <v>158400</v>
      </c>
      <c r="P237" s="3">
        <f t="shared" si="75"/>
        <v>5435800.5200000005</v>
      </c>
      <c r="Q237" s="3">
        <f t="shared" si="77"/>
        <v>5870992.4000000004</v>
      </c>
      <c r="R237" s="138">
        <f t="shared" si="76"/>
        <v>8</v>
      </c>
    </row>
    <row r="238" spans="1:18" x14ac:dyDescent="0.25">
      <c r="A238" s="1">
        <v>36</v>
      </c>
      <c r="D238" s="106">
        <v>160000</v>
      </c>
      <c r="E238" s="106">
        <v>96000000</v>
      </c>
      <c r="F238" s="3">
        <f t="shared" si="66"/>
        <v>6901264.5999999996</v>
      </c>
      <c r="G238" s="3">
        <f t="shared" si="67"/>
        <v>7502985.3499999996</v>
      </c>
      <c r="H238" s="3">
        <f t="shared" si="68"/>
        <v>601720.75</v>
      </c>
      <c r="I238" s="138">
        <f t="shared" si="69"/>
        <v>8.6999999999999993</v>
      </c>
      <c r="J238" s="138"/>
      <c r="K238" s="3">
        <f t="shared" si="70"/>
        <v>334772.43</v>
      </c>
      <c r="L238" s="3">
        <f t="shared" si="71"/>
        <v>49344</v>
      </c>
      <c r="M238" s="3">
        <f t="shared" si="72"/>
        <v>25196.1</v>
      </c>
      <c r="N238" s="3">
        <f t="shared" si="73"/>
        <v>24409.41</v>
      </c>
      <c r="O238" s="3">
        <f t="shared" si="74"/>
        <v>237600</v>
      </c>
      <c r="P238" s="3">
        <f t="shared" si="75"/>
        <v>7548177.129999999</v>
      </c>
      <c r="Q238" s="3">
        <f t="shared" si="77"/>
        <v>8149111.1899999995</v>
      </c>
      <c r="R238" s="138">
        <f t="shared" si="76"/>
        <v>8</v>
      </c>
    </row>
    <row r="239" spans="1:18" x14ac:dyDescent="0.25">
      <c r="K239" s="3"/>
      <c r="L239" s="3"/>
      <c r="M239" s="3"/>
      <c r="N239" s="3"/>
      <c r="O239" s="3"/>
    </row>
    <row r="240" spans="1:18" ht="15.6" x14ac:dyDescent="0.3">
      <c r="C240" s="99" t="str">
        <f>"(1) REFLECTS FUEL ADJUSTMENT COMPONENT (FAC) OF "&amp;TEXT(CUR_FAC,"$0.000000;($0.000000)")&amp;" PER KWH."</f>
        <v>(1) REFLECTS FUEL ADJUSTMENT COMPONENT (FAC) OF $0.003487 PER KWH.</v>
      </c>
      <c r="K240" s="3"/>
      <c r="L240" s="3"/>
      <c r="M240" s="3"/>
      <c r="N240" s="3"/>
      <c r="O240" s="3"/>
    </row>
    <row r="241" spans="3:3" ht="15.6" x14ac:dyDescent="0.3">
      <c r="C241" s="99" t="str">
        <f>"(2) RIDER DSMR "&amp;TEXT(DSM_TRANS,"$0.000000;($0.000000)")&amp;" PER KWH."</f>
        <v>(2) RIDER DSMR $0.000514 PER KWH.</v>
      </c>
    </row>
    <row r="242" spans="3:3" ht="15.6" x14ac:dyDescent="0.3">
      <c r="C242" s="99" t="str">
        <f>"(3) RIDER ESM "&amp;TEXT(CUR_ESM_NonRes,"#0.00%")&amp;"  OF TOTAL CURRENT BILL."</f>
        <v>(3) RIDER ESM 0.64%  OF TOTAL CURRENT BILL.</v>
      </c>
    </row>
    <row r="243" spans="3:3" ht="15.6" x14ac:dyDescent="0.3">
      <c r="C243" s="99" t="str">
        <f>"(4) RIDER PSM "&amp;TEXT(RS_PSM,"$0.000000;($0.000000)")&amp;"  PER KWH."</f>
        <v>(4) RIDER PSM $0.002475  PER KWH.</v>
      </c>
    </row>
    <row r="244" spans="3:3" ht="15.6" x14ac:dyDescent="0.3">
      <c r="C244" s="99" t="str">
        <f>"(5) REFLECTS FUEL COST RECOVERY INCLUDED IN BASE RATES OF "&amp;TEXT(CUR_BASE_FUEL,"$0.000000;($0.000000)")&amp;"  PER KWH."</f>
        <v>(5) REFLECTS FUEL COST RECOVERY INCLUDED IN BASE RATES OF $0.033780  PER KWH.</v>
      </c>
    </row>
    <row r="245" spans="3:3" ht="15.6" x14ac:dyDescent="0.3">
      <c r="C245" s="99" t="str">
        <f>"(6) DEMAND VALUE REPRESENTS THE SUM OF ON AND OFF PEAK.  FOR BILL CALCULATION, VALUE IS SPLIT USING THE RATIO OF VALUES IN SCHEDULE M-2.3."</f>
        <v>(6) DEMAND VALUE REPRESENTS THE SUM OF ON AND OFF PEAK.  FOR BILL CALCULATION, VALUE IS SPLIT USING THE RATIO OF VALUES IN SCHEDULE M-2.3.</v>
      </c>
    </row>
    <row r="246" spans="3:3" ht="15.6" x14ac:dyDescent="0.3">
      <c r="C246" s="99" t="str">
        <f>"(7) RIDER ESM "&amp;TEXT(PRO_ESM_NONRES,"#0.00%")&amp;"  OF TOTAL CURRENT BILL."</f>
        <v>(7) RIDER ESM 0.54%  OF TOTAL CURRENT BILL.</v>
      </c>
    </row>
    <row r="247" spans="3:3" ht="15.6" x14ac:dyDescent="0.3">
      <c r="C247" s="116"/>
    </row>
  </sheetData>
  <customSheetViews>
    <customSheetView guid="{F562D92E-120C-4AE9-9663-89E64D41DC53}" scale="75" fitToPage="1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1"/>
      <headerFooter alignWithMargins="0"/>
    </customSheetView>
    <customSheetView guid="{35F19056-2E6F-4935-B863-78836FE990BF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4" orientation="landscape" horizontalDpi="300" verticalDpi="300" r:id="rId2"/>
      <headerFooter alignWithMargins="0"/>
    </customSheetView>
    <customSheetView guid="{18BDED73-BFA0-442E-87EC-CED86EE4CF94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3"/>
      <headerFooter alignWithMargins="0"/>
    </customSheetView>
    <customSheetView guid="{0BC1F393-8A13-47D5-BC6C-0C99615B5AB9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5"/>
      <headerFooter alignWithMargins="0"/>
    </customSheetView>
    <customSheetView guid="{8FB94551-8874-4095-B8FB-5316E0D2FD2C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7"/>
      <headerFooter alignWithMargins="0"/>
    </customSheetView>
    <customSheetView guid="{2EA35095-1ADC-4CC7-8C3C-B487D65FA247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9"/>
      <headerFooter alignWithMargins="0"/>
    </customSheetView>
    <customSheetView guid="{4BC93440-BA85-4935-A8C9-66DC6AE5DE5E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49" orientation="landscape" horizontalDpi="300" verticalDpi="300" r:id="rId10"/>
      <headerFooter alignWithMargins="0"/>
    </customSheetView>
    <customSheetView guid="{0C49E549-011E-46F4-A82E-2CC8951A9C1E}" scale="75" fitToPage="1" showRuler="0" topLeftCell="A190">
      <selection activeCell="A190" sqref="A190:Q252"/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rowBreaks count="2" manualBreakCount="2">
        <brk id="42" max="16383" man="1"/>
        <brk id="88" max="16383" man="1"/>
      </rowBreaks>
      <pageMargins left="0.5" right="0.5" top="1" bottom="1" header="0.5" footer="0.5"/>
      <pageSetup scale="52" orientation="landscape" horizontalDpi="300" verticalDpi="300" r:id="rId12"/>
      <headerFooter alignWithMargins="0"/>
    </customSheetView>
  </customSheetViews>
  <mergeCells count="10">
    <mergeCell ref="K196:O196"/>
    <mergeCell ref="K13:O13"/>
    <mergeCell ref="K47:O47"/>
    <mergeCell ref="K99:O99"/>
    <mergeCell ref="A10:R10"/>
    <mergeCell ref="A44:R44"/>
    <mergeCell ref="A96:R96"/>
    <mergeCell ref="A143:R143"/>
    <mergeCell ref="A193:R193"/>
    <mergeCell ref="K146:O146"/>
  </mergeCells>
  <phoneticPr fontId="11" type="noConversion"/>
  <pageMargins left="0.5" right="0.5" top="1" bottom="1" header="0.5" footer="0.5"/>
  <pageSetup scale="45" orientation="landscape" verticalDpi="300" r:id="rId13"/>
  <headerFooter alignWithMargins="0"/>
  <rowBreaks count="2" manualBreakCount="2">
    <brk id="34" max="16383" man="1"/>
    <brk id="8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R90"/>
  <sheetViews>
    <sheetView showRowColHeaders="0" zoomScale="75" workbookViewId="0"/>
  </sheetViews>
  <sheetFormatPr defaultColWidth="8.9140625" defaultRowHeight="15" x14ac:dyDescent="0.25"/>
  <cols>
    <col min="1" max="1" width="8.4140625" style="1" customWidth="1"/>
    <col min="2" max="2" width="10.9140625" style="1" customWidth="1"/>
    <col min="3" max="3" width="12.08203125" style="1" customWidth="1"/>
    <col min="4" max="4" width="12.25" style="1" customWidth="1"/>
    <col min="5" max="5" width="12.58203125" style="1" customWidth="1"/>
    <col min="6" max="6" width="14.4140625" style="1" customWidth="1"/>
    <col min="7" max="7" width="10" style="1" customWidth="1"/>
    <col min="8" max="8" width="10.4140625" style="1" customWidth="1"/>
    <col min="9" max="9" width="12.08203125" style="1" customWidth="1"/>
    <col min="10" max="10" width="10.4140625" style="1" customWidth="1"/>
    <col min="11" max="11" width="12.4140625" style="1" customWidth="1"/>
    <col min="12" max="12" width="12" style="1" customWidth="1"/>
    <col min="13" max="13" width="10.08203125" style="1" customWidth="1"/>
    <col min="14" max="17" width="8.9140625" style="1"/>
    <col min="18" max="18" width="9.75" style="1" customWidth="1"/>
    <col min="19" max="16384" width="8.9140625" style="1"/>
  </cols>
  <sheetData>
    <row r="1" spans="2:18" ht="15.6" x14ac:dyDescent="0.3">
      <c r="B1" s="8" t="s">
        <v>182</v>
      </c>
      <c r="C1" s="6"/>
      <c r="D1" s="6"/>
      <c r="E1" s="6"/>
      <c r="F1" s="6"/>
      <c r="H1" s="8" t="s">
        <v>183</v>
      </c>
      <c r="I1" s="6"/>
      <c r="J1" s="6"/>
      <c r="K1" s="6"/>
      <c r="L1" s="6"/>
    </row>
    <row r="2" spans="2:18" x14ac:dyDescent="0.25">
      <c r="C2" s="2" t="s">
        <v>107</v>
      </c>
      <c r="D2" s="2" t="s">
        <v>107</v>
      </c>
      <c r="E2" s="2" t="s">
        <v>107</v>
      </c>
      <c r="I2" s="2" t="s">
        <v>107</v>
      </c>
      <c r="J2" s="2" t="s">
        <v>107</v>
      </c>
      <c r="K2" s="2" t="s">
        <v>107</v>
      </c>
    </row>
    <row r="3" spans="2:18" x14ac:dyDescent="0.25">
      <c r="B3" s="2" t="s">
        <v>20</v>
      </c>
      <c r="C3" s="2" t="s">
        <v>112</v>
      </c>
      <c r="D3" s="2" t="s">
        <v>113</v>
      </c>
      <c r="E3" s="2" t="s">
        <v>114</v>
      </c>
      <c r="F3" s="2" t="s">
        <v>11</v>
      </c>
      <c r="H3" s="2" t="s">
        <v>20</v>
      </c>
      <c r="I3" s="2" t="s">
        <v>112</v>
      </c>
      <c r="J3" s="2" t="s">
        <v>113</v>
      </c>
      <c r="K3" s="2" t="s">
        <v>114</v>
      </c>
      <c r="L3" s="2" t="s">
        <v>11</v>
      </c>
    </row>
    <row r="4" spans="2:18" x14ac:dyDescent="0.25">
      <c r="B4" s="5" t="s">
        <v>115</v>
      </c>
      <c r="C4" s="5" t="s">
        <v>116</v>
      </c>
      <c r="D4" s="5" t="s">
        <v>116</v>
      </c>
      <c r="E4" s="5" t="s">
        <v>116</v>
      </c>
      <c r="F4" s="5" t="s">
        <v>106</v>
      </c>
      <c r="H4" s="5" t="s">
        <v>115</v>
      </c>
      <c r="I4" s="5" t="s">
        <v>116</v>
      </c>
      <c r="J4" s="5" t="s">
        <v>116</v>
      </c>
      <c r="K4" s="5" t="s">
        <v>116</v>
      </c>
      <c r="L4" s="5" t="s">
        <v>106</v>
      </c>
    </row>
    <row r="5" spans="2:18" ht="15.6" x14ac:dyDescent="0.3">
      <c r="B5" s="44" t="s">
        <v>522</v>
      </c>
    </row>
    <row r="7" spans="2:18" x14ac:dyDescent="0.25">
      <c r="B7" s="3">
        <f t="shared" ref="B7:B13" si="0">+CUR_RS_CUST</f>
        <v>13</v>
      </c>
      <c r="C7" s="3">
        <f>IF('SCH N'!E20&lt;=1000,ROUND('SCH N'!E20*(+CUR_RS_ENERGY),2),ROUND(1000*(CUR_RS_ENERGY),2))</f>
        <v>33.49</v>
      </c>
      <c r="D7" s="43">
        <v>0</v>
      </c>
      <c r="E7" s="43">
        <v>0</v>
      </c>
      <c r="F7" s="3">
        <f t="shared" ref="F7:F13" si="1">SUM(B7:E7)</f>
        <v>46.49</v>
      </c>
      <c r="H7" s="3">
        <f t="shared" ref="H7:H13" si="2">PRO_RS_CUST</f>
        <v>16</v>
      </c>
      <c r="I7" s="3">
        <f>IF('SCH N'!E20&lt;=1000,ROUND('SCH N'!E20*(PRO_RS_ENERGY),2),ROUND(1000*(PRO_RS_ENERGY),2))</f>
        <v>39.03</v>
      </c>
      <c r="J7" s="43">
        <v>0</v>
      </c>
      <c r="K7" s="43">
        <v>0</v>
      </c>
      <c r="L7" s="3">
        <f t="shared" ref="L7:L13" si="3">SUM(H7:K7)</f>
        <v>55.03</v>
      </c>
    </row>
    <row r="8" spans="2:18" x14ac:dyDescent="0.25">
      <c r="B8" s="3">
        <f t="shared" si="0"/>
        <v>13</v>
      </c>
      <c r="C8" s="3">
        <f>IF('SCH N'!E21&lt;=1000,ROUND('SCH N'!E21*(+CUR_RS_ENERGY),2),ROUND(1000*(CUR_RS_ENERGY),2))</f>
        <v>44.66</v>
      </c>
      <c r="D8" s="43">
        <v>0</v>
      </c>
      <c r="E8" s="43">
        <v>0</v>
      </c>
      <c r="F8" s="3">
        <f t="shared" si="1"/>
        <v>57.66</v>
      </c>
      <c r="H8" s="3">
        <f t="shared" si="2"/>
        <v>16</v>
      </c>
      <c r="I8" s="3">
        <f>IF('SCH N'!E21&lt;=1000,ROUND('SCH N'!E21*(PRO_RS_ENERGY),2),ROUND(1000*(PRO_RS_ENERGY),2))</f>
        <v>52.04</v>
      </c>
      <c r="J8" s="43">
        <v>0</v>
      </c>
      <c r="K8" s="43">
        <v>0</v>
      </c>
      <c r="L8" s="3">
        <f t="shared" si="3"/>
        <v>68.039999999999992</v>
      </c>
    </row>
    <row r="9" spans="2:18" x14ac:dyDescent="0.25">
      <c r="B9" s="3">
        <f t="shared" si="0"/>
        <v>13</v>
      </c>
      <c r="C9" s="3">
        <f>IF('SCH N'!E22&lt;=1000,ROUND('SCH N'!E22*(+CUR_RS_ENERGY),2),ROUND(1000*(CUR_RS_ENERGY),2))</f>
        <v>55.82</v>
      </c>
      <c r="D9" s="43">
        <v>0</v>
      </c>
      <c r="E9" s="43">
        <v>0</v>
      </c>
      <c r="F9" s="3">
        <f t="shared" si="1"/>
        <v>68.819999999999993</v>
      </c>
      <c r="H9" s="3">
        <f t="shared" si="2"/>
        <v>16</v>
      </c>
      <c r="I9" s="3">
        <f>IF('SCH N'!E22&lt;=1000,ROUND('SCH N'!E22*(PRO_RS_ENERGY),2),ROUND(1000*(PRO_RS_ENERGY),2))</f>
        <v>65.06</v>
      </c>
      <c r="J9" s="43">
        <v>0</v>
      </c>
      <c r="K9" s="43">
        <v>0</v>
      </c>
      <c r="L9" s="3">
        <f t="shared" si="3"/>
        <v>81.06</v>
      </c>
    </row>
    <row r="10" spans="2:18" x14ac:dyDescent="0.25">
      <c r="B10" s="3">
        <f t="shared" si="0"/>
        <v>13</v>
      </c>
      <c r="C10" s="3">
        <f>IF('SCH N'!E23&lt;=1000,ROUND('SCH N'!E23*(+CUR_RS_ENERGY),2),ROUND(1000*(CUR_RS_ENERGY),2))</f>
        <v>89.31</v>
      </c>
      <c r="D10" s="43">
        <v>0</v>
      </c>
      <c r="E10" s="43">
        <v>0</v>
      </c>
      <c r="F10" s="3">
        <f t="shared" si="1"/>
        <v>102.31</v>
      </c>
      <c r="H10" s="3">
        <f t="shared" si="2"/>
        <v>16</v>
      </c>
      <c r="I10" s="3">
        <f>IF('SCH N'!E23&lt;=1000,ROUND('SCH N'!E23*(PRO_RS_ENERGY),2),ROUND(1000*(PRO_RS_ENERGY),2))</f>
        <v>104.09</v>
      </c>
      <c r="J10" s="43">
        <v>0</v>
      </c>
      <c r="K10" s="43">
        <v>0</v>
      </c>
      <c r="L10" s="3">
        <f t="shared" si="3"/>
        <v>120.09</v>
      </c>
    </row>
    <row r="11" spans="2:18" x14ac:dyDescent="0.25">
      <c r="B11" s="3">
        <f t="shared" si="0"/>
        <v>13</v>
      </c>
      <c r="C11" s="3">
        <f>IF('SCH N'!E24&lt;=1000,ROUND('SCH N'!E24*(+CUR_RS_ENERGY),2),ROUND(1000*(CUR_RS_ENERGY),2))</f>
        <v>111.64</v>
      </c>
      <c r="D11" s="43">
        <v>0</v>
      </c>
      <c r="E11" s="43">
        <v>0</v>
      </c>
      <c r="F11" s="3">
        <f t="shared" si="1"/>
        <v>124.64</v>
      </c>
      <c r="H11" s="3">
        <f t="shared" si="2"/>
        <v>16</v>
      </c>
      <c r="I11" s="3">
        <f>IF('SCH N'!E24&lt;=1000,ROUND('SCH N'!E24*(PRO_RS_ENERGY),2),ROUND(1000*(PRO_RS_ENERGY),2))</f>
        <v>130.11000000000001</v>
      </c>
      <c r="J11" s="43">
        <v>0</v>
      </c>
      <c r="K11" s="43">
        <v>0</v>
      </c>
      <c r="L11" s="3">
        <f t="shared" si="3"/>
        <v>146.11000000000001</v>
      </c>
    </row>
    <row r="12" spans="2:18" x14ac:dyDescent="0.25">
      <c r="B12" s="3">
        <f t="shared" si="0"/>
        <v>13</v>
      </c>
      <c r="C12" s="3">
        <f>IF('SCH N'!E25&lt;=1000,ROUND('SCH N'!E25*(+CUR_RS_ENERGY),2),ROUND(1000*(CUR_RS_ENERGY),2))</f>
        <v>111.64</v>
      </c>
      <c r="D12" s="43">
        <v>0</v>
      </c>
      <c r="E12" s="43">
        <v>0</v>
      </c>
      <c r="F12" s="3">
        <f t="shared" si="1"/>
        <v>124.64</v>
      </c>
      <c r="H12" s="3">
        <f t="shared" si="2"/>
        <v>16</v>
      </c>
      <c r="I12" s="3">
        <f>IF('SCH N'!E25&lt;=1000,ROUND('SCH N'!E25*(PRO_RS_ENERGY),2),ROUND(1000*(PRO_RS_ENERGY),2))</f>
        <v>130.11000000000001</v>
      </c>
      <c r="J12" s="43">
        <v>0</v>
      </c>
      <c r="K12" s="43">
        <v>0</v>
      </c>
      <c r="L12" s="3">
        <f t="shared" si="3"/>
        <v>146.11000000000001</v>
      </c>
    </row>
    <row r="13" spans="2:18" x14ac:dyDescent="0.25">
      <c r="B13" s="3">
        <f t="shared" si="0"/>
        <v>13</v>
      </c>
      <c r="C13" s="3">
        <f>IF('SCH N'!E26&lt;=1000,ROUND('SCH N'!E26*(+CUR_RS_ENERGY),2),ROUND(1000*(CUR_RS_ENERGY),2))</f>
        <v>111.64</v>
      </c>
      <c r="D13" s="43">
        <v>0</v>
      </c>
      <c r="E13" s="43">
        <v>0</v>
      </c>
      <c r="F13" s="3">
        <f t="shared" si="1"/>
        <v>124.64</v>
      </c>
      <c r="H13" s="3">
        <f t="shared" si="2"/>
        <v>16</v>
      </c>
      <c r="I13" s="3">
        <f>IF('SCH N'!E26&lt;=1000,ROUND('SCH N'!E26*(PRO_RS_ENERGY),2),ROUND(1000*(PRO_RS_ENERGY),2))</f>
        <v>130.11000000000001</v>
      </c>
      <c r="J13" s="43">
        <v>0</v>
      </c>
      <c r="K13" s="43">
        <v>0</v>
      </c>
      <c r="L13" s="3">
        <f t="shared" si="3"/>
        <v>146.11000000000001</v>
      </c>
    </row>
    <row r="14" spans="2:18" x14ac:dyDescent="0.25">
      <c r="F14" s="3"/>
      <c r="L14" s="3"/>
    </row>
    <row r="15" spans="2:18" s="11" customFormat="1" x14ac:dyDescent="0.25"/>
    <row r="16" spans="2:18" ht="15.6" x14ac:dyDescent="0.3">
      <c r="B16" s="8" t="s">
        <v>176</v>
      </c>
      <c r="C16" s="6"/>
      <c r="D16" s="6"/>
      <c r="E16" s="6"/>
      <c r="F16" s="6"/>
      <c r="G16" s="6"/>
      <c r="H16" s="6"/>
      <c r="I16" s="6"/>
      <c r="K16" s="8" t="s">
        <v>177</v>
      </c>
      <c r="L16" s="6"/>
      <c r="M16" s="6"/>
      <c r="N16" s="6"/>
      <c r="O16" s="6"/>
      <c r="P16" s="6"/>
      <c r="Q16" s="6"/>
      <c r="R16" s="6"/>
    </row>
    <row r="17" spans="1:18" x14ac:dyDescent="0.25">
      <c r="C17" s="2" t="s">
        <v>108</v>
      </c>
      <c r="D17" s="2" t="s">
        <v>108</v>
      </c>
      <c r="E17" s="2" t="s">
        <v>108</v>
      </c>
      <c r="F17" s="2" t="s">
        <v>107</v>
      </c>
      <c r="G17" s="2" t="s">
        <v>107</v>
      </c>
      <c r="H17" s="2" t="s">
        <v>107</v>
      </c>
      <c r="L17" s="2" t="s">
        <v>108</v>
      </c>
      <c r="M17" s="2" t="s">
        <v>108</v>
      </c>
      <c r="N17" s="2" t="s">
        <v>108</v>
      </c>
      <c r="O17" s="2" t="s">
        <v>107</v>
      </c>
      <c r="P17" s="2" t="s">
        <v>107</v>
      </c>
      <c r="Q17" s="2" t="s">
        <v>107</v>
      </c>
    </row>
    <row r="18" spans="1:18" x14ac:dyDescent="0.25">
      <c r="B18" s="2" t="s">
        <v>20</v>
      </c>
      <c r="C18" s="2" t="s">
        <v>112</v>
      </c>
      <c r="D18" s="2" t="s">
        <v>113</v>
      </c>
      <c r="E18" s="2" t="s">
        <v>114</v>
      </c>
      <c r="F18" s="2" t="s">
        <v>112</v>
      </c>
      <c r="G18" s="2" t="s">
        <v>113</v>
      </c>
      <c r="H18" s="2" t="s">
        <v>114</v>
      </c>
      <c r="I18" s="2" t="s">
        <v>11</v>
      </c>
      <c r="K18" s="2" t="s">
        <v>20</v>
      </c>
      <c r="L18" s="2" t="s">
        <v>112</v>
      </c>
      <c r="M18" s="2" t="s">
        <v>113</v>
      </c>
      <c r="N18" s="2" t="s">
        <v>114</v>
      </c>
      <c r="O18" s="2" t="s">
        <v>112</v>
      </c>
      <c r="P18" s="2" t="s">
        <v>113</v>
      </c>
      <c r="Q18" s="2" t="s">
        <v>114</v>
      </c>
      <c r="R18" s="2" t="s">
        <v>11</v>
      </c>
    </row>
    <row r="19" spans="1:18" x14ac:dyDescent="0.25">
      <c r="B19" s="5" t="s">
        <v>115</v>
      </c>
      <c r="C19" s="5" t="s">
        <v>116</v>
      </c>
      <c r="D19" s="5" t="s">
        <v>116</v>
      </c>
      <c r="E19" s="5" t="s">
        <v>116</v>
      </c>
      <c r="F19" s="5" t="s">
        <v>116</v>
      </c>
      <c r="G19" s="5" t="s">
        <v>116</v>
      </c>
      <c r="H19" s="5" t="s">
        <v>116</v>
      </c>
      <c r="I19" s="5" t="s">
        <v>106</v>
      </c>
      <c r="J19" s="4"/>
      <c r="K19" s="5" t="s">
        <v>115</v>
      </c>
      <c r="L19" s="5" t="s">
        <v>116</v>
      </c>
      <c r="M19" s="5" t="s">
        <v>116</v>
      </c>
      <c r="N19" s="5" t="s">
        <v>116</v>
      </c>
      <c r="O19" s="5" t="s">
        <v>116</v>
      </c>
      <c r="P19" s="5" t="s">
        <v>116</v>
      </c>
      <c r="Q19" s="5" t="s">
        <v>116</v>
      </c>
      <c r="R19" s="5" t="s">
        <v>106</v>
      </c>
    </row>
    <row r="20" spans="1:18" ht="15.6" x14ac:dyDescent="0.3">
      <c r="B20" s="44" t="s">
        <v>354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x14ac:dyDescent="0.25">
      <c r="A21" s="1" t="s">
        <v>91</v>
      </c>
      <c r="B21" s="3">
        <f>CUR_DS_CST_2</f>
        <v>30</v>
      </c>
      <c r="C21" s="3">
        <f>IF('SCH N'!$D53&lt;=15,ROUND('SCH N'!$D53*CUR_DS_DEM_1,2),ROUND(15*CUR_DS_DEM_1,2))</f>
        <v>0</v>
      </c>
      <c r="D21" s="3">
        <f>IF('SCH N'!$D53&lt;=15,0,ROUND(('SCH N'!$D53-15)*CUR_DS_DEM_3,2))</f>
        <v>0</v>
      </c>
      <c r="E21" s="9">
        <v>0</v>
      </c>
      <c r="F21" s="3">
        <f>IF('SCH N'!$E53&lt;=6000,ROUND('SCH N'!$E53*(CUR_DS_KWH_1),2),ROUND(6000*(CUR_DS_KWH_1),2))</f>
        <v>229.58</v>
      </c>
      <c r="G21" s="3">
        <f>IF('SCH N'!$E53&lt;=6000,0,IF(('SCH N'!$D53*300)&lt;=('SCH N'!$E53-6000),ROUND(('SCH N'!$D53*300)*(CUR_DS_KWH_2),2),ROUND(('SCH N'!$E53-6000)*(CUR_DS_KWH_2),2)))</f>
        <v>0</v>
      </c>
      <c r="H21" s="3">
        <f>IF('SCH N'!$E53&lt;=(6000+('SCH N'!$D53*300)),0,ROUND(('SCH N'!$E53-(6000+('SCH N'!$D53*300)))*(CUR_DS_KWH_3),2))</f>
        <v>0</v>
      </c>
      <c r="I21" s="3">
        <f t="shared" ref="I21:I41" si="4">SUM(B21:H21)</f>
        <v>259.58000000000004</v>
      </c>
      <c r="J21" s="3"/>
      <c r="K21" s="3">
        <f>PRO_DS_CST_2</f>
        <v>30</v>
      </c>
      <c r="L21" s="3">
        <f>IF('SCH N'!$D53&lt;=15,ROUND('SCH N'!$D53*PRO_DS_DEM_1,2),ROUND(15*PRO_DS_DEM_1,2))</f>
        <v>0</v>
      </c>
      <c r="M21" s="3">
        <f>IF('SCH N'!$D53&lt;=15,0,ROUND(('SCH N'!$D53-15)*PRO_DS_DEM_3,2))</f>
        <v>0</v>
      </c>
      <c r="N21" s="9">
        <v>0</v>
      </c>
      <c r="O21" s="3">
        <f>IF('SCH N'!$E53&lt;=6000,ROUND('SCH N'!$E53*(PRO_DS_KWH_1),2),ROUND(6000*(PRO_DS_KWH_1),2))</f>
        <v>265.75</v>
      </c>
      <c r="P21" s="3">
        <f>IF('SCH N'!$E53&lt;=6000,0,IF(('SCH N'!$D53*300)&lt;=('SCH N'!$E53-6000),ROUND(('SCH N'!$D53*300)*(PRO_DS_KWH_2),2),ROUND(('SCH N'!$E53-6000)*(PRO_DS_KWH_2),2)))</f>
        <v>0</v>
      </c>
      <c r="Q21" s="3">
        <f>IF('SCH N'!$E53&lt;=(6000+('SCH N'!$D53*300)),0,ROUND(('SCH N'!$E53-(6000+('SCH N'!$D53*300)))*(PRO_DS_KWH_3),2))</f>
        <v>0</v>
      </c>
      <c r="R21" s="3">
        <f t="shared" ref="R21:R41" si="5">SUM(K21:Q21)</f>
        <v>295.75</v>
      </c>
    </row>
    <row r="22" spans="1:18" x14ac:dyDescent="0.25">
      <c r="B22" s="3">
        <f t="shared" ref="B22:B41" si="6">CUR_DS_CST_2</f>
        <v>30</v>
      </c>
      <c r="C22" s="3">
        <f>IF('SCH N'!$D54&lt;=15,ROUND('SCH N'!$D54*CUR_DS_DEM_1,2),ROUND(15*CUR_DS_DEM_1,2))</f>
        <v>0</v>
      </c>
      <c r="D22" s="3">
        <f>IF('SCH N'!$D54&lt;=15,0,ROUND(('SCH N'!$D54-15)*CUR_DS_DEM_3,2))</f>
        <v>0</v>
      </c>
      <c r="E22" s="9">
        <v>0</v>
      </c>
      <c r="F22" s="3">
        <f>IF('SCH N'!$E54&lt;=6000,ROUND('SCH N'!$E54*(CUR_DS_KWH_1),2),ROUND(6000*(CUR_DS_KWH_1),2))</f>
        <v>459.15</v>
      </c>
      <c r="G22" s="3">
        <f>IF('SCH N'!$E54&lt;=6000,0,IF(('SCH N'!$D54*300)&lt;=('SCH N'!$E54-6000),ROUND(('SCH N'!$D54*300)*(CUR_DS_KWH_2),2),ROUND(('SCH N'!$E54-6000)*(CUR_DS_KWH_2),2)))</f>
        <v>0</v>
      </c>
      <c r="H22" s="3">
        <f>IF('SCH N'!$E54&lt;=(6000+('SCH N'!$D54*300)),0,ROUND(('SCH N'!$E54-(6000+('SCH N'!$D54*300)))*(CUR_DS_KWH_3),2))</f>
        <v>0</v>
      </c>
      <c r="I22" s="3">
        <f t="shared" si="4"/>
        <v>489.15</v>
      </c>
      <c r="J22" s="3"/>
      <c r="K22" s="3">
        <f t="shared" ref="K22:K41" si="7">PRO_DS_CST_2</f>
        <v>30</v>
      </c>
      <c r="L22" s="3">
        <f>IF('SCH N'!$D54&lt;=15,ROUND('SCH N'!$D54*PRO_DS_DEM_1,2),ROUND(15*PRO_DS_DEM_1,2))</f>
        <v>0</v>
      </c>
      <c r="M22" s="3">
        <f>IF('SCH N'!$D54&lt;=15,0,ROUND(('SCH N'!$D54-15)*PRO_DS_DEM_3,2))</f>
        <v>0</v>
      </c>
      <c r="N22" s="9">
        <v>0</v>
      </c>
      <c r="O22" s="3">
        <f>IF('SCH N'!$E54&lt;=6000,ROUND('SCH N'!$E54*(PRO_DS_KWH_1),2),ROUND(6000*(PRO_DS_KWH_1),2))</f>
        <v>531.5</v>
      </c>
      <c r="P22" s="3">
        <f>IF('SCH N'!$E54&lt;=6000,0,IF(('SCH N'!$D54*300)&lt;=('SCH N'!$E54-6000),ROUND(('SCH N'!$D54*300)*(PRO_DS_KWH_2),2),ROUND(('SCH N'!$E54-6000)*(PRO_DS_KWH_2),2)))</f>
        <v>0</v>
      </c>
      <c r="Q22" s="3">
        <f>IF('SCH N'!$E54&lt;=(6000+('SCH N'!$D54*300)),0,ROUND(('SCH N'!$E54-(6000+('SCH N'!$D54*300)))*(PRO_DS_KWH_3),2))</f>
        <v>0</v>
      </c>
      <c r="R22" s="3">
        <f t="shared" si="5"/>
        <v>561.5</v>
      </c>
    </row>
    <row r="23" spans="1:18" x14ac:dyDescent="0.25">
      <c r="B23" s="3">
        <f t="shared" si="6"/>
        <v>30</v>
      </c>
      <c r="C23" s="3">
        <f>IF('SCH N'!$D55&lt;=15,ROUND('SCH N'!$D55*CUR_DS_DEM_1,2),ROUND(15*CUR_DS_DEM_1,2))</f>
        <v>0</v>
      </c>
      <c r="D23" s="3">
        <f>IF('SCH N'!$D55&lt;=15,0,ROUND(('SCH N'!$D55-15)*CUR_DS_DEM_3,2))</f>
        <v>0</v>
      </c>
      <c r="E23" s="9">
        <v>0</v>
      </c>
      <c r="F23" s="3">
        <f>IF('SCH N'!$E55&lt;=6000,ROUND('SCH N'!$E55*(CUR_DS_KWH_1),2),ROUND(6000*(CUR_DS_KWH_1),2))</f>
        <v>688.73</v>
      </c>
      <c r="G23" s="3">
        <f>IF('SCH N'!$E55&lt;=6000,0,IF(('SCH N'!$D55*300)&lt;=('SCH N'!$E55-6000),ROUND(('SCH N'!$D55*300)*(CUR_DS_KWH_2),2),ROUND(('SCH N'!$E55-6000)*(CUR_DS_KWH_2),2)))</f>
        <v>0</v>
      </c>
      <c r="H23" s="3">
        <f>IF('SCH N'!$E55&lt;=(6000+('SCH N'!$D55*300)),0,ROUND(('SCH N'!$E55-(6000+('SCH N'!$D55*300)))*(CUR_DS_KWH_3),2))</f>
        <v>0</v>
      </c>
      <c r="I23" s="3">
        <f t="shared" si="4"/>
        <v>718.73</v>
      </c>
      <c r="J23" s="3"/>
      <c r="K23" s="3">
        <f t="shared" si="7"/>
        <v>30</v>
      </c>
      <c r="L23" s="3">
        <f>IF('SCH N'!$D55&lt;=15,ROUND('SCH N'!$D55*PRO_DS_DEM_1,2),ROUND(15*PRO_DS_DEM_1,2))</f>
        <v>0</v>
      </c>
      <c r="M23" s="3">
        <f>IF('SCH N'!$D55&lt;=15,0,ROUND(('SCH N'!$D55-15)*PRO_DS_DEM_3,2))</f>
        <v>0</v>
      </c>
      <c r="N23" s="9">
        <v>0</v>
      </c>
      <c r="O23" s="3">
        <f>IF('SCH N'!$E55&lt;=6000,ROUND('SCH N'!$E55*(PRO_DS_KWH_1),2),ROUND(6000*(PRO_DS_KWH_1),2))</f>
        <v>797.24</v>
      </c>
      <c r="P23" s="3">
        <f>IF('SCH N'!$E55&lt;=6000,0,IF(('SCH N'!$D55*300)&lt;=('SCH N'!$E55-6000),ROUND(('SCH N'!$D55*300)*(PRO_DS_KWH_2),2),ROUND(('SCH N'!$E55-6000)*(PRO_DS_KWH_2),2)))</f>
        <v>0</v>
      </c>
      <c r="Q23" s="3">
        <f>IF('SCH N'!$E55&lt;=(6000+('SCH N'!$D55*300)),0,ROUND(('SCH N'!$E55-(6000+('SCH N'!$D55*300)))*(PRO_DS_KWH_3),2))</f>
        <v>0</v>
      </c>
      <c r="R23" s="3">
        <f t="shared" si="5"/>
        <v>827.24</v>
      </c>
    </row>
    <row r="24" spans="1:18" x14ac:dyDescent="0.25">
      <c r="B24" s="3">
        <f t="shared" si="6"/>
        <v>30</v>
      </c>
      <c r="C24" s="3">
        <f>IF('SCH N'!$D56&lt;=15,ROUND('SCH N'!$D56*CUR_DS_DEM_1,2),ROUND(15*CUR_DS_DEM_1,2))</f>
        <v>0</v>
      </c>
      <c r="D24" s="3">
        <f>IF('SCH N'!$D56&lt;=15,0,ROUND(('SCH N'!$D56-15)*CUR_DS_DEM_3,2))</f>
        <v>160.19999999999999</v>
      </c>
      <c r="E24" s="9">
        <v>0</v>
      </c>
      <c r="F24" s="3">
        <f>IF('SCH N'!$E56&lt;=6000,ROUND('SCH N'!$E56*(CUR_DS_KWH_1),2),ROUND(6000*(CUR_DS_KWH_1),2))</f>
        <v>688.73</v>
      </c>
      <c r="G24" s="3">
        <f>IF('SCH N'!$E56&lt;=6000,0,IF(('SCH N'!$D56*300)&lt;=('SCH N'!$E56-6000),ROUND(('SCH N'!$D56*300)*(CUR_DS_KWH_2),2),ROUND(('SCH N'!$E56-6000)*(CUR_DS_KWH_2),2)))</f>
        <v>0</v>
      </c>
      <c r="H24" s="3">
        <f>IF('SCH N'!$E56&lt;=(6000+('SCH N'!$D56*300)),0,ROUND(('SCH N'!$E56-(6000+('SCH N'!$D56*300)))*(CUR_DS_KWH_3),2))</f>
        <v>0</v>
      </c>
      <c r="I24" s="3">
        <f t="shared" si="4"/>
        <v>878.93000000000006</v>
      </c>
      <c r="J24" s="3"/>
      <c r="K24" s="3">
        <f t="shared" si="7"/>
        <v>30</v>
      </c>
      <c r="L24" s="3">
        <f>IF('SCH N'!$D56&lt;=15,ROUND('SCH N'!$D56*PRO_DS_DEM_1,2),ROUND(15*PRO_DS_DEM_1,2))</f>
        <v>0</v>
      </c>
      <c r="M24" s="3">
        <f>IF('SCH N'!$D56&lt;=15,0,ROUND(('SCH N'!$D56-15)*PRO_DS_DEM_3,2))</f>
        <v>185.4</v>
      </c>
      <c r="N24" s="9">
        <v>0</v>
      </c>
      <c r="O24" s="3">
        <f>IF('SCH N'!$E56&lt;=6000,ROUND('SCH N'!$E56*(PRO_DS_KWH_1),2),ROUND(6000*(PRO_DS_KWH_1),2))</f>
        <v>797.24</v>
      </c>
      <c r="P24" s="3">
        <f>IF('SCH N'!$E56&lt;=6000,0,IF(('SCH N'!$D56*300)&lt;=('SCH N'!$E56-6000),ROUND(('SCH N'!$D56*300)*(PRO_DS_KWH_2),2),ROUND(('SCH N'!$E56-6000)*(PRO_DS_KWH_2),2)))</f>
        <v>0</v>
      </c>
      <c r="Q24" s="3">
        <f>IF('SCH N'!$E56&lt;=(6000+('SCH N'!$D56*300)),0,ROUND(('SCH N'!$E56-(6000+('SCH N'!$D56*300)))*(PRO_DS_KWH_3),2))</f>
        <v>0</v>
      </c>
      <c r="R24" s="3">
        <f t="shared" si="5"/>
        <v>1012.64</v>
      </c>
    </row>
    <row r="25" spans="1:18" x14ac:dyDescent="0.25">
      <c r="B25" s="3">
        <f t="shared" si="6"/>
        <v>30</v>
      </c>
      <c r="C25" s="3">
        <f>IF('SCH N'!$D57&lt;=15,ROUND('SCH N'!$D57*CUR_DS_DEM_1,2),ROUND(15*CUR_DS_DEM_1,2))</f>
        <v>0</v>
      </c>
      <c r="D25" s="3">
        <f>IF('SCH N'!$D57&lt;=15,0,ROUND(('SCH N'!$D57-15)*CUR_DS_DEM_3,2))</f>
        <v>160.19999999999999</v>
      </c>
      <c r="E25" s="9">
        <v>0</v>
      </c>
      <c r="F25" s="3">
        <f>IF('SCH N'!$E57&lt;=6000,ROUND('SCH N'!$E57*(CUR_DS_KWH_1),2),ROUND(6000*(CUR_DS_KWH_1),2))</f>
        <v>688.73</v>
      </c>
      <c r="G25" s="3">
        <f>IF('SCH N'!$E57&lt;=6000,0,IF(('SCH N'!$D57*300)&lt;=('SCH N'!$E57-6000),ROUND(('SCH N'!$D57*300)*(CUR_DS_KWH_2),2),ROUND(('SCH N'!$E57-6000)*(CUR_DS_KWH_2),2)))</f>
        <v>223.86</v>
      </c>
      <c r="H25" s="3">
        <f>IF('SCH N'!$E57&lt;=(6000+('SCH N'!$D57*300)),0,ROUND(('SCH N'!$E57-(6000+('SCH N'!$D57*300)))*(CUR_DS_KWH_3),2))</f>
        <v>0</v>
      </c>
      <c r="I25" s="3">
        <f t="shared" si="4"/>
        <v>1102.79</v>
      </c>
      <c r="J25" s="3"/>
      <c r="K25" s="3">
        <f t="shared" si="7"/>
        <v>30</v>
      </c>
      <c r="L25" s="3">
        <f>IF('SCH N'!$D57&lt;=15,ROUND('SCH N'!$D57*PRO_DS_DEM_1,2),ROUND(15*PRO_DS_DEM_1,2))</f>
        <v>0</v>
      </c>
      <c r="M25" s="3">
        <f>IF('SCH N'!$D57&lt;=15,0,ROUND(('SCH N'!$D57-15)*PRO_DS_DEM_3,2))</f>
        <v>185.4</v>
      </c>
      <c r="N25" s="9">
        <v>0</v>
      </c>
      <c r="O25" s="3">
        <f>IF('SCH N'!$E57&lt;=6000,ROUND('SCH N'!$E57*(PRO_DS_KWH_1),2),ROUND(6000*(PRO_DS_KWH_1),2))</f>
        <v>797.24</v>
      </c>
      <c r="P25" s="3">
        <f>IF('SCH N'!$E57&lt;=6000,0,IF(('SCH N'!$D57*300)&lt;=('SCH N'!$E57-6000),ROUND(('SCH N'!$D57*300)*(PRO_DS_KWH_2),2),ROUND(('SCH N'!$E57-6000)*(PRO_DS_KWH_2),2)))</f>
        <v>259.13</v>
      </c>
      <c r="Q25" s="3">
        <f>IF('SCH N'!$E57&lt;=(6000+('SCH N'!$D57*300)),0,ROUND(('SCH N'!$E57-(6000+('SCH N'!$D57*300)))*(PRO_DS_KWH_3),2))</f>
        <v>0</v>
      </c>
      <c r="R25" s="3">
        <f t="shared" si="5"/>
        <v>1271.77</v>
      </c>
    </row>
    <row r="26" spans="1:18" x14ac:dyDescent="0.25">
      <c r="B26" s="3">
        <f t="shared" si="6"/>
        <v>30</v>
      </c>
      <c r="C26" s="3">
        <f>IF('SCH N'!$D58&lt;=15,ROUND('SCH N'!$D58*CUR_DS_DEM_1,2),ROUND(15*CUR_DS_DEM_1,2))</f>
        <v>0</v>
      </c>
      <c r="D26" s="3">
        <f>IF('SCH N'!$D58&lt;=15,0,ROUND(('SCH N'!$D58-15)*CUR_DS_DEM_3,2))</f>
        <v>160.19999999999999</v>
      </c>
      <c r="E26" s="9">
        <v>0</v>
      </c>
      <c r="F26" s="3">
        <f>IF('SCH N'!$E58&lt;=6000,ROUND('SCH N'!$E58*(CUR_DS_KWH_1),2),ROUND(6000*(CUR_DS_KWH_1),2))</f>
        <v>688.73</v>
      </c>
      <c r="G26" s="3">
        <f>IF('SCH N'!$E58&lt;=6000,0,IF(('SCH N'!$D58*300)&lt;=('SCH N'!$E58-6000),ROUND(('SCH N'!$D58*300)*(CUR_DS_KWH_2),2),ROUND(('SCH N'!$E58-6000)*(CUR_DS_KWH_2),2)))</f>
        <v>447.71</v>
      </c>
      <c r="H26" s="3">
        <f>IF('SCH N'!$E58&lt;=(6000+('SCH N'!$D58*300)),0,ROUND(('SCH N'!$E58-(6000+('SCH N'!$D58*300)))*(CUR_DS_KWH_3),2))</f>
        <v>0</v>
      </c>
      <c r="I26" s="3">
        <f t="shared" si="4"/>
        <v>1326.64</v>
      </c>
      <c r="J26" s="3"/>
      <c r="K26" s="3">
        <f t="shared" si="7"/>
        <v>30</v>
      </c>
      <c r="L26" s="3">
        <f>IF('SCH N'!$D58&lt;=15,ROUND('SCH N'!$D58*PRO_DS_DEM_1,2),ROUND(15*PRO_DS_DEM_1,2))</f>
        <v>0</v>
      </c>
      <c r="M26" s="3">
        <f>IF('SCH N'!$D58&lt;=15,0,ROUND(('SCH N'!$D58-15)*PRO_DS_DEM_3,2))</f>
        <v>185.4</v>
      </c>
      <c r="N26" s="9">
        <v>0</v>
      </c>
      <c r="O26" s="3">
        <f>IF('SCH N'!$E58&lt;=6000,ROUND('SCH N'!$E58*(PRO_DS_KWH_1),2),ROUND(6000*(PRO_DS_KWH_1),2))</f>
        <v>797.24</v>
      </c>
      <c r="P26" s="3">
        <f>IF('SCH N'!$E58&lt;=6000,0,IF(('SCH N'!$D58*300)&lt;=('SCH N'!$E58-6000),ROUND(('SCH N'!$D58*300)*(PRO_DS_KWH_2),2),ROUND(('SCH N'!$E58-6000)*(PRO_DS_KWH_2),2)))</f>
        <v>518.26</v>
      </c>
      <c r="Q26" s="3">
        <f>IF('SCH N'!$E58&lt;=(6000+('SCH N'!$D58*300)),0,ROUND(('SCH N'!$E58-(6000+('SCH N'!$D58*300)))*(PRO_DS_KWH_3),2))</f>
        <v>0</v>
      </c>
      <c r="R26" s="3">
        <f t="shared" si="5"/>
        <v>1530.9</v>
      </c>
    </row>
    <row r="27" spans="1:18" x14ac:dyDescent="0.25">
      <c r="B27" s="3">
        <f t="shared" si="6"/>
        <v>30</v>
      </c>
      <c r="C27" s="3">
        <f>IF('SCH N'!$D59&lt;=15,ROUND('SCH N'!$D59*CUR_DS_DEM_1,2),ROUND(15*CUR_DS_DEM_1,2))</f>
        <v>0</v>
      </c>
      <c r="D27" s="3">
        <f>IF('SCH N'!$D59&lt;=15,0,ROUND(('SCH N'!$D59-15)*CUR_DS_DEM_3,2))</f>
        <v>373.8</v>
      </c>
      <c r="E27" s="9">
        <v>0</v>
      </c>
      <c r="F27" s="3">
        <f>IF('SCH N'!$E59&lt;=6000,ROUND('SCH N'!$E59*(CUR_DS_KWH_1),2),ROUND(6000*(CUR_DS_KWH_1),2))</f>
        <v>688.73</v>
      </c>
      <c r="G27" s="3">
        <f>IF('SCH N'!$E59&lt;=6000,0,IF(('SCH N'!$D59*300)&lt;=('SCH N'!$E59-6000),ROUND(('SCH N'!$D59*300)*(CUR_DS_KWH_2),2),ROUND(('SCH N'!$E59-6000)*(CUR_DS_KWH_2),2)))</f>
        <v>298.48</v>
      </c>
      <c r="H27" s="3">
        <f>IF('SCH N'!$E59&lt;=(6000+('SCH N'!$D59*300)),0,ROUND(('SCH N'!$E59-(6000+('SCH N'!$D59*300)))*(CUR_DS_KWH_3),2))</f>
        <v>0</v>
      </c>
      <c r="I27" s="3">
        <f t="shared" si="4"/>
        <v>1391.01</v>
      </c>
      <c r="J27" s="3"/>
      <c r="K27" s="3">
        <f t="shared" si="7"/>
        <v>30</v>
      </c>
      <c r="L27" s="3">
        <f>IF('SCH N'!$D59&lt;=15,ROUND('SCH N'!$D59*PRO_DS_DEM_1,2),ROUND(15*PRO_DS_DEM_1,2))</f>
        <v>0</v>
      </c>
      <c r="M27" s="3">
        <f>IF('SCH N'!$D59&lt;=15,0,ROUND(('SCH N'!$D59-15)*PRO_DS_DEM_3,2))</f>
        <v>432.6</v>
      </c>
      <c r="N27" s="9">
        <v>0</v>
      </c>
      <c r="O27" s="3">
        <f>IF('SCH N'!$E59&lt;=6000,ROUND('SCH N'!$E59*(PRO_DS_KWH_1),2),ROUND(6000*(PRO_DS_KWH_1),2))</f>
        <v>797.24</v>
      </c>
      <c r="P27" s="3">
        <f>IF('SCH N'!$E59&lt;=6000,0,IF(('SCH N'!$D59*300)&lt;=('SCH N'!$E59-6000),ROUND(('SCH N'!$D59*300)*(PRO_DS_KWH_2),2),ROUND(('SCH N'!$E59-6000)*(PRO_DS_KWH_2),2)))</f>
        <v>345.5</v>
      </c>
      <c r="Q27" s="3">
        <f>IF('SCH N'!$E59&lt;=(6000+('SCH N'!$D59*300)),0,ROUND(('SCH N'!$E59-(6000+('SCH N'!$D59*300)))*(PRO_DS_KWH_3),2))</f>
        <v>0</v>
      </c>
      <c r="R27" s="3">
        <f t="shared" si="5"/>
        <v>1605.3400000000001</v>
      </c>
    </row>
    <row r="28" spans="1:18" x14ac:dyDescent="0.25">
      <c r="B28" s="3">
        <f t="shared" si="6"/>
        <v>30</v>
      </c>
      <c r="C28" s="3">
        <f>IF('SCH N'!$D60&lt;=15,ROUND('SCH N'!$D60*CUR_DS_DEM_1,2),ROUND(15*CUR_DS_DEM_1,2))</f>
        <v>0</v>
      </c>
      <c r="D28" s="3">
        <f>IF('SCH N'!$D60&lt;=15,0,ROUND(('SCH N'!$D60-15)*CUR_DS_DEM_3,2))</f>
        <v>373.8</v>
      </c>
      <c r="E28" s="9">
        <v>0</v>
      </c>
      <c r="F28" s="3">
        <f>IF('SCH N'!$E60&lt;=6000,ROUND('SCH N'!$E60*(CUR_DS_KWH_1),2),ROUND(6000*(CUR_DS_KWH_1),2))</f>
        <v>688.73</v>
      </c>
      <c r="G28" s="3">
        <f>IF('SCH N'!$E60&lt;=6000,0,IF(('SCH N'!$D60*300)&lt;=('SCH N'!$E60-6000),ROUND(('SCH N'!$D60*300)*(CUR_DS_KWH_2),2),ROUND(('SCH N'!$E60-6000)*(CUR_DS_KWH_2),2)))</f>
        <v>671.57</v>
      </c>
      <c r="H28" s="3">
        <f>IF('SCH N'!$E60&lt;=(6000+('SCH N'!$D60*300)),0,ROUND(('SCH N'!$E60-(6000+('SCH N'!$D60*300)))*(CUR_DS_KWH_3),2))</f>
        <v>0</v>
      </c>
      <c r="I28" s="3">
        <f t="shared" si="4"/>
        <v>1764.1</v>
      </c>
      <c r="J28" s="3"/>
      <c r="K28" s="3">
        <f t="shared" si="7"/>
        <v>30</v>
      </c>
      <c r="L28" s="3">
        <f>IF('SCH N'!$D60&lt;=15,ROUND('SCH N'!$D60*PRO_DS_DEM_1,2),ROUND(15*PRO_DS_DEM_1,2))</f>
        <v>0</v>
      </c>
      <c r="M28" s="3">
        <f>IF('SCH N'!$D60&lt;=15,0,ROUND(('SCH N'!$D60-15)*PRO_DS_DEM_3,2))</f>
        <v>432.6</v>
      </c>
      <c r="N28" s="9">
        <v>0</v>
      </c>
      <c r="O28" s="3">
        <f>IF('SCH N'!$E60&lt;=6000,ROUND('SCH N'!$E60*(PRO_DS_KWH_1),2),ROUND(6000*(PRO_DS_KWH_1),2))</f>
        <v>797.24</v>
      </c>
      <c r="P28" s="3">
        <f>IF('SCH N'!$E60&lt;=6000,0,IF(('SCH N'!$D60*300)&lt;=('SCH N'!$E60-6000),ROUND(('SCH N'!$D60*300)*(PRO_DS_KWH_2),2),ROUND(('SCH N'!$E60-6000)*(PRO_DS_KWH_2),2)))</f>
        <v>777.38</v>
      </c>
      <c r="Q28" s="3">
        <f>IF('SCH N'!$E60&lt;=(6000+('SCH N'!$D60*300)),0,ROUND(('SCH N'!$E60-(6000+('SCH N'!$D60*300)))*(PRO_DS_KWH_3),2))</f>
        <v>0</v>
      </c>
      <c r="R28" s="3">
        <f t="shared" si="5"/>
        <v>2037.2200000000003</v>
      </c>
    </row>
    <row r="29" spans="1:18" x14ac:dyDescent="0.25">
      <c r="B29" s="3">
        <f t="shared" si="6"/>
        <v>30</v>
      </c>
      <c r="C29" s="3">
        <f>IF('SCH N'!$D61&lt;=15,ROUND('SCH N'!$D61*CUR_DS_DEM_1,2),ROUND(15*CUR_DS_DEM_1,2))</f>
        <v>0</v>
      </c>
      <c r="D29" s="3">
        <f>IF('SCH N'!$D61&lt;=15,0,ROUND(('SCH N'!$D61-15)*CUR_DS_DEM_3,2))</f>
        <v>373.8</v>
      </c>
      <c r="E29" s="9">
        <v>0</v>
      </c>
      <c r="F29" s="3">
        <f>IF('SCH N'!$E61&lt;=6000,ROUND('SCH N'!$E61*(CUR_DS_KWH_1),2),ROUND(6000*(CUR_DS_KWH_1),2))</f>
        <v>688.73</v>
      </c>
      <c r="G29" s="3">
        <f>IF('SCH N'!$E61&lt;=6000,0,IF(('SCH N'!$D61*300)&lt;=('SCH N'!$E61-6000),ROUND(('SCH N'!$D61*300)*(CUR_DS_KWH_2),2),ROUND(('SCH N'!$E61-6000)*(CUR_DS_KWH_2),2)))</f>
        <v>1044.67</v>
      </c>
      <c r="H29" s="3">
        <f>IF('SCH N'!$E61&lt;=(6000+('SCH N'!$D61*300)),0,ROUND(('SCH N'!$E61-(6000+('SCH N'!$D61*300)))*(CUR_DS_KWH_3),2))</f>
        <v>0</v>
      </c>
      <c r="I29" s="3">
        <f t="shared" si="4"/>
        <v>2137.1999999999998</v>
      </c>
      <c r="J29" s="3"/>
      <c r="K29" s="3">
        <f t="shared" si="7"/>
        <v>30</v>
      </c>
      <c r="L29" s="3">
        <f>IF('SCH N'!$D61&lt;=15,ROUND('SCH N'!$D61*PRO_DS_DEM_1,2),ROUND(15*PRO_DS_DEM_1,2))</f>
        <v>0</v>
      </c>
      <c r="M29" s="3">
        <f>IF('SCH N'!$D61&lt;=15,0,ROUND(('SCH N'!$D61-15)*PRO_DS_DEM_3,2))</f>
        <v>432.6</v>
      </c>
      <c r="N29" s="9">
        <v>0</v>
      </c>
      <c r="O29" s="3">
        <f>IF('SCH N'!$E61&lt;=6000,ROUND('SCH N'!$E61*(PRO_DS_KWH_1),2),ROUND(6000*(PRO_DS_KWH_1),2))</f>
        <v>797.24</v>
      </c>
      <c r="P29" s="3">
        <f>IF('SCH N'!$E61&lt;=6000,0,IF(('SCH N'!$D61*300)&lt;=('SCH N'!$E61-6000),ROUND(('SCH N'!$D61*300)*(PRO_DS_KWH_2),2),ROUND(('SCH N'!$E61-6000)*(PRO_DS_KWH_2),2)))</f>
        <v>1209.26</v>
      </c>
      <c r="Q29" s="3">
        <f>IF('SCH N'!$E61&lt;=(6000+('SCH N'!$D61*300)),0,ROUND(('SCH N'!$E61-(6000+('SCH N'!$D61*300)))*(PRO_DS_KWH_3),2))</f>
        <v>0</v>
      </c>
      <c r="R29" s="3">
        <f t="shared" si="5"/>
        <v>2469.1000000000004</v>
      </c>
    </row>
    <row r="30" spans="1:18" x14ac:dyDescent="0.25">
      <c r="B30" s="3">
        <f t="shared" si="6"/>
        <v>30</v>
      </c>
      <c r="C30" s="3">
        <f>IF('SCH N'!$D62&lt;=15,ROUND('SCH N'!$D62*CUR_DS_DEM_1,2),ROUND(15*CUR_DS_DEM_1,2))</f>
        <v>0</v>
      </c>
      <c r="D30" s="3">
        <f>IF('SCH N'!$D62&lt;=15,0,ROUND(('SCH N'!$D62-15)*CUR_DS_DEM_3,2))</f>
        <v>640.79999999999995</v>
      </c>
      <c r="E30" s="9">
        <v>0</v>
      </c>
      <c r="F30" s="3">
        <f>IF('SCH N'!$E62&lt;=6000,ROUND('SCH N'!$E62*(CUR_DS_KWH_1),2),ROUND(6000*(CUR_DS_KWH_1),2))</f>
        <v>688.73</v>
      </c>
      <c r="G30" s="3">
        <f>IF('SCH N'!$E62&lt;=6000,0,IF(('SCH N'!$D62*300)&lt;=('SCH N'!$E62-6000),ROUND(('SCH N'!$D62*300)*(CUR_DS_KWH_2),2),ROUND(('SCH N'!$E62-6000)*(CUR_DS_KWH_2),2)))</f>
        <v>671.57</v>
      </c>
      <c r="H30" s="3">
        <f>IF('SCH N'!$E62&lt;=(6000+('SCH N'!$D62*300)),0,ROUND(('SCH N'!$E62-(6000+('SCH N'!$D62*300)))*(CUR_DS_KWH_3),2))</f>
        <v>0</v>
      </c>
      <c r="I30" s="3">
        <f t="shared" si="4"/>
        <v>2031.1</v>
      </c>
      <c r="J30" s="3"/>
      <c r="K30" s="3">
        <f t="shared" si="7"/>
        <v>30</v>
      </c>
      <c r="L30" s="3">
        <f>IF('SCH N'!$D62&lt;=15,ROUND('SCH N'!$D62*PRO_DS_DEM_1,2),ROUND(15*PRO_DS_DEM_1,2))</f>
        <v>0</v>
      </c>
      <c r="M30" s="3">
        <f>IF('SCH N'!$D62&lt;=15,0,ROUND(('SCH N'!$D62-15)*PRO_DS_DEM_3,2))</f>
        <v>741.6</v>
      </c>
      <c r="N30" s="9">
        <v>0</v>
      </c>
      <c r="O30" s="3">
        <f>IF('SCH N'!$E62&lt;=6000,ROUND('SCH N'!$E62*(PRO_DS_KWH_1),2),ROUND(6000*(PRO_DS_KWH_1),2))</f>
        <v>797.24</v>
      </c>
      <c r="P30" s="3">
        <f>IF('SCH N'!$E62&lt;=6000,0,IF(('SCH N'!$D62*300)&lt;=('SCH N'!$E62-6000),ROUND(('SCH N'!$D62*300)*(PRO_DS_KWH_2),2),ROUND(('SCH N'!$E62-6000)*(PRO_DS_KWH_2),2)))</f>
        <v>777.38</v>
      </c>
      <c r="Q30" s="3">
        <f>IF('SCH N'!$E62&lt;=(6000+('SCH N'!$D62*300)),0,ROUND(('SCH N'!$E62-(6000+('SCH N'!$D62*300)))*(PRO_DS_KWH_3),2))</f>
        <v>0</v>
      </c>
      <c r="R30" s="3">
        <f t="shared" si="5"/>
        <v>2346.2200000000003</v>
      </c>
    </row>
    <row r="31" spans="1:18" x14ac:dyDescent="0.25">
      <c r="B31" s="3">
        <f t="shared" si="6"/>
        <v>30</v>
      </c>
      <c r="C31" s="3">
        <f>IF('SCH N'!$D63&lt;=15,ROUND('SCH N'!$D63*CUR_DS_DEM_1,2),ROUND(15*CUR_DS_DEM_1,2))</f>
        <v>0</v>
      </c>
      <c r="D31" s="3">
        <f>IF('SCH N'!$D63&lt;=15,0,ROUND(('SCH N'!$D63-15)*CUR_DS_DEM_3,2))</f>
        <v>640.79999999999995</v>
      </c>
      <c r="E31" s="9">
        <v>0</v>
      </c>
      <c r="F31" s="3">
        <f>IF('SCH N'!$E63&lt;=6000,ROUND('SCH N'!$E63*(CUR_DS_KWH_1),2),ROUND(6000*(CUR_DS_KWH_1),2))</f>
        <v>688.73</v>
      </c>
      <c r="G31" s="3">
        <f>IF('SCH N'!$E63&lt;=6000,0,IF(('SCH N'!$D63*300)&lt;=('SCH N'!$E63-6000),ROUND(('SCH N'!$D63*300)*(CUR_DS_KWH_2),2),ROUND(('SCH N'!$E63-6000)*(CUR_DS_KWH_2),2)))</f>
        <v>1044.67</v>
      </c>
      <c r="H31" s="3">
        <f>IF('SCH N'!$E63&lt;=(6000+('SCH N'!$D63*300)),0,ROUND(('SCH N'!$E63-(6000+('SCH N'!$D63*300)))*(CUR_DS_KWH_3),2))</f>
        <v>0</v>
      </c>
      <c r="I31" s="3">
        <f t="shared" si="4"/>
        <v>2404.1999999999998</v>
      </c>
      <c r="J31" s="3"/>
      <c r="K31" s="3">
        <f t="shared" si="7"/>
        <v>30</v>
      </c>
      <c r="L31" s="3">
        <f>IF('SCH N'!$D63&lt;=15,ROUND('SCH N'!$D63*PRO_DS_DEM_1,2),ROUND(15*PRO_DS_DEM_1,2))</f>
        <v>0</v>
      </c>
      <c r="M31" s="3">
        <f>IF('SCH N'!$D63&lt;=15,0,ROUND(('SCH N'!$D63-15)*PRO_DS_DEM_3,2))</f>
        <v>741.6</v>
      </c>
      <c r="N31" s="9">
        <v>0</v>
      </c>
      <c r="O31" s="3">
        <f>IF('SCH N'!$E63&lt;=6000,ROUND('SCH N'!$E63*(PRO_DS_KWH_1),2),ROUND(6000*(PRO_DS_KWH_1),2))</f>
        <v>797.24</v>
      </c>
      <c r="P31" s="3">
        <f>IF('SCH N'!$E63&lt;=6000,0,IF(('SCH N'!$D63*300)&lt;=('SCH N'!$E63-6000),ROUND(('SCH N'!$D63*300)*(PRO_DS_KWH_2),2),ROUND(('SCH N'!$E63-6000)*(PRO_DS_KWH_2),2)))</f>
        <v>1209.26</v>
      </c>
      <c r="Q31" s="3">
        <f>IF('SCH N'!$E63&lt;=(6000+('SCH N'!$D63*300)),0,ROUND(('SCH N'!$E63-(6000+('SCH N'!$D63*300)))*(PRO_DS_KWH_3),2))</f>
        <v>0</v>
      </c>
      <c r="R31" s="3">
        <f t="shared" si="5"/>
        <v>2778.1000000000004</v>
      </c>
    </row>
    <row r="32" spans="1:18" x14ac:dyDescent="0.25">
      <c r="B32" s="3">
        <f t="shared" si="6"/>
        <v>30</v>
      </c>
      <c r="C32" s="3">
        <f>IF('SCH N'!$D64&lt;=15,ROUND('SCH N'!$D64*CUR_DS_DEM_1,2),ROUND(15*CUR_DS_DEM_1,2))</f>
        <v>0</v>
      </c>
      <c r="D32" s="3">
        <f>IF('SCH N'!$D64&lt;=15,0,ROUND(('SCH N'!$D64-15)*CUR_DS_DEM_3,2))</f>
        <v>640.79999999999995</v>
      </c>
      <c r="E32" s="9">
        <v>0</v>
      </c>
      <c r="F32" s="3">
        <f>IF('SCH N'!$E64&lt;=6000,ROUND('SCH N'!$E64*(CUR_DS_KWH_1),2),ROUND(6000*(CUR_DS_KWH_1),2))</f>
        <v>688.73</v>
      </c>
      <c r="G32" s="3">
        <f>IF('SCH N'!$E64&lt;=6000,0,IF(('SCH N'!$D64*300)&lt;=('SCH N'!$E64-6000),ROUND(('SCH N'!$D64*300)*(CUR_DS_KWH_2),2),ROUND(('SCH N'!$E64-6000)*(CUR_DS_KWH_2),2)))</f>
        <v>1678.93</v>
      </c>
      <c r="H32" s="3">
        <f>IF('SCH N'!$E64&lt;=(6000+('SCH N'!$D64*300)),0,ROUND(('SCH N'!$E64-(6000+('SCH N'!$D64*300)))*(CUR_DS_KWH_3),2))</f>
        <v>94.58</v>
      </c>
      <c r="I32" s="3">
        <f t="shared" si="4"/>
        <v>3133.04</v>
      </c>
      <c r="J32" s="3"/>
      <c r="K32" s="3">
        <f t="shared" si="7"/>
        <v>30</v>
      </c>
      <c r="L32" s="3">
        <f>IF('SCH N'!$D64&lt;=15,ROUND('SCH N'!$D64*PRO_DS_DEM_1,2),ROUND(15*PRO_DS_DEM_1,2))</f>
        <v>0</v>
      </c>
      <c r="M32" s="3">
        <f>IF('SCH N'!$D64&lt;=15,0,ROUND(('SCH N'!$D64-15)*PRO_DS_DEM_3,2))</f>
        <v>741.6</v>
      </c>
      <c r="N32" s="9">
        <v>0</v>
      </c>
      <c r="O32" s="3">
        <f>IF('SCH N'!$E64&lt;=6000,ROUND('SCH N'!$E64*(PRO_DS_KWH_1),2),ROUND(6000*(PRO_DS_KWH_1),2))</f>
        <v>797.24</v>
      </c>
      <c r="P32" s="3">
        <f>IF('SCH N'!$E64&lt;=6000,0,IF(('SCH N'!$D64*300)&lt;=('SCH N'!$E64-6000),ROUND(('SCH N'!$D64*300)*(PRO_DS_KWH_2),2),ROUND(('SCH N'!$E64-6000)*(PRO_DS_KWH_2),2)))</f>
        <v>1943.46</v>
      </c>
      <c r="Q32" s="3">
        <f>IF('SCH N'!$E64&lt;=(6000+('SCH N'!$D64*300)),0,ROUND(('SCH N'!$E64-(6000+('SCH N'!$D64*300)))*(PRO_DS_KWH_3),2))</f>
        <v>109.48</v>
      </c>
      <c r="R32" s="3">
        <f t="shared" si="5"/>
        <v>3621.78</v>
      </c>
    </row>
    <row r="33" spans="1:18" x14ac:dyDescent="0.25">
      <c r="B33" s="3">
        <f t="shared" si="6"/>
        <v>30</v>
      </c>
      <c r="C33" s="3">
        <f>IF('SCH N'!$D65&lt;=15,ROUND('SCH N'!$D65*CUR_DS_DEM_1,2),ROUND(15*CUR_DS_DEM_1,2))</f>
        <v>0</v>
      </c>
      <c r="D33" s="3">
        <f>IF('SCH N'!$D65&lt;=15,0,ROUND(('SCH N'!$D65-15)*CUR_DS_DEM_3,2))</f>
        <v>907.8</v>
      </c>
      <c r="E33" s="9">
        <v>0</v>
      </c>
      <c r="F33" s="3">
        <f>IF('SCH N'!$E65&lt;=6000,ROUND('SCH N'!$E65*(CUR_DS_KWH_1),2),ROUND(6000*(CUR_DS_KWH_1),2))</f>
        <v>688.73</v>
      </c>
      <c r="G33" s="3">
        <f>IF('SCH N'!$E65&lt;=6000,0,IF(('SCH N'!$D65*300)&lt;=('SCH N'!$E65-6000),ROUND(('SCH N'!$D65*300)*(CUR_DS_KWH_2),2),ROUND(('SCH N'!$E65-6000)*(CUR_DS_KWH_2),2)))</f>
        <v>1044.67</v>
      </c>
      <c r="H33" s="3">
        <f>IF('SCH N'!$E65&lt;=(6000+('SCH N'!$D65*300)),0,ROUND(('SCH N'!$E65-(6000+('SCH N'!$D65*300)))*(CUR_DS_KWH_3),2))</f>
        <v>0</v>
      </c>
      <c r="I33" s="3">
        <f t="shared" si="4"/>
        <v>2671.2</v>
      </c>
      <c r="J33" s="3"/>
      <c r="K33" s="3">
        <f t="shared" si="7"/>
        <v>30</v>
      </c>
      <c r="L33" s="3">
        <f>IF('SCH N'!$D65&lt;=15,ROUND('SCH N'!$D65*PRO_DS_DEM_1,2),ROUND(15*PRO_DS_DEM_1,2))</f>
        <v>0</v>
      </c>
      <c r="M33" s="3">
        <f>IF('SCH N'!$D65&lt;=15,0,ROUND(('SCH N'!$D65-15)*PRO_DS_DEM_3,2))</f>
        <v>1050.5999999999999</v>
      </c>
      <c r="N33" s="9">
        <v>0</v>
      </c>
      <c r="O33" s="3">
        <f>IF('SCH N'!$E65&lt;=6000,ROUND('SCH N'!$E65*(PRO_DS_KWH_1),2),ROUND(6000*(PRO_DS_KWH_1),2))</f>
        <v>797.24</v>
      </c>
      <c r="P33" s="3">
        <f>IF('SCH N'!$E65&lt;=6000,0,IF(('SCH N'!$D65*300)&lt;=('SCH N'!$E65-6000),ROUND(('SCH N'!$D65*300)*(PRO_DS_KWH_2),2),ROUND(('SCH N'!$E65-6000)*(PRO_DS_KWH_2),2)))</f>
        <v>1209.26</v>
      </c>
      <c r="Q33" s="3">
        <f>IF('SCH N'!$E65&lt;=(6000+('SCH N'!$D65*300)),0,ROUND(('SCH N'!$E65-(6000+('SCH N'!$D65*300)))*(PRO_DS_KWH_3),2))</f>
        <v>0</v>
      </c>
      <c r="R33" s="3">
        <f t="shared" si="5"/>
        <v>3087.1</v>
      </c>
    </row>
    <row r="34" spans="1:18" x14ac:dyDescent="0.25">
      <c r="B34" s="3">
        <f t="shared" si="6"/>
        <v>30</v>
      </c>
      <c r="C34" s="3">
        <f>IF('SCH N'!$D66&lt;=15,ROUND('SCH N'!$D66*CUR_DS_DEM_1,2),ROUND(15*CUR_DS_DEM_1,2))</f>
        <v>0</v>
      </c>
      <c r="D34" s="3">
        <f>IF('SCH N'!$D66&lt;=15,0,ROUND(('SCH N'!$D66-15)*CUR_DS_DEM_3,2))</f>
        <v>907.8</v>
      </c>
      <c r="E34" s="9">
        <v>0</v>
      </c>
      <c r="F34" s="3">
        <f>IF('SCH N'!$E66&lt;=6000,ROUND('SCH N'!$E66*(CUR_DS_KWH_1),2),ROUND(6000*(CUR_DS_KWH_1),2))</f>
        <v>688.73</v>
      </c>
      <c r="G34" s="3">
        <f>IF('SCH N'!$E66&lt;=6000,0,IF(('SCH N'!$D66*300)&lt;=('SCH N'!$E66-6000),ROUND(('SCH N'!$D66*300)*(CUR_DS_KWH_2),2),ROUND(('SCH N'!$E66-6000)*(CUR_DS_KWH_2),2)))</f>
        <v>1790.86</v>
      </c>
      <c r="H34" s="3">
        <f>IF('SCH N'!$E66&lt;=(6000+('SCH N'!$D66*300)),0,ROUND(('SCH N'!$E66-(6000+('SCH N'!$D66*300)))*(CUR_DS_KWH_3),2))</f>
        <v>0</v>
      </c>
      <c r="I34" s="3">
        <f t="shared" si="4"/>
        <v>3417.39</v>
      </c>
      <c r="J34" s="3"/>
      <c r="K34" s="3">
        <f t="shared" si="7"/>
        <v>30</v>
      </c>
      <c r="L34" s="3">
        <f>IF('SCH N'!$D66&lt;=15,ROUND('SCH N'!$D66*PRO_DS_DEM_1,2),ROUND(15*PRO_DS_DEM_1,2))</f>
        <v>0</v>
      </c>
      <c r="M34" s="3">
        <f>IF('SCH N'!$D66&lt;=15,0,ROUND(('SCH N'!$D66-15)*PRO_DS_DEM_3,2))</f>
        <v>1050.5999999999999</v>
      </c>
      <c r="N34" s="9">
        <v>0</v>
      </c>
      <c r="O34" s="3">
        <f>IF('SCH N'!$E66&lt;=6000,ROUND('SCH N'!$E66*(PRO_DS_KWH_1),2),ROUND(6000*(PRO_DS_KWH_1),2))</f>
        <v>797.24</v>
      </c>
      <c r="P34" s="3">
        <f>IF('SCH N'!$E66&lt;=6000,0,IF(('SCH N'!$D66*300)&lt;=('SCH N'!$E66-6000),ROUND(('SCH N'!$D66*300)*(PRO_DS_KWH_2),2),ROUND(('SCH N'!$E66-6000)*(PRO_DS_KWH_2),2)))</f>
        <v>2073.02</v>
      </c>
      <c r="Q34" s="3">
        <f>IF('SCH N'!$E66&lt;=(6000+('SCH N'!$D66*300)),0,ROUND(('SCH N'!$E66-(6000+('SCH N'!$D66*300)))*(PRO_DS_KWH_3),2))</f>
        <v>0</v>
      </c>
      <c r="R34" s="3">
        <f t="shared" si="5"/>
        <v>3950.8599999999997</v>
      </c>
    </row>
    <row r="35" spans="1:18" x14ac:dyDescent="0.25">
      <c r="B35" s="3">
        <f t="shared" si="6"/>
        <v>30</v>
      </c>
      <c r="C35" s="3">
        <f>IF('SCH N'!$D67&lt;=15,ROUND('SCH N'!$D67*CUR_DS_DEM_1,2),ROUND(15*CUR_DS_DEM_1,2))</f>
        <v>0</v>
      </c>
      <c r="D35" s="3">
        <f>IF('SCH N'!$D67&lt;=15,0,ROUND(('SCH N'!$D67-15)*CUR_DS_DEM_3,2))</f>
        <v>907.8</v>
      </c>
      <c r="E35" s="9">
        <v>0</v>
      </c>
      <c r="F35" s="3">
        <f>IF('SCH N'!$E67&lt;=6000,ROUND('SCH N'!$E67*(CUR_DS_KWH_1),2),ROUND(6000*(CUR_DS_KWH_1),2))</f>
        <v>688.73</v>
      </c>
      <c r="G35" s="3">
        <f>IF('SCH N'!$E67&lt;=6000,0,IF(('SCH N'!$D67*300)&lt;=('SCH N'!$E67-6000),ROUND(('SCH N'!$D67*300)*(CUR_DS_KWH_2),2),ROUND(('SCH N'!$E67-6000)*(CUR_DS_KWH_2),2)))</f>
        <v>2238.5700000000002</v>
      </c>
      <c r="H35" s="3">
        <f>IF('SCH N'!$E67&lt;=(6000+('SCH N'!$D67*300)),0,ROUND(('SCH N'!$E67-(6000+('SCH N'!$D67*300)))*(CUR_DS_KWH_3),2))</f>
        <v>252.22</v>
      </c>
      <c r="I35" s="3">
        <f t="shared" si="4"/>
        <v>4117.3200000000006</v>
      </c>
      <c r="J35" s="3"/>
      <c r="K35" s="3">
        <f t="shared" si="7"/>
        <v>30</v>
      </c>
      <c r="L35" s="3">
        <f>IF('SCH N'!$D67&lt;=15,ROUND('SCH N'!$D67*PRO_DS_DEM_1,2),ROUND(15*PRO_DS_DEM_1,2))</f>
        <v>0</v>
      </c>
      <c r="M35" s="3">
        <f>IF('SCH N'!$D67&lt;=15,0,ROUND(('SCH N'!$D67-15)*PRO_DS_DEM_3,2))</f>
        <v>1050.5999999999999</v>
      </c>
      <c r="N35" s="9">
        <v>0</v>
      </c>
      <c r="O35" s="3">
        <f>IF('SCH N'!$E67&lt;=6000,ROUND('SCH N'!$E67*(PRO_DS_KWH_1),2),ROUND(6000*(PRO_DS_KWH_1),2))</f>
        <v>797.24</v>
      </c>
      <c r="P35" s="3">
        <f>IF('SCH N'!$E67&lt;=6000,0,IF(('SCH N'!$D67*300)&lt;=('SCH N'!$E67-6000),ROUND(('SCH N'!$D67*300)*(PRO_DS_KWH_2),2),ROUND(('SCH N'!$E67-6000)*(PRO_DS_KWH_2),2)))</f>
        <v>2591.2800000000002</v>
      </c>
      <c r="Q35" s="3">
        <f>IF('SCH N'!$E67&lt;=(6000+('SCH N'!$D67*300)),0,ROUND(('SCH N'!$E67-(6000+('SCH N'!$D67*300)))*(PRO_DS_KWH_3),2))</f>
        <v>291.95999999999998</v>
      </c>
      <c r="R35" s="3">
        <f t="shared" si="5"/>
        <v>4761.08</v>
      </c>
    </row>
    <row r="36" spans="1:18" x14ac:dyDescent="0.25">
      <c r="B36" s="3">
        <f t="shared" si="6"/>
        <v>30</v>
      </c>
      <c r="C36" s="3">
        <f>IF('SCH N'!$D68&lt;=15,ROUND('SCH N'!$D68*CUR_DS_DEM_1,2),ROUND(15*CUR_DS_DEM_1,2))</f>
        <v>0</v>
      </c>
      <c r="D36" s="3">
        <f>IF('SCH N'!$D68&lt;=15,0,ROUND(('SCH N'!$D68-15)*CUR_DS_DEM_3,2))</f>
        <v>3043.8</v>
      </c>
      <c r="E36" s="9">
        <v>0</v>
      </c>
      <c r="F36" s="3">
        <f>IF('SCH N'!$E68&lt;=6000,ROUND('SCH N'!$E68*(CUR_DS_KWH_1),2),ROUND(6000*(CUR_DS_KWH_1),2))</f>
        <v>688.73</v>
      </c>
      <c r="G36" s="3">
        <f>IF('SCH N'!$E68&lt;=6000,0,IF(('SCH N'!$D68*300)&lt;=('SCH N'!$E68-6000),ROUND(('SCH N'!$D68*300)*(CUR_DS_KWH_2),2),ROUND(('SCH N'!$E68-6000)*(CUR_DS_KWH_2),2)))</f>
        <v>4029.43</v>
      </c>
      <c r="H36" s="3">
        <f>IF('SCH N'!$E68&lt;=(6000+('SCH N'!$D68*300)),0,ROUND(('SCH N'!$E68-(6000+('SCH N'!$D68*300)))*(CUR_DS_KWH_3),2))</f>
        <v>0</v>
      </c>
      <c r="I36" s="3">
        <f t="shared" si="4"/>
        <v>7791.96</v>
      </c>
      <c r="J36" s="3"/>
      <c r="K36" s="3">
        <f t="shared" si="7"/>
        <v>30</v>
      </c>
      <c r="L36" s="3">
        <f>IF('SCH N'!$D68&lt;=15,ROUND('SCH N'!$D68*PRO_DS_DEM_1,2),ROUND(15*PRO_DS_DEM_1,2))</f>
        <v>0</v>
      </c>
      <c r="M36" s="3">
        <f>IF('SCH N'!$D68&lt;=15,0,ROUND(('SCH N'!$D68-15)*PRO_DS_DEM_3,2))</f>
        <v>3522.6</v>
      </c>
      <c r="N36" s="9">
        <v>0</v>
      </c>
      <c r="O36" s="3">
        <f>IF('SCH N'!$E68&lt;=6000,ROUND('SCH N'!$E68*(PRO_DS_KWH_1),2),ROUND(6000*(PRO_DS_KWH_1),2))</f>
        <v>797.24</v>
      </c>
      <c r="P36" s="3">
        <f>IF('SCH N'!$E68&lt;=6000,0,IF(('SCH N'!$D68*300)&lt;=('SCH N'!$E68-6000),ROUND(('SCH N'!$D68*300)*(PRO_DS_KWH_2),2),ROUND(('SCH N'!$E68-6000)*(PRO_DS_KWH_2),2)))</f>
        <v>4664.3</v>
      </c>
      <c r="Q36" s="3">
        <f>IF('SCH N'!$E68&lt;=(6000+('SCH N'!$D68*300)),0,ROUND(('SCH N'!$E68-(6000+('SCH N'!$D68*300)))*(PRO_DS_KWH_3),2))</f>
        <v>0</v>
      </c>
      <c r="R36" s="3">
        <f t="shared" si="5"/>
        <v>9014.14</v>
      </c>
    </row>
    <row r="37" spans="1:18" x14ac:dyDescent="0.25">
      <c r="B37" s="3">
        <f t="shared" si="6"/>
        <v>30</v>
      </c>
      <c r="C37" s="3">
        <f>IF('SCH N'!$D69&lt;=15,ROUND('SCH N'!$D69*CUR_DS_DEM_1,2),ROUND(15*CUR_DS_DEM_1,2))</f>
        <v>0</v>
      </c>
      <c r="D37" s="3">
        <f>IF('SCH N'!$D69&lt;=15,0,ROUND(('SCH N'!$D69-15)*CUR_DS_DEM_3,2))</f>
        <v>3043.8</v>
      </c>
      <c r="E37" s="9">
        <v>0</v>
      </c>
      <c r="F37" s="3">
        <f>IF('SCH N'!$E69&lt;=6000,ROUND('SCH N'!$E69*(CUR_DS_KWH_1),2),ROUND(6000*(CUR_DS_KWH_1),2))</f>
        <v>688.73</v>
      </c>
      <c r="G37" s="3">
        <f>IF('SCH N'!$E69&lt;=6000,0,IF(('SCH N'!$D69*300)&lt;=('SCH N'!$E69-6000),ROUND(('SCH N'!$D69*300)*(CUR_DS_KWH_2),2),ROUND(('SCH N'!$E69-6000)*(CUR_DS_KWH_2),2)))</f>
        <v>6268</v>
      </c>
      <c r="H37" s="3">
        <f>IF('SCH N'!$E69&lt;=(6000+('SCH N'!$D69*300)),0,ROUND(('SCH N'!$E69-(6000+('SCH N'!$D69*300)))*(CUR_DS_KWH_3),2))</f>
        <v>0</v>
      </c>
      <c r="I37" s="3">
        <f t="shared" si="4"/>
        <v>10030.530000000001</v>
      </c>
      <c r="J37" s="3"/>
      <c r="K37" s="3">
        <f t="shared" si="7"/>
        <v>30</v>
      </c>
      <c r="L37" s="3">
        <f>IF('SCH N'!$D69&lt;=15,ROUND('SCH N'!$D69*PRO_DS_DEM_1,2),ROUND(15*PRO_DS_DEM_1,2))</f>
        <v>0</v>
      </c>
      <c r="M37" s="3">
        <f>IF('SCH N'!$D69&lt;=15,0,ROUND(('SCH N'!$D69-15)*PRO_DS_DEM_3,2))</f>
        <v>3522.6</v>
      </c>
      <c r="N37" s="9">
        <v>0</v>
      </c>
      <c r="O37" s="3">
        <f>IF('SCH N'!$E69&lt;=6000,ROUND('SCH N'!$E69*(PRO_DS_KWH_1),2),ROUND(6000*(PRO_DS_KWH_1),2))</f>
        <v>797.24</v>
      </c>
      <c r="P37" s="3">
        <f>IF('SCH N'!$E69&lt;=6000,0,IF(('SCH N'!$D69*300)&lt;=('SCH N'!$E69-6000),ROUND(('SCH N'!$D69*300)*(PRO_DS_KWH_2),2),ROUND(('SCH N'!$E69-6000)*(PRO_DS_KWH_2),2)))</f>
        <v>7255.58</v>
      </c>
      <c r="Q37" s="3">
        <f>IF('SCH N'!$E69&lt;=(6000+('SCH N'!$D69*300)),0,ROUND(('SCH N'!$E69-(6000+('SCH N'!$D69*300)))*(PRO_DS_KWH_3),2))</f>
        <v>0</v>
      </c>
      <c r="R37" s="3">
        <f t="shared" si="5"/>
        <v>11605.42</v>
      </c>
    </row>
    <row r="38" spans="1:18" x14ac:dyDescent="0.25">
      <c r="B38" s="3">
        <f t="shared" si="6"/>
        <v>30</v>
      </c>
      <c r="C38" s="3">
        <f>IF('SCH N'!$D70&lt;=15,ROUND('SCH N'!$D70*CUR_DS_DEM_1,2),ROUND(15*CUR_DS_DEM_1,2))</f>
        <v>0</v>
      </c>
      <c r="D38" s="3">
        <f>IF('SCH N'!$D70&lt;=15,0,ROUND(('SCH N'!$D70-15)*CUR_DS_DEM_3,2))</f>
        <v>3043.8</v>
      </c>
      <c r="E38" s="9">
        <v>0</v>
      </c>
      <c r="F38" s="3">
        <f>IF('SCH N'!$E70&lt;=6000,ROUND('SCH N'!$E70*(CUR_DS_KWH_1),2),ROUND(6000*(CUR_DS_KWH_1),2))</f>
        <v>688.73</v>
      </c>
      <c r="G38" s="3">
        <f>IF('SCH N'!$E70&lt;=6000,0,IF(('SCH N'!$D70*300)&lt;=('SCH N'!$E70-6000),ROUND(('SCH N'!$D70*300)*(CUR_DS_KWH_2),2),ROUND(('SCH N'!$E70-6000)*(CUR_DS_KWH_2),2)))</f>
        <v>6715.71</v>
      </c>
      <c r="H38" s="3">
        <f>IF('SCH N'!$E70&lt;=(6000+('SCH N'!$D70*300)),0,ROUND(('SCH N'!$E70-(6000+('SCH N'!$D70*300)))*(CUR_DS_KWH_3),2))</f>
        <v>1513.34</v>
      </c>
      <c r="I38" s="3">
        <f t="shared" si="4"/>
        <v>11991.58</v>
      </c>
      <c r="J38" s="3"/>
      <c r="K38" s="3">
        <f t="shared" si="7"/>
        <v>30</v>
      </c>
      <c r="L38" s="3">
        <f>IF('SCH N'!$D70&lt;=15,ROUND('SCH N'!$D70*PRO_DS_DEM_1,2),ROUND(15*PRO_DS_DEM_1,2))</f>
        <v>0</v>
      </c>
      <c r="M38" s="3">
        <f>IF('SCH N'!$D70&lt;=15,0,ROUND(('SCH N'!$D70-15)*PRO_DS_DEM_3,2))</f>
        <v>3522.6</v>
      </c>
      <c r="N38" s="9">
        <v>0</v>
      </c>
      <c r="O38" s="3">
        <f>IF('SCH N'!$E70&lt;=6000,ROUND('SCH N'!$E70*(PRO_DS_KWH_1),2),ROUND(6000*(PRO_DS_KWH_1),2))</f>
        <v>797.24</v>
      </c>
      <c r="P38" s="3">
        <f>IF('SCH N'!$E70&lt;=6000,0,IF(('SCH N'!$D70*300)&lt;=('SCH N'!$E70-6000),ROUND(('SCH N'!$D70*300)*(PRO_DS_KWH_2),2),ROUND(('SCH N'!$E70-6000)*(PRO_DS_KWH_2),2)))</f>
        <v>7773.84</v>
      </c>
      <c r="Q38" s="3">
        <f>IF('SCH N'!$E70&lt;=(6000+('SCH N'!$D70*300)),0,ROUND(('SCH N'!$E70-(6000+('SCH N'!$D70*300)))*(PRO_DS_KWH_3),2))</f>
        <v>1751.74</v>
      </c>
      <c r="R38" s="3">
        <f t="shared" si="5"/>
        <v>13875.42</v>
      </c>
    </row>
    <row r="39" spans="1:18" x14ac:dyDescent="0.25">
      <c r="B39" s="3">
        <f t="shared" si="6"/>
        <v>30</v>
      </c>
      <c r="C39" s="3">
        <f>IF('SCH N'!$D71&lt;=15,ROUND('SCH N'!$D71*CUR_DS_DEM_1,2),ROUND(15*CUR_DS_DEM_1,2))</f>
        <v>0</v>
      </c>
      <c r="D39" s="3">
        <f>IF('SCH N'!$D71&lt;=15,0,ROUND(('SCH N'!$D71-15)*CUR_DS_DEM_3,2))</f>
        <v>5179.8</v>
      </c>
      <c r="E39" s="9">
        <v>0</v>
      </c>
      <c r="F39" s="3">
        <f>IF('SCH N'!$E71&lt;=6000,ROUND('SCH N'!$E71*(CUR_DS_KWH_1),2),ROUND(6000*(CUR_DS_KWH_1),2))</f>
        <v>688.73</v>
      </c>
      <c r="G39" s="3">
        <f>IF('SCH N'!$E71&lt;=6000,0,IF(('SCH N'!$D71*300)&lt;=('SCH N'!$E71-6000),ROUND(('SCH N'!$D71*300)*(CUR_DS_KWH_2),2),ROUND(('SCH N'!$E71-6000)*(CUR_DS_KWH_2),2)))</f>
        <v>7014.19</v>
      </c>
      <c r="H39" s="3">
        <f>IF('SCH N'!$E71&lt;=(6000+('SCH N'!$D71*300)),0,ROUND(('SCH N'!$E71-(6000+('SCH N'!$D71*300)))*(CUR_DS_KWH_3),2))</f>
        <v>0</v>
      </c>
      <c r="I39" s="3">
        <f t="shared" si="4"/>
        <v>12912.720000000001</v>
      </c>
      <c r="J39" s="3"/>
      <c r="K39" s="3">
        <f t="shared" si="7"/>
        <v>30</v>
      </c>
      <c r="L39" s="3">
        <f>IF('SCH N'!$D71&lt;=15,ROUND('SCH N'!$D71*PRO_DS_DEM_1,2),ROUND(15*PRO_DS_DEM_1,2))</f>
        <v>0</v>
      </c>
      <c r="M39" s="3">
        <f>IF('SCH N'!$D71&lt;=15,0,ROUND(('SCH N'!$D71-15)*PRO_DS_DEM_3,2))</f>
        <v>5994.6</v>
      </c>
      <c r="N39" s="9">
        <v>0</v>
      </c>
      <c r="O39" s="3">
        <f>IF('SCH N'!$E71&lt;=6000,ROUND('SCH N'!$E71*(PRO_DS_KWH_1),2),ROUND(6000*(PRO_DS_KWH_1),2))</f>
        <v>797.24</v>
      </c>
      <c r="P39" s="3">
        <f>IF('SCH N'!$E71&lt;=6000,0,IF(('SCH N'!$D71*300)&lt;=('SCH N'!$E71-6000),ROUND(('SCH N'!$D71*300)*(PRO_DS_KWH_2),2),ROUND(('SCH N'!$E71-6000)*(PRO_DS_KWH_2),2)))</f>
        <v>8119.34</v>
      </c>
      <c r="Q39" s="3">
        <f>IF('SCH N'!$E71&lt;=(6000+('SCH N'!$D71*300)),0,ROUND(('SCH N'!$E71-(6000+('SCH N'!$D71*300)))*(PRO_DS_KWH_3),2))</f>
        <v>0</v>
      </c>
      <c r="R39" s="3">
        <f t="shared" si="5"/>
        <v>14941.18</v>
      </c>
    </row>
    <row r="40" spans="1:18" x14ac:dyDescent="0.25">
      <c r="B40" s="3">
        <f t="shared" si="6"/>
        <v>30</v>
      </c>
      <c r="C40" s="3">
        <f>IF('SCH N'!$D72&lt;=15,ROUND('SCH N'!$D72*CUR_DS_DEM_1,2),ROUND(15*CUR_DS_DEM_1,2))</f>
        <v>0</v>
      </c>
      <c r="D40" s="3">
        <f>IF('SCH N'!$D72&lt;=15,0,ROUND(('SCH N'!$D72-15)*CUR_DS_DEM_3,2))</f>
        <v>5179.8</v>
      </c>
      <c r="E40" s="9">
        <v>0</v>
      </c>
      <c r="F40" s="3">
        <f>IF('SCH N'!$E72&lt;=6000,ROUND('SCH N'!$E72*(CUR_DS_KWH_1),2),ROUND(6000*(CUR_DS_KWH_1),2))</f>
        <v>688.73</v>
      </c>
      <c r="G40" s="3">
        <f>IF('SCH N'!$E72&lt;=6000,0,IF(('SCH N'!$D72*300)&lt;=('SCH N'!$E72-6000),ROUND(('SCH N'!$D72*300)*(CUR_DS_KWH_2),2),ROUND(('SCH N'!$E72-6000)*(CUR_DS_KWH_2),2)))</f>
        <v>11192.85</v>
      </c>
      <c r="H40" s="3">
        <f>IF('SCH N'!$E72&lt;=(6000+('SCH N'!$D72*300)),0,ROUND(('SCH N'!$E72-(6000+('SCH N'!$D72*300)))*(CUR_DS_KWH_3),2))</f>
        <v>2774.46</v>
      </c>
      <c r="I40" s="3">
        <f t="shared" si="4"/>
        <v>19865.84</v>
      </c>
      <c r="J40" s="3"/>
      <c r="K40" s="3">
        <f t="shared" si="7"/>
        <v>30</v>
      </c>
      <c r="L40" s="3">
        <f>IF('SCH N'!$D72&lt;=15,ROUND('SCH N'!$D72*PRO_DS_DEM_1,2),ROUND(15*PRO_DS_DEM_1,2))</f>
        <v>0</v>
      </c>
      <c r="M40" s="3">
        <f>IF('SCH N'!$D72&lt;=15,0,ROUND(('SCH N'!$D72-15)*PRO_DS_DEM_3,2))</f>
        <v>5994.6</v>
      </c>
      <c r="N40" s="9">
        <v>0</v>
      </c>
      <c r="O40" s="3">
        <f>IF('SCH N'!$E72&lt;=6000,ROUND('SCH N'!$E72*(PRO_DS_KWH_1),2),ROUND(6000*(PRO_DS_KWH_1),2))</f>
        <v>797.24</v>
      </c>
      <c r="P40" s="3">
        <f>IF('SCH N'!$E72&lt;=6000,0,IF(('SCH N'!$D72*300)&lt;=('SCH N'!$E72-6000),ROUND(('SCH N'!$D72*300)*(PRO_DS_KWH_2),2),ROUND(('SCH N'!$E72-6000)*(PRO_DS_KWH_2),2)))</f>
        <v>12956.4</v>
      </c>
      <c r="Q40" s="3">
        <f>IF('SCH N'!$E72&lt;=(6000+('SCH N'!$D72*300)),0,ROUND(('SCH N'!$E72-(6000+('SCH N'!$D72*300)))*(PRO_DS_KWH_3),2))</f>
        <v>3211.52</v>
      </c>
      <c r="R40" s="3">
        <f t="shared" si="5"/>
        <v>22989.759999999998</v>
      </c>
    </row>
    <row r="41" spans="1:18" x14ac:dyDescent="0.25">
      <c r="B41" s="3">
        <f t="shared" si="6"/>
        <v>30</v>
      </c>
      <c r="C41" s="3">
        <f>IF('SCH N'!$D73&lt;=15,ROUND('SCH N'!$D73*CUR_DS_DEM_1,2),ROUND(15*CUR_DS_DEM_1,2))</f>
        <v>0</v>
      </c>
      <c r="D41" s="3">
        <f>IF('SCH N'!$D73&lt;=15,0,ROUND(('SCH N'!$D73-15)*CUR_DS_DEM_3,2))</f>
        <v>5179.8</v>
      </c>
      <c r="E41" s="9">
        <v>0</v>
      </c>
      <c r="F41" s="3">
        <f>IF('SCH N'!$E73&lt;=6000,ROUND('SCH N'!$E73*(CUR_DS_KWH_1),2),ROUND(6000*(CUR_DS_KWH_1),2))</f>
        <v>688.73</v>
      </c>
      <c r="G41" s="3">
        <f>IF('SCH N'!$E73&lt;=6000,0,IF(('SCH N'!$D73*300)&lt;=('SCH N'!$E73-6000),ROUND(('SCH N'!$D73*300)*(CUR_DS_KWH_2),2),ROUND(('SCH N'!$E73-6000)*(CUR_DS_KWH_2),2)))</f>
        <v>11192.85</v>
      </c>
      <c r="H41" s="3">
        <f>IF('SCH N'!$E73&lt;=(6000+('SCH N'!$D73*300)),0,ROUND(('SCH N'!$E73-(6000+('SCH N'!$D73*300)))*(CUR_DS_KWH_3),2))</f>
        <v>9080.06</v>
      </c>
      <c r="I41" s="3">
        <f t="shared" si="4"/>
        <v>26171.440000000002</v>
      </c>
      <c r="J41" s="3"/>
      <c r="K41" s="3">
        <f t="shared" si="7"/>
        <v>30</v>
      </c>
      <c r="L41" s="3">
        <f>IF('SCH N'!$D73&lt;=15,ROUND('SCH N'!$D73*PRO_DS_DEM_1,2),ROUND(15*PRO_DS_DEM_1,2))</f>
        <v>0</v>
      </c>
      <c r="M41" s="3">
        <f>IF('SCH N'!$D73&lt;=15,0,ROUND(('SCH N'!$D73-15)*PRO_DS_DEM_3,2))</f>
        <v>5994.6</v>
      </c>
      <c r="N41" s="9">
        <v>0</v>
      </c>
      <c r="O41" s="3">
        <f>IF('SCH N'!$E73&lt;=6000,ROUND('SCH N'!$E73*(PRO_DS_KWH_1),2),ROUND(6000*(PRO_DS_KWH_1),2))</f>
        <v>797.24</v>
      </c>
      <c r="P41" s="3">
        <f>IF('SCH N'!$E73&lt;=6000,0,IF(('SCH N'!$D73*300)&lt;=('SCH N'!$E73-6000),ROUND(('SCH N'!$D73*300)*(PRO_DS_KWH_2),2),ROUND(('SCH N'!$E73-6000)*(PRO_DS_KWH_2),2)))</f>
        <v>12956.4</v>
      </c>
      <c r="Q41" s="3">
        <f>IF('SCH N'!$E73&lt;=(6000+('SCH N'!$D73*300)),0,ROUND(('SCH N'!$E73-(6000+('SCH N'!$D73*300)))*(PRO_DS_KWH_3),2))</f>
        <v>10510.42</v>
      </c>
      <c r="R41" s="3">
        <f t="shared" si="5"/>
        <v>30288.659999999996</v>
      </c>
    </row>
    <row r="42" spans="1:18" s="11" customFormat="1" x14ac:dyDescent="0.25">
      <c r="B42" s="12"/>
      <c r="C42" s="12"/>
      <c r="D42" s="12"/>
      <c r="E42" s="13"/>
      <c r="F42" s="12"/>
      <c r="G42" s="12"/>
      <c r="H42" s="12"/>
      <c r="I42" s="12"/>
      <c r="J42" s="12"/>
      <c r="K42" s="12"/>
      <c r="L42" s="12"/>
      <c r="M42" s="12"/>
      <c r="N42" s="13"/>
      <c r="O42" s="12"/>
      <c r="P42" s="12"/>
      <c r="Q42" s="12"/>
      <c r="R42" s="12"/>
    </row>
    <row r="43" spans="1:18" ht="15.6" x14ac:dyDescent="0.3">
      <c r="B43" s="8" t="s">
        <v>178</v>
      </c>
      <c r="C43" s="6"/>
      <c r="D43" s="6"/>
      <c r="E43" s="6"/>
      <c r="F43" s="6"/>
      <c r="G43" s="6"/>
      <c r="H43" s="6"/>
      <c r="I43" s="6"/>
      <c r="J43" s="3"/>
      <c r="K43" s="8" t="s">
        <v>179</v>
      </c>
      <c r="L43" s="6"/>
      <c r="M43" s="6"/>
      <c r="N43" s="6"/>
      <c r="O43" s="6"/>
      <c r="P43" s="6"/>
      <c r="Q43" s="6"/>
      <c r="R43" s="6"/>
    </row>
    <row r="44" spans="1:18" x14ac:dyDescent="0.25">
      <c r="B44" s="7" t="s">
        <v>121</v>
      </c>
      <c r="C44" s="3"/>
      <c r="D44" s="3"/>
      <c r="E44" s="3"/>
      <c r="F44" s="7" t="s">
        <v>122</v>
      </c>
      <c r="G44" s="10"/>
      <c r="H44" s="3"/>
      <c r="I44" s="7" t="s">
        <v>11</v>
      </c>
      <c r="J44" s="3"/>
      <c r="K44" s="7" t="s">
        <v>121</v>
      </c>
      <c r="L44" s="3"/>
      <c r="M44" s="3"/>
      <c r="N44" s="3"/>
      <c r="O44" s="7" t="s">
        <v>122</v>
      </c>
      <c r="P44" s="10"/>
      <c r="Q44" s="3"/>
      <c r="R44" s="7" t="s">
        <v>11</v>
      </c>
    </row>
    <row r="45" spans="1:18" x14ac:dyDescent="0.25">
      <c r="A45" s="1" t="s">
        <v>94</v>
      </c>
      <c r="B45" s="3">
        <f>CUR_EH_CST_2</f>
        <v>30</v>
      </c>
      <c r="C45" s="3"/>
      <c r="D45" s="3"/>
      <c r="E45" s="3"/>
      <c r="F45" s="3">
        <f>ROUND('SCH N'!E76*(CUR_EH_KWH_1),2)</f>
        <v>851.98</v>
      </c>
      <c r="G45" s="10"/>
      <c r="H45" s="3"/>
      <c r="I45" s="3">
        <f>SUM(B45:H45)</f>
        <v>881.98</v>
      </c>
      <c r="J45" s="3"/>
      <c r="K45" s="3">
        <f>PRO_EH_CST_2</f>
        <v>30</v>
      </c>
      <c r="L45" s="3"/>
      <c r="M45" s="3"/>
      <c r="N45" s="3"/>
      <c r="O45" s="3">
        <f>ROUND('SCH N'!E76*(PRO_EH_KWH_1),2)</f>
        <v>985.44</v>
      </c>
      <c r="P45" s="10"/>
      <c r="Q45" s="3"/>
      <c r="R45" s="3">
        <f>SUM(K45:Q45)</f>
        <v>1015.44</v>
      </c>
    </row>
    <row r="46" spans="1:18" x14ac:dyDescent="0.25">
      <c r="B46" s="3">
        <f>CUR_EH_CST_2</f>
        <v>30</v>
      </c>
      <c r="C46" s="3"/>
      <c r="D46" s="3"/>
      <c r="E46" s="3"/>
      <c r="F46" s="3">
        <f>ROUND('SCH N'!E77*(CUR_EH_KWH_1),2)</f>
        <v>2139.0100000000002</v>
      </c>
      <c r="G46" s="10"/>
      <c r="H46" s="3"/>
      <c r="I46" s="3">
        <f>SUM(B46:H46)</f>
        <v>2169.0100000000002</v>
      </c>
      <c r="J46" s="3"/>
      <c r="K46" s="3">
        <f>PRO_EH_CST_2</f>
        <v>30</v>
      </c>
      <c r="L46" s="3"/>
      <c r="M46" s="3"/>
      <c r="N46" s="3"/>
      <c r="O46" s="3">
        <f>ROUND('SCH N'!E77*(PRO_EH_KWH_1),2)</f>
        <v>2474.08</v>
      </c>
      <c r="P46" s="10"/>
      <c r="Q46" s="3"/>
      <c r="R46" s="3">
        <f>SUM(K46:Q46)</f>
        <v>2504.08</v>
      </c>
    </row>
    <row r="47" spans="1:18" x14ac:dyDescent="0.25">
      <c r="B47" s="3">
        <f>CUR_EH_CST_2</f>
        <v>30</v>
      </c>
      <c r="C47" s="3"/>
      <c r="D47" s="3"/>
      <c r="E47" s="3"/>
      <c r="F47" s="3">
        <f>ROUND('SCH N'!E78*(CUR_EH_KWH_1),2)</f>
        <v>3426.04</v>
      </c>
      <c r="G47" s="10"/>
      <c r="H47" s="3"/>
      <c r="I47" s="3">
        <f>SUM(B47:H47)</f>
        <v>3456.04</v>
      </c>
      <c r="J47" s="3"/>
      <c r="K47" s="3">
        <f>PRO_EH_CST_2</f>
        <v>30</v>
      </c>
      <c r="L47" s="3"/>
      <c r="M47" s="3"/>
      <c r="N47" s="3"/>
      <c r="O47" s="3">
        <f>ROUND('SCH N'!E78*(PRO_EH_KWH_1),2)</f>
        <v>3962.73</v>
      </c>
      <c r="P47" s="10"/>
      <c r="Q47" s="3"/>
      <c r="R47" s="3">
        <f>SUM(K47:Q47)</f>
        <v>3992.73</v>
      </c>
    </row>
    <row r="48" spans="1:18" s="11" customFormat="1" x14ac:dyDescent="0.25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4" ht="15.6" x14ac:dyDescent="0.3">
      <c r="B49" s="8"/>
      <c r="C49" s="6"/>
      <c r="D49" s="6"/>
      <c r="E49" s="6"/>
      <c r="F49" s="6"/>
      <c r="H49" s="8"/>
      <c r="I49" s="6"/>
      <c r="J49" s="6"/>
      <c r="K49" s="6"/>
      <c r="L49" s="6"/>
    </row>
    <row r="50" spans="2:14" x14ac:dyDescent="0.25">
      <c r="C50" s="2"/>
      <c r="D50" s="2"/>
      <c r="I50" s="2"/>
      <c r="J50" s="2"/>
    </row>
    <row r="51" spans="2:14" x14ac:dyDescent="0.25">
      <c r="B51" s="2"/>
      <c r="C51" s="2"/>
      <c r="D51" s="2"/>
      <c r="E51" s="2"/>
      <c r="F51" s="2"/>
      <c r="H51" s="2"/>
      <c r="I51" s="2"/>
      <c r="J51" s="2"/>
      <c r="K51" s="2"/>
      <c r="L51" s="2"/>
    </row>
    <row r="52" spans="2:14" x14ac:dyDescent="0.25">
      <c r="B52" s="5"/>
      <c r="C52" s="5"/>
      <c r="D52" s="5"/>
      <c r="E52" s="5"/>
      <c r="F52" s="5"/>
      <c r="H52" s="5"/>
      <c r="I52" s="5"/>
      <c r="J52" s="5"/>
      <c r="K52" s="5"/>
      <c r="L52" s="5"/>
    </row>
    <row r="53" spans="2:14" ht="15.6" x14ac:dyDescent="0.3">
      <c r="B53" s="44"/>
      <c r="C53" s="3"/>
      <c r="D53" s="3"/>
      <c r="E53" s="3"/>
      <c r="F53" s="3"/>
      <c r="G53" s="3"/>
      <c r="H53" s="3"/>
      <c r="I53" s="3"/>
      <c r="J53" s="3"/>
      <c r="K53" s="3"/>
      <c r="L53" s="3"/>
    </row>
    <row r="54" spans="2:14" x14ac:dyDescent="0.25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2:14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2:14" x14ac:dyDescent="0.25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2:14" x14ac:dyDescent="0.25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2:14" x14ac:dyDescent="0.25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2:14" x14ac:dyDescent="0.25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2:14" x14ac:dyDescent="0.25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2:14" x14ac:dyDescent="0.25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2:14" x14ac:dyDescent="0.25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2:14" x14ac:dyDescent="0.25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2:14" x14ac:dyDescent="0.25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2:14" x14ac:dyDescent="0.25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2:14" x14ac:dyDescent="0.25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2:14" x14ac:dyDescent="0.25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</row>
    <row r="68" spans="2:14" x14ac:dyDescent="0.25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</row>
    <row r="69" spans="2:14" x14ac:dyDescent="0.25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</row>
    <row r="70" spans="2:14" x14ac:dyDescent="0.25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</row>
    <row r="71" spans="2:14" x14ac:dyDescent="0.25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</row>
    <row r="72" spans="2:14" x14ac:dyDescent="0.25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</row>
    <row r="73" spans="2:14" x14ac:dyDescent="0.25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</row>
    <row r="74" spans="2:14" x14ac:dyDescent="0.25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</row>
    <row r="75" spans="2:14" x14ac:dyDescent="0.25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</row>
    <row r="76" spans="2:14" x14ac:dyDescent="0.25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</row>
    <row r="77" spans="2:14" x14ac:dyDescent="0.25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</row>
    <row r="78" spans="2:14" x14ac:dyDescent="0.25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</row>
    <row r="79" spans="2:14" x14ac:dyDescent="0.25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</row>
    <row r="80" spans="2:14" x14ac:dyDescent="0.25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</row>
    <row r="81" spans="2:12" x14ac:dyDescent="0.25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</row>
    <row r="82" spans="2:12" x14ac:dyDescent="0.25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</row>
    <row r="83" spans="2:12" x14ac:dyDescent="0.25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</row>
    <row r="84" spans="2:12" x14ac:dyDescent="0.25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</row>
    <row r="85" spans="2:12" x14ac:dyDescent="0.25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</row>
    <row r="86" spans="2:12" x14ac:dyDescent="0.25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</row>
    <row r="87" spans="2:12" x14ac:dyDescent="0.25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</row>
    <row r="88" spans="2:12" x14ac:dyDescent="0.25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</row>
    <row r="89" spans="2:12" x14ac:dyDescent="0.25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</row>
    <row r="90" spans="2:12" x14ac:dyDescent="0.25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</row>
  </sheetData>
  <customSheetViews>
    <customSheetView guid="{F562D92E-120C-4AE9-9663-89E64D41DC53}" scale="75">
      <pane xSplit="12.426470588235293" topLeftCell="M1"/>
      <selection activeCell="H7" sqref="H7"/>
      <pageMargins left="0.75" right="0.75" top="1" bottom="1" header="0.5" footer="0.5"/>
      <pageSetup orientation="portrait" r:id="rId1"/>
      <headerFooter alignWithMargins="0"/>
    </customSheetView>
    <customSheetView guid="{35F19056-2E6F-4935-B863-78836FE990BF}" scale="75" showRuler="0">
      <pane xSplit="12.426470588235293" topLeftCell="M1"/>
      <pageMargins left="0.75" right="0.75" top="1" bottom="1" header="0.5" footer="0.5"/>
      <pageSetup orientation="portrait" r:id="rId2"/>
      <headerFooter alignWithMargins="0"/>
    </customSheetView>
    <customSheetView guid="{18BDED73-BFA0-442E-87EC-CED86EE4CF94}" scale="75" showRuler="0">
      <pane xSplit="12.426470588235293" topLeftCell="M1"/>
      <pageMargins left="0.75" right="0.75" top="1" bottom="1" header="0.5" footer="0.5"/>
      <pageSetup orientation="portrait" r:id="rId3"/>
      <headerFooter alignWithMargins="0"/>
    </customSheetView>
    <customSheetView guid="{0BC1F393-8A13-47D5-BC6C-0C99615B5AB9}" scale="75" showRuler="0">
      <pane xSplit="12.426470588235293" topLeftCell="M1"/>
      <pageMargins left="0.75" right="0.75" top="1" bottom="1" header="0.5" footer="0.5"/>
      <pageSetup orientation="portrait" r:id="rId4"/>
      <headerFooter alignWithMargins="0"/>
    </customSheetView>
    <customSheetView guid="{6B3D5C27-2FDE-4561-9575-1E98BFB869D0}" scale="75" showRuler="0">
      <pane xSplit="12.426470588235293" topLeftCell="M1"/>
      <selection activeCell="H1" sqref="H1"/>
      <pageMargins left="0.75" right="0.75" top="1" bottom="1" header="0.5" footer="0.5"/>
      <pageSetup orientation="portrait" r:id="rId5"/>
      <headerFooter alignWithMargins="0"/>
    </customSheetView>
    <customSheetView guid="{8FB94551-8874-4095-B8FB-5316E0D2FD2C}" scale="75" showRuler="0">
      <pane xSplit="12.426470588235293" topLeftCell="M1"/>
      <pageMargins left="0.75" right="0.75" top="1" bottom="1" header="0.5" footer="0.5"/>
      <pageSetup orientation="portrait" r:id="rId6"/>
      <headerFooter alignWithMargins="0"/>
    </customSheetView>
    <customSheetView guid="{8FC77C99-DBF7-40B8-99B8-01B75826CDCB}" scale="75" showRuler="0">
      <pane xSplit="12.426470588235293" topLeftCell="M1"/>
      <selection activeCell="I13" sqref="I13"/>
      <pageMargins left="0.75" right="0.75" top="1" bottom="1" header="0.5" footer="0.5"/>
      <pageSetup orientation="portrait" r:id="rId7"/>
      <headerFooter alignWithMargins="0"/>
    </customSheetView>
    <customSheetView guid="{2EA35095-1ADC-4CC7-8C3C-B487D65FA247}" scale="75" showRuler="0">
      <pane xSplit="11.712962962962964" topLeftCell="M1"/>
      <selection activeCell="I13" sqref="I13"/>
      <pageMargins left="0.75" right="0.75" top="1" bottom="1" header="0.5" footer="0.5"/>
      <pageSetup orientation="portrait" r:id="rId8"/>
      <headerFooter alignWithMargins="0"/>
    </customSheetView>
    <customSheetView guid="{2431C9E5-7CC2-4B8D-99C3-962247B1DBF5}" scale="75" showRuler="0">
      <pane xSplit="9.8591549295774641" topLeftCell="M1"/>
      <pageMargins left="0.75" right="0.75" top="1" bottom="1" header="0.5" footer="0.5"/>
      <pageSetup orientation="portrait" r:id="rId9"/>
      <headerFooter alignWithMargins="0"/>
    </customSheetView>
    <customSheetView guid="{4BC93440-BA85-4935-A8C9-66DC6AE5DE5E}" scale="75" showRuler="0">
      <pane xSplit="9.8591549295774641" topLeftCell="M1"/>
      <pageMargins left="0.75" right="0.75" top="1" bottom="1" header="0.5" footer="0.5"/>
      <pageSetup orientation="portrait" r:id="rId10"/>
      <headerFooter alignWithMargins="0"/>
    </customSheetView>
    <customSheetView guid="{0C49E549-011E-46F4-A82E-2CC8951A9C1E}" scale="75" showRuler="0">
      <pane xSplit="6.8555555555555552" topLeftCell="M1"/>
      <selection activeCell="I13" sqref="I13"/>
      <pageMargins left="0.75" right="0.75" top="1" bottom="1" header="0.5" footer="0.5"/>
      <pageSetup orientation="portrait" r:id="rId11"/>
      <headerFooter alignWithMargins="0"/>
    </customSheetView>
    <customSheetView guid="{195DF303-1BBD-4236-94B5-47432850B006}" scale="75" showRuler="0">
      <pane xSplit="6.4558823529411766" topLeftCell="M1"/>
      <pageMargins left="0.75" right="0.75" top="1" bottom="1" header="0.5" footer="0.5"/>
      <pageSetup orientation="portrait" r:id="rId12"/>
      <headerFooter alignWithMargins="0"/>
    </customSheetView>
  </customSheetViews>
  <phoneticPr fontId="11" type="noConversion"/>
  <pageMargins left="0.75" right="0.75" top="1" bottom="1" header="0.5" footer="0.5"/>
  <pageSetup orientation="portrait" r:id="rId1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>
    <pageSetUpPr fitToPage="1"/>
  </sheetPr>
  <dimension ref="A1:X65"/>
  <sheetViews>
    <sheetView workbookViewId="0"/>
  </sheetViews>
  <sheetFormatPr defaultColWidth="8.9140625" defaultRowHeight="13.8" x14ac:dyDescent="0.25"/>
  <cols>
    <col min="1" max="1" width="42.58203125" style="76" bestFit="1" customWidth="1"/>
    <col min="2" max="2" width="14.08203125" style="76" customWidth="1"/>
    <col min="3" max="3" width="12.6640625" style="76" customWidth="1"/>
    <col min="4" max="4" width="12" style="76" bestFit="1" customWidth="1"/>
    <col min="5" max="5" width="11.75" style="76" customWidth="1"/>
    <col min="6" max="6" width="1.75" style="76" customWidth="1"/>
    <col min="7" max="7" width="11.9140625" style="76" customWidth="1"/>
    <col min="8" max="10" width="11" style="76" bestFit="1" customWidth="1"/>
    <col min="11" max="11" width="13.08203125" style="76" customWidth="1"/>
    <col min="12" max="12" width="14.08203125" style="76" customWidth="1"/>
    <col min="13" max="13" width="12.08203125" style="76" bestFit="1" customWidth="1"/>
    <col min="14" max="14" width="10.6640625" style="76" bestFit="1" customWidth="1"/>
    <col min="15" max="15" width="10" style="76" bestFit="1" customWidth="1"/>
    <col min="16" max="16" width="10.6640625" style="76" bestFit="1" customWidth="1"/>
    <col min="17" max="17" width="8.9140625" style="76"/>
    <col min="18" max="18" width="10.6640625" style="76" bestFit="1" customWidth="1"/>
    <col min="19" max="19" width="10" style="76" bestFit="1" customWidth="1"/>
    <col min="20" max="20" width="9.33203125" style="76" bestFit="1" customWidth="1"/>
    <col min="21" max="22" width="11" style="76" bestFit="1" customWidth="1"/>
    <col min="23" max="16384" width="8.9140625" style="76"/>
  </cols>
  <sheetData>
    <row r="1" spans="1:24" x14ac:dyDescent="0.25">
      <c r="A1" s="76" t="s">
        <v>716</v>
      </c>
      <c r="H1" s="91">
        <f>H6-H38</f>
        <v>18947</v>
      </c>
    </row>
    <row r="2" spans="1:24" x14ac:dyDescent="0.25">
      <c r="B2" s="79" t="s">
        <v>862</v>
      </c>
      <c r="C2" s="79"/>
      <c r="D2" s="79"/>
      <c r="E2" s="79"/>
      <c r="G2" s="79"/>
      <c r="H2" s="79"/>
      <c r="I2" s="79"/>
      <c r="J2" s="79"/>
      <c r="K2" s="79"/>
      <c r="L2" s="83" t="s">
        <v>535</v>
      </c>
    </row>
    <row r="3" spans="1:24" x14ac:dyDescent="0.25">
      <c r="B3" s="80" t="s">
        <v>535</v>
      </c>
      <c r="C3" s="81" t="s">
        <v>599</v>
      </c>
      <c r="D3" s="81"/>
      <c r="E3" s="81"/>
      <c r="G3" s="82" t="s">
        <v>601</v>
      </c>
      <c r="H3" s="82"/>
      <c r="I3" s="82"/>
      <c r="J3" s="82"/>
      <c r="K3" s="82"/>
      <c r="L3" s="84" t="s">
        <v>602</v>
      </c>
      <c r="N3" s="76" t="s">
        <v>854</v>
      </c>
      <c r="O3" s="76" t="s">
        <v>855</v>
      </c>
      <c r="P3" s="76" t="s">
        <v>856</v>
      </c>
      <c r="Q3" s="76" t="s">
        <v>857</v>
      </c>
      <c r="S3" s="76" t="s">
        <v>858</v>
      </c>
    </row>
    <row r="4" spans="1:24" x14ac:dyDescent="0.25">
      <c r="B4" s="85" t="s">
        <v>598</v>
      </c>
      <c r="C4" s="85" t="s">
        <v>585</v>
      </c>
      <c r="D4" s="85" t="s">
        <v>593</v>
      </c>
      <c r="E4" s="85" t="s">
        <v>535</v>
      </c>
      <c r="F4" s="85"/>
      <c r="G4" s="86" t="s">
        <v>597</v>
      </c>
      <c r="H4" s="86" t="s">
        <v>596</v>
      </c>
      <c r="I4" s="86" t="s">
        <v>595</v>
      </c>
      <c r="J4" s="86" t="s">
        <v>594</v>
      </c>
      <c r="K4" s="86" t="s">
        <v>535</v>
      </c>
      <c r="L4" s="85" t="s">
        <v>599</v>
      </c>
    </row>
    <row r="5" spans="1:24" x14ac:dyDescent="0.25">
      <c r="B5" s="85"/>
      <c r="C5" s="85"/>
      <c r="D5" s="85"/>
      <c r="E5" s="85"/>
      <c r="F5" s="85"/>
      <c r="G5" s="86"/>
      <c r="H5" s="86"/>
      <c r="I5" s="86"/>
      <c r="J5" s="86"/>
      <c r="K5" s="86"/>
      <c r="L5" s="85"/>
    </row>
    <row r="6" spans="1:24" ht="15" x14ac:dyDescent="0.25">
      <c r="A6" s="76" t="s">
        <v>52</v>
      </c>
      <c r="B6" s="77">
        <f>+'SCH M'!E21</f>
        <v>204678561</v>
      </c>
      <c r="C6" s="77">
        <f>+'SCH M-2.1'!H20*CUR_BASE_FUEL</f>
        <v>51564375.528484009</v>
      </c>
      <c r="D6" s="77">
        <f>+'SCH M-2.1'!P20</f>
        <v>5323148</v>
      </c>
      <c r="E6" s="77">
        <f>+C6+D6</f>
        <v>56887523.528484009</v>
      </c>
      <c r="F6" s="77"/>
      <c r="G6" s="77">
        <f>+'Rate RS'!AN72</f>
        <v>501993</v>
      </c>
      <c r="H6" s="77">
        <f>+'Rate RS'!AN74</f>
        <v>844244</v>
      </c>
      <c r="I6" s="77">
        <f>+'Rate RS'!AN73</f>
        <v>2063796</v>
      </c>
      <c r="J6" s="77">
        <f>+'Rate RS'!AN76</f>
        <v>3778029</v>
      </c>
      <c r="K6" s="77">
        <f>SUM(G6:J6)</f>
        <v>7188062</v>
      </c>
      <c r="L6" s="77">
        <f>+B6-E6-K6</f>
        <v>140602975.47151598</v>
      </c>
      <c r="M6" s="77"/>
      <c r="N6" s="77">
        <v>0</v>
      </c>
      <c r="O6" s="77"/>
      <c r="P6" s="77"/>
      <c r="Q6" s="77"/>
      <c r="R6" s="77"/>
      <c r="S6" s="77"/>
      <c r="T6" s="77"/>
      <c r="U6" s="77"/>
      <c r="V6" s="77"/>
      <c r="W6" s="91"/>
      <c r="X6" s="91"/>
    </row>
    <row r="7" spans="1:24" ht="15" x14ac:dyDescent="0.25"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91"/>
      <c r="X7" s="91"/>
    </row>
    <row r="8" spans="1:24" ht="15" x14ac:dyDescent="0.25">
      <c r="A8" s="76" t="s">
        <v>91</v>
      </c>
      <c r="B8" s="77">
        <f>+'SCH M'!E26</f>
        <v>141581759</v>
      </c>
      <c r="C8" s="77">
        <f>+'SCH M-2.1'!H22*CUR_BASE_FUEL</f>
        <v>38596324.80673942</v>
      </c>
      <c r="D8" s="77">
        <f>+'SCH M-2.1'!P22</f>
        <v>3984417</v>
      </c>
      <c r="E8" s="77">
        <f t="shared" ref="E8:E27" si="0">+C8+D8</f>
        <v>42580741.80673942</v>
      </c>
      <c r="F8" s="77"/>
      <c r="G8" s="77"/>
      <c r="H8" s="77">
        <f>+'Rate DS'!AO101</f>
        <v>628239</v>
      </c>
      <c r="I8" s="77">
        <f>+'Rate DS'!AO100</f>
        <v>4002455</v>
      </c>
      <c r="J8" s="77">
        <f>+'Rate DS'!AO103</f>
        <v>2827883</v>
      </c>
      <c r="K8" s="77">
        <f t="shared" ref="K8:K25" si="1">SUM(G8:J8)</f>
        <v>7458577</v>
      </c>
      <c r="L8" s="77">
        <f t="shared" ref="L8:L27" si="2">+B8-E8-K8</f>
        <v>91542440.19326058</v>
      </c>
      <c r="M8" s="77"/>
      <c r="N8" s="77">
        <f>'Rate DS'!AA87</f>
        <v>2743214</v>
      </c>
      <c r="O8" s="77">
        <v>2481303</v>
      </c>
      <c r="P8" s="77">
        <f>N8-O8</f>
        <v>261911</v>
      </c>
      <c r="Q8" s="93">
        <v>10.68</v>
      </c>
      <c r="R8" s="77">
        <f>P8*Q8</f>
        <v>2797209.48</v>
      </c>
      <c r="S8" s="77">
        <v>2735627</v>
      </c>
      <c r="T8" s="77">
        <f t="shared" ref="T8:T10" si="3">N8-S8</f>
        <v>7587</v>
      </c>
      <c r="U8" s="77"/>
      <c r="V8" s="77"/>
      <c r="W8" s="91"/>
      <c r="X8" s="91"/>
    </row>
    <row r="9" spans="1:24" ht="15" x14ac:dyDescent="0.25">
      <c r="A9" s="76" t="s">
        <v>592</v>
      </c>
      <c r="B9" s="77">
        <f>+'SCH M'!E27</f>
        <v>48540282</v>
      </c>
      <c r="C9" s="77">
        <f>+'SCH M-2.1'!H23*CUR_BASE_FUEL</f>
        <v>16425467.49353604</v>
      </c>
      <c r="D9" s="77">
        <f>+'SCH M-2.1'!P23</f>
        <v>1695651</v>
      </c>
      <c r="E9" s="77">
        <f t="shared" si="0"/>
        <v>18121118.49353604</v>
      </c>
      <c r="F9" s="77"/>
      <c r="G9" s="77"/>
      <c r="H9" s="77">
        <f>+'Rate DT-Pri'!AO132</f>
        <v>193034</v>
      </c>
      <c r="I9" s="77">
        <f>+'Rate DT-Pri'!AO131</f>
        <v>1703328</v>
      </c>
      <c r="J9" s="77">
        <f>+'Rate DT-Pri'!AO134</f>
        <v>1203465</v>
      </c>
      <c r="K9" s="77">
        <f t="shared" si="1"/>
        <v>3099827</v>
      </c>
      <c r="L9" s="77">
        <f t="shared" si="2"/>
        <v>27319336.50646396</v>
      </c>
      <c r="M9" s="77"/>
      <c r="N9" s="77">
        <f>'Rate DT-Pri'!H29+'Rate DT-Pri'!H47</f>
        <v>994170.1399999999</v>
      </c>
      <c r="O9" s="77">
        <v>1056031</v>
      </c>
      <c r="P9" s="77">
        <f t="shared" ref="P9:P10" si="4">N9-O9</f>
        <v>-61860.860000000102</v>
      </c>
      <c r="Q9" s="93">
        <v>20</v>
      </c>
      <c r="R9" s="77">
        <f t="shared" ref="R9:R10" si="5">P9*Q9</f>
        <v>-1237217.200000002</v>
      </c>
      <c r="S9" s="77">
        <v>986388</v>
      </c>
      <c r="T9" s="77">
        <f t="shared" si="3"/>
        <v>7782.1399999998976</v>
      </c>
      <c r="U9" s="77"/>
      <c r="V9" s="77"/>
      <c r="W9" s="91"/>
      <c r="X9" s="91"/>
    </row>
    <row r="10" spans="1:24" ht="15" x14ac:dyDescent="0.25">
      <c r="A10" s="76" t="s">
        <v>591</v>
      </c>
      <c r="B10" s="77">
        <f>+'SCH M'!E28</f>
        <v>62430069</v>
      </c>
      <c r="C10" s="77">
        <f>+'SCH M-2.1'!H24*CUR_BASE_FUEL</f>
        <v>20760526.523553122</v>
      </c>
      <c r="D10" s="77">
        <f>+'SCH M-2.1'!P24</f>
        <v>2143173</v>
      </c>
      <c r="E10" s="77">
        <f t="shared" si="0"/>
        <v>22903699.523553122</v>
      </c>
      <c r="F10" s="77"/>
      <c r="G10" s="77"/>
      <c r="H10" s="77">
        <f>+'Rate DT-Sec'!AO128</f>
        <v>250826</v>
      </c>
      <c r="I10" s="77">
        <f>+'Rate DT-Sec'!AO127</f>
        <v>2152875</v>
      </c>
      <c r="J10" s="77">
        <f>+'Rate DT-Sec'!AO130</f>
        <v>1521087</v>
      </c>
      <c r="K10" s="77">
        <f t="shared" si="1"/>
        <v>3924788</v>
      </c>
      <c r="L10" s="77">
        <f t="shared" si="2"/>
        <v>35601581.476446882</v>
      </c>
      <c r="M10" s="77"/>
      <c r="N10" s="77">
        <f>'Rate DT-Sec'!H31+'Rate DT-Sec'!H48</f>
        <v>1257010.791</v>
      </c>
      <c r="O10" s="77">
        <v>1365584</v>
      </c>
      <c r="P10" s="77">
        <f t="shared" si="4"/>
        <v>-108573.20900000003</v>
      </c>
      <c r="Q10" s="93">
        <v>20</v>
      </c>
      <c r="R10" s="77">
        <f t="shared" si="5"/>
        <v>-2171464.1800000006</v>
      </c>
      <c r="S10" s="77">
        <v>1247155</v>
      </c>
      <c r="T10" s="77">
        <f t="shared" si="3"/>
        <v>9855.7909999999683</v>
      </c>
      <c r="U10" s="77"/>
      <c r="V10" s="77"/>
      <c r="W10" s="91"/>
      <c r="X10" s="91"/>
    </row>
    <row r="11" spans="1:24" ht="15" x14ac:dyDescent="0.25">
      <c r="A11" s="76" t="s">
        <v>94</v>
      </c>
      <c r="B11" s="77">
        <f>+'SCH M'!E29</f>
        <v>1976021</v>
      </c>
      <c r="C11" s="77">
        <f>+'SCH M-2.1'!H25*CUR_BASE_FUEL</f>
        <v>655364.50804788002</v>
      </c>
      <c r="D11" s="77">
        <f>+'SCH M-2.1'!P25</f>
        <v>67655</v>
      </c>
      <c r="E11" s="77">
        <f t="shared" si="0"/>
        <v>723019.50804788002</v>
      </c>
      <c r="F11" s="77"/>
      <c r="G11" s="77"/>
      <c r="H11" s="77">
        <f>+'Rate EH'!AO86</f>
        <v>7951</v>
      </c>
      <c r="I11" s="77">
        <f>+'Rate EH'!AO85</f>
        <v>67962</v>
      </c>
      <c r="J11" s="77">
        <f>+'Rate EH'!AO88</f>
        <v>48017</v>
      </c>
      <c r="K11" s="77">
        <f t="shared" si="1"/>
        <v>123930</v>
      </c>
      <c r="L11" s="77">
        <f t="shared" si="2"/>
        <v>1129071.4919521199</v>
      </c>
      <c r="M11" s="77"/>
      <c r="N11" s="77">
        <v>0</v>
      </c>
      <c r="O11" s="77"/>
      <c r="P11" s="77"/>
      <c r="Q11" s="77"/>
      <c r="R11" s="77"/>
      <c r="S11" s="77"/>
      <c r="T11" s="77"/>
      <c r="U11" s="77"/>
      <c r="V11" s="77"/>
      <c r="W11" s="91"/>
      <c r="X11" s="91"/>
    </row>
    <row r="12" spans="1:24" ht="15" x14ac:dyDescent="0.25">
      <c r="A12" s="76" t="s">
        <v>95</v>
      </c>
      <c r="B12" s="77">
        <f>+'SCH M'!E30</f>
        <v>52940</v>
      </c>
      <c r="C12" s="77">
        <f>+'SCH M-2.1'!H26*CUR_BASE_FUEL</f>
        <v>11013.968999999999</v>
      </c>
      <c r="D12" s="77">
        <f>+'SCH M-2.1'!P26</f>
        <v>1137</v>
      </c>
      <c r="E12" s="77">
        <f t="shared" si="0"/>
        <v>12150.968999999999</v>
      </c>
      <c r="F12" s="77"/>
      <c r="G12" s="77"/>
      <c r="H12" s="77">
        <f>+'Rate SP GSFL'!AO96</f>
        <v>259</v>
      </c>
      <c r="I12" s="77">
        <f>+'Rate SP GSFL'!AO95</f>
        <v>1142</v>
      </c>
      <c r="J12" s="77">
        <f>+'Rate SP GSFL'!AO98</f>
        <v>807</v>
      </c>
      <c r="K12" s="77">
        <f t="shared" si="1"/>
        <v>2208</v>
      </c>
      <c r="L12" s="77">
        <f t="shared" si="2"/>
        <v>38581.031000000003</v>
      </c>
      <c r="M12" s="77"/>
      <c r="N12" s="77">
        <v>0</v>
      </c>
      <c r="O12" s="77"/>
      <c r="P12" s="77"/>
      <c r="Q12" s="77"/>
      <c r="R12" s="77"/>
      <c r="S12" s="77"/>
      <c r="T12" s="77"/>
      <c r="U12" s="77"/>
      <c r="V12" s="77"/>
      <c r="W12" s="91"/>
      <c r="X12" s="91"/>
    </row>
    <row r="13" spans="1:24" ht="15" x14ac:dyDescent="0.25">
      <c r="A13" s="76" t="s">
        <v>93</v>
      </c>
      <c r="B13" s="77">
        <f>+'SCH M'!E31</f>
        <v>877803</v>
      </c>
      <c r="C13" s="77">
        <f>+'SCH M-2.1'!H27*CUR_BASE_FUEL</f>
        <v>209059.53517553996</v>
      </c>
      <c r="D13" s="77">
        <f>+'SCH M-2.1'!P27</f>
        <v>21582</v>
      </c>
      <c r="E13" s="77">
        <f t="shared" si="0"/>
        <v>230641.53517553996</v>
      </c>
      <c r="F13" s="77"/>
      <c r="G13" s="77"/>
      <c r="H13" s="77">
        <f>+'Rate SP GSFL'!AO115</f>
        <v>4107</v>
      </c>
      <c r="I13" s="77">
        <f>+'Rate SP GSFL'!AO114</f>
        <v>21680</v>
      </c>
      <c r="J13" s="77">
        <f>+'Rate SP GSFL'!AO117</f>
        <v>15317</v>
      </c>
      <c r="K13" s="77">
        <f t="shared" si="1"/>
        <v>41104</v>
      </c>
      <c r="L13" s="77">
        <f t="shared" si="2"/>
        <v>606057.46482445998</v>
      </c>
      <c r="M13" s="77"/>
      <c r="N13" s="77">
        <v>0</v>
      </c>
      <c r="O13" s="77"/>
      <c r="P13" s="77"/>
      <c r="Q13" s="77"/>
      <c r="R13" s="77"/>
      <c r="S13" s="77"/>
      <c r="T13" s="77"/>
      <c r="U13" s="77"/>
      <c r="V13" s="77"/>
      <c r="W13" s="91"/>
      <c r="X13" s="91"/>
    </row>
    <row r="14" spans="1:24" ht="15" x14ac:dyDescent="0.25">
      <c r="A14" s="76" t="s">
        <v>92</v>
      </c>
      <c r="B14" s="77">
        <f>+'SCH M'!E32</f>
        <v>912531</v>
      </c>
      <c r="C14" s="77">
        <f>+'SCH M-2.1'!H28*CUR_BASE_FUEL</f>
        <v>265795.92890657997</v>
      </c>
      <c r="D14" s="77">
        <f>+'SCH M-2.1'!P28</f>
        <v>27439</v>
      </c>
      <c r="E14" s="77">
        <f t="shared" si="0"/>
        <v>293234.92890657997</v>
      </c>
      <c r="F14" s="77"/>
      <c r="G14" s="77"/>
      <c r="H14" s="77">
        <f>+'Rate DP'!AO93</f>
        <v>3930</v>
      </c>
      <c r="I14" s="77">
        <f>+'Rate DP'!AO92</f>
        <v>27563</v>
      </c>
      <c r="J14" s="77">
        <f>+'Rate DP'!AO95</f>
        <v>19474</v>
      </c>
      <c r="K14" s="77">
        <f t="shared" si="1"/>
        <v>50967</v>
      </c>
      <c r="L14" s="77">
        <f t="shared" si="2"/>
        <v>568329.07109342003</v>
      </c>
      <c r="M14" s="77"/>
      <c r="N14" s="77">
        <f>'Rate DP'!H29</f>
        <v>27922</v>
      </c>
      <c r="O14" s="77">
        <v>36838</v>
      </c>
      <c r="P14" s="77">
        <f t="shared" ref="P14:P15" si="6">N14-O14</f>
        <v>-8916</v>
      </c>
      <c r="Q14" s="93">
        <v>15</v>
      </c>
      <c r="R14" s="77">
        <f t="shared" ref="R14:R15" si="7">P14*Q14</f>
        <v>-133740</v>
      </c>
      <c r="S14" s="77">
        <v>27198</v>
      </c>
      <c r="T14" s="77">
        <f t="shared" ref="T14:T15" si="8">N14-S14</f>
        <v>724</v>
      </c>
      <c r="U14" s="77"/>
      <c r="V14" s="77"/>
      <c r="W14" s="91"/>
      <c r="X14" s="91"/>
    </row>
    <row r="15" spans="1:24" ht="15" x14ac:dyDescent="0.25">
      <c r="A15" s="76" t="s">
        <v>60</v>
      </c>
      <c r="B15" s="77">
        <f>+'SCH M'!E36</f>
        <v>15592903</v>
      </c>
      <c r="C15" s="77">
        <f>+'SCH M-2.1'!H29*CUR_BASE_FUEL</f>
        <v>6267676.9520237995</v>
      </c>
      <c r="D15" s="77">
        <f>+'SCH M-2.1'!P29</f>
        <v>647031</v>
      </c>
      <c r="E15" s="77">
        <f t="shared" si="0"/>
        <v>6914707.9520237995</v>
      </c>
      <c r="F15" s="77"/>
      <c r="G15" s="77"/>
      <c r="H15" s="77">
        <f>+'Rate TT'!AO115</f>
        <v>55070</v>
      </c>
      <c r="I15" s="77">
        <f>+'Rate TT'!AO114</f>
        <v>95370</v>
      </c>
      <c r="J15" s="77">
        <f>+'Rate TT'!AO117</f>
        <v>459221</v>
      </c>
      <c r="K15" s="77">
        <f t="shared" si="1"/>
        <v>609661</v>
      </c>
      <c r="L15" s="77">
        <f t="shared" si="2"/>
        <v>8068534.0479761995</v>
      </c>
      <c r="M15" s="77"/>
      <c r="N15" s="77">
        <f>'Rate TT'!H26+'Rate TT'!H40</f>
        <v>398368.38300000003</v>
      </c>
      <c r="O15" s="77">
        <v>435740</v>
      </c>
      <c r="P15" s="77">
        <f t="shared" si="6"/>
        <v>-37371.616999999969</v>
      </c>
      <c r="Q15" s="93">
        <v>8.5</v>
      </c>
      <c r="R15" s="77">
        <f t="shared" si="7"/>
        <v>-317658.74449999974</v>
      </c>
      <c r="S15" s="77">
        <v>387830</v>
      </c>
      <c r="T15" s="77">
        <f t="shared" si="8"/>
        <v>10538.383000000031</v>
      </c>
      <c r="U15" s="77"/>
      <c r="V15" s="77"/>
      <c r="W15" s="91"/>
      <c r="X15" s="91"/>
    </row>
    <row r="16" spans="1:24" ht="15" x14ac:dyDescent="0.25">
      <c r="A16" s="76" t="s">
        <v>600</v>
      </c>
      <c r="B16" s="77">
        <v>0</v>
      </c>
      <c r="C16" s="77">
        <v>0</v>
      </c>
      <c r="D16" s="77">
        <f>+'SCH M-2.1'!P30</f>
        <v>0</v>
      </c>
      <c r="E16" s="77">
        <f t="shared" si="0"/>
        <v>0</v>
      </c>
      <c r="F16" s="77"/>
      <c r="G16" s="77"/>
      <c r="H16" s="77"/>
      <c r="I16" s="77"/>
      <c r="J16" s="77"/>
      <c r="K16" s="77">
        <f t="shared" si="1"/>
        <v>0</v>
      </c>
      <c r="L16" s="77">
        <f t="shared" si="2"/>
        <v>0</v>
      </c>
      <c r="M16" s="77"/>
      <c r="N16" s="77">
        <v>0</v>
      </c>
      <c r="O16" s="77"/>
      <c r="P16" s="77"/>
      <c r="Q16" s="77"/>
      <c r="R16" s="77"/>
      <c r="S16" s="77"/>
      <c r="T16" s="77"/>
      <c r="U16" s="77"/>
      <c r="V16" s="77"/>
      <c r="W16" s="91"/>
      <c r="X16" s="91"/>
    </row>
    <row r="17" spans="1:24" ht="15" x14ac:dyDescent="0.25">
      <c r="A17" s="76" t="s">
        <v>590</v>
      </c>
      <c r="B17" s="77">
        <f>+'SCH M'!E41</f>
        <v>75744</v>
      </c>
      <c r="C17" s="77">
        <v>0</v>
      </c>
      <c r="D17" s="77">
        <f>+'SCH M-2.1'!P31</f>
        <v>0</v>
      </c>
      <c r="E17" s="77">
        <f t="shared" si="0"/>
        <v>0</v>
      </c>
      <c r="F17" s="77"/>
      <c r="G17" s="77"/>
      <c r="H17" s="77">
        <f>+'Rate DT RTP-S'!AO79</f>
        <v>14</v>
      </c>
      <c r="I17" s="77">
        <f>+'Rate DT RTP-S'!AO78</f>
        <v>3921</v>
      </c>
      <c r="J17" s="77">
        <f>+'Rate DT RTP-S'!AO80</f>
        <v>2770</v>
      </c>
      <c r="K17" s="77">
        <f t="shared" si="1"/>
        <v>6705</v>
      </c>
      <c r="L17" s="77">
        <f t="shared" si="2"/>
        <v>69039</v>
      </c>
      <c r="M17" s="77"/>
      <c r="N17" s="77">
        <v>0</v>
      </c>
      <c r="O17" s="77"/>
      <c r="P17" s="77"/>
      <c r="Q17" s="77"/>
      <c r="R17" s="77"/>
      <c r="S17" s="77"/>
      <c r="T17" s="77"/>
      <c r="U17" s="77"/>
      <c r="V17" s="77"/>
      <c r="W17" s="91"/>
      <c r="X17" s="91"/>
    </row>
    <row r="18" spans="1:24" ht="15" x14ac:dyDescent="0.25">
      <c r="A18" s="76" t="s">
        <v>307</v>
      </c>
      <c r="B18" s="77">
        <f>+'SCH M'!E42</f>
        <v>2033</v>
      </c>
      <c r="C18" s="77">
        <v>0</v>
      </c>
      <c r="D18" s="77">
        <f>+'SCH M-2.1'!P32</f>
        <v>0</v>
      </c>
      <c r="E18" s="77">
        <f t="shared" si="0"/>
        <v>0</v>
      </c>
      <c r="F18" s="77"/>
      <c r="G18" s="77"/>
      <c r="H18" s="77">
        <f>+'Rate DS RTP'!AO79</f>
        <v>14</v>
      </c>
      <c r="I18" s="77">
        <f>+'Rate DS RTP'!AO78</f>
        <v>-10</v>
      </c>
      <c r="J18" s="77">
        <f>+'Rate DS RTP'!AO80</f>
        <v>-7</v>
      </c>
      <c r="K18" s="77">
        <f t="shared" si="1"/>
        <v>-3</v>
      </c>
      <c r="L18" s="77">
        <f t="shared" si="2"/>
        <v>2036</v>
      </c>
      <c r="M18" s="77"/>
      <c r="N18" s="77">
        <v>0</v>
      </c>
      <c r="O18" s="77"/>
      <c r="P18" s="77"/>
      <c r="Q18" s="77"/>
      <c r="R18" s="77"/>
      <c r="S18" s="77"/>
      <c r="T18" s="77"/>
      <c r="U18" s="77"/>
      <c r="V18" s="77"/>
      <c r="W18" s="91"/>
      <c r="X18" s="91"/>
    </row>
    <row r="19" spans="1:24" ht="15" x14ac:dyDescent="0.25">
      <c r="A19" s="76" t="s">
        <v>589</v>
      </c>
      <c r="B19" s="77">
        <f>+'SCH M'!E43</f>
        <v>539919</v>
      </c>
      <c r="C19" s="77">
        <v>0</v>
      </c>
      <c r="D19" s="77">
        <f>+'SCH M-2.1'!P33</f>
        <v>0</v>
      </c>
      <c r="E19" s="77">
        <f t="shared" si="0"/>
        <v>0</v>
      </c>
      <c r="F19" s="77"/>
      <c r="G19" s="77"/>
      <c r="H19" s="77">
        <f>+'Rate TT RTP'!AO81</f>
        <v>28</v>
      </c>
      <c r="I19" s="77">
        <f>+'Rate TT RTP'!AO80</f>
        <v>6247</v>
      </c>
      <c r="J19" s="77">
        <f>+'Rate TT RTP'!AO82</f>
        <v>30080</v>
      </c>
      <c r="K19" s="77">
        <f t="shared" si="1"/>
        <v>36355</v>
      </c>
      <c r="L19" s="77">
        <f t="shared" si="2"/>
        <v>503564</v>
      </c>
      <c r="M19" s="77"/>
      <c r="N19" s="77">
        <v>0</v>
      </c>
      <c r="O19" s="77"/>
      <c r="P19" s="77"/>
      <c r="Q19" s="77"/>
      <c r="R19" s="77"/>
      <c r="S19" s="77"/>
      <c r="T19" s="77"/>
      <c r="U19" s="77"/>
      <c r="V19" s="77"/>
      <c r="W19" s="91"/>
      <c r="X19" s="91"/>
    </row>
    <row r="20" spans="1:24" ht="15" x14ac:dyDescent="0.25">
      <c r="A20" s="76" t="s">
        <v>77</v>
      </c>
      <c r="B20" s="77">
        <f>+'SCH M'!E47</f>
        <v>1443022</v>
      </c>
      <c r="C20" s="77">
        <f>+'SCH M-2.1'!H34*CUR_BASE_FUEL</f>
        <v>231655.80839999998</v>
      </c>
      <c r="D20" s="77">
        <f>+'SCH M-2.1'!P34</f>
        <v>23917</v>
      </c>
      <c r="E20" s="77">
        <f t="shared" si="0"/>
        <v>255572.80839999998</v>
      </c>
      <c r="F20" s="77"/>
      <c r="G20" s="77"/>
      <c r="H20" s="77">
        <f>+'Rate SL'!AO285</f>
        <v>7535</v>
      </c>
      <c r="I20" s="77"/>
      <c r="J20" s="77">
        <f>+'Rate SL'!AO286</f>
        <v>16973</v>
      </c>
      <c r="K20" s="77">
        <f t="shared" si="1"/>
        <v>24508</v>
      </c>
      <c r="L20" s="77">
        <f>+B20-E20-K20</f>
        <v>1162941.1916</v>
      </c>
      <c r="M20" s="77"/>
      <c r="N20" s="77">
        <v>0</v>
      </c>
      <c r="O20" s="77"/>
      <c r="P20" s="77"/>
      <c r="Q20" s="77"/>
      <c r="R20" s="77"/>
      <c r="S20" s="77"/>
      <c r="T20" s="77"/>
      <c r="U20" s="77"/>
      <c r="V20" s="77"/>
      <c r="W20" s="91"/>
      <c r="X20" s="91"/>
    </row>
    <row r="21" spans="1:24" ht="15" x14ac:dyDescent="0.25">
      <c r="A21" s="76" t="s">
        <v>81</v>
      </c>
      <c r="B21" s="77">
        <f>+'SCH M'!E48</f>
        <v>105515</v>
      </c>
      <c r="C21" s="77">
        <f>+'SCH M-2.1'!H35*CUR_BASE_FUEL</f>
        <v>48536.043117780006</v>
      </c>
      <c r="D21" s="77">
        <f>+'SCH M-2.1'!P35</f>
        <v>5011</v>
      </c>
      <c r="E21" s="77">
        <f t="shared" si="0"/>
        <v>53547.043117780006</v>
      </c>
      <c r="F21" s="77"/>
      <c r="G21" s="77"/>
      <c r="H21" s="77">
        <f>+'Rate TL'!AO68</f>
        <v>362</v>
      </c>
      <c r="I21" s="77"/>
      <c r="J21" s="77">
        <f>+'Rate TL'!AO69</f>
        <v>3556</v>
      </c>
      <c r="K21" s="77">
        <f t="shared" si="1"/>
        <v>3918</v>
      </c>
      <c r="L21" s="77">
        <f t="shared" si="2"/>
        <v>48049.956882219994</v>
      </c>
      <c r="M21" s="77"/>
      <c r="N21" s="77">
        <v>0</v>
      </c>
      <c r="O21" s="77"/>
      <c r="P21" s="77"/>
      <c r="Q21" s="77"/>
      <c r="R21" s="77"/>
      <c r="S21" s="77"/>
      <c r="T21" s="77"/>
      <c r="U21" s="77"/>
      <c r="V21" s="77"/>
      <c r="W21" s="91"/>
      <c r="X21" s="91"/>
    </row>
    <row r="22" spans="1:24" ht="15" x14ac:dyDescent="0.25">
      <c r="A22" s="76" t="s">
        <v>588</v>
      </c>
      <c r="B22" s="77">
        <f>+'SCH M'!E49</f>
        <v>660006</v>
      </c>
      <c r="C22" s="77">
        <f>+'SCH M-2.1'!H36*CUR_BASE_FUEL</f>
        <v>306772.12426134001</v>
      </c>
      <c r="D22" s="77">
        <f>+'SCH M-2.1'!P36</f>
        <v>31669</v>
      </c>
      <c r="E22" s="77">
        <f t="shared" si="0"/>
        <v>338441.12426134001</v>
      </c>
      <c r="F22" s="77"/>
      <c r="G22" s="77"/>
      <c r="H22" s="77">
        <f>+'Rate UOLS'!AO59</f>
        <v>2242</v>
      </c>
      <c r="I22" s="77"/>
      <c r="J22" s="77">
        <f>+'Rate UOLS'!AO60</f>
        <v>22477</v>
      </c>
      <c r="K22" s="77">
        <f t="shared" si="1"/>
        <v>24719</v>
      </c>
      <c r="L22" s="77">
        <f t="shared" si="2"/>
        <v>296845.87573865999</v>
      </c>
      <c r="M22" s="77"/>
      <c r="N22" s="77">
        <v>0</v>
      </c>
      <c r="O22" s="77"/>
      <c r="P22" s="77"/>
      <c r="Q22" s="77"/>
      <c r="R22" s="77"/>
      <c r="S22" s="77"/>
      <c r="T22" s="77"/>
      <c r="U22" s="77"/>
      <c r="V22" s="77"/>
      <c r="W22" s="91"/>
      <c r="X22" s="91"/>
    </row>
    <row r="23" spans="1:24" ht="15" x14ac:dyDescent="0.25">
      <c r="A23" s="76" t="s">
        <v>86</v>
      </c>
      <c r="B23" s="77">
        <f>+'SCH M'!E50</f>
        <v>97302</v>
      </c>
      <c r="C23" s="77">
        <f>+'SCH M-2.1'!H37*CUR_BASE_FUEL</f>
        <v>13254.393719999998</v>
      </c>
      <c r="D23" s="77">
        <f>+'SCH M-2.1'!P37</f>
        <v>1368</v>
      </c>
      <c r="E23" s="77">
        <f t="shared" si="0"/>
        <v>14622.393719999998</v>
      </c>
      <c r="F23" s="77"/>
      <c r="G23" s="77"/>
      <c r="H23" s="77">
        <f>+'Rate NSU'!AO91</f>
        <v>533</v>
      </c>
      <c r="I23" s="77"/>
      <c r="J23" s="77">
        <f>+'Rate NSU'!AO92</f>
        <v>971</v>
      </c>
      <c r="K23" s="77">
        <f t="shared" si="1"/>
        <v>1504</v>
      </c>
      <c r="L23" s="77">
        <f t="shared" si="2"/>
        <v>81175.606280000007</v>
      </c>
      <c r="M23" s="77"/>
      <c r="N23" s="77">
        <v>0</v>
      </c>
      <c r="O23" s="77"/>
      <c r="P23" s="77"/>
      <c r="Q23" s="77"/>
      <c r="R23" s="77"/>
      <c r="S23" s="77"/>
      <c r="T23" s="77"/>
      <c r="U23" s="77"/>
      <c r="V23" s="77"/>
      <c r="W23" s="91"/>
      <c r="X23" s="91"/>
    </row>
    <row r="24" spans="1:24" ht="15" x14ac:dyDescent="0.25">
      <c r="A24" s="76" t="s">
        <v>73</v>
      </c>
      <c r="B24" s="77">
        <f>+'SCH M'!E51</f>
        <v>6594</v>
      </c>
      <c r="C24" s="77">
        <f>+'SCH M-2.1'!H38*CUR_BASE_FUEL</f>
        <v>3083.5735199999999</v>
      </c>
      <c r="D24" s="77">
        <f>+'SCH M-2.1'!P38</f>
        <v>318</v>
      </c>
      <c r="E24" s="77">
        <f t="shared" si="0"/>
        <v>3401.5735199999999</v>
      </c>
      <c r="F24" s="77"/>
      <c r="G24" s="77"/>
      <c r="H24" s="77">
        <f>+'Rate SC'!AO141</f>
        <v>22</v>
      </c>
      <c r="I24" s="77"/>
      <c r="J24" s="77">
        <f>+'Rate SC'!AO142</f>
        <v>226</v>
      </c>
      <c r="K24" s="77">
        <f t="shared" si="1"/>
        <v>248</v>
      </c>
      <c r="L24" s="77">
        <f t="shared" si="2"/>
        <v>2944.4264800000001</v>
      </c>
      <c r="M24" s="77"/>
      <c r="N24" s="77">
        <v>0</v>
      </c>
      <c r="O24" s="77"/>
      <c r="P24" s="77"/>
      <c r="Q24" s="77"/>
      <c r="R24" s="77"/>
      <c r="S24" s="77"/>
      <c r="T24" s="77"/>
      <c r="U24" s="77"/>
      <c r="V24" s="77"/>
      <c r="W24" s="91"/>
      <c r="X24" s="91"/>
    </row>
    <row r="25" spans="1:24" ht="15" x14ac:dyDescent="0.25">
      <c r="A25" s="76" t="s">
        <v>70</v>
      </c>
      <c r="B25" s="77">
        <f>+'SCH M'!E52</f>
        <v>261069</v>
      </c>
      <c r="C25" s="77">
        <f>+'SCH M-2.1'!H39*CUR_BASE_FUEL</f>
        <v>40860.355559999996</v>
      </c>
      <c r="D25" s="77">
        <f>+'SCH M-2.1'!P39</f>
        <v>4218</v>
      </c>
      <c r="E25" s="77">
        <f t="shared" si="0"/>
        <v>45078.355559999996</v>
      </c>
      <c r="F25" s="77"/>
      <c r="G25" s="77"/>
      <c r="H25" s="77">
        <f>+'Rate SE'!AO104</f>
        <v>1397</v>
      </c>
      <c r="I25" s="77"/>
      <c r="J25" s="77">
        <f>+'Rate SE'!AO105</f>
        <v>2994</v>
      </c>
      <c r="K25" s="77">
        <f t="shared" si="1"/>
        <v>4391</v>
      </c>
      <c r="L25" s="77">
        <f t="shared" si="2"/>
        <v>211599.64444</v>
      </c>
      <c r="M25" s="77"/>
      <c r="N25" s="77">
        <v>0</v>
      </c>
      <c r="O25" s="77"/>
      <c r="P25" s="77"/>
      <c r="Q25" s="77"/>
      <c r="R25" s="77"/>
      <c r="S25" s="77"/>
      <c r="T25" s="77"/>
      <c r="U25" s="77"/>
      <c r="V25" s="77"/>
      <c r="W25" s="91"/>
      <c r="X25" s="91"/>
    </row>
    <row r="26" spans="1:24" ht="15" x14ac:dyDescent="0.25">
      <c r="A26" s="76" t="s">
        <v>551</v>
      </c>
      <c r="B26" s="77">
        <f>+'SCH M'!E53</f>
        <v>20065</v>
      </c>
      <c r="C26" s="77">
        <f>+'SCH M-2.1'!H40*CUR_BASE_FUEL</f>
        <v>1424.19858</v>
      </c>
      <c r="D26" s="77">
        <f>+'SCH M-2.1'!P40</f>
        <v>147</v>
      </c>
      <c r="E26" s="77">
        <f>+C26+D26</f>
        <v>1571.19858</v>
      </c>
      <c r="F26" s="77"/>
      <c r="G26" s="77"/>
      <c r="H26" s="77">
        <f>'Rate LED'!AO687</f>
        <v>117</v>
      </c>
      <c r="I26" s="77"/>
      <c r="J26" s="77">
        <f>'Rate LED'!AO689</f>
        <v>104</v>
      </c>
      <c r="K26" s="77">
        <f>SUM(G26:J26)</f>
        <v>221</v>
      </c>
      <c r="L26" s="77">
        <f>+B26-E26-K26</f>
        <v>18272.80142</v>
      </c>
      <c r="M26" s="77"/>
      <c r="N26" s="77">
        <v>0</v>
      </c>
      <c r="O26" s="77"/>
      <c r="P26" s="77"/>
      <c r="Q26" s="77"/>
      <c r="R26" s="77"/>
      <c r="S26" s="77"/>
      <c r="T26" s="77"/>
      <c r="U26" s="77"/>
      <c r="V26" s="77"/>
      <c r="W26" s="91"/>
      <c r="X26" s="91"/>
    </row>
    <row r="27" spans="1:24" ht="15" x14ac:dyDescent="0.25">
      <c r="A27" s="76" t="s">
        <v>587</v>
      </c>
      <c r="B27" s="78">
        <f>+'SCH M'!E56+'SCH M'!E57</f>
        <v>1012065.3005930001</v>
      </c>
      <c r="C27" s="78">
        <f>'SCH M-2.1'!H41*CUR_BASE_FUEL+'SCH M-2.1'!H47*CUR_BASE_FUEL</f>
        <v>478414.72235999996</v>
      </c>
      <c r="D27" s="78">
        <f>+'SCH M-2.1'!P41+'SCH M-2.1'!P47</f>
        <v>49388.216208473597</v>
      </c>
      <c r="E27" s="78">
        <f t="shared" si="0"/>
        <v>527802.93856847356</v>
      </c>
      <c r="F27" s="77"/>
      <c r="G27" s="78"/>
      <c r="H27" s="78"/>
      <c r="I27" s="78">
        <f>'SCH M-2.2'!H63*DSM_DIST</f>
        <v>48612.395582999998</v>
      </c>
      <c r="J27" s="78">
        <f>'SCH M-2.2'!H63*RS_PSM</f>
        <v>34346.468475000001</v>
      </c>
      <c r="K27" s="78">
        <f>SUM(G27:J27)</f>
        <v>82958.864058000006</v>
      </c>
      <c r="L27" s="78">
        <f t="shared" si="2"/>
        <v>401303.49796652654</v>
      </c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91"/>
      <c r="X27" s="91"/>
    </row>
    <row r="28" spans="1:24" ht="15" x14ac:dyDescent="0.25">
      <c r="A28" s="76" t="s">
        <v>586</v>
      </c>
      <c r="B28" s="77">
        <f>SUM(B6:B27)</f>
        <v>480866203.30059302</v>
      </c>
      <c r="C28" s="77">
        <f>SUM(C6:C27)</f>
        <v>135879606.46498552</v>
      </c>
      <c r="D28" s="77">
        <f>SUM(D6:D27)</f>
        <v>14027269.216208473</v>
      </c>
      <c r="E28" s="77">
        <f>SUM(E6:E27)</f>
        <v>149906875.68119404</v>
      </c>
      <c r="F28" s="77"/>
      <c r="G28" s="77">
        <f t="shared" ref="G28:S28" si="9">SUM(G6:G27)</f>
        <v>501993</v>
      </c>
      <c r="H28" s="77">
        <f t="shared" si="9"/>
        <v>1999924</v>
      </c>
      <c r="I28" s="77">
        <f t="shared" si="9"/>
        <v>10194941.395583</v>
      </c>
      <c r="J28" s="77">
        <f t="shared" si="9"/>
        <v>9987790.4684749991</v>
      </c>
      <c r="K28" s="77">
        <f t="shared" si="9"/>
        <v>22684648.864057999</v>
      </c>
      <c r="L28" s="77">
        <f t="shared" si="9"/>
        <v>308274678.75534105</v>
      </c>
      <c r="M28" s="77"/>
      <c r="N28" s="77">
        <f t="shared" si="9"/>
        <v>5420685.3140000002</v>
      </c>
      <c r="O28" s="77">
        <f t="shared" si="9"/>
        <v>5375496</v>
      </c>
      <c r="P28" s="77">
        <f t="shared" si="9"/>
        <v>45189.313999999897</v>
      </c>
      <c r="Q28" s="77"/>
      <c r="R28" s="77">
        <f t="shared" si="9"/>
        <v>-1062870.6445000025</v>
      </c>
      <c r="S28" s="77">
        <f t="shared" si="9"/>
        <v>5384198</v>
      </c>
      <c r="T28" s="77">
        <f>N28-S28</f>
        <v>36487.314000000246</v>
      </c>
      <c r="U28" s="77"/>
      <c r="V28" s="77"/>
    </row>
    <row r="30" spans="1:24" ht="15" x14ac:dyDescent="0.25">
      <c r="B30" s="91" t="s">
        <v>853</v>
      </c>
      <c r="C30" s="77">
        <f>('SCH M-2.1'!H49-'SCH M-2.1'!H30-'SCH M-2.1'!H31-'SCH M-2.1'!H32-'SCH M-2.1'!H33)*CUR_BASE_FUEL</f>
        <v>135879606.46498552</v>
      </c>
      <c r="D30" s="91"/>
      <c r="E30" s="91"/>
      <c r="F30" s="91"/>
      <c r="G30" s="91"/>
      <c r="H30" s="91"/>
      <c r="I30" s="91"/>
      <c r="J30" s="91"/>
      <c r="K30" s="91"/>
      <c r="L30" s="91"/>
    </row>
    <row r="31" spans="1:24" x14ac:dyDescent="0.25">
      <c r="B31" s="92"/>
      <c r="C31" s="92"/>
      <c r="D31" s="92"/>
      <c r="E31" s="92"/>
      <c r="F31" s="92"/>
      <c r="G31" s="92"/>
      <c r="H31" s="92">
        <v>1999924</v>
      </c>
      <c r="I31" s="92"/>
      <c r="J31" s="92"/>
      <c r="K31" s="92"/>
      <c r="L31" s="92"/>
    </row>
    <row r="32" spans="1:24" x14ac:dyDescent="0.25">
      <c r="C32" s="91"/>
      <c r="D32" s="91"/>
    </row>
    <row r="33" spans="1:15" x14ac:dyDescent="0.25">
      <c r="A33" s="76" t="s">
        <v>732</v>
      </c>
    </row>
    <row r="34" spans="1:15" x14ac:dyDescent="0.25">
      <c r="B34" s="79"/>
      <c r="C34" s="79"/>
      <c r="D34" s="79"/>
      <c r="E34" s="79"/>
      <c r="G34" s="79"/>
      <c r="H34" s="79"/>
      <c r="I34" s="79"/>
      <c r="J34" s="79"/>
      <c r="K34" s="79"/>
      <c r="L34" s="83" t="s">
        <v>535</v>
      </c>
    </row>
    <row r="35" spans="1:15" x14ac:dyDescent="0.25">
      <c r="B35" s="80" t="s">
        <v>535</v>
      </c>
      <c r="C35" s="81" t="s">
        <v>599</v>
      </c>
      <c r="D35" s="81"/>
      <c r="E35" s="81"/>
      <c r="G35" s="82" t="s">
        <v>601</v>
      </c>
      <c r="H35" s="82"/>
      <c r="I35" s="82"/>
      <c r="J35" s="82"/>
      <c r="K35" s="82"/>
      <c r="L35" s="84" t="s">
        <v>602</v>
      </c>
    </row>
    <row r="36" spans="1:15" x14ac:dyDescent="0.25">
      <c r="B36" s="85" t="s">
        <v>598</v>
      </c>
      <c r="C36" s="85" t="s">
        <v>585</v>
      </c>
      <c r="D36" s="85" t="s">
        <v>593</v>
      </c>
      <c r="E36" s="85" t="s">
        <v>535</v>
      </c>
      <c r="F36" s="85"/>
      <c r="G36" s="86" t="s">
        <v>597</v>
      </c>
      <c r="H36" s="86" t="s">
        <v>596</v>
      </c>
      <c r="I36" s="86" t="s">
        <v>595</v>
      </c>
      <c r="J36" s="86" t="s">
        <v>594</v>
      </c>
      <c r="K36" s="86" t="s">
        <v>535</v>
      </c>
      <c r="L36" s="85" t="s">
        <v>599</v>
      </c>
    </row>
    <row r="37" spans="1:15" x14ac:dyDescent="0.25">
      <c r="B37" s="85"/>
      <c r="C37" s="85"/>
      <c r="D37" s="85"/>
      <c r="E37" s="85"/>
      <c r="F37" s="85"/>
      <c r="G37" s="86"/>
      <c r="H37" s="86"/>
      <c r="I37" s="86"/>
      <c r="J37" s="86"/>
      <c r="K37" s="86"/>
      <c r="L37" s="85"/>
    </row>
    <row r="38" spans="1:15" ht="15" x14ac:dyDescent="0.25">
      <c r="A38" s="76" t="s">
        <v>52</v>
      </c>
      <c r="B38" s="77">
        <f>'Rate RS'!R38</f>
        <v>237876620</v>
      </c>
      <c r="C38" s="77"/>
      <c r="D38" s="77">
        <f>'Rate RS'!R34</f>
        <v>5323148</v>
      </c>
      <c r="E38" s="77"/>
      <c r="F38" s="77"/>
      <c r="G38" s="77">
        <f>'Rate RS'!R31</f>
        <v>501993</v>
      </c>
      <c r="H38" s="77">
        <f>'Rate RS'!R33</f>
        <v>825297</v>
      </c>
      <c r="I38" s="77">
        <f>'Rate RS'!R32</f>
        <v>2063796</v>
      </c>
      <c r="J38" s="77">
        <f>'Rate RS'!R35</f>
        <v>3778029</v>
      </c>
      <c r="K38" s="77">
        <f>SUM(G38:J38)</f>
        <v>7169115</v>
      </c>
      <c r="L38" s="77">
        <f>+B38-E38-K38</f>
        <v>230707505</v>
      </c>
      <c r="N38" s="91"/>
      <c r="O38" s="91"/>
    </row>
    <row r="39" spans="1:15" ht="15" x14ac:dyDescent="0.25"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N39" s="91"/>
      <c r="O39" s="91"/>
    </row>
    <row r="40" spans="1:15" ht="15" x14ac:dyDescent="0.25">
      <c r="A40" s="76" t="s">
        <v>91</v>
      </c>
      <c r="B40" s="77">
        <f>'Rate DS'!R50</f>
        <v>161522903</v>
      </c>
      <c r="C40" s="77"/>
      <c r="D40" s="77">
        <f>'Rate DS'!R46</f>
        <v>3984417</v>
      </c>
      <c r="E40" s="77"/>
      <c r="F40" s="77"/>
      <c r="G40" s="77"/>
      <c r="H40" s="77">
        <f>'Rate DS'!R45</f>
        <v>635094</v>
      </c>
      <c r="I40" s="77">
        <f>'Rate DS'!R44</f>
        <v>4002455</v>
      </c>
      <c r="J40" s="77">
        <f>'Rate DS'!R47</f>
        <v>2827883</v>
      </c>
      <c r="K40" s="77">
        <f t="shared" ref="K40:K59" si="10">SUM(G40:J40)</f>
        <v>7465432</v>
      </c>
      <c r="L40" s="77">
        <f t="shared" ref="L40:L51" si="11">+B40-E40-K40</f>
        <v>154057471</v>
      </c>
      <c r="N40" s="91"/>
      <c r="O40" s="91"/>
    </row>
    <row r="41" spans="1:15" ht="15" x14ac:dyDescent="0.25">
      <c r="A41" s="76" t="s">
        <v>592</v>
      </c>
      <c r="B41" s="77">
        <f>'Rate DT-Pri'!R65</f>
        <v>55410614</v>
      </c>
      <c r="C41" s="77"/>
      <c r="D41" s="77">
        <f>'Rate DT-Pri'!R61</f>
        <v>1695651</v>
      </c>
      <c r="E41" s="77"/>
      <c r="F41" s="77"/>
      <c r="G41" s="77"/>
      <c r="H41" s="77">
        <f>'Rate DT-Pri'!R60</f>
        <v>199108</v>
      </c>
      <c r="I41" s="77">
        <f>'Rate DT-Pri'!R59</f>
        <v>1703328</v>
      </c>
      <c r="J41" s="77">
        <f>'Rate DT-Pri'!R62</f>
        <v>1203465</v>
      </c>
      <c r="K41" s="77">
        <f t="shared" si="10"/>
        <v>3105901</v>
      </c>
      <c r="L41" s="77">
        <f t="shared" si="11"/>
        <v>52304713</v>
      </c>
      <c r="N41" s="91"/>
      <c r="O41" s="91"/>
    </row>
    <row r="42" spans="1:15" ht="15" x14ac:dyDescent="0.25">
      <c r="A42" s="76" t="s">
        <v>591</v>
      </c>
      <c r="B42" s="77">
        <f>'Rate DT-Sec'!R63</f>
        <v>71235217</v>
      </c>
      <c r="C42" s="77"/>
      <c r="D42" s="77">
        <f>'Rate DT-Sec'!R59</f>
        <v>2143173</v>
      </c>
      <c r="E42" s="77"/>
      <c r="F42" s="77"/>
      <c r="G42" s="77"/>
      <c r="H42" s="77">
        <f>'Rate DT-Sec'!R58</f>
        <v>258067</v>
      </c>
      <c r="I42" s="77">
        <f>'Rate DT-Sec'!R57</f>
        <v>2152875</v>
      </c>
      <c r="J42" s="77">
        <f>'Rate DT-Sec'!R60</f>
        <v>1521087</v>
      </c>
      <c r="K42" s="77">
        <f t="shared" si="10"/>
        <v>3932029</v>
      </c>
      <c r="L42" s="77">
        <f t="shared" si="11"/>
        <v>67303188</v>
      </c>
      <c r="N42" s="91"/>
      <c r="O42" s="91"/>
    </row>
    <row r="43" spans="1:15" ht="15" x14ac:dyDescent="0.25">
      <c r="A43" s="76" t="s">
        <v>94</v>
      </c>
      <c r="B43" s="77">
        <f>'Rate EH'!R43</f>
        <v>2251686</v>
      </c>
      <c r="C43" s="77"/>
      <c r="D43" s="77">
        <f>'Rate EH'!R39</f>
        <v>67655</v>
      </c>
      <c r="E43" s="77"/>
      <c r="F43" s="77"/>
      <c r="G43" s="77"/>
      <c r="H43" s="77">
        <f>'Rate EH'!R38</f>
        <v>8162</v>
      </c>
      <c r="I43" s="77">
        <f>'Rate EH'!R37</f>
        <v>67962</v>
      </c>
      <c r="J43" s="77">
        <f>'Rate EH'!R40</f>
        <v>48017</v>
      </c>
      <c r="K43" s="77">
        <f t="shared" si="10"/>
        <v>124141</v>
      </c>
      <c r="L43" s="77">
        <f t="shared" si="11"/>
        <v>2127545</v>
      </c>
      <c r="N43" s="91"/>
      <c r="O43" s="91"/>
    </row>
    <row r="44" spans="1:15" ht="15" x14ac:dyDescent="0.25">
      <c r="A44" s="76" t="s">
        <v>95</v>
      </c>
      <c r="B44" s="77">
        <f>'Rate SP GSFL'!R38</f>
        <v>60480</v>
      </c>
      <c r="C44" s="77"/>
      <c r="D44" s="77">
        <f>'Rate SP GSFL'!R34</f>
        <v>1137</v>
      </c>
      <c r="E44" s="77"/>
      <c r="F44" s="77"/>
      <c r="G44" s="77"/>
      <c r="H44" s="77">
        <f>'Rate SP GSFL'!R33</f>
        <v>258</v>
      </c>
      <c r="I44" s="77">
        <f>'Rate SP GSFL'!R32</f>
        <v>1142</v>
      </c>
      <c r="J44" s="77">
        <f>'Rate SP GSFL'!R35</f>
        <v>807</v>
      </c>
      <c r="K44" s="77">
        <f t="shared" si="10"/>
        <v>2207</v>
      </c>
      <c r="L44" s="77">
        <f t="shared" si="11"/>
        <v>58273</v>
      </c>
      <c r="N44" s="91"/>
      <c r="O44" s="91"/>
    </row>
    <row r="45" spans="1:15" ht="15" x14ac:dyDescent="0.25">
      <c r="A45" s="76" t="s">
        <v>93</v>
      </c>
      <c r="B45" s="77">
        <f>'Rate SP GSFL'!R57</f>
        <v>1002158</v>
      </c>
      <c r="C45" s="77"/>
      <c r="D45" s="77">
        <f>'Rate SP GSFL'!R53</f>
        <v>21582</v>
      </c>
      <c r="E45" s="77"/>
      <c r="F45" s="77"/>
      <c r="G45" s="77"/>
      <c r="H45" s="77">
        <f>'Rate SP GSFL'!R52</f>
        <v>4120</v>
      </c>
      <c r="I45" s="77">
        <f>'Rate SP GSFL'!R51</f>
        <v>21680</v>
      </c>
      <c r="J45" s="77">
        <f>'Rate SP GSFL'!R54</f>
        <v>15317</v>
      </c>
      <c r="K45" s="77">
        <f t="shared" si="10"/>
        <v>41117</v>
      </c>
      <c r="L45" s="77">
        <f t="shared" si="11"/>
        <v>961041</v>
      </c>
      <c r="N45" s="91"/>
      <c r="O45" s="91"/>
    </row>
    <row r="46" spans="1:15" ht="15" x14ac:dyDescent="0.25">
      <c r="A46" s="76" t="s">
        <v>92</v>
      </c>
      <c r="B46" s="77">
        <f>'Rate DP'!R46</f>
        <v>966774</v>
      </c>
      <c r="C46" s="77"/>
      <c r="D46" s="77">
        <f>'Rate DP'!R42</f>
        <v>27439</v>
      </c>
      <c r="E46" s="77"/>
      <c r="F46" s="77"/>
      <c r="G46" s="77"/>
      <c r="H46" s="77">
        <f>'Rate DP'!R41</f>
        <v>3596</v>
      </c>
      <c r="I46" s="77">
        <f>'Rate DP'!R40</f>
        <v>27563</v>
      </c>
      <c r="J46" s="77">
        <f>'Rate DP'!R43</f>
        <v>19474</v>
      </c>
      <c r="K46" s="77">
        <f t="shared" si="10"/>
        <v>50633</v>
      </c>
      <c r="L46" s="77">
        <f t="shared" si="11"/>
        <v>916141</v>
      </c>
      <c r="N46" s="91"/>
      <c r="O46" s="91"/>
    </row>
    <row r="47" spans="1:15" ht="15" x14ac:dyDescent="0.25">
      <c r="A47" s="76" t="s">
        <v>60</v>
      </c>
      <c r="B47" s="77">
        <f>'Rate TT'!R56</f>
        <v>16834121</v>
      </c>
      <c r="C47" s="77"/>
      <c r="D47" s="77">
        <f>'Rate TT'!R52</f>
        <v>647031</v>
      </c>
      <c r="E47" s="77"/>
      <c r="F47" s="77"/>
      <c r="G47" s="77"/>
      <c r="H47" s="77">
        <f>'Rate TT'!R51</f>
        <v>52965</v>
      </c>
      <c r="I47" s="77">
        <f>'Rate TT'!R50</f>
        <v>95370</v>
      </c>
      <c r="J47" s="77">
        <f>'Rate TT'!R53</f>
        <v>459221</v>
      </c>
      <c r="K47" s="77">
        <f t="shared" si="10"/>
        <v>607556</v>
      </c>
      <c r="L47" s="77">
        <f t="shared" si="11"/>
        <v>16226565</v>
      </c>
      <c r="N47" s="91"/>
      <c r="O47" s="91"/>
    </row>
    <row r="48" spans="1:15" ht="15" x14ac:dyDescent="0.25">
      <c r="A48" s="76" t="s">
        <v>600</v>
      </c>
      <c r="B48" s="77">
        <v>0</v>
      </c>
      <c r="C48" s="77"/>
      <c r="D48" s="77">
        <v>0</v>
      </c>
      <c r="E48" s="77"/>
      <c r="F48" s="77"/>
      <c r="G48" s="77"/>
      <c r="H48" s="77">
        <v>0</v>
      </c>
      <c r="I48" s="77">
        <v>0</v>
      </c>
      <c r="J48" s="77">
        <v>0</v>
      </c>
      <c r="K48" s="77">
        <f t="shared" si="10"/>
        <v>0</v>
      </c>
      <c r="L48" s="77">
        <f t="shared" si="11"/>
        <v>0</v>
      </c>
      <c r="N48" s="91"/>
      <c r="O48" s="91"/>
    </row>
    <row r="49" spans="1:15" ht="15" x14ac:dyDescent="0.25">
      <c r="A49" s="76" t="s">
        <v>590</v>
      </c>
      <c r="B49" s="77">
        <f>'Rate DT RTP-S'!R39</f>
        <v>91108</v>
      </c>
      <c r="C49" s="77"/>
      <c r="D49" s="77">
        <v>0</v>
      </c>
      <c r="E49" s="77"/>
      <c r="F49" s="77"/>
      <c r="G49" s="77"/>
      <c r="H49" s="77">
        <f>'Rate DT RTP-S'!R35</f>
        <v>285</v>
      </c>
      <c r="I49" s="77">
        <f>'Rate DT RTP-S'!R34</f>
        <v>3921</v>
      </c>
      <c r="J49" s="77">
        <f>'Rate DT RTP-S'!R36</f>
        <v>2770</v>
      </c>
      <c r="K49" s="77">
        <f t="shared" si="10"/>
        <v>6976</v>
      </c>
      <c r="L49" s="77">
        <f t="shared" si="11"/>
        <v>84132</v>
      </c>
      <c r="N49" s="91"/>
      <c r="O49" s="91"/>
    </row>
    <row r="50" spans="1:15" ht="15" x14ac:dyDescent="0.25">
      <c r="A50" s="76" t="s">
        <v>307</v>
      </c>
      <c r="B50" s="77">
        <f>'Rate DS RTP'!R39</f>
        <v>1992</v>
      </c>
      <c r="C50" s="77"/>
      <c r="D50" s="77">
        <v>0</v>
      </c>
      <c r="E50" s="77"/>
      <c r="F50" s="77"/>
      <c r="G50" s="77"/>
      <c r="H50" s="77">
        <f>'Rate DS RTP'!R35</f>
        <v>11</v>
      </c>
      <c r="I50" s="77">
        <f>'Rate DS RTP'!R34</f>
        <v>-10</v>
      </c>
      <c r="J50" s="77">
        <f>'Rate DS RTP'!R36</f>
        <v>-7</v>
      </c>
      <c r="K50" s="77">
        <f t="shared" si="10"/>
        <v>-6</v>
      </c>
      <c r="L50" s="77">
        <f t="shared" si="11"/>
        <v>1998</v>
      </c>
      <c r="N50" s="91"/>
      <c r="O50" s="91"/>
    </row>
    <row r="51" spans="1:15" ht="15" x14ac:dyDescent="0.25">
      <c r="A51" s="76" t="s">
        <v>589</v>
      </c>
      <c r="B51" s="77">
        <f>'Rate TT RTP'!R39</f>
        <v>585221</v>
      </c>
      <c r="C51" s="77"/>
      <c r="D51" s="77">
        <v>0</v>
      </c>
      <c r="E51" s="77"/>
      <c r="F51" s="77"/>
      <c r="G51" s="77"/>
      <c r="H51" s="77">
        <f>'Rate TT RTP'!R35</f>
        <v>933</v>
      </c>
      <c r="I51" s="77">
        <f>'Rate TT RTP'!R34</f>
        <v>6247</v>
      </c>
      <c r="J51" s="77">
        <f>'Rate TT RTP'!R36</f>
        <v>30080</v>
      </c>
      <c r="K51" s="77">
        <f t="shared" si="10"/>
        <v>37260</v>
      </c>
      <c r="L51" s="77">
        <f t="shared" si="11"/>
        <v>547961</v>
      </c>
      <c r="N51" s="91"/>
      <c r="O51" s="91"/>
    </row>
    <row r="52" spans="1:15" ht="15" x14ac:dyDescent="0.25">
      <c r="A52" s="76" t="s">
        <v>77</v>
      </c>
      <c r="B52" s="77">
        <f>'Rate SL'!R139</f>
        <v>1641735</v>
      </c>
      <c r="C52" s="77"/>
      <c r="D52" s="77">
        <f>'SCH M-2.3'!P47</f>
        <v>23915</v>
      </c>
      <c r="E52" s="77"/>
      <c r="F52" s="77"/>
      <c r="G52" s="77"/>
      <c r="H52" s="77">
        <f>'Rate SL'!R131</f>
        <v>7278</v>
      </c>
      <c r="I52" s="77"/>
      <c r="J52" s="77">
        <f>'Rate SL'!R132</f>
        <v>16973</v>
      </c>
      <c r="K52" s="77">
        <f t="shared" si="10"/>
        <v>24251</v>
      </c>
      <c r="L52" s="77">
        <f>+B52-E52-K52</f>
        <v>1617484</v>
      </c>
      <c r="N52" s="91"/>
      <c r="O52" s="91"/>
    </row>
    <row r="53" spans="1:15" ht="15" x14ac:dyDescent="0.25">
      <c r="A53" s="76" t="s">
        <v>81</v>
      </c>
      <c r="B53" s="77">
        <f>'Rate TL'!R34</f>
        <v>119306</v>
      </c>
      <c r="C53" s="77"/>
      <c r="D53" s="77">
        <f>'SCH M-2.3'!P48</f>
        <v>5011</v>
      </c>
      <c r="E53" s="77"/>
      <c r="F53" s="77"/>
      <c r="G53" s="77"/>
      <c r="H53" s="77">
        <f>'Rate TL'!R30</f>
        <v>378</v>
      </c>
      <c r="I53" s="77"/>
      <c r="J53" s="77">
        <f>'Rate TL'!R31</f>
        <v>3556</v>
      </c>
      <c r="K53" s="77">
        <f t="shared" si="10"/>
        <v>3934</v>
      </c>
      <c r="L53" s="77">
        <f t="shared" ref="L53:L59" si="12">+B53-E53-K53</f>
        <v>115372</v>
      </c>
      <c r="N53" s="91"/>
      <c r="O53" s="91"/>
    </row>
    <row r="54" spans="1:15" ht="15" x14ac:dyDescent="0.25">
      <c r="A54" s="76" t="s">
        <v>588</v>
      </c>
      <c r="B54" s="77">
        <f>'Rate UOLS'!R28</f>
        <v>746193</v>
      </c>
      <c r="C54" s="77"/>
      <c r="D54" s="77">
        <f>'SCH M-2.3'!P49</f>
        <v>31669</v>
      </c>
      <c r="E54" s="77"/>
      <c r="F54" s="77"/>
      <c r="G54" s="77"/>
      <c r="H54" s="77">
        <f>'Rate UOLS'!R24</f>
        <v>2346</v>
      </c>
      <c r="I54" s="77"/>
      <c r="J54" s="77">
        <f>'Rate UOLS'!R25</f>
        <v>22477</v>
      </c>
      <c r="K54" s="77">
        <f t="shared" si="10"/>
        <v>24823</v>
      </c>
      <c r="L54" s="77">
        <f t="shared" si="12"/>
        <v>721370</v>
      </c>
      <c r="N54" s="91"/>
      <c r="O54" s="91"/>
    </row>
    <row r="55" spans="1:15" ht="15" x14ac:dyDescent="0.25">
      <c r="A55" s="76" t="s">
        <v>86</v>
      </c>
      <c r="B55" s="77">
        <f>'Rate NSU'!R45</f>
        <v>110762</v>
      </c>
      <c r="C55" s="77"/>
      <c r="D55" s="77">
        <f>'SCH M-2.3'!P50</f>
        <v>1368</v>
      </c>
      <c r="E55" s="77"/>
      <c r="F55" s="77"/>
      <c r="G55" s="77"/>
      <c r="H55" s="77">
        <f>'Rate NSU'!R41</f>
        <v>521</v>
      </c>
      <c r="I55" s="77"/>
      <c r="J55" s="77">
        <f>'Rate NSU'!R42</f>
        <v>971</v>
      </c>
      <c r="K55" s="77">
        <f t="shared" si="10"/>
        <v>1492</v>
      </c>
      <c r="L55" s="77">
        <f t="shared" si="12"/>
        <v>109270</v>
      </c>
      <c r="N55" s="91"/>
      <c r="O55" s="91"/>
    </row>
    <row r="56" spans="1:15" ht="15" x14ac:dyDescent="0.25">
      <c r="A56" s="76" t="s">
        <v>73</v>
      </c>
      <c r="B56" s="77">
        <f>'Rate SC'!R72</f>
        <v>7455</v>
      </c>
      <c r="C56" s="77"/>
      <c r="D56" s="77">
        <f>'SCH M-2.3'!P51</f>
        <v>318</v>
      </c>
      <c r="E56" s="77"/>
      <c r="F56" s="77"/>
      <c r="G56" s="77"/>
      <c r="H56" s="77">
        <f>'Rate SC'!R68</f>
        <v>23</v>
      </c>
      <c r="I56" s="77"/>
      <c r="J56" s="77">
        <f>'Rate SC'!R69</f>
        <v>226</v>
      </c>
      <c r="K56" s="77">
        <f t="shared" si="10"/>
        <v>249</v>
      </c>
      <c r="L56" s="77">
        <f t="shared" si="12"/>
        <v>7206</v>
      </c>
      <c r="N56" s="91"/>
      <c r="O56" s="91"/>
    </row>
    <row r="57" spans="1:15" ht="15" x14ac:dyDescent="0.25">
      <c r="A57" s="76" t="s">
        <v>70</v>
      </c>
      <c r="B57" s="77">
        <f>'Rate SE'!R52</f>
        <v>297051</v>
      </c>
      <c r="C57" s="77"/>
      <c r="D57" s="77">
        <f>'SCH M-2.3'!P52</f>
        <v>4218</v>
      </c>
      <c r="E57" s="77"/>
      <c r="F57" s="77"/>
      <c r="G57" s="77"/>
      <c r="H57" s="77">
        <f>'Rate SE'!R48</f>
        <v>1368</v>
      </c>
      <c r="I57" s="77"/>
      <c r="J57" s="77">
        <f>'Rate SE'!R49</f>
        <v>2994</v>
      </c>
      <c r="K57" s="77">
        <f t="shared" si="10"/>
        <v>4362</v>
      </c>
      <c r="L57" s="77">
        <f t="shared" si="12"/>
        <v>292689</v>
      </c>
      <c r="N57" s="91"/>
      <c r="O57" s="91"/>
    </row>
    <row r="58" spans="1:15" ht="15" x14ac:dyDescent="0.25">
      <c r="A58" s="76" t="s">
        <v>551</v>
      </c>
      <c r="B58" s="77">
        <f>'Rate LED'!R340</f>
        <v>22872.429167999999</v>
      </c>
      <c r="C58" s="77"/>
      <c r="D58" s="77">
        <f>'SCH M-2.3'!P53</f>
        <v>147</v>
      </c>
      <c r="E58" s="77"/>
      <c r="F58" s="77"/>
      <c r="G58" s="77"/>
      <c r="H58" s="77">
        <f>'Rate LED'!R335</f>
        <v>114</v>
      </c>
      <c r="I58" s="77"/>
      <c r="J58" s="77">
        <f>'Rate LED'!R337</f>
        <v>104</v>
      </c>
      <c r="K58" s="77">
        <f t="shared" si="10"/>
        <v>218</v>
      </c>
      <c r="L58" s="77">
        <f t="shared" si="12"/>
        <v>22654.429167999999</v>
      </c>
      <c r="N58" s="91"/>
      <c r="O58" s="91"/>
    </row>
    <row r="59" spans="1:15" ht="15" x14ac:dyDescent="0.25">
      <c r="A59" s="76" t="s">
        <v>587</v>
      </c>
      <c r="B59" s="78">
        <f>'SCH M-2.3'!R57+'SCH M-2.3'!R63</f>
        <v>1015865.3005930001</v>
      </c>
      <c r="C59" s="78"/>
      <c r="D59" s="78">
        <f>'SCH M-2.3'!P57+'SCH M-2.3'!P63</f>
        <v>49388.216208473597</v>
      </c>
      <c r="E59" s="78"/>
      <c r="F59" s="77"/>
      <c r="G59" s="78"/>
      <c r="H59" s="78"/>
      <c r="I59" s="78"/>
      <c r="J59" s="78"/>
      <c r="K59" s="78">
        <f t="shared" si="10"/>
        <v>0</v>
      </c>
      <c r="L59" s="78">
        <f t="shared" si="12"/>
        <v>1015865.3005930001</v>
      </c>
      <c r="N59" s="91"/>
      <c r="O59" s="91"/>
    </row>
    <row r="60" spans="1:15" ht="15" x14ac:dyDescent="0.25">
      <c r="A60" s="76" t="s">
        <v>586</v>
      </c>
      <c r="B60" s="77">
        <f>SUM(B38:B59)</f>
        <v>551800133.729761</v>
      </c>
      <c r="C60" s="77">
        <f>SUM(C38:C59)</f>
        <v>0</v>
      </c>
      <c r="D60" s="77">
        <f>SUM(D38:D59)</f>
        <v>14027267.216208473</v>
      </c>
      <c r="E60" s="77">
        <f>SUM(E38:E59)</f>
        <v>0</v>
      </c>
      <c r="F60" s="77"/>
      <c r="G60" s="77">
        <f t="shared" ref="G60:L60" si="13">SUM(G38:G59)</f>
        <v>501993</v>
      </c>
      <c r="H60" s="77">
        <f t="shared" si="13"/>
        <v>1999924</v>
      </c>
      <c r="I60" s="77">
        <f t="shared" si="13"/>
        <v>10146329</v>
      </c>
      <c r="J60" s="77">
        <f t="shared" si="13"/>
        <v>9953444</v>
      </c>
      <c r="K60" s="77">
        <f t="shared" si="13"/>
        <v>22601690</v>
      </c>
      <c r="L60" s="77">
        <f t="shared" si="13"/>
        <v>529198443.729761</v>
      </c>
    </row>
    <row r="65" spans="8:8" x14ac:dyDescent="0.25">
      <c r="H65" s="91"/>
    </row>
  </sheetData>
  <pageMargins left="0.7" right="0.7" top="0.75" bottom="0.75" header="0.3" footer="0.3"/>
  <pageSetup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syncVertical="1" syncRef="A1" transitionEvaluation="1" codeName="Sheet3">
    <pageSetUpPr fitToPage="1"/>
  </sheetPr>
  <dimension ref="A1:Q886"/>
  <sheetViews>
    <sheetView tabSelected="1" zoomScale="80" zoomScaleNormal="80" workbookViewId="0"/>
  </sheetViews>
  <sheetFormatPr defaultColWidth="9.75" defaultRowHeight="15.6" x14ac:dyDescent="0.3"/>
  <cols>
    <col min="1" max="1" width="5.08203125" style="98" customWidth="1"/>
    <col min="2" max="2" width="0.33203125" style="98" customWidth="1"/>
    <col min="3" max="3" width="63.08203125" style="98" bestFit="1" customWidth="1"/>
    <col min="4" max="4" width="1.33203125" style="98" customWidth="1"/>
    <col min="5" max="5" width="14.75" style="98" customWidth="1"/>
    <col min="6" max="6" width="0.58203125" style="98" customWidth="1"/>
    <col min="7" max="7" width="14.75" style="98" customWidth="1"/>
    <col min="8" max="8" width="0.75" style="98" customWidth="1"/>
    <col min="9" max="9" width="12.4140625" style="98" customWidth="1"/>
    <col min="10" max="10" width="0.75" style="98" customWidth="1"/>
    <col min="11" max="11" width="9.25" style="98" customWidth="1"/>
    <col min="12" max="12" width="3.08203125" style="98" customWidth="1"/>
    <col min="13" max="13" width="13" style="98" customWidth="1"/>
    <col min="14" max="14" width="12.4140625" style="98" customWidth="1"/>
    <col min="15" max="15" width="14.33203125" style="98" bestFit="1" customWidth="1"/>
    <col min="16" max="16" width="13.08203125" style="98" customWidth="1"/>
    <col min="17" max="17" width="12" style="98" customWidth="1"/>
    <col min="18" max="16384" width="9.75" style="98"/>
  </cols>
  <sheetData>
    <row r="1" spans="1:15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</row>
    <row r="2" spans="1:15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</row>
    <row r="3" spans="1:15" x14ac:dyDescent="0.3">
      <c r="A3" s="97" t="s">
        <v>407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</row>
    <row r="4" spans="1:15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</row>
    <row r="5" spans="1:15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</row>
    <row r="6" spans="1:15" x14ac:dyDescent="0.3">
      <c r="A6" s="97"/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</row>
    <row r="7" spans="1:15" x14ac:dyDescent="0.3">
      <c r="A7" s="98" t="str">
        <f>DATA_PERIOD</f>
        <v>DATA: __X__ BASE PERIOD   ____FORECASTED PERIOD</v>
      </c>
      <c r="I7" s="99" t="s">
        <v>164</v>
      </c>
    </row>
    <row r="8" spans="1:15" x14ac:dyDescent="0.3">
      <c r="A8" s="98" t="str">
        <f>TYPE</f>
        <v>TYPE OF FILING: _X_ ORIGINAL   ___UPDATED  ___ REVISED</v>
      </c>
      <c r="I8" s="99" t="s">
        <v>158</v>
      </c>
    </row>
    <row r="9" spans="1:15" x14ac:dyDescent="0.3">
      <c r="A9" s="99" t="s">
        <v>170</v>
      </c>
      <c r="I9" s="99" t="s">
        <v>3</v>
      </c>
    </row>
    <row r="10" spans="1:15" x14ac:dyDescent="0.3">
      <c r="A10" s="124" t="str">
        <f>TIME</f>
        <v>6 Months Actual and 6 Months Projected with Riders</v>
      </c>
      <c r="I10" s="98" t="str">
        <f>WIT</f>
        <v>B. L. Sailers</v>
      </c>
    </row>
    <row r="11" spans="1:15" x14ac:dyDescent="0.3">
      <c r="A11" s="125" t="str">
        <f>INPUT!B5</f>
        <v>6 Months Actual Ending August 31, 2024</v>
      </c>
      <c r="B11" s="97"/>
      <c r="C11" s="97"/>
      <c r="D11" s="97"/>
      <c r="J11" s="97"/>
      <c r="K11" s="97"/>
      <c r="L11" s="97"/>
    </row>
    <row r="12" spans="1:15" x14ac:dyDescent="0.3">
      <c r="A12" s="126"/>
      <c r="B12" s="126"/>
      <c r="C12" s="126"/>
      <c r="D12" s="126"/>
      <c r="E12" s="126"/>
      <c r="F12" s="97"/>
      <c r="G12" s="97"/>
      <c r="H12" s="97"/>
      <c r="I12" s="97"/>
      <c r="J12" s="97"/>
      <c r="K12" s="97"/>
      <c r="L12" s="97"/>
    </row>
    <row r="13" spans="1:15" x14ac:dyDescent="0.3">
      <c r="A13" s="100"/>
      <c r="B13" s="100"/>
      <c r="C13" s="100"/>
      <c r="D13" s="100"/>
      <c r="E13" s="100"/>
      <c r="F13" s="100"/>
      <c r="G13" s="100"/>
      <c r="H13" s="100"/>
      <c r="I13" s="100"/>
      <c r="J13" s="100"/>
      <c r="K13" s="100"/>
      <c r="L13" s="101"/>
    </row>
    <row r="14" spans="1:15" x14ac:dyDescent="0.3">
      <c r="K14" s="102"/>
      <c r="L14" s="102"/>
    </row>
    <row r="15" spans="1:15" x14ac:dyDescent="0.3">
      <c r="E15" s="102" t="s">
        <v>160</v>
      </c>
      <c r="G15" s="102" t="s">
        <v>160</v>
      </c>
      <c r="I15" s="102" t="s">
        <v>9</v>
      </c>
      <c r="K15" s="102" t="s">
        <v>185</v>
      </c>
      <c r="L15" s="102"/>
    </row>
    <row r="16" spans="1:15" x14ac:dyDescent="0.3">
      <c r="A16" s="102" t="s">
        <v>17</v>
      </c>
      <c r="C16" s="102" t="s">
        <v>18</v>
      </c>
      <c r="D16" s="102"/>
      <c r="E16" s="102" t="s">
        <v>184</v>
      </c>
      <c r="G16" s="102" t="s">
        <v>6</v>
      </c>
      <c r="I16" s="102" t="s">
        <v>161</v>
      </c>
      <c r="J16" s="102"/>
      <c r="K16" s="102" t="s">
        <v>9</v>
      </c>
      <c r="L16" s="102"/>
      <c r="M16" s="102"/>
      <c r="N16" s="102"/>
      <c r="O16" s="102"/>
    </row>
    <row r="17" spans="1:17" x14ac:dyDescent="0.3">
      <c r="A17" s="102" t="s">
        <v>22</v>
      </c>
      <c r="C17" s="102" t="s">
        <v>159</v>
      </c>
      <c r="D17" s="102"/>
      <c r="E17" s="102" t="s">
        <v>27</v>
      </c>
      <c r="G17" s="102" t="s">
        <v>27</v>
      </c>
      <c r="H17" s="102"/>
      <c r="I17" s="103" t="s">
        <v>163</v>
      </c>
      <c r="J17" s="102"/>
      <c r="K17" s="102" t="s">
        <v>161</v>
      </c>
      <c r="L17" s="102"/>
      <c r="M17" s="102"/>
      <c r="N17" s="102"/>
      <c r="O17" s="103"/>
    </row>
    <row r="18" spans="1:17" x14ac:dyDescent="0.3">
      <c r="A18" s="104"/>
      <c r="B18" s="104"/>
      <c r="C18" s="127" t="s">
        <v>33</v>
      </c>
      <c r="D18" s="128"/>
      <c r="E18" s="127" t="s">
        <v>34</v>
      </c>
      <c r="F18" s="129"/>
      <c r="G18" s="128" t="s">
        <v>35</v>
      </c>
      <c r="H18" s="128"/>
      <c r="I18" s="127" t="s">
        <v>162</v>
      </c>
      <c r="J18" s="128"/>
      <c r="K18" s="127" t="s">
        <v>165</v>
      </c>
      <c r="L18" s="103"/>
      <c r="M18" s="102"/>
      <c r="N18" s="102"/>
    </row>
    <row r="19" spans="1:17" x14ac:dyDescent="0.3">
      <c r="E19" s="105" t="s">
        <v>50</v>
      </c>
      <c r="F19" s="130"/>
      <c r="G19" s="105" t="s">
        <v>50</v>
      </c>
      <c r="H19" s="105"/>
      <c r="I19" s="105" t="s">
        <v>50</v>
      </c>
      <c r="J19" s="105"/>
      <c r="K19" s="105" t="s">
        <v>51</v>
      </c>
      <c r="L19" s="102"/>
      <c r="M19" s="102"/>
      <c r="N19" s="102"/>
    </row>
    <row r="20" spans="1:17" x14ac:dyDescent="0.3">
      <c r="C20" s="131" t="s">
        <v>408</v>
      </c>
      <c r="G20" s="102"/>
      <c r="H20" s="102"/>
      <c r="I20" s="102"/>
      <c r="J20" s="102"/>
      <c r="K20" s="102"/>
      <c r="L20" s="102"/>
      <c r="M20" s="102"/>
      <c r="N20" s="102"/>
    </row>
    <row r="21" spans="1:17" x14ac:dyDescent="0.3">
      <c r="A21" s="102">
        <v>1</v>
      </c>
      <c r="C21" s="99" t="s">
        <v>313</v>
      </c>
      <c r="D21" s="99"/>
      <c r="E21" s="106">
        <f>'Rate RS'!AN79</f>
        <v>204678561</v>
      </c>
      <c r="F21" s="1"/>
      <c r="G21" s="106">
        <f>'Rate RS'!R38</f>
        <v>237876620</v>
      </c>
      <c r="H21" s="106"/>
      <c r="I21" s="106">
        <f>G21-E21</f>
        <v>33198059</v>
      </c>
      <c r="J21" s="106"/>
      <c r="K21" s="107">
        <f>IF(E21=0,"-",ROUND(I21/E21,4))</f>
        <v>0.16220000000000001</v>
      </c>
      <c r="L21" s="107"/>
      <c r="M21" s="102"/>
      <c r="N21" s="108"/>
      <c r="O21" s="109"/>
      <c r="P21" s="110"/>
    </row>
    <row r="22" spans="1:17" x14ac:dyDescent="0.3">
      <c r="A22" s="102">
        <v>2</v>
      </c>
      <c r="C22" s="99"/>
      <c r="D22" s="99"/>
      <c r="E22" s="106"/>
      <c r="F22" s="1"/>
      <c r="G22" s="106"/>
      <c r="H22" s="106"/>
      <c r="I22" s="106"/>
      <c r="J22" s="106"/>
      <c r="K22" s="111"/>
      <c r="L22" s="107"/>
      <c r="M22" s="102"/>
      <c r="N22" s="108"/>
      <c r="O22" s="109"/>
      <c r="P22" s="110"/>
    </row>
    <row r="23" spans="1:17" ht="20.100000000000001" customHeight="1" x14ac:dyDescent="0.3">
      <c r="A23" s="102">
        <v>3</v>
      </c>
      <c r="C23" s="132" t="s">
        <v>195</v>
      </c>
      <c r="E23" s="112">
        <f>E21+E22</f>
        <v>204678561</v>
      </c>
      <c r="F23" s="1"/>
      <c r="G23" s="112">
        <f>G21+G22</f>
        <v>237876620</v>
      </c>
      <c r="H23" s="106"/>
      <c r="I23" s="112">
        <f>G23-E23</f>
        <v>33198059</v>
      </c>
      <c r="J23" s="106"/>
      <c r="K23" s="113">
        <f>IF(E23=0,"-",ROUND(I23/E23,4))</f>
        <v>0.16220000000000001</v>
      </c>
      <c r="L23" s="107"/>
      <c r="M23" s="102"/>
      <c r="N23" s="108"/>
      <c r="O23" s="109"/>
      <c r="P23" s="106"/>
      <c r="Q23" s="1"/>
    </row>
    <row r="24" spans="1:17" x14ac:dyDescent="0.3">
      <c r="A24" s="102"/>
      <c r="E24" s="106"/>
      <c r="F24" s="1"/>
      <c r="G24" s="106"/>
      <c r="H24" s="106"/>
      <c r="I24" s="106"/>
      <c r="J24" s="106"/>
      <c r="K24" s="114"/>
      <c r="L24" s="107"/>
      <c r="M24" s="102"/>
      <c r="N24" s="108"/>
      <c r="O24" s="109"/>
      <c r="P24" s="106"/>
      <c r="Q24" s="1"/>
    </row>
    <row r="25" spans="1:17" x14ac:dyDescent="0.3">
      <c r="A25" s="102"/>
      <c r="C25" s="131" t="s">
        <v>253</v>
      </c>
      <c r="E25" s="106"/>
      <c r="F25" s="1"/>
      <c r="G25" s="106"/>
      <c r="H25" s="106"/>
      <c r="I25" s="106"/>
      <c r="J25" s="106"/>
      <c r="K25" s="114"/>
      <c r="L25" s="107"/>
      <c r="M25" s="102"/>
      <c r="N25" s="108"/>
      <c r="O25" s="109"/>
      <c r="P25" s="106"/>
      <c r="Q25" s="1"/>
    </row>
    <row r="26" spans="1:17" x14ac:dyDescent="0.3">
      <c r="A26" s="102">
        <v>4</v>
      </c>
      <c r="C26" s="99" t="s">
        <v>314</v>
      </c>
      <c r="D26" s="99"/>
      <c r="E26" s="106">
        <f>'Rate DS'!AO106</f>
        <v>141581759</v>
      </c>
      <c r="F26" s="1"/>
      <c r="G26" s="106">
        <f>'Rate DS'!R50</f>
        <v>161522903</v>
      </c>
      <c r="H26" s="106"/>
      <c r="I26" s="106">
        <f t="shared" ref="I26:I32" si="0">G26-E26</f>
        <v>19941144</v>
      </c>
      <c r="J26" s="106"/>
      <c r="K26" s="107">
        <f t="shared" ref="K26:K33" si="1">IF(E26=0,"-",ROUND(I26/E26,4))</f>
        <v>0.14080000000000001</v>
      </c>
      <c r="L26" s="107"/>
      <c r="M26" s="102"/>
      <c r="N26" s="108"/>
      <c r="O26" s="109"/>
      <c r="P26" s="1"/>
      <c r="Q26" s="1"/>
    </row>
    <row r="27" spans="1:17" x14ac:dyDescent="0.3">
      <c r="A27" s="102">
        <v>5</v>
      </c>
      <c r="C27" s="99" t="s">
        <v>379</v>
      </c>
      <c r="D27" s="99"/>
      <c r="E27" s="106">
        <f>'Rate DT-Pri'!AO137</f>
        <v>48540282</v>
      </c>
      <c r="F27" s="1"/>
      <c r="G27" s="106">
        <f>'Rate DT-Pri'!R65</f>
        <v>55410614</v>
      </c>
      <c r="H27" s="106"/>
      <c r="I27" s="106">
        <f t="shared" si="0"/>
        <v>6870332</v>
      </c>
      <c r="J27" s="106"/>
      <c r="K27" s="107">
        <f t="shared" si="1"/>
        <v>0.14149999999999999</v>
      </c>
      <c r="L27" s="107"/>
      <c r="M27" s="102"/>
      <c r="N27" s="108"/>
      <c r="O27" s="109"/>
      <c r="P27" s="1"/>
      <c r="Q27" s="1"/>
    </row>
    <row r="28" spans="1:17" x14ac:dyDescent="0.3">
      <c r="A28" s="102">
        <v>6</v>
      </c>
      <c r="C28" s="99" t="s">
        <v>380</v>
      </c>
      <c r="D28" s="99"/>
      <c r="E28" s="106">
        <f>'Rate DT-Sec'!AO133</f>
        <v>62430069</v>
      </c>
      <c r="F28" s="1"/>
      <c r="G28" s="106">
        <f>'Rate DT-Sec'!R63</f>
        <v>71235217</v>
      </c>
      <c r="H28" s="106"/>
      <c r="I28" s="106">
        <f>G28-E28</f>
        <v>8805148</v>
      </c>
      <c r="J28" s="106"/>
      <c r="K28" s="107">
        <f>IF(E28=0,"-",ROUND(I28/E28,4))</f>
        <v>0.14099999999999999</v>
      </c>
      <c r="L28" s="107"/>
      <c r="M28" s="102"/>
      <c r="N28" s="108"/>
      <c r="O28" s="109"/>
      <c r="P28" s="115"/>
      <c r="Q28" s="115"/>
    </row>
    <row r="29" spans="1:17" x14ac:dyDescent="0.3">
      <c r="A29" s="102">
        <v>7</v>
      </c>
      <c r="C29" s="99" t="s">
        <v>413</v>
      </c>
      <c r="D29" s="99"/>
      <c r="E29" s="106">
        <f>'Rate EH'!AO91</f>
        <v>1976021</v>
      </c>
      <c r="F29" s="1"/>
      <c r="G29" s="106">
        <f>'Rate EH'!R43</f>
        <v>2251686</v>
      </c>
      <c r="H29" s="106"/>
      <c r="I29" s="106">
        <f>G29-E29</f>
        <v>275665</v>
      </c>
      <c r="J29" s="106"/>
      <c r="K29" s="107">
        <f t="shared" si="1"/>
        <v>0.13950000000000001</v>
      </c>
      <c r="L29" s="107"/>
      <c r="M29" s="102"/>
      <c r="N29" s="108"/>
      <c r="O29" s="109"/>
      <c r="P29" s="1"/>
      <c r="Q29" s="1"/>
    </row>
    <row r="30" spans="1:17" x14ac:dyDescent="0.3">
      <c r="A30" s="102">
        <v>8</v>
      </c>
      <c r="C30" s="116" t="s">
        <v>315</v>
      </c>
      <c r="D30" s="99"/>
      <c r="E30" s="106">
        <f>'Rate SP GSFL'!AO101</f>
        <v>52940</v>
      </c>
      <c r="F30" s="1"/>
      <c r="G30" s="106">
        <f>'Rate SP GSFL'!R38</f>
        <v>60480</v>
      </c>
      <c r="H30" s="106"/>
      <c r="I30" s="106">
        <f>G30-E30</f>
        <v>7540</v>
      </c>
      <c r="J30" s="106"/>
      <c r="K30" s="107">
        <f t="shared" si="1"/>
        <v>0.1424</v>
      </c>
      <c r="L30" s="107"/>
      <c r="M30" s="102"/>
      <c r="N30" s="108"/>
      <c r="O30" s="109"/>
      <c r="P30" s="1"/>
      <c r="Q30" s="1"/>
    </row>
    <row r="31" spans="1:17" x14ac:dyDescent="0.3">
      <c r="A31" s="102">
        <v>9</v>
      </c>
      <c r="C31" s="99" t="s">
        <v>316</v>
      </c>
      <c r="D31" s="99"/>
      <c r="E31" s="106">
        <f>'Rate SP GSFL'!AO120</f>
        <v>877803</v>
      </c>
      <c r="F31" s="1"/>
      <c r="G31" s="106">
        <f>'Rate SP GSFL'!R57</f>
        <v>1002158</v>
      </c>
      <c r="H31" s="106"/>
      <c r="I31" s="106">
        <f>G31-E31</f>
        <v>124355</v>
      </c>
      <c r="J31" s="106"/>
      <c r="K31" s="107">
        <f t="shared" si="1"/>
        <v>0.14169999999999999</v>
      </c>
      <c r="L31" s="107"/>
      <c r="M31" s="102"/>
      <c r="N31" s="108"/>
      <c r="O31" s="109"/>
      <c r="P31" s="1"/>
      <c r="Q31" s="1"/>
    </row>
    <row r="32" spans="1:17" x14ac:dyDescent="0.3">
      <c r="A32" s="102">
        <v>10</v>
      </c>
      <c r="C32" s="99" t="s">
        <v>317</v>
      </c>
      <c r="D32" s="99"/>
      <c r="E32" s="106">
        <f>'Rate DP'!AO98</f>
        <v>912531</v>
      </c>
      <c r="F32" s="1"/>
      <c r="G32" s="106">
        <f>'Rate DP'!R46</f>
        <v>966774</v>
      </c>
      <c r="H32" s="106"/>
      <c r="I32" s="106">
        <f t="shared" si="0"/>
        <v>54243</v>
      </c>
      <c r="J32" s="106"/>
      <c r="K32" s="111">
        <f t="shared" si="1"/>
        <v>5.9400000000000001E-2</v>
      </c>
      <c r="L32" s="107"/>
      <c r="M32" s="102"/>
      <c r="N32" s="108"/>
      <c r="O32" s="109"/>
      <c r="P32" s="1"/>
      <c r="Q32" s="1"/>
    </row>
    <row r="33" spans="1:17" ht="20.100000000000001" customHeight="1" x14ac:dyDescent="0.3">
      <c r="A33" s="102">
        <v>11</v>
      </c>
      <c r="C33" s="132" t="s">
        <v>166</v>
      </c>
      <c r="E33" s="112">
        <f>SUM(E26:E32)</f>
        <v>256371405</v>
      </c>
      <c r="F33" s="1"/>
      <c r="G33" s="112">
        <f>SUM(G26:G32)</f>
        <v>292449832</v>
      </c>
      <c r="H33" s="106"/>
      <c r="I33" s="112">
        <f>SUM(I26:I32)</f>
        <v>36078427</v>
      </c>
      <c r="J33" s="106"/>
      <c r="K33" s="111">
        <f t="shared" si="1"/>
        <v>0.14069999999999999</v>
      </c>
      <c r="L33" s="107"/>
      <c r="M33" s="102"/>
      <c r="N33" s="108"/>
      <c r="O33" s="109"/>
      <c r="P33" s="1"/>
      <c r="Q33" s="1"/>
    </row>
    <row r="34" spans="1:17" x14ac:dyDescent="0.3">
      <c r="A34" s="102"/>
      <c r="E34" s="106"/>
      <c r="F34" s="1"/>
      <c r="G34" s="106"/>
      <c r="H34" s="106"/>
      <c r="I34" s="106"/>
      <c r="J34" s="106"/>
      <c r="K34" s="114"/>
      <c r="L34" s="107"/>
      <c r="M34" s="102"/>
      <c r="N34" s="108"/>
      <c r="O34" s="109"/>
      <c r="P34" s="1"/>
      <c r="Q34" s="1"/>
    </row>
    <row r="35" spans="1:17" x14ac:dyDescent="0.3">
      <c r="A35" s="102"/>
      <c r="C35" s="131" t="s">
        <v>254</v>
      </c>
      <c r="E35" s="106"/>
      <c r="F35" s="1"/>
      <c r="G35" s="106"/>
      <c r="H35" s="106"/>
      <c r="I35" s="106"/>
      <c r="J35" s="106"/>
      <c r="K35" s="114"/>
      <c r="L35" s="107"/>
      <c r="M35" s="102"/>
      <c r="N35" s="108"/>
      <c r="O35" s="109"/>
      <c r="P35" s="1"/>
      <c r="Q35" s="1"/>
    </row>
    <row r="36" spans="1:17" x14ac:dyDescent="0.3">
      <c r="A36" s="102">
        <v>12</v>
      </c>
      <c r="C36" s="99" t="s">
        <v>318</v>
      </c>
      <c r="D36" s="99"/>
      <c r="E36" s="117">
        <f>'Rate TT'!AO120</f>
        <v>15592903</v>
      </c>
      <c r="F36" s="1"/>
      <c r="G36" s="117">
        <f>'Rate TT'!R56</f>
        <v>16834121</v>
      </c>
      <c r="H36" s="106"/>
      <c r="I36" s="117">
        <f>G36-E36</f>
        <v>1241218</v>
      </c>
      <c r="J36" s="106"/>
      <c r="K36" s="111">
        <f>IF(E36=0,"-",ROUND(I36/E36,4))</f>
        <v>7.9600000000000004E-2</v>
      </c>
      <c r="L36" s="107"/>
      <c r="M36" s="102"/>
      <c r="N36" s="108"/>
      <c r="O36" s="109"/>
      <c r="P36" s="115"/>
      <c r="Q36" s="115"/>
    </row>
    <row r="37" spans="1:17" ht="20.100000000000001" customHeight="1" x14ac:dyDescent="0.3">
      <c r="A37" s="102">
        <v>13</v>
      </c>
      <c r="C37" s="132" t="s">
        <v>167</v>
      </c>
      <c r="E37" s="112">
        <f>SUM(E36)</f>
        <v>15592903</v>
      </c>
      <c r="F37" s="1"/>
      <c r="G37" s="112">
        <f>SUM(G36)</f>
        <v>16834121</v>
      </c>
      <c r="H37" s="106"/>
      <c r="I37" s="112">
        <f>SUM(I36)</f>
        <v>1241218</v>
      </c>
      <c r="J37" s="106"/>
      <c r="K37" s="113">
        <f>IF(E37=0,"-",ROUND(I37/E37,4))</f>
        <v>7.9600000000000004E-2</v>
      </c>
      <c r="L37" s="107"/>
      <c r="M37" s="102"/>
      <c r="N37" s="108"/>
      <c r="O37" s="109"/>
      <c r="P37" s="1"/>
      <c r="Q37" s="115"/>
    </row>
    <row r="38" spans="1:17" x14ac:dyDescent="0.3">
      <c r="A38" s="102"/>
      <c r="E38" s="106"/>
      <c r="F38" s="1"/>
      <c r="G38" s="106"/>
      <c r="H38" s="106"/>
      <c r="I38" s="106"/>
      <c r="J38" s="106"/>
      <c r="K38" s="114"/>
      <c r="L38" s="107"/>
      <c r="M38" s="102"/>
      <c r="N38" s="108"/>
      <c r="O38" s="109"/>
      <c r="P38" s="1"/>
      <c r="Q38" s="115"/>
    </row>
    <row r="39" spans="1:17" x14ac:dyDescent="0.3">
      <c r="A39" s="102"/>
      <c r="C39" s="131" t="s">
        <v>257</v>
      </c>
      <c r="E39" s="106"/>
      <c r="F39" s="1"/>
      <c r="G39" s="106"/>
      <c r="H39" s="106"/>
      <c r="I39" s="106"/>
      <c r="J39" s="106"/>
      <c r="K39" s="114"/>
      <c r="L39" s="107"/>
      <c r="M39" s="102"/>
      <c r="N39" s="108"/>
      <c r="O39" s="109"/>
      <c r="P39" s="1"/>
      <c r="Q39" s="115"/>
    </row>
    <row r="40" spans="1:17" x14ac:dyDescent="0.3">
      <c r="A40" s="102">
        <v>14</v>
      </c>
      <c r="C40" s="116" t="s">
        <v>367</v>
      </c>
      <c r="E40" s="106">
        <f>'Rate DT RTP-P'!AO82</f>
        <v>0</v>
      </c>
      <c r="F40" s="1"/>
      <c r="G40" s="106">
        <f>'Rate DT RTP-P'!R38</f>
        <v>0</v>
      </c>
      <c r="H40" s="106"/>
      <c r="I40" s="106">
        <f>G40-E40</f>
        <v>0</v>
      </c>
      <c r="J40" s="106"/>
      <c r="K40" s="118" t="str">
        <f>IF(E40=0,"-",ROUND(I40/E40,4))</f>
        <v>-</v>
      </c>
      <c r="L40" s="107"/>
      <c r="M40" s="102"/>
      <c r="N40" s="108"/>
      <c r="O40" s="109"/>
      <c r="P40" s="1"/>
      <c r="Q40" s="115"/>
    </row>
    <row r="41" spans="1:17" x14ac:dyDescent="0.3">
      <c r="A41" s="102">
        <v>15</v>
      </c>
      <c r="C41" s="116" t="s">
        <v>382</v>
      </c>
      <c r="E41" s="106">
        <f>'Rate DT RTP-S'!AO83</f>
        <v>75744</v>
      </c>
      <c r="F41" s="1"/>
      <c r="G41" s="106">
        <f>'Rate DT RTP-S'!R39</f>
        <v>91108</v>
      </c>
      <c r="H41" s="106"/>
      <c r="I41" s="106">
        <f>G41-E41</f>
        <v>15364</v>
      </c>
      <c r="J41" s="106"/>
      <c r="K41" s="107">
        <f>IF(E41=0,"-",ROUND(I41/E41,4))</f>
        <v>0.20280000000000001</v>
      </c>
      <c r="L41" s="107"/>
      <c r="M41" s="102"/>
      <c r="N41" s="108"/>
      <c r="O41" s="109"/>
      <c r="P41" s="1"/>
      <c r="Q41" s="115"/>
    </row>
    <row r="42" spans="1:17" x14ac:dyDescent="0.3">
      <c r="A42" s="102">
        <v>16</v>
      </c>
      <c r="C42" s="116" t="s">
        <v>319</v>
      </c>
      <c r="E42" s="106">
        <f>'Rate DS RTP'!AO83</f>
        <v>2033</v>
      </c>
      <c r="F42" s="1"/>
      <c r="G42" s="106">
        <f>'Rate DS RTP'!R39</f>
        <v>1992</v>
      </c>
      <c r="H42" s="106"/>
      <c r="I42" s="106">
        <f>G42-E42</f>
        <v>-41</v>
      </c>
      <c r="J42" s="106"/>
      <c r="K42" s="107">
        <f>IF(E42=0,"-",ROUND(I42/E42,4))</f>
        <v>-2.0199999999999999E-2</v>
      </c>
      <c r="L42" s="107"/>
      <c r="M42" s="102"/>
      <c r="N42" s="108"/>
      <c r="O42" s="109"/>
      <c r="P42" s="1"/>
      <c r="Q42" s="1"/>
    </row>
    <row r="43" spans="1:17" x14ac:dyDescent="0.3">
      <c r="A43" s="102">
        <v>17</v>
      </c>
      <c r="C43" s="116" t="s">
        <v>320</v>
      </c>
      <c r="E43" s="117">
        <f>'Rate TT RTP'!AO85</f>
        <v>539919</v>
      </c>
      <c r="F43" s="1"/>
      <c r="G43" s="117">
        <f>'Rate TT RTP'!R39</f>
        <v>585221</v>
      </c>
      <c r="H43" s="106"/>
      <c r="I43" s="117">
        <f>G43-E43</f>
        <v>45302</v>
      </c>
      <c r="J43" s="106"/>
      <c r="K43" s="111">
        <f>IF(E43=0,"-",ROUND(I43/E43,4))</f>
        <v>8.3900000000000002E-2</v>
      </c>
      <c r="L43" s="107"/>
      <c r="M43" s="102"/>
      <c r="N43" s="108"/>
      <c r="O43" s="109"/>
    </row>
    <row r="44" spans="1:17" ht="20.100000000000001" customHeight="1" x14ac:dyDescent="0.3">
      <c r="A44" s="102">
        <v>18</v>
      </c>
      <c r="C44" s="133" t="s">
        <v>263</v>
      </c>
      <c r="E44" s="117">
        <f>SUM(E40:E43)</f>
        <v>617696</v>
      </c>
      <c r="F44" s="1"/>
      <c r="G44" s="117">
        <f>SUM(G40:G43)</f>
        <v>678321</v>
      </c>
      <c r="H44" s="106"/>
      <c r="I44" s="117">
        <f>SUM(I40:I43)</f>
        <v>60625</v>
      </c>
      <c r="J44" s="106"/>
      <c r="K44" s="111">
        <f>IF(E44=0,"-",ROUND(I44/E44,4))</f>
        <v>9.8100000000000007E-2</v>
      </c>
      <c r="L44" s="107"/>
      <c r="M44" s="102"/>
      <c r="N44" s="108"/>
      <c r="O44" s="109"/>
    </row>
    <row r="45" spans="1:17" x14ac:dyDescent="0.3">
      <c r="A45" s="102"/>
      <c r="C45" s="116"/>
      <c r="E45" s="106"/>
      <c r="F45" s="1"/>
      <c r="G45" s="106"/>
      <c r="H45" s="106"/>
      <c r="I45" s="106"/>
      <c r="J45" s="106"/>
      <c r="K45" s="114"/>
      <c r="L45" s="107"/>
      <c r="M45" s="102"/>
      <c r="N45" s="108"/>
      <c r="O45" s="109"/>
      <c r="Q45" s="109"/>
    </row>
    <row r="46" spans="1:17" x14ac:dyDescent="0.3">
      <c r="A46" s="102"/>
      <c r="C46" s="131" t="s">
        <v>409</v>
      </c>
      <c r="E46" s="106"/>
      <c r="F46" s="1"/>
      <c r="G46" s="106"/>
      <c r="H46" s="106"/>
      <c r="I46" s="106"/>
      <c r="J46" s="106"/>
      <c r="K46" s="114"/>
      <c r="L46" s="107"/>
      <c r="M46" s="102"/>
      <c r="N46" s="108"/>
      <c r="O46" s="109"/>
      <c r="Q46" s="109"/>
    </row>
    <row r="47" spans="1:17" x14ac:dyDescent="0.3">
      <c r="A47" s="102">
        <v>19</v>
      </c>
      <c r="C47" s="99" t="s">
        <v>321</v>
      </c>
      <c r="D47" s="99"/>
      <c r="E47" s="106">
        <f>'Rate SL'!AO293</f>
        <v>1443022</v>
      </c>
      <c r="F47" s="1"/>
      <c r="G47" s="106">
        <f>'Rate SL'!R139</f>
        <v>1641735</v>
      </c>
      <c r="H47" s="106"/>
      <c r="I47" s="106">
        <f t="shared" ref="I47:I53" si="2">G47-E47</f>
        <v>198713</v>
      </c>
      <c r="J47" s="106"/>
      <c r="K47" s="107">
        <f t="shared" ref="K47:K54" si="3">IF(E47=0,"-",ROUND(I47/E47,4))</f>
        <v>0.13769999999999999</v>
      </c>
      <c r="L47" s="107"/>
      <c r="M47" s="102"/>
      <c r="N47" s="108"/>
      <c r="O47" s="109"/>
    </row>
    <row r="48" spans="1:17" x14ac:dyDescent="0.3">
      <c r="A48" s="102">
        <v>20</v>
      </c>
      <c r="C48" s="99" t="s">
        <v>322</v>
      </c>
      <c r="D48" s="99"/>
      <c r="E48" s="106">
        <f>'Rate TL'!AO72</f>
        <v>105515</v>
      </c>
      <c r="F48" s="1"/>
      <c r="G48" s="106">
        <f>'Rate TL'!R34</f>
        <v>119306</v>
      </c>
      <c r="H48" s="106"/>
      <c r="I48" s="106">
        <f t="shared" si="2"/>
        <v>13791</v>
      </c>
      <c r="J48" s="106"/>
      <c r="K48" s="107">
        <f t="shared" si="3"/>
        <v>0.13070000000000001</v>
      </c>
      <c r="L48" s="107"/>
      <c r="M48" s="102"/>
      <c r="N48" s="108"/>
      <c r="O48" s="109"/>
      <c r="P48" s="110"/>
    </row>
    <row r="49" spans="1:16" x14ac:dyDescent="0.3">
      <c r="A49" s="102">
        <v>21</v>
      </c>
      <c r="C49" s="99" t="s">
        <v>414</v>
      </c>
      <c r="D49" s="99"/>
      <c r="E49" s="106">
        <f>'Rate UOLS'!AO63</f>
        <v>660006</v>
      </c>
      <c r="F49" s="1"/>
      <c r="G49" s="106">
        <f>'Rate UOLS'!R28</f>
        <v>746193</v>
      </c>
      <c r="H49" s="106"/>
      <c r="I49" s="106">
        <f t="shared" si="2"/>
        <v>86187</v>
      </c>
      <c r="J49" s="106"/>
      <c r="K49" s="107">
        <f t="shared" si="3"/>
        <v>0.13059999999999999</v>
      </c>
      <c r="L49" s="107"/>
      <c r="M49" s="102"/>
      <c r="N49" s="108"/>
      <c r="O49" s="109"/>
    </row>
    <row r="50" spans="1:16" x14ac:dyDescent="0.3">
      <c r="A50" s="102">
        <v>22</v>
      </c>
      <c r="C50" s="116" t="s">
        <v>415</v>
      </c>
      <c r="D50" s="99"/>
      <c r="E50" s="106">
        <f>'Rate NSU'!AO95</f>
        <v>97302</v>
      </c>
      <c r="F50" s="1"/>
      <c r="G50" s="106">
        <f>'Rate NSU'!R45</f>
        <v>110762</v>
      </c>
      <c r="H50" s="106"/>
      <c r="I50" s="106">
        <f t="shared" si="2"/>
        <v>13460</v>
      </c>
      <c r="J50" s="106"/>
      <c r="K50" s="107">
        <f t="shared" si="3"/>
        <v>0.13830000000000001</v>
      </c>
      <c r="L50" s="107"/>
      <c r="M50" s="102"/>
      <c r="N50" s="108"/>
      <c r="O50" s="109"/>
    </row>
    <row r="51" spans="1:16" x14ac:dyDescent="0.3">
      <c r="A51" s="102">
        <v>23</v>
      </c>
      <c r="C51" s="99" t="s">
        <v>416</v>
      </c>
      <c r="D51" s="99"/>
      <c r="E51" s="106">
        <f>'Rate SC'!AO145</f>
        <v>6594</v>
      </c>
      <c r="F51" s="106"/>
      <c r="G51" s="106">
        <f>'Rate SC'!R72</f>
        <v>7455</v>
      </c>
      <c r="H51" s="106"/>
      <c r="I51" s="106">
        <f t="shared" si="2"/>
        <v>861</v>
      </c>
      <c r="J51" s="106"/>
      <c r="K51" s="107">
        <f t="shared" si="3"/>
        <v>0.13059999999999999</v>
      </c>
      <c r="L51" s="107"/>
      <c r="M51" s="102"/>
      <c r="N51" s="108"/>
      <c r="O51" s="109"/>
    </row>
    <row r="52" spans="1:16" x14ac:dyDescent="0.3">
      <c r="A52" s="102">
        <v>24</v>
      </c>
      <c r="C52" s="99" t="s">
        <v>417</v>
      </c>
      <c r="D52" s="99"/>
      <c r="E52" s="106">
        <f>'Rate SE'!AO108</f>
        <v>261069</v>
      </c>
      <c r="F52" s="106"/>
      <c r="G52" s="106">
        <f>'Rate SE'!R52</f>
        <v>297051</v>
      </c>
      <c r="H52" s="106"/>
      <c r="I52" s="106">
        <f t="shared" si="2"/>
        <v>35982</v>
      </c>
      <c r="J52" s="106"/>
      <c r="K52" s="107">
        <f t="shared" si="3"/>
        <v>0.13780000000000001</v>
      </c>
      <c r="L52" s="107"/>
      <c r="M52" s="102"/>
      <c r="N52" s="108"/>
      <c r="O52" s="109"/>
    </row>
    <row r="53" spans="1:16" x14ac:dyDescent="0.3">
      <c r="A53" s="102">
        <v>25</v>
      </c>
      <c r="C53" s="99" t="s">
        <v>580</v>
      </c>
      <c r="D53" s="99"/>
      <c r="E53" s="117">
        <f>'Rate LED'!AO692</f>
        <v>20065</v>
      </c>
      <c r="F53" s="106"/>
      <c r="G53" s="117">
        <f>+'Rate LED'!R340</f>
        <v>22872.429167999999</v>
      </c>
      <c r="H53" s="106"/>
      <c r="I53" s="106">
        <f t="shared" si="2"/>
        <v>2807.4291679999988</v>
      </c>
      <c r="J53" s="106"/>
      <c r="K53" s="111">
        <f t="shared" si="3"/>
        <v>0.1399</v>
      </c>
      <c r="L53" s="107"/>
      <c r="M53" s="102"/>
      <c r="N53" s="108"/>
      <c r="O53" s="109"/>
    </row>
    <row r="54" spans="1:16" ht="20.100000000000001" customHeight="1" x14ac:dyDescent="0.3">
      <c r="A54" s="102">
        <v>26</v>
      </c>
      <c r="C54" s="132" t="s">
        <v>168</v>
      </c>
      <c r="E54" s="112">
        <f>SUM(E47:E53)</f>
        <v>2593573</v>
      </c>
      <c r="F54" s="1"/>
      <c r="G54" s="112">
        <f>SUM(G47:G53)</f>
        <v>2945374.4291679999</v>
      </c>
      <c r="H54" s="106"/>
      <c r="I54" s="112">
        <f>SUM(I47:I53)</f>
        <v>351801.429168</v>
      </c>
      <c r="J54" s="106"/>
      <c r="K54" s="113">
        <f t="shared" si="3"/>
        <v>0.1356</v>
      </c>
      <c r="L54" s="107"/>
      <c r="M54" s="102"/>
      <c r="N54" s="108"/>
      <c r="O54" s="109"/>
    </row>
    <row r="55" spans="1:16" ht="9" customHeight="1" x14ac:dyDescent="0.3">
      <c r="A55" s="102"/>
      <c r="E55" s="106"/>
      <c r="F55" s="1"/>
      <c r="G55" s="106"/>
      <c r="H55" s="106"/>
      <c r="I55" s="106"/>
      <c r="J55" s="106"/>
      <c r="K55" s="119"/>
      <c r="L55" s="107"/>
      <c r="M55" s="102"/>
      <c r="N55" s="108"/>
      <c r="O55" s="109"/>
    </row>
    <row r="56" spans="1:16" ht="15.75" customHeight="1" x14ac:dyDescent="0.3">
      <c r="A56" s="102">
        <v>27</v>
      </c>
      <c r="C56" s="98" t="s">
        <v>326</v>
      </c>
      <c r="D56" s="99"/>
      <c r="E56" s="106">
        <f>'SCH M-2.2'!V57</f>
        <v>27980</v>
      </c>
      <c r="F56" s="1"/>
      <c r="G56" s="106">
        <f>'SCH M-2.3'!R57</f>
        <v>31780</v>
      </c>
      <c r="H56" s="1"/>
      <c r="I56" s="106">
        <f>G56-E56</f>
        <v>3800</v>
      </c>
      <c r="J56" s="1"/>
      <c r="K56" s="107">
        <f>IF(E56=0,"-",ROUND(I56/E56,4))</f>
        <v>0.1358</v>
      </c>
      <c r="L56" s="107"/>
      <c r="M56" s="102"/>
      <c r="N56" s="108"/>
      <c r="O56" s="109"/>
    </row>
    <row r="57" spans="1:16" ht="15.75" customHeight="1" x14ac:dyDescent="0.3">
      <c r="A57" s="102">
        <v>28</v>
      </c>
      <c r="C57" s="99" t="s">
        <v>327</v>
      </c>
      <c r="D57" s="99"/>
      <c r="E57" s="117">
        <f>+'SCH M-2.2'!V63</f>
        <v>984085.30059300014</v>
      </c>
      <c r="F57" s="1"/>
      <c r="G57" s="117">
        <f>'SCH M-2.3'!R63</f>
        <v>984085.30059300014</v>
      </c>
      <c r="H57" s="1"/>
      <c r="I57" s="117">
        <f>G57-E57</f>
        <v>0</v>
      </c>
      <c r="J57" s="1"/>
      <c r="K57" s="111">
        <f>IF(E57=0,"-",ROUND(I57/E57,4))</f>
        <v>0</v>
      </c>
      <c r="L57" s="107"/>
      <c r="M57" s="102"/>
      <c r="N57" s="108"/>
      <c r="O57" s="109"/>
    </row>
    <row r="58" spans="1:16" ht="9" customHeight="1" x14ac:dyDescent="0.3">
      <c r="M58" s="102"/>
      <c r="N58" s="108"/>
      <c r="O58" s="109"/>
    </row>
    <row r="59" spans="1:16" ht="16.2" thickBot="1" x14ac:dyDescent="0.35">
      <c r="A59" s="102">
        <v>29</v>
      </c>
      <c r="C59" s="124" t="s">
        <v>366</v>
      </c>
      <c r="E59" s="120">
        <f>E54+E44+E37+E33+E23+E56+E57</f>
        <v>480866203.30059302</v>
      </c>
      <c r="F59" s="1"/>
      <c r="G59" s="120">
        <f>G54+G44+G37+G33+G23+G56+G57</f>
        <v>551800133.729761</v>
      </c>
      <c r="H59" s="106"/>
      <c r="I59" s="120">
        <f>G59-E59</f>
        <v>70933930.429167986</v>
      </c>
      <c r="J59" s="106"/>
      <c r="K59" s="121">
        <f>IF(E59=0,"-",ROUND(I59/E59,4))</f>
        <v>0.14749999999999999</v>
      </c>
      <c r="M59" s="102"/>
      <c r="N59" s="108"/>
      <c r="O59" s="109"/>
      <c r="P59" s="110"/>
    </row>
    <row r="60" spans="1:16" ht="16.2" thickTop="1" x14ac:dyDescent="0.3">
      <c r="M60" s="102"/>
      <c r="N60" s="108"/>
      <c r="O60" s="109"/>
    </row>
    <row r="61" spans="1:16" x14ac:dyDescent="0.3">
      <c r="C61" s="131" t="s">
        <v>421</v>
      </c>
      <c r="M61" s="102"/>
      <c r="N61" s="108"/>
      <c r="O61" s="109"/>
    </row>
    <row r="62" spans="1:16" x14ac:dyDescent="0.3">
      <c r="A62" s="102">
        <v>30</v>
      </c>
      <c r="C62" s="99" t="s">
        <v>518</v>
      </c>
      <c r="D62" s="99"/>
      <c r="E62" s="106">
        <f>'SCH M-2.2'!V58</f>
        <v>28511420</v>
      </c>
      <c r="F62" s="1"/>
      <c r="G62" s="106">
        <f>'SCH M-2.3'!R58</f>
        <v>28511420</v>
      </c>
      <c r="H62" s="1"/>
      <c r="I62" s="106">
        <f t="shared" ref="I62:I67" si="4">G62-E62</f>
        <v>0</v>
      </c>
      <c r="J62" s="1"/>
      <c r="K62" s="107">
        <f t="shared" ref="K62:K68" si="5">IF(E62=0,"-",ROUND(I62/E62,4))</f>
        <v>0</v>
      </c>
      <c r="L62" s="107"/>
      <c r="M62" s="102"/>
      <c r="N62" s="108"/>
      <c r="O62" s="109"/>
    </row>
    <row r="63" spans="1:16" x14ac:dyDescent="0.3">
      <c r="A63" s="102">
        <v>31</v>
      </c>
      <c r="C63" s="116" t="s">
        <v>248</v>
      </c>
      <c r="E63" s="106">
        <f>'SCH M-2.2'!V59</f>
        <v>40086</v>
      </c>
      <c r="F63" s="1"/>
      <c r="G63" s="106">
        <f>+'SCH M-2.3'!R59</f>
        <v>40086</v>
      </c>
      <c r="H63" s="1"/>
      <c r="I63" s="106">
        <f t="shared" si="4"/>
        <v>0</v>
      </c>
      <c r="J63" s="1"/>
      <c r="K63" s="107">
        <f t="shared" si="5"/>
        <v>0</v>
      </c>
      <c r="L63" s="107"/>
      <c r="M63" s="102"/>
      <c r="N63" s="108"/>
      <c r="O63" s="109"/>
    </row>
    <row r="64" spans="1:16" x14ac:dyDescent="0.3">
      <c r="A64" s="102">
        <v>32</v>
      </c>
      <c r="C64" s="99" t="s">
        <v>418</v>
      </c>
      <c r="D64" s="99"/>
      <c r="E64" s="106">
        <f>'SCH M-2.2'!V60</f>
        <v>40016</v>
      </c>
      <c r="F64" s="1"/>
      <c r="G64" s="106">
        <f>+'SCH M-2.3'!R60</f>
        <v>63391</v>
      </c>
      <c r="H64" s="1"/>
      <c r="I64" s="106">
        <f t="shared" si="4"/>
        <v>23375</v>
      </c>
      <c r="J64" s="1"/>
      <c r="K64" s="107">
        <f t="shared" si="5"/>
        <v>0.58409999999999995</v>
      </c>
      <c r="L64" s="107"/>
      <c r="M64" s="102"/>
      <c r="N64" s="108"/>
      <c r="O64" s="109"/>
    </row>
    <row r="65" spans="1:16" x14ac:dyDescent="0.3">
      <c r="A65" s="102">
        <v>33</v>
      </c>
      <c r="C65" s="99" t="s">
        <v>476</v>
      </c>
      <c r="D65" s="99"/>
      <c r="E65" s="106">
        <f>'SCH M-2.2'!V61</f>
        <v>316666</v>
      </c>
      <c r="F65" s="1"/>
      <c r="G65" s="106">
        <f>+'SCH M-2.3'!R61</f>
        <v>707590</v>
      </c>
      <c r="H65" s="1"/>
      <c r="I65" s="106">
        <f t="shared" si="4"/>
        <v>390924</v>
      </c>
      <c r="J65" s="1"/>
      <c r="K65" s="107">
        <f>IF(E65=0,"-",ROUND(I65/E65,4))</f>
        <v>1.2344999999999999</v>
      </c>
      <c r="L65" s="107"/>
      <c r="M65" s="102"/>
      <c r="N65" s="108"/>
      <c r="O65" s="109"/>
    </row>
    <row r="66" spans="1:16" x14ac:dyDescent="0.3">
      <c r="A66" s="102">
        <v>34</v>
      </c>
      <c r="C66" s="99" t="s">
        <v>250</v>
      </c>
      <c r="D66" s="99"/>
      <c r="E66" s="106">
        <f>'SCH M-2.2'!V62</f>
        <v>1227323</v>
      </c>
      <c r="F66" s="1"/>
      <c r="G66" s="106">
        <f>+'SCH M-2.3'!R62</f>
        <v>1227323</v>
      </c>
      <c r="H66" s="1"/>
      <c r="I66" s="106">
        <f t="shared" si="4"/>
        <v>0</v>
      </c>
      <c r="J66" s="1"/>
      <c r="K66" s="107">
        <f t="shared" si="5"/>
        <v>0</v>
      </c>
      <c r="L66" s="107"/>
      <c r="M66" s="102"/>
      <c r="N66" s="108"/>
      <c r="O66" s="109"/>
    </row>
    <row r="67" spans="1:16" x14ac:dyDescent="0.3">
      <c r="A67" s="102">
        <v>35</v>
      </c>
      <c r="C67" s="99" t="s">
        <v>419</v>
      </c>
      <c r="D67" s="99"/>
      <c r="E67" s="106">
        <f>'SCH M-2.2'!V64</f>
        <v>3545610</v>
      </c>
      <c r="F67" s="1"/>
      <c r="G67" s="106">
        <f>+'SCH M-2.3'!R64</f>
        <v>3545610</v>
      </c>
      <c r="H67" s="1"/>
      <c r="I67" s="106">
        <f t="shared" si="4"/>
        <v>0</v>
      </c>
      <c r="J67" s="1"/>
      <c r="K67" s="119">
        <f t="shared" si="5"/>
        <v>0</v>
      </c>
      <c r="L67" s="107"/>
      <c r="M67" s="102"/>
      <c r="N67" s="108"/>
      <c r="O67" s="109"/>
    </row>
    <row r="68" spans="1:16" ht="20.100000000000001" customHeight="1" x14ac:dyDescent="0.3">
      <c r="A68" s="102">
        <v>36</v>
      </c>
      <c r="C68" s="132" t="s">
        <v>420</v>
      </c>
      <c r="E68" s="112">
        <f>SUM(E62:E67)</f>
        <v>33681121</v>
      </c>
      <c r="F68" s="1"/>
      <c r="G68" s="112">
        <f>SUM(G62:G67)</f>
        <v>34095420</v>
      </c>
      <c r="H68" s="106"/>
      <c r="I68" s="112">
        <f>SUM(I62:I67)</f>
        <v>414299</v>
      </c>
      <c r="J68" s="106"/>
      <c r="K68" s="119">
        <f t="shared" si="5"/>
        <v>1.23E-2</v>
      </c>
      <c r="L68" s="107"/>
      <c r="M68" s="102"/>
      <c r="N68" s="108"/>
      <c r="O68" s="109"/>
      <c r="P68" s="110"/>
    </row>
    <row r="69" spans="1:16" x14ac:dyDescent="0.3">
      <c r="A69" s="102"/>
      <c r="E69" s="106"/>
      <c r="F69" s="1"/>
      <c r="G69" s="106"/>
      <c r="H69" s="106"/>
      <c r="I69" s="106"/>
      <c r="J69" s="106"/>
      <c r="K69" s="114"/>
      <c r="L69" s="107"/>
      <c r="M69" s="102"/>
      <c r="N69" s="108"/>
      <c r="O69" s="109"/>
    </row>
    <row r="70" spans="1:16" ht="16.2" thickBot="1" x14ac:dyDescent="0.35">
      <c r="A70" s="102">
        <v>37</v>
      </c>
      <c r="C70" s="134" t="s">
        <v>169</v>
      </c>
      <c r="E70" s="120">
        <f>E68+E59</f>
        <v>514547324.30059302</v>
      </c>
      <c r="F70" s="1"/>
      <c r="G70" s="120">
        <f>G68+G59</f>
        <v>585895553.729761</v>
      </c>
      <c r="H70" s="106"/>
      <c r="I70" s="120">
        <f>I68+I59</f>
        <v>71348229.429167986</v>
      </c>
      <c r="J70" s="106"/>
      <c r="K70" s="121">
        <f>IF(E70=0,"-",ROUND(I70/E70,4))</f>
        <v>0.13869999999999999</v>
      </c>
      <c r="L70" s="107"/>
      <c r="M70" s="102"/>
      <c r="N70" s="108"/>
      <c r="O70" s="109"/>
    </row>
    <row r="71" spans="1:16" ht="16.2" thickTop="1" x14ac:dyDescent="0.3">
      <c r="M71" s="102"/>
      <c r="N71" s="102"/>
    </row>
    <row r="72" spans="1:16" x14ac:dyDescent="0.3">
      <c r="A72" s="102"/>
      <c r="G72" s="122"/>
      <c r="I72" s="110"/>
      <c r="M72" s="102"/>
      <c r="N72" s="102"/>
    </row>
    <row r="73" spans="1:16" x14ac:dyDescent="0.3">
      <c r="E73" s="110"/>
      <c r="G73" s="110"/>
      <c r="I73" s="110"/>
      <c r="M73" s="102"/>
      <c r="N73" s="102"/>
    </row>
    <row r="74" spans="1:16" x14ac:dyDescent="0.3">
      <c r="A74" s="102"/>
      <c r="I74" s="110"/>
      <c r="M74" s="102"/>
      <c r="N74" s="102"/>
    </row>
    <row r="75" spans="1:16" x14ac:dyDescent="0.3">
      <c r="C75" s="123" t="s">
        <v>173</v>
      </c>
      <c r="E75" s="1"/>
      <c r="F75" s="1"/>
      <c r="G75" s="1"/>
      <c r="H75" s="1"/>
      <c r="I75" s="1"/>
      <c r="J75" s="1"/>
      <c r="K75" s="2"/>
      <c r="L75" s="2"/>
      <c r="M75" s="102"/>
      <c r="N75" s="102"/>
    </row>
    <row r="76" spans="1:16" x14ac:dyDescent="0.3">
      <c r="E76" s="110"/>
      <c r="I76" s="115"/>
      <c r="J76" s="110"/>
      <c r="K76" s="102"/>
      <c r="L76" s="102"/>
    </row>
    <row r="77" spans="1:16" x14ac:dyDescent="0.3">
      <c r="K77" s="102"/>
      <c r="L77" s="102"/>
    </row>
    <row r="78" spans="1:16" x14ac:dyDescent="0.3">
      <c r="K78" s="102"/>
      <c r="L78" s="102"/>
    </row>
    <row r="79" spans="1:16" x14ac:dyDescent="0.3">
      <c r="K79" s="102"/>
      <c r="L79" s="102"/>
    </row>
    <row r="80" spans="1:16" x14ac:dyDescent="0.3">
      <c r="K80" s="102"/>
      <c r="L80" s="102"/>
    </row>
    <row r="81" spans="11:12" x14ac:dyDescent="0.3">
      <c r="K81" s="102"/>
      <c r="L81" s="102"/>
    </row>
    <row r="82" spans="11:12" x14ac:dyDescent="0.3">
      <c r="K82" s="102"/>
      <c r="L82" s="102"/>
    </row>
    <row r="83" spans="11:12" x14ac:dyDescent="0.3">
      <c r="K83" s="102"/>
      <c r="L83" s="102"/>
    </row>
    <row r="84" spans="11:12" x14ac:dyDescent="0.3">
      <c r="K84" s="102"/>
      <c r="L84" s="102"/>
    </row>
    <row r="85" spans="11:12" x14ac:dyDescent="0.3">
      <c r="K85" s="102"/>
      <c r="L85" s="102"/>
    </row>
    <row r="86" spans="11:12" x14ac:dyDescent="0.3">
      <c r="K86" s="102"/>
      <c r="L86" s="102"/>
    </row>
    <row r="87" spans="11:12" x14ac:dyDescent="0.3">
      <c r="K87" s="102"/>
      <c r="L87" s="102"/>
    </row>
    <row r="88" spans="11:12" x14ac:dyDescent="0.3">
      <c r="K88" s="102"/>
      <c r="L88" s="102"/>
    </row>
    <row r="89" spans="11:12" x14ac:dyDescent="0.3">
      <c r="K89" s="102"/>
      <c r="L89" s="102"/>
    </row>
    <row r="90" spans="11:12" x14ac:dyDescent="0.3">
      <c r="K90" s="102"/>
      <c r="L90" s="102"/>
    </row>
    <row r="91" spans="11:12" x14ac:dyDescent="0.3">
      <c r="K91" s="102"/>
      <c r="L91" s="102"/>
    </row>
    <row r="92" spans="11:12" x14ac:dyDescent="0.3">
      <c r="K92" s="102"/>
      <c r="L92" s="102"/>
    </row>
    <row r="93" spans="11:12" x14ac:dyDescent="0.3">
      <c r="K93" s="102"/>
      <c r="L93" s="102"/>
    </row>
    <row r="94" spans="11:12" x14ac:dyDescent="0.3">
      <c r="K94" s="102"/>
      <c r="L94" s="102"/>
    </row>
    <row r="95" spans="11:12" x14ac:dyDescent="0.3">
      <c r="K95" s="102"/>
      <c r="L95" s="102"/>
    </row>
    <row r="96" spans="11:12" x14ac:dyDescent="0.3">
      <c r="K96" s="102"/>
      <c r="L96" s="102"/>
    </row>
    <row r="97" spans="11:12" x14ac:dyDescent="0.3">
      <c r="K97" s="102"/>
      <c r="L97" s="102"/>
    </row>
    <row r="98" spans="11:12" x14ac:dyDescent="0.3">
      <c r="K98" s="102"/>
      <c r="L98" s="102"/>
    </row>
    <row r="99" spans="11:12" x14ac:dyDescent="0.3">
      <c r="K99" s="102"/>
      <c r="L99" s="102"/>
    </row>
    <row r="100" spans="11:12" x14ac:dyDescent="0.3">
      <c r="K100" s="102"/>
      <c r="L100" s="102"/>
    </row>
    <row r="101" spans="11:12" x14ac:dyDescent="0.3">
      <c r="K101" s="102"/>
      <c r="L101" s="102"/>
    </row>
    <row r="102" spans="11:12" x14ac:dyDescent="0.3">
      <c r="K102" s="102"/>
      <c r="L102" s="102"/>
    </row>
    <row r="103" spans="11:12" x14ac:dyDescent="0.3">
      <c r="K103" s="102"/>
      <c r="L103" s="102"/>
    </row>
    <row r="104" spans="11:12" x14ac:dyDescent="0.3">
      <c r="K104" s="102"/>
      <c r="L104" s="102"/>
    </row>
    <row r="105" spans="11:12" x14ac:dyDescent="0.3">
      <c r="K105" s="102"/>
      <c r="L105" s="102"/>
    </row>
    <row r="106" spans="11:12" x14ac:dyDescent="0.3">
      <c r="K106" s="102"/>
      <c r="L106" s="102"/>
    </row>
    <row r="107" spans="11:12" x14ac:dyDescent="0.3">
      <c r="K107" s="102"/>
      <c r="L107" s="102"/>
    </row>
    <row r="108" spans="11:12" x14ac:dyDescent="0.3">
      <c r="K108" s="102"/>
      <c r="L108" s="102"/>
    </row>
    <row r="109" spans="11:12" x14ac:dyDescent="0.3">
      <c r="K109" s="102"/>
      <c r="L109" s="102"/>
    </row>
    <row r="110" spans="11:12" x14ac:dyDescent="0.3">
      <c r="K110" s="102"/>
      <c r="L110" s="102"/>
    </row>
    <row r="111" spans="11:12" x14ac:dyDescent="0.3">
      <c r="K111" s="102"/>
      <c r="L111" s="102"/>
    </row>
    <row r="112" spans="11:12" x14ac:dyDescent="0.3">
      <c r="K112" s="102"/>
      <c r="L112" s="102"/>
    </row>
    <row r="113" spans="11:12" x14ac:dyDescent="0.3">
      <c r="K113" s="102"/>
      <c r="L113" s="102"/>
    </row>
    <row r="114" spans="11:12" x14ac:dyDescent="0.3">
      <c r="K114" s="102"/>
      <c r="L114" s="102"/>
    </row>
    <row r="115" spans="11:12" x14ac:dyDescent="0.3">
      <c r="K115" s="102"/>
      <c r="L115" s="102"/>
    </row>
    <row r="116" spans="11:12" x14ac:dyDescent="0.3">
      <c r="K116" s="102"/>
      <c r="L116" s="102"/>
    </row>
    <row r="117" spans="11:12" x14ac:dyDescent="0.3">
      <c r="K117" s="102"/>
      <c r="L117" s="102"/>
    </row>
    <row r="118" spans="11:12" x14ac:dyDescent="0.3">
      <c r="K118" s="102"/>
      <c r="L118" s="102"/>
    </row>
    <row r="119" spans="11:12" x14ac:dyDescent="0.3">
      <c r="K119" s="102"/>
      <c r="L119" s="102"/>
    </row>
    <row r="120" spans="11:12" x14ac:dyDescent="0.3">
      <c r="K120" s="102"/>
      <c r="L120" s="102"/>
    </row>
    <row r="121" spans="11:12" x14ac:dyDescent="0.3">
      <c r="K121" s="102"/>
      <c r="L121" s="102"/>
    </row>
    <row r="122" spans="11:12" x14ac:dyDescent="0.3">
      <c r="K122" s="102"/>
      <c r="L122" s="102"/>
    </row>
    <row r="123" spans="11:12" x14ac:dyDescent="0.3">
      <c r="K123" s="102"/>
      <c r="L123" s="102"/>
    </row>
    <row r="124" spans="11:12" x14ac:dyDescent="0.3">
      <c r="K124" s="102"/>
      <c r="L124" s="102"/>
    </row>
    <row r="125" spans="11:12" x14ac:dyDescent="0.3">
      <c r="K125" s="102"/>
      <c r="L125" s="102"/>
    </row>
    <row r="126" spans="11:12" x14ac:dyDescent="0.3">
      <c r="K126" s="102"/>
      <c r="L126" s="102"/>
    </row>
    <row r="127" spans="11:12" x14ac:dyDescent="0.3">
      <c r="K127" s="102"/>
      <c r="L127" s="102"/>
    </row>
    <row r="128" spans="11:12" x14ac:dyDescent="0.3">
      <c r="K128" s="102"/>
      <c r="L128" s="102"/>
    </row>
    <row r="129" spans="11:12" x14ac:dyDescent="0.3">
      <c r="K129" s="102"/>
      <c r="L129" s="102"/>
    </row>
    <row r="130" spans="11:12" x14ac:dyDescent="0.3">
      <c r="K130" s="102"/>
      <c r="L130" s="102"/>
    </row>
    <row r="131" spans="11:12" x14ac:dyDescent="0.3">
      <c r="K131" s="102"/>
      <c r="L131" s="102"/>
    </row>
    <row r="132" spans="11:12" x14ac:dyDescent="0.3">
      <c r="K132" s="102"/>
      <c r="L132" s="102"/>
    </row>
    <row r="133" spans="11:12" x14ac:dyDescent="0.3">
      <c r="K133" s="102"/>
      <c r="L133" s="102"/>
    </row>
    <row r="134" spans="11:12" x14ac:dyDescent="0.3">
      <c r="K134" s="102"/>
      <c r="L134" s="102"/>
    </row>
    <row r="135" spans="11:12" x14ac:dyDescent="0.3">
      <c r="K135" s="102"/>
      <c r="L135" s="102"/>
    </row>
    <row r="136" spans="11:12" x14ac:dyDescent="0.3">
      <c r="K136" s="102"/>
      <c r="L136" s="102"/>
    </row>
    <row r="137" spans="11:12" x14ac:dyDescent="0.3">
      <c r="K137" s="102"/>
      <c r="L137" s="102"/>
    </row>
    <row r="138" spans="11:12" x14ac:dyDescent="0.3">
      <c r="K138" s="102"/>
      <c r="L138" s="102"/>
    </row>
    <row r="139" spans="11:12" x14ac:dyDescent="0.3">
      <c r="K139" s="102"/>
      <c r="L139" s="102"/>
    </row>
    <row r="140" spans="11:12" x14ac:dyDescent="0.3">
      <c r="K140" s="102"/>
      <c r="L140" s="102"/>
    </row>
    <row r="141" spans="11:12" x14ac:dyDescent="0.3">
      <c r="K141" s="102"/>
      <c r="L141" s="102"/>
    </row>
    <row r="142" spans="11:12" x14ac:dyDescent="0.3">
      <c r="K142" s="102"/>
      <c r="L142" s="102"/>
    </row>
    <row r="143" spans="11:12" x14ac:dyDescent="0.3">
      <c r="K143" s="102"/>
      <c r="L143" s="102"/>
    </row>
    <row r="144" spans="11:12" x14ac:dyDescent="0.3">
      <c r="K144" s="102"/>
      <c r="L144" s="102"/>
    </row>
    <row r="145" spans="11:12" x14ac:dyDescent="0.3">
      <c r="K145" s="102"/>
      <c r="L145" s="102"/>
    </row>
    <row r="146" spans="11:12" x14ac:dyDescent="0.3">
      <c r="K146" s="102"/>
      <c r="L146" s="102"/>
    </row>
    <row r="147" spans="11:12" x14ac:dyDescent="0.3">
      <c r="K147" s="102"/>
      <c r="L147" s="102"/>
    </row>
    <row r="148" spans="11:12" x14ac:dyDescent="0.3">
      <c r="K148" s="102"/>
      <c r="L148" s="102"/>
    </row>
    <row r="149" spans="11:12" x14ac:dyDescent="0.3">
      <c r="K149" s="102"/>
      <c r="L149" s="102"/>
    </row>
    <row r="150" spans="11:12" x14ac:dyDescent="0.3">
      <c r="K150" s="102"/>
      <c r="L150" s="102"/>
    </row>
    <row r="151" spans="11:12" x14ac:dyDescent="0.3">
      <c r="K151" s="102"/>
      <c r="L151" s="102"/>
    </row>
    <row r="152" spans="11:12" x14ac:dyDescent="0.3">
      <c r="K152" s="102"/>
      <c r="L152" s="102"/>
    </row>
    <row r="153" spans="11:12" x14ac:dyDescent="0.3">
      <c r="K153" s="102"/>
      <c r="L153" s="102"/>
    </row>
    <row r="154" spans="11:12" x14ac:dyDescent="0.3">
      <c r="K154" s="102"/>
      <c r="L154" s="102"/>
    </row>
    <row r="155" spans="11:12" x14ac:dyDescent="0.3">
      <c r="K155" s="102"/>
      <c r="L155" s="102"/>
    </row>
    <row r="156" spans="11:12" x14ac:dyDescent="0.3">
      <c r="K156" s="102"/>
      <c r="L156" s="102"/>
    </row>
    <row r="157" spans="11:12" x14ac:dyDescent="0.3">
      <c r="K157" s="102"/>
      <c r="L157" s="102"/>
    </row>
    <row r="158" spans="11:12" x14ac:dyDescent="0.3">
      <c r="K158" s="102"/>
      <c r="L158" s="102"/>
    </row>
    <row r="159" spans="11:12" x14ac:dyDescent="0.3">
      <c r="K159" s="102"/>
      <c r="L159" s="102"/>
    </row>
    <row r="160" spans="11:12" x14ac:dyDescent="0.3">
      <c r="K160" s="102"/>
      <c r="L160" s="102"/>
    </row>
    <row r="161" spans="11:12" x14ac:dyDescent="0.3">
      <c r="K161" s="102"/>
      <c r="L161" s="102"/>
    </row>
    <row r="162" spans="11:12" x14ac:dyDescent="0.3">
      <c r="K162" s="102"/>
      <c r="L162" s="102"/>
    </row>
    <row r="163" spans="11:12" x14ac:dyDescent="0.3">
      <c r="K163" s="102"/>
      <c r="L163" s="102"/>
    </row>
    <row r="164" spans="11:12" x14ac:dyDescent="0.3">
      <c r="K164" s="102"/>
      <c r="L164" s="102"/>
    </row>
    <row r="165" spans="11:12" x14ac:dyDescent="0.3">
      <c r="K165" s="102"/>
      <c r="L165" s="102"/>
    </row>
    <row r="166" spans="11:12" x14ac:dyDescent="0.3">
      <c r="K166" s="102"/>
      <c r="L166" s="102"/>
    </row>
    <row r="167" spans="11:12" x14ac:dyDescent="0.3">
      <c r="K167" s="102"/>
      <c r="L167" s="102"/>
    </row>
    <row r="168" spans="11:12" x14ac:dyDescent="0.3">
      <c r="K168" s="102"/>
      <c r="L168" s="102"/>
    </row>
    <row r="169" spans="11:12" x14ac:dyDescent="0.3">
      <c r="K169" s="102"/>
      <c r="L169" s="102"/>
    </row>
    <row r="170" spans="11:12" x14ac:dyDescent="0.3">
      <c r="K170" s="102"/>
      <c r="L170" s="102"/>
    </row>
    <row r="171" spans="11:12" x14ac:dyDescent="0.3">
      <c r="K171" s="102"/>
      <c r="L171" s="102"/>
    </row>
    <row r="172" spans="11:12" x14ac:dyDescent="0.3">
      <c r="K172" s="102"/>
      <c r="L172" s="102"/>
    </row>
    <row r="173" spans="11:12" x14ac:dyDescent="0.3">
      <c r="K173" s="102"/>
      <c r="L173" s="102"/>
    </row>
    <row r="174" spans="11:12" x14ac:dyDescent="0.3">
      <c r="K174" s="102"/>
      <c r="L174" s="102"/>
    </row>
    <row r="175" spans="11:12" x14ac:dyDescent="0.3">
      <c r="K175" s="102"/>
      <c r="L175" s="102"/>
    </row>
    <row r="176" spans="11:12" x14ac:dyDescent="0.3">
      <c r="K176" s="102"/>
      <c r="L176" s="102"/>
    </row>
    <row r="177" spans="11:12" x14ac:dyDescent="0.3">
      <c r="K177" s="102"/>
      <c r="L177" s="102"/>
    </row>
    <row r="178" spans="11:12" x14ac:dyDescent="0.3">
      <c r="K178" s="102"/>
      <c r="L178" s="102"/>
    </row>
    <row r="179" spans="11:12" x14ac:dyDescent="0.3">
      <c r="K179" s="102"/>
      <c r="L179" s="102"/>
    </row>
    <row r="180" spans="11:12" x14ac:dyDescent="0.3">
      <c r="K180" s="102"/>
      <c r="L180" s="102"/>
    </row>
    <row r="181" spans="11:12" x14ac:dyDescent="0.3">
      <c r="K181" s="102"/>
      <c r="L181" s="102"/>
    </row>
    <row r="182" spans="11:12" x14ac:dyDescent="0.3">
      <c r="K182" s="102"/>
      <c r="L182" s="102"/>
    </row>
    <row r="183" spans="11:12" x14ac:dyDescent="0.3">
      <c r="K183" s="102"/>
      <c r="L183" s="102"/>
    </row>
    <row r="184" spans="11:12" x14ac:dyDescent="0.3">
      <c r="K184" s="102"/>
      <c r="L184" s="102"/>
    </row>
    <row r="185" spans="11:12" x14ac:dyDescent="0.3">
      <c r="K185" s="102"/>
      <c r="L185" s="102"/>
    </row>
    <row r="186" spans="11:12" x14ac:dyDescent="0.3">
      <c r="K186" s="102"/>
      <c r="L186" s="102"/>
    </row>
    <row r="187" spans="11:12" x14ac:dyDescent="0.3">
      <c r="K187" s="102"/>
      <c r="L187" s="102"/>
    </row>
    <row r="188" spans="11:12" x14ac:dyDescent="0.3">
      <c r="K188" s="102"/>
      <c r="L188" s="102"/>
    </row>
    <row r="189" spans="11:12" x14ac:dyDescent="0.3">
      <c r="K189" s="102"/>
      <c r="L189" s="102"/>
    </row>
    <row r="190" spans="11:12" x14ac:dyDescent="0.3">
      <c r="K190" s="102"/>
      <c r="L190" s="102"/>
    </row>
    <row r="191" spans="11:12" x14ac:dyDescent="0.3">
      <c r="K191" s="102"/>
      <c r="L191" s="102"/>
    </row>
    <row r="192" spans="11:12" x14ac:dyDescent="0.3">
      <c r="K192" s="102"/>
      <c r="L192" s="102"/>
    </row>
    <row r="193" spans="11:12" x14ac:dyDescent="0.3">
      <c r="K193" s="102"/>
      <c r="L193" s="102"/>
    </row>
    <row r="194" spans="11:12" x14ac:dyDescent="0.3">
      <c r="K194" s="102"/>
      <c r="L194" s="102"/>
    </row>
    <row r="195" spans="11:12" x14ac:dyDescent="0.3">
      <c r="K195" s="102"/>
      <c r="L195" s="102"/>
    </row>
    <row r="196" spans="11:12" x14ac:dyDescent="0.3">
      <c r="K196" s="102"/>
      <c r="L196" s="102"/>
    </row>
    <row r="197" spans="11:12" x14ac:dyDescent="0.3">
      <c r="K197" s="102"/>
      <c r="L197" s="102"/>
    </row>
    <row r="198" spans="11:12" x14ac:dyDescent="0.3">
      <c r="K198" s="102"/>
      <c r="L198" s="102"/>
    </row>
    <row r="199" spans="11:12" x14ac:dyDescent="0.3">
      <c r="K199" s="102"/>
      <c r="L199" s="102"/>
    </row>
    <row r="200" spans="11:12" x14ac:dyDescent="0.3">
      <c r="K200" s="102"/>
      <c r="L200" s="102"/>
    </row>
    <row r="201" spans="11:12" x14ac:dyDescent="0.3">
      <c r="K201" s="102"/>
      <c r="L201" s="102"/>
    </row>
    <row r="202" spans="11:12" x14ac:dyDescent="0.3">
      <c r="K202" s="102"/>
      <c r="L202" s="102"/>
    </row>
    <row r="203" spans="11:12" x14ac:dyDescent="0.3">
      <c r="K203" s="102"/>
      <c r="L203" s="102"/>
    </row>
    <row r="204" spans="11:12" x14ac:dyDescent="0.3">
      <c r="K204" s="102"/>
      <c r="L204" s="102"/>
    </row>
    <row r="205" spans="11:12" x14ac:dyDescent="0.3">
      <c r="K205" s="102"/>
      <c r="L205" s="102"/>
    </row>
    <row r="206" spans="11:12" x14ac:dyDescent="0.3">
      <c r="K206" s="102"/>
      <c r="L206" s="102"/>
    </row>
    <row r="207" spans="11:12" x14ac:dyDescent="0.3">
      <c r="K207" s="102"/>
      <c r="L207" s="102"/>
    </row>
    <row r="208" spans="11:12" x14ac:dyDescent="0.3">
      <c r="K208" s="102"/>
      <c r="L208" s="102"/>
    </row>
    <row r="209" spans="11:12" x14ac:dyDescent="0.3">
      <c r="K209" s="102"/>
      <c r="L209" s="102"/>
    </row>
    <row r="210" spans="11:12" x14ac:dyDescent="0.3">
      <c r="K210" s="102"/>
      <c r="L210" s="102"/>
    </row>
    <row r="211" spans="11:12" x14ac:dyDescent="0.3">
      <c r="K211" s="102"/>
      <c r="L211" s="102"/>
    </row>
    <row r="212" spans="11:12" x14ac:dyDescent="0.3">
      <c r="K212" s="102"/>
      <c r="L212" s="102"/>
    </row>
    <row r="213" spans="11:12" x14ac:dyDescent="0.3">
      <c r="K213" s="102"/>
      <c r="L213" s="102"/>
    </row>
    <row r="214" spans="11:12" x14ac:dyDescent="0.3">
      <c r="K214" s="102"/>
      <c r="L214" s="102"/>
    </row>
    <row r="215" spans="11:12" x14ac:dyDescent="0.3">
      <c r="K215" s="102"/>
      <c r="L215" s="102"/>
    </row>
    <row r="216" spans="11:12" x14ac:dyDescent="0.3">
      <c r="K216" s="102"/>
      <c r="L216" s="102"/>
    </row>
    <row r="217" spans="11:12" x14ac:dyDescent="0.3">
      <c r="K217" s="102"/>
      <c r="L217" s="102"/>
    </row>
    <row r="218" spans="11:12" x14ac:dyDescent="0.3">
      <c r="K218" s="102"/>
      <c r="L218" s="102"/>
    </row>
    <row r="219" spans="11:12" x14ac:dyDescent="0.3">
      <c r="K219" s="102"/>
      <c r="L219" s="102"/>
    </row>
    <row r="220" spans="11:12" x14ac:dyDescent="0.3">
      <c r="K220" s="102"/>
      <c r="L220" s="102"/>
    </row>
    <row r="221" spans="11:12" x14ac:dyDescent="0.3">
      <c r="K221" s="102"/>
      <c r="L221" s="102"/>
    </row>
    <row r="222" spans="11:12" x14ac:dyDescent="0.3">
      <c r="K222" s="102"/>
      <c r="L222" s="102"/>
    </row>
    <row r="223" spans="11:12" x14ac:dyDescent="0.3">
      <c r="K223" s="102"/>
      <c r="L223" s="102"/>
    </row>
    <row r="224" spans="11:12" x14ac:dyDescent="0.3">
      <c r="K224" s="102"/>
      <c r="L224" s="102"/>
    </row>
    <row r="225" spans="11:12" x14ac:dyDescent="0.3">
      <c r="K225" s="102"/>
      <c r="L225" s="102"/>
    </row>
    <row r="226" spans="11:12" x14ac:dyDescent="0.3">
      <c r="K226" s="102"/>
      <c r="L226" s="102"/>
    </row>
    <row r="227" spans="11:12" x14ac:dyDescent="0.3">
      <c r="K227" s="102"/>
      <c r="L227" s="102"/>
    </row>
    <row r="228" spans="11:12" x14ac:dyDescent="0.3">
      <c r="K228" s="102"/>
      <c r="L228" s="102"/>
    </row>
    <row r="229" spans="11:12" x14ac:dyDescent="0.3">
      <c r="K229" s="102"/>
      <c r="L229" s="102"/>
    </row>
    <row r="230" spans="11:12" x14ac:dyDescent="0.3">
      <c r="K230" s="102"/>
      <c r="L230" s="102"/>
    </row>
    <row r="231" spans="11:12" x14ac:dyDescent="0.3">
      <c r="K231" s="102"/>
      <c r="L231" s="102"/>
    </row>
    <row r="232" spans="11:12" x14ac:dyDescent="0.3">
      <c r="K232" s="102"/>
      <c r="L232" s="102"/>
    </row>
    <row r="233" spans="11:12" x14ac:dyDescent="0.3">
      <c r="K233" s="102"/>
      <c r="L233" s="102"/>
    </row>
    <row r="234" spans="11:12" x14ac:dyDescent="0.3">
      <c r="K234" s="102"/>
      <c r="L234" s="102"/>
    </row>
    <row r="235" spans="11:12" x14ac:dyDescent="0.3">
      <c r="K235" s="102"/>
      <c r="L235" s="102"/>
    </row>
    <row r="236" spans="11:12" x14ac:dyDescent="0.3">
      <c r="K236" s="102"/>
      <c r="L236" s="102"/>
    </row>
    <row r="237" spans="11:12" x14ac:dyDescent="0.3">
      <c r="K237" s="102"/>
      <c r="L237" s="102"/>
    </row>
    <row r="238" spans="11:12" x14ac:dyDescent="0.3">
      <c r="K238" s="102"/>
      <c r="L238" s="102"/>
    </row>
    <row r="239" spans="11:12" x14ac:dyDescent="0.3">
      <c r="K239" s="102"/>
      <c r="L239" s="102"/>
    </row>
    <row r="240" spans="11:12" x14ac:dyDescent="0.3">
      <c r="K240" s="102"/>
      <c r="L240" s="102"/>
    </row>
    <row r="241" spans="11:12" x14ac:dyDescent="0.3">
      <c r="K241" s="102"/>
      <c r="L241" s="102"/>
    </row>
    <row r="242" spans="11:12" x14ac:dyDescent="0.3">
      <c r="K242" s="102"/>
      <c r="L242" s="102"/>
    </row>
    <row r="243" spans="11:12" x14ac:dyDescent="0.3">
      <c r="K243" s="102"/>
      <c r="L243" s="102"/>
    </row>
    <row r="244" spans="11:12" x14ac:dyDescent="0.3">
      <c r="K244" s="102"/>
      <c r="L244" s="102"/>
    </row>
    <row r="245" spans="11:12" x14ac:dyDescent="0.3">
      <c r="K245" s="102"/>
      <c r="L245" s="102"/>
    </row>
    <row r="246" spans="11:12" x14ac:dyDescent="0.3">
      <c r="K246" s="102"/>
      <c r="L246" s="102"/>
    </row>
    <row r="247" spans="11:12" x14ac:dyDescent="0.3">
      <c r="K247" s="102"/>
      <c r="L247" s="102"/>
    </row>
    <row r="248" spans="11:12" x14ac:dyDescent="0.3">
      <c r="K248" s="102"/>
      <c r="L248" s="102"/>
    </row>
    <row r="249" spans="11:12" x14ac:dyDescent="0.3">
      <c r="K249" s="102"/>
      <c r="L249" s="102"/>
    </row>
    <row r="250" spans="11:12" x14ac:dyDescent="0.3">
      <c r="K250" s="102"/>
      <c r="L250" s="102"/>
    </row>
    <row r="251" spans="11:12" x14ac:dyDescent="0.3">
      <c r="K251" s="102"/>
      <c r="L251" s="102"/>
    </row>
    <row r="252" spans="11:12" x14ac:dyDescent="0.3">
      <c r="K252" s="102"/>
      <c r="L252" s="102"/>
    </row>
    <row r="253" spans="11:12" x14ac:dyDescent="0.3">
      <c r="K253" s="102"/>
      <c r="L253" s="102"/>
    </row>
    <row r="254" spans="11:12" x14ac:dyDescent="0.3">
      <c r="K254" s="102"/>
      <c r="L254" s="102"/>
    </row>
    <row r="255" spans="11:12" x14ac:dyDescent="0.3">
      <c r="K255" s="102"/>
      <c r="L255" s="102"/>
    </row>
    <row r="256" spans="11:12" x14ac:dyDescent="0.3">
      <c r="K256" s="102"/>
      <c r="L256" s="102"/>
    </row>
    <row r="257" spans="11:12" x14ac:dyDescent="0.3">
      <c r="K257" s="102"/>
      <c r="L257" s="102"/>
    </row>
    <row r="258" spans="11:12" x14ac:dyDescent="0.3">
      <c r="K258" s="102"/>
      <c r="L258" s="102"/>
    </row>
    <row r="259" spans="11:12" x14ac:dyDescent="0.3">
      <c r="K259" s="102"/>
      <c r="L259" s="102"/>
    </row>
    <row r="260" spans="11:12" x14ac:dyDescent="0.3">
      <c r="K260" s="102"/>
      <c r="L260" s="102"/>
    </row>
    <row r="261" spans="11:12" x14ac:dyDescent="0.3">
      <c r="K261" s="102"/>
      <c r="L261" s="102"/>
    </row>
    <row r="262" spans="11:12" x14ac:dyDescent="0.3">
      <c r="K262" s="102"/>
      <c r="L262" s="102"/>
    </row>
    <row r="263" spans="11:12" x14ac:dyDescent="0.3">
      <c r="K263" s="102"/>
      <c r="L263" s="102"/>
    </row>
    <row r="264" spans="11:12" x14ac:dyDescent="0.3">
      <c r="K264" s="102"/>
      <c r="L264" s="102"/>
    </row>
    <row r="265" spans="11:12" x14ac:dyDescent="0.3">
      <c r="K265" s="102"/>
      <c r="L265" s="102"/>
    </row>
    <row r="266" spans="11:12" x14ac:dyDescent="0.3">
      <c r="K266" s="102"/>
      <c r="L266" s="102"/>
    </row>
    <row r="267" spans="11:12" x14ac:dyDescent="0.3">
      <c r="K267" s="102"/>
      <c r="L267" s="102"/>
    </row>
    <row r="268" spans="11:12" x14ac:dyDescent="0.3">
      <c r="K268" s="102"/>
      <c r="L268" s="102"/>
    </row>
    <row r="269" spans="11:12" x14ac:dyDescent="0.3">
      <c r="K269" s="102"/>
      <c r="L269" s="102"/>
    </row>
    <row r="270" spans="11:12" x14ac:dyDescent="0.3">
      <c r="K270" s="102"/>
      <c r="L270" s="102"/>
    </row>
    <row r="271" spans="11:12" x14ac:dyDescent="0.3">
      <c r="K271" s="102"/>
      <c r="L271" s="102"/>
    </row>
    <row r="272" spans="11:12" x14ac:dyDescent="0.3">
      <c r="K272" s="102"/>
      <c r="L272" s="102"/>
    </row>
    <row r="273" spans="11:12" x14ac:dyDescent="0.3">
      <c r="K273" s="102"/>
      <c r="L273" s="102"/>
    </row>
    <row r="274" spans="11:12" x14ac:dyDescent="0.3">
      <c r="K274" s="102"/>
      <c r="L274" s="102"/>
    </row>
    <row r="275" spans="11:12" x14ac:dyDescent="0.3">
      <c r="K275" s="102"/>
      <c r="L275" s="102"/>
    </row>
    <row r="276" spans="11:12" x14ac:dyDescent="0.3">
      <c r="K276" s="102"/>
      <c r="L276" s="102"/>
    </row>
    <row r="277" spans="11:12" x14ac:dyDescent="0.3">
      <c r="K277" s="102"/>
      <c r="L277" s="102"/>
    </row>
    <row r="278" spans="11:12" x14ac:dyDescent="0.3">
      <c r="K278" s="102"/>
      <c r="L278" s="102"/>
    </row>
    <row r="279" spans="11:12" x14ac:dyDescent="0.3">
      <c r="K279" s="102"/>
      <c r="L279" s="102"/>
    </row>
    <row r="280" spans="11:12" x14ac:dyDescent="0.3">
      <c r="K280" s="102"/>
      <c r="L280" s="102"/>
    </row>
    <row r="281" spans="11:12" x14ac:dyDescent="0.3">
      <c r="K281" s="102"/>
      <c r="L281" s="102"/>
    </row>
    <row r="282" spans="11:12" x14ac:dyDescent="0.3">
      <c r="K282" s="102"/>
      <c r="L282" s="102"/>
    </row>
    <row r="283" spans="11:12" x14ac:dyDescent="0.3">
      <c r="K283" s="102"/>
      <c r="L283" s="102"/>
    </row>
    <row r="284" spans="11:12" x14ac:dyDescent="0.3">
      <c r="K284" s="102"/>
      <c r="L284" s="102"/>
    </row>
    <row r="285" spans="11:12" x14ac:dyDescent="0.3">
      <c r="K285" s="102"/>
      <c r="L285" s="102"/>
    </row>
    <row r="286" spans="11:12" x14ac:dyDescent="0.3">
      <c r="K286" s="102"/>
      <c r="L286" s="102"/>
    </row>
    <row r="287" spans="11:12" x14ac:dyDescent="0.3">
      <c r="K287" s="102"/>
      <c r="L287" s="102"/>
    </row>
    <row r="288" spans="11:12" x14ac:dyDescent="0.3">
      <c r="K288" s="102"/>
      <c r="L288" s="102"/>
    </row>
    <row r="289" spans="11:12" x14ac:dyDescent="0.3">
      <c r="K289" s="102"/>
      <c r="L289" s="102"/>
    </row>
    <row r="290" spans="11:12" x14ac:dyDescent="0.3">
      <c r="K290" s="102"/>
      <c r="L290" s="102"/>
    </row>
    <row r="291" spans="11:12" x14ac:dyDescent="0.3">
      <c r="K291" s="102"/>
      <c r="L291" s="102"/>
    </row>
    <row r="292" spans="11:12" x14ac:dyDescent="0.3">
      <c r="K292" s="102"/>
      <c r="L292" s="102"/>
    </row>
    <row r="293" spans="11:12" x14ac:dyDescent="0.3">
      <c r="K293" s="102"/>
      <c r="L293" s="102"/>
    </row>
    <row r="294" spans="11:12" x14ac:dyDescent="0.3">
      <c r="K294" s="102"/>
      <c r="L294" s="102"/>
    </row>
    <row r="295" spans="11:12" x14ac:dyDescent="0.3">
      <c r="K295" s="102"/>
      <c r="L295" s="102"/>
    </row>
    <row r="296" spans="11:12" x14ac:dyDescent="0.3">
      <c r="K296" s="102"/>
      <c r="L296" s="102"/>
    </row>
    <row r="297" spans="11:12" x14ac:dyDescent="0.3">
      <c r="K297" s="102"/>
      <c r="L297" s="102"/>
    </row>
    <row r="298" spans="11:12" x14ac:dyDescent="0.3">
      <c r="K298" s="102"/>
      <c r="L298" s="102"/>
    </row>
    <row r="299" spans="11:12" x14ac:dyDescent="0.3">
      <c r="K299" s="102"/>
      <c r="L299" s="102"/>
    </row>
    <row r="300" spans="11:12" x14ac:dyDescent="0.3">
      <c r="K300" s="102"/>
      <c r="L300" s="102"/>
    </row>
    <row r="301" spans="11:12" x14ac:dyDescent="0.3">
      <c r="K301" s="102"/>
      <c r="L301" s="102"/>
    </row>
    <row r="302" spans="11:12" x14ac:dyDescent="0.3">
      <c r="K302" s="102"/>
      <c r="L302" s="102"/>
    </row>
    <row r="303" spans="11:12" x14ac:dyDescent="0.3">
      <c r="K303" s="102"/>
      <c r="L303" s="102"/>
    </row>
    <row r="304" spans="11:12" x14ac:dyDescent="0.3">
      <c r="K304" s="102"/>
      <c r="L304" s="102"/>
    </row>
    <row r="305" spans="11:12" x14ac:dyDescent="0.3">
      <c r="K305" s="102"/>
      <c r="L305" s="102"/>
    </row>
    <row r="306" spans="11:12" x14ac:dyDescent="0.3">
      <c r="K306" s="102"/>
      <c r="L306" s="102"/>
    </row>
    <row r="307" spans="11:12" x14ac:dyDescent="0.3">
      <c r="K307" s="102"/>
      <c r="L307" s="102"/>
    </row>
    <row r="308" spans="11:12" x14ac:dyDescent="0.3">
      <c r="K308" s="102"/>
      <c r="L308" s="102"/>
    </row>
    <row r="309" spans="11:12" x14ac:dyDescent="0.3">
      <c r="K309" s="102"/>
      <c r="L309" s="102"/>
    </row>
    <row r="310" spans="11:12" x14ac:dyDescent="0.3">
      <c r="K310" s="102"/>
      <c r="L310" s="102"/>
    </row>
    <row r="311" spans="11:12" x14ac:dyDescent="0.3">
      <c r="K311" s="102"/>
      <c r="L311" s="102"/>
    </row>
    <row r="312" spans="11:12" x14ac:dyDescent="0.3">
      <c r="K312" s="102"/>
      <c r="L312" s="102"/>
    </row>
    <row r="313" spans="11:12" x14ac:dyDescent="0.3">
      <c r="K313" s="102"/>
      <c r="L313" s="102"/>
    </row>
    <row r="314" spans="11:12" x14ac:dyDescent="0.3">
      <c r="K314" s="102"/>
      <c r="L314" s="102"/>
    </row>
    <row r="315" spans="11:12" x14ac:dyDescent="0.3">
      <c r="K315" s="102"/>
      <c r="L315" s="102"/>
    </row>
    <row r="316" spans="11:12" x14ac:dyDescent="0.3">
      <c r="K316" s="102"/>
      <c r="L316" s="102"/>
    </row>
    <row r="317" spans="11:12" x14ac:dyDescent="0.3">
      <c r="K317" s="102"/>
      <c r="L317" s="102"/>
    </row>
    <row r="318" spans="11:12" x14ac:dyDescent="0.3">
      <c r="K318" s="102"/>
      <c r="L318" s="102"/>
    </row>
    <row r="319" spans="11:12" x14ac:dyDescent="0.3">
      <c r="K319" s="102"/>
      <c r="L319" s="102"/>
    </row>
    <row r="320" spans="11:12" x14ac:dyDescent="0.3">
      <c r="K320" s="102"/>
      <c r="L320" s="102"/>
    </row>
    <row r="321" spans="11:12" x14ac:dyDescent="0.3">
      <c r="K321" s="102"/>
      <c r="L321" s="102"/>
    </row>
    <row r="322" spans="11:12" x14ac:dyDescent="0.3">
      <c r="K322" s="102"/>
      <c r="L322" s="102"/>
    </row>
    <row r="323" spans="11:12" x14ac:dyDescent="0.3">
      <c r="K323" s="102"/>
      <c r="L323" s="102"/>
    </row>
    <row r="324" spans="11:12" x14ac:dyDescent="0.3">
      <c r="K324" s="102"/>
      <c r="L324" s="102"/>
    </row>
    <row r="325" spans="11:12" x14ac:dyDescent="0.3">
      <c r="K325" s="102"/>
      <c r="L325" s="102"/>
    </row>
    <row r="326" spans="11:12" x14ac:dyDescent="0.3">
      <c r="K326" s="102"/>
      <c r="L326" s="102"/>
    </row>
    <row r="327" spans="11:12" x14ac:dyDescent="0.3">
      <c r="K327" s="102"/>
      <c r="L327" s="102"/>
    </row>
    <row r="328" spans="11:12" x14ac:dyDescent="0.3">
      <c r="K328" s="102"/>
      <c r="L328" s="102"/>
    </row>
    <row r="329" spans="11:12" x14ac:dyDescent="0.3">
      <c r="K329" s="102"/>
      <c r="L329" s="102"/>
    </row>
    <row r="330" spans="11:12" x14ac:dyDescent="0.3">
      <c r="K330" s="102"/>
      <c r="L330" s="102"/>
    </row>
    <row r="331" spans="11:12" x14ac:dyDescent="0.3">
      <c r="K331" s="102"/>
      <c r="L331" s="102"/>
    </row>
    <row r="332" spans="11:12" x14ac:dyDescent="0.3">
      <c r="K332" s="102"/>
      <c r="L332" s="102"/>
    </row>
    <row r="333" spans="11:12" x14ac:dyDescent="0.3">
      <c r="K333" s="102"/>
      <c r="L333" s="102"/>
    </row>
    <row r="334" spans="11:12" x14ac:dyDescent="0.3">
      <c r="K334" s="102"/>
      <c r="L334" s="102"/>
    </row>
    <row r="335" spans="11:12" x14ac:dyDescent="0.3">
      <c r="K335" s="102"/>
      <c r="L335" s="102"/>
    </row>
    <row r="336" spans="11:12" x14ac:dyDescent="0.3">
      <c r="K336" s="102"/>
      <c r="L336" s="102"/>
    </row>
    <row r="337" spans="11:12" x14ac:dyDescent="0.3">
      <c r="K337" s="102"/>
      <c r="L337" s="102"/>
    </row>
    <row r="338" spans="11:12" x14ac:dyDescent="0.3">
      <c r="K338" s="102"/>
      <c r="L338" s="102"/>
    </row>
    <row r="339" spans="11:12" x14ac:dyDescent="0.3">
      <c r="K339" s="102"/>
      <c r="L339" s="102"/>
    </row>
    <row r="340" spans="11:12" x14ac:dyDescent="0.3">
      <c r="K340" s="102"/>
      <c r="L340" s="102"/>
    </row>
    <row r="341" spans="11:12" x14ac:dyDescent="0.3">
      <c r="K341" s="102"/>
      <c r="L341" s="102"/>
    </row>
    <row r="342" spans="11:12" x14ac:dyDescent="0.3">
      <c r="K342" s="102"/>
      <c r="L342" s="102"/>
    </row>
    <row r="343" spans="11:12" x14ac:dyDescent="0.3">
      <c r="K343" s="102"/>
      <c r="L343" s="102"/>
    </row>
    <row r="344" spans="11:12" x14ac:dyDescent="0.3">
      <c r="K344" s="102"/>
      <c r="L344" s="102"/>
    </row>
    <row r="345" spans="11:12" x14ac:dyDescent="0.3">
      <c r="K345" s="102"/>
      <c r="L345" s="102"/>
    </row>
    <row r="346" spans="11:12" x14ac:dyDescent="0.3">
      <c r="K346" s="102"/>
      <c r="L346" s="102"/>
    </row>
    <row r="347" spans="11:12" x14ac:dyDescent="0.3">
      <c r="K347" s="102"/>
      <c r="L347" s="102"/>
    </row>
    <row r="348" spans="11:12" x14ac:dyDescent="0.3">
      <c r="K348" s="102"/>
      <c r="L348" s="102"/>
    </row>
    <row r="349" spans="11:12" x14ac:dyDescent="0.3">
      <c r="K349" s="102"/>
      <c r="L349" s="102"/>
    </row>
    <row r="350" spans="11:12" x14ac:dyDescent="0.3">
      <c r="K350" s="102"/>
      <c r="L350" s="102"/>
    </row>
    <row r="351" spans="11:12" x14ac:dyDescent="0.3">
      <c r="K351" s="102"/>
      <c r="L351" s="102"/>
    </row>
    <row r="352" spans="11:12" x14ac:dyDescent="0.3">
      <c r="K352" s="102"/>
      <c r="L352" s="102"/>
    </row>
    <row r="353" spans="11:12" x14ac:dyDescent="0.3">
      <c r="K353" s="102"/>
      <c r="L353" s="102"/>
    </row>
    <row r="354" spans="11:12" x14ac:dyDescent="0.3">
      <c r="K354" s="102"/>
      <c r="L354" s="102"/>
    </row>
    <row r="355" spans="11:12" x14ac:dyDescent="0.3">
      <c r="K355" s="102"/>
      <c r="L355" s="102"/>
    </row>
    <row r="356" spans="11:12" x14ac:dyDescent="0.3">
      <c r="K356" s="102"/>
      <c r="L356" s="102"/>
    </row>
    <row r="357" spans="11:12" x14ac:dyDescent="0.3">
      <c r="K357" s="102"/>
      <c r="L357" s="102"/>
    </row>
    <row r="358" spans="11:12" x14ac:dyDescent="0.3">
      <c r="K358" s="102"/>
      <c r="L358" s="102"/>
    </row>
    <row r="359" spans="11:12" x14ac:dyDescent="0.3">
      <c r="K359" s="102"/>
      <c r="L359" s="102"/>
    </row>
    <row r="360" spans="11:12" x14ac:dyDescent="0.3">
      <c r="K360" s="102"/>
      <c r="L360" s="102"/>
    </row>
    <row r="361" spans="11:12" x14ac:dyDescent="0.3">
      <c r="K361" s="102"/>
      <c r="L361" s="102"/>
    </row>
    <row r="362" spans="11:12" x14ac:dyDescent="0.3">
      <c r="K362" s="102"/>
      <c r="L362" s="102"/>
    </row>
    <row r="363" spans="11:12" x14ac:dyDescent="0.3">
      <c r="K363" s="102"/>
      <c r="L363" s="102"/>
    </row>
    <row r="364" spans="11:12" x14ac:dyDescent="0.3">
      <c r="K364" s="102"/>
      <c r="L364" s="102"/>
    </row>
    <row r="365" spans="11:12" x14ac:dyDescent="0.3">
      <c r="K365" s="102"/>
      <c r="L365" s="102"/>
    </row>
    <row r="366" spans="11:12" x14ac:dyDescent="0.3">
      <c r="K366" s="102"/>
      <c r="L366" s="102"/>
    </row>
    <row r="367" spans="11:12" x14ac:dyDescent="0.3">
      <c r="K367" s="102"/>
      <c r="L367" s="102"/>
    </row>
    <row r="368" spans="11:12" x14ac:dyDescent="0.3">
      <c r="K368" s="102"/>
      <c r="L368" s="102"/>
    </row>
    <row r="369" spans="11:12" x14ac:dyDescent="0.3">
      <c r="K369" s="102"/>
      <c r="L369" s="102"/>
    </row>
    <row r="370" spans="11:12" x14ac:dyDescent="0.3">
      <c r="K370" s="102"/>
      <c r="L370" s="102"/>
    </row>
    <row r="371" spans="11:12" x14ac:dyDescent="0.3">
      <c r="K371" s="102"/>
      <c r="L371" s="102"/>
    </row>
    <row r="372" spans="11:12" x14ac:dyDescent="0.3">
      <c r="K372" s="102"/>
      <c r="L372" s="102"/>
    </row>
    <row r="373" spans="11:12" x14ac:dyDescent="0.3">
      <c r="K373" s="102"/>
      <c r="L373" s="102"/>
    </row>
    <row r="374" spans="11:12" x14ac:dyDescent="0.3">
      <c r="K374" s="102"/>
      <c r="L374" s="102"/>
    </row>
    <row r="375" spans="11:12" x14ac:dyDescent="0.3">
      <c r="K375" s="102"/>
      <c r="L375" s="102"/>
    </row>
    <row r="376" spans="11:12" x14ac:dyDescent="0.3">
      <c r="K376" s="102"/>
      <c r="L376" s="102"/>
    </row>
    <row r="377" spans="11:12" x14ac:dyDescent="0.3">
      <c r="K377" s="102"/>
      <c r="L377" s="102"/>
    </row>
    <row r="378" spans="11:12" x14ac:dyDescent="0.3">
      <c r="K378" s="102"/>
      <c r="L378" s="102"/>
    </row>
    <row r="379" spans="11:12" x14ac:dyDescent="0.3">
      <c r="K379" s="102"/>
      <c r="L379" s="102"/>
    </row>
    <row r="380" spans="11:12" x14ac:dyDescent="0.3">
      <c r="K380" s="102"/>
      <c r="L380" s="102"/>
    </row>
    <row r="381" spans="11:12" x14ac:dyDescent="0.3">
      <c r="K381" s="102"/>
      <c r="L381" s="102"/>
    </row>
    <row r="382" spans="11:12" x14ac:dyDescent="0.3">
      <c r="K382" s="102"/>
      <c r="L382" s="102"/>
    </row>
    <row r="383" spans="11:12" x14ac:dyDescent="0.3">
      <c r="K383" s="102"/>
      <c r="L383" s="102"/>
    </row>
    <row r="384" spans="11:12" x14ac:dyDescent="0.3">
      <c r="K384" s="102"/>
      <c r="L384" s="102"/>
    </row>
    <row r="385" spans="11:12" x14ac:dyDescent="0.3">
      <c r="K385" s="102"/>
      <c r="L385" s="102"/>
    </row>
    <row r="386" spans="11:12" x14ac:dyDescent="0.3">
      <c r="K386" s="102"/>
      <c r="L386" s="102"/>
    </row>
    <row r="387" spans="11:12" x14ac:dyDescent="0.3">
      <c r="K387" s="102"/>
      <c r="L387" s="102"/>
    </row>
    <row r="388" spans="11:12" x14ac:dyDescent="0.3">
      <c r="K388" s="102"/>
      <c r="L388" s="102"/>
    </row>
    <row r="389" spans="11:12" x14ac:dyDescent="0.3">
      <c r="K389" s="102"/>
      <c r="L389" s="102"/>
    </row>
    <row r="390" spans="11:12" x14ac:dyDescent="0.3">
      <c r="K390" s="102"/>
      <c r="L390" s="102"/>
    </row>
    <row r="391" spans="11:12" x14ac:dyDescent="0.3">
      <c r="K391" s="102"/>
      <c r="L391" s="102"/>
    </row>
    <row r="392" spans="11:12" x14ac:dyDescent="0.3">
      <c r="K392" s="102"/>
      <c r="L392" s="102"/>
    </row>
    <row r="393" spans="11:12" x14ac:dyDescent="0.3">
      <c r="K393" s="102"/>
      <c r="L393" s="102"/>
    </row>
    <row r="394" spans="11:12" x14ac:dyDescent="0.3">
      <c r="K394" s="102"/>
      <c r="L394" s="102"/>
    </row>
    <row r="395" spans="11:12" x14ac:dyDescent="0.3">
      <c r="K395" s="102"/>
      <c r="L395" s="102"/>
    </row>
    <row r="396" spans="11:12" x14ac:dyDescent="0.3">
      <c r="K396" s="102"/>
      <c r="L396" s="102"/>
    </row>
    <row r="397" spans="11:12" x14ac:dyDescent="0.3">
      <c r="K397" s="102"/>
      <c r="L397" s="102"/>
    </row>
    <row r="398" spans="11:12" x14ac:dyDescent="0.3">
      <c r="K398" s="102"/>
      <c r="L398" s="102"/>
    </row>
    <row r="399" spans="11:12" x14ac:dyDescent="0.3">
      <c r="K399" s="102"/>
      <c r="L399" s="102"/>
    </row>
    <row r="400" spans="11:12" x14ac:dyDescent="0.3">
      <c r="K400" s="102"/>
      <c r="L400" s="102"/>
    </row>
    <row r="401" spans="11:12" x14ac:dyDescent="0.3">
      <c r="K401" s="102"/>
      <c r="L401" s="102"/>
    </row>
    <row r="402" spans="11:12" x14ac:dyDescent="0.3">
      <c r="K402" s="102"/>
      <c r="L402" s="102"/>
    </row>
    <row r="403" spans="11:12" x14ac:dyDescent="0.3">
      <c r="K403" s="102"/>
      <c r="L403" s="102"/>
    </row>
    <row r="404" spans="11:12" x14ac:dyDescent="0.3">
      <c r="K404" s="102"/>
      <c r="L404" s="102"/>
    </row>
    <row r="405" spans="11:12" x14ac:dyDescent="0.3">
      <c r="K405" s="102"/>
      <c r="L405" s="102"/>
    </row>
    <row r="406" spans="11:12" x14ac:dyDescent="0.3">
      <c r="K406" s="102"/>
      <c r="L406" s="102"/>
    </row>
    <row r="407" spans="11:12" x14ac:dyDescent="0.3">
      <c r="K407" s="102"/>
      <c r="L407" s="102"/>
    </row>
    <row r="408" spans="11:12" x14ac:dyDescent="0.3">
      <c r="K408" s="102"/>
      <c r="L408" s="102"/>
    </row>
    <row r="409" spans="11:12" x14ac:dyDescent="0.3">
      <c r="K409" s="102"/>
      <c r="L409" s="102"/>
    </row>
    <row r="410" spans="11:12" x14ac:dyDescent="0.3">
      <c r="K410" s="102"/>
      <c r="L410" s="102"/>
    </row>
    <row r="411" spans="11:12" x14ac:dyDescent="0.3">
      <c r="K411" s="102"/>
      <c r="L411" s="102"/>
    </row>
    <row r="412" spans="11:12" x14ac:dyDescent="0.3">
      <c r="K412" s="102"/>
      <c r="L412" s="102"/>
    </row>
    <row r="413" spans="11:12" x14ac:dyDescent="0.3">
      <c r="K413" s="102"/>
      <c r="L413" s="102"/>
    </row>
    <row r="414" spans="11:12" x14ac:dyDescent="0.3">
      <c r="K414" s="102"/>
      <c r="L414" s="102"/>
    </row>
    <row r="415" spans="11:12" x14ac:dyDescent="0.3">
      <c r="K415" s="102"/>
      <c r="L415" s="102"/>
    </row>
    <row r="416" spans="11:12" x14ac:dyDescent="0.3">
      <c r="K416" s="102"/>
      <c r="L416" s="102"/>
    </row>
    <row r="417" spans="11:12" x14ac:dyDescent="0.3">
      <c r="K417" s="102"/>
      <c r="L417" s="102"/>
    </row>
    <row r="418" spans="11:12" x14ac:dyDescent="0.3">
      <c r="K418" s="102"/>
      <c r="L418" s="102"/>
    </row>
    <row r="419" spans="11:12" x14ac:dyDescent="0.3">
      <c r="K419" s="102"/>
      <c r="L419" s="102"/>
    </row>
    <row r="420" spans="11:12" x14ac:dyDescent="0.3">
      <c r="K420" s="102"/>
      <c r="L420" s="102"/>
    </row>
    <row r="421" spans="11:12" x14ac:dyDescent="0.3">
      <c r="K421" s="102"/>
      <c r="L421" s="102"/>
    </row>
    <row r="422" spans="11:12" x14ac:dyDescent="0.3">
      <c r="K422" s="102"/>
      <c r="L422" s="102"/>
    </row>
    <row r="423" spans="11:12" x14ac:dyDescent="0.3">
      <c r="K423" s="102"/>
      <c r="L423" s="102"/>
    </row>
    <row r="424" spans="11:12" x14ac:dyDescent="0.3">
      <c r="K424" s="102"/>
      <c r="L424" s="102"/>
    </row>
    <row r="425" spans="11:12" x14ac:dyDescent="0.3">
      <c r="K425" s="102"/>
      <c r="L425" s="102"/>
    </row>
    <row r="426" spans="11:12" x14ac:dyDescent="0.3">
      <c r="K426" s="102"/>
      <c r="L426" s="102"/>
    </row>
    <row r="427" spans="11:12" x14ac:dyDescent="0.3">
      <c r="K427" s="102"/>
      <c r="L427" s="102"/>
    </row>
    <row r="428" spans="11:12" x14ac:dyDescent="0.3">
      <c r="K428" s="102"/>
      <c r="L428" s="102"/>
    </row>
    <row r="429" spans="11:12" x14ac:dyDescent="0.3">
      <c r="K429" s="102"/>
      <c r="L429" s="102"/>
    </row>
    <row r="430" spans="11:12" x14ac:dyDescent="0.3">
      <c r="K430" s="102"/>
      <c r="L430" s="102"/>
    </row>
    <row r="431" spans="11:12" x14ac:dyDescent="0.3">
      <c r="K431" s="102"/>
      <c r="L431" s="102"/>
    </row>
    <row r="432" spans="11:12" x14ac:dyDescent="0.3">
      <c r="K432" s="102"/>
      <c r="L432" s="102"/>
    </row>
    <row r="433" spans="11:12" x14ac:dyDescent="0.3">
      <c r="K433" s="102"/>
      <c r="L433" s="102"/>
    </row>
    <row r="434" spans="11:12" x14ac:dyDescent="0.3">
      <c r="K434" s="102"/>
      <c r="L434" s="102"/>
    </row>
    <row r="435" spans="11:12" x14ac:dyDescent="0.3">
      <c r="K435" s="102"/>
      <c r="L435" s="102"/>
    </row>
    <row r="436" spans="11:12" x14ac:dyDescent="0.3">
      <c r="K436" s="102"/>
      <c r="L436" s="102"/>
    </row>
    <row r="437" spans="11:12" x14ac:dyDescent="0.3">
      <c r="K437" s="102"/>
      <c r="L437" s="102"/>
    </row>
    <row r="438" spans="11:12" x14ac:dyDescent="0.3">
      <c r="K438" s="102"/>
      <c r="L438" s="102"/>
    </row>
    <row r="439" spans="11:12" x14ac:dyDescent="0.3">
      <c r="K439" s="102"/>
      <c r="L439" s="102"/>
    </row>
    <row r="440" spans="11:12" x14ac:dyDescent="0.3">
      <c r="K440" s="102"/>
      <c r="L440" s="102"/>
    </row>
    <row r="441" spans="11:12" x14ac:dyDescent="0.3">
      <c r="K441" s="102"/>
      <c r="L441" s="102"/>
    </row>
    <row r="442" spans="11:12" x14ac:dyDescent="0.3">
      <c r="K442" s="102"/>
      <c r="L442" s="102"/>
    </row>
    <row r="443" spans="11:12" x14ac:dyDescent="0.3">
      <c r="K443" s="102"/>
      <c r="L443" s="102"/>
    </row>
    <row r="444" spans="11:12" x14ac:dyDescent="0.3">
      <c r="K444" s="102"/>
      <c r="L444" s="102"/>
    </row>
    <row r="445" spans="11:12" x14ac:dyDescent="0.3">
      <c r="K445" s="102"/>
      <c r="L445" s="102"/>
    </row>
    <row r="446" spans="11:12" x14ac:dyDescent="0.3">
      <c r="K446" s="102"/>
      <c r="L446" s="102"/>
    </row>
    <row r="447" spans="11:12" x14ac:dyDescent="0.3">
      <c r="K447" s="102"/>
      <c r="L447" s="102"/>
    </row>
    <row r="448" spans="11:12" x14ac:dyDescent="0.3">
      <c r="K448" s="102"/>
      <c r="L448" s="102"/>
    </row>
    <row r="449" spans="11:12" x14ac:dyDescent="0.3">
      <c r="K449" s="102"/>
      <c r="L449" s="102"/>
    </row>
    <row r="450" spans="11:12" x14ac:dyDescent="0.3">
      <c r="K450" s="102"/>
      <c r="L450" s="102"/>
    </row>
    <row r="451" spans="11:12" x14ac:dyDescent="0.3">
      <c r="K451" s="102"/>
      <c r="L451" s="102"/>
    </row>
    <row r="452" spans="11:12" x14ac:dyDescent="0.3">
      <c r="K452" s="102"/>
      <c r="L452" s="102"/>
    </row>
    <row r="453" spans="11:12" x14ac:dyDescent="0.3">
      <c r="K453" s="102"/>
      <c r="L453" s="102"/>
    </row>
    <row r="454" spans="11:12" x14ac:dyDescent="0.3">
      <c r="K454" s="102"/>
      <c r="L454" s="102"/>
    </row>
    <row r="455" spans="11:12" x14ac:dyDescent="0.3">
      <c r="K455" s="102"/>
      <c r="L455" s="102"/>
    </row>
    <row r="456" spans="11:12" x14ac:dyDescent="0.3">
      <c r="K456" s="102"/>
      <c r="L456" s="102"/>
    </row>
    <row r="457" spans="11:12" x14ac:dyDescent="0.3">
      <c r="K457" s="102"/>
      <c r="L457" s="102"/>
    </row>
    <row r="458" spans="11:12" x14ac:dyDescent="0.3">
      <c r="K458" s="102"/>
      <c r="L458" s="102"/>
    </row>
    <row r="459" spans="11:12" x14ac:dyDescent="0.3">
      <c r="K459" s="102"/>
      <c r="L459" s="102"/>
    </row>
    <row r="460" spans="11:12" x14ac:dyDescent="0.3">
      <c r="K460" s="102"/>
      <c r="L460" s="102"/>
    </row>
    <row r="461" spans="11:12" x14ac:dyDescent="0.3">
      <c r="K461" s="102"/>
      <c r="L461" s="102"/>
    </row>
    <row r="462" spans="11:12" x14ac:dyDescent="0.3">
      <c r="K462" s="102"/>
      <c r="L462" s="102"/>
    </row>
    <row r="463" spans="11:12" x14ac:dyDescent="0.3">
      <c r="K463" s="102"/>
      <c r="L463" s="102"/>
    </row>
    <row r="464" spans="11:12" x14ac:dyDescent="0.3">
      <c r="K464" s="102"/>
      <c r="L464" s="102"/>
    </row>
    <row r="465" spans="11:12" x14ac:dyDescent="0.3">
      <c r="K465" s="102"/>
      <c r="L465" s="102"/>
    </row>
    <row r="466" spans="11:12" x14ac:dyDescent="0.3">
      <c r="K466" s="102"/>
      <c r="L466" s="102"/>
    </row>
    <row r="467" spans="11:12" x14ac:dyDescent="0.3">
      <c r="K467" s="102"/>
      <c r="L467" s="102"/>
    </row>
    <row r="468" spans="11:12" x14ac:dyDescent="0.3">
      <c r="K468" s="102"/>
      <c r="L468" s="102"/>
    </row>
    <row r="469" spans="11:12" x14ac:dyDescent="0.3">
      <c r="K469" s="102"/>
      <c r="L469" s="102"/>
    </row>
    <row r="470" spans="11:12" x14ac:dyDescent="0.3">
      <c r="K470" s="102"/>
      <c r="L470" s="102"/>
    </row>
    <row r="471" spans="11:12" x14ac:dyDescent="0.3">
      <c r="K471" s="102"/>
      <c r="L471" s="102"/>
    </row>
    <row r="472" spans="11:12" x14ac:dyDescent="0.3">
      <c r="K472" s="102"/>
      <c r="L472" s="102"/>
    </row>
    <row r="473" spans="11:12" x14ac:dyDescent="0.3">
      <c r="K473" s="102"/>
      <c r="L473" s="102"/>
    </row>
    <row r="474" spans="11:12" x14ac:dyDescent="0.3">
      <c r="K474" s="102"/>
      <c r="L474" s="102"/>
    </row>
    <row r="475" spans="11:12" x14ac:dyDescent="0.3">
      <c r="K475" s="102"/>
      <c r="L475" s="102"/>
    </row>
    <row r="476" spans="11:12" x14ac:dyDescent="0.3">
      <c r="K476" s="102"/>
      <c r="L476" s="102"/>
    </row>
    <row r="477" spans="11:12" x14ac:dyDescent="0.3">
      <c r="K477" s="102"/>
      <c r="L477" s="102"/>
    </row>
    <row r="478" spans="11:12" x14ac:dyDescent="0.3">
      <c r="K478" s="102"/>
      <c r="L478" s="102"/>
    </row>
    <row r="479" spans="11:12" x14ac:dyDescent="0.3">
      <c r="K479" s="102"/>
      <c r="L479" s="102"/>
    </row>
    <row r="480" spans="11:12" x14ac:dyDescent="0.3">
      <c r="K480" s="102"/>
      <c r="L480" s="102"/>
    </row>
    <row r="481" spans="11:12" x14ac:dyDescent="0.3">
      <c r="K481" s="102"/>
      <c r="L481" s="102"/>
    </row>
    <row r="482" spans="11:12" x14ac:dyDescent="0.3">
      <c r="K482" s="102"/>
      <c r="L482" s="102"/>
    </row>
    <row r="483" spans="11:12" x14ac:dyDescent="0.3">
      <c r="K483" s="102"/>
      <c r="L483" s="102"/>
    </row>
    <row r="484" spans="11:12" x14ac:dyDescent="0.3">
      <c r="K484" s="102"/>
      <c r="L484" s="102"/>
    </row>
    <row r="485" spans="11:12" x14ac:dyDescent="0.3">
      <c r="K485" s="102"/>
      <c r="L485" s="102"/>
    </row>
    <row r="486" spans="11:12" x14ac:dyDescent="0.3">
      <c r="K486" s="102"/>
      <c r="L486" s="102"/>
    </row>
    <row r="487" spans="11:12" x14ac:dyDescent="0.3">
      <c r="K487" s="102"/>
      <c r="L487" s="102"/>
    </row>
    <row r="488" spans="11:12" x14ac:dyDescent="0.3">
      <c r="K488" s="102"/>
      <c r="L488" s="102"/>
    </row>
    <row r="489" spans="11:12" x14ac:dyDescent="0.3">
      <c r="K489" s="102"/>
      <c r="L489" s="102"/>
    </row>
    <row r="490" spans="11:12" x14ac:dyDescent="0.3">
      <c r="K490" s="102"/>
      <c r="L490" s="102"/>
    </row>
    <row r="491" spans="11:12" x14ac:dyDescent="0.3">
      <c r="K491" s="102"/>
      <c r="L491" s="102"/>
    </row>
    <row r="492" spans="11:12" x14ac:dyDescent="0.3">
      <c r="K492" s="102"/>
      <c r="L492" s="102"/>
    </row>
    <row r="493" spans="11:12" x14ac:dyDescent="0.3">
      <c r="K493" s="102"/>
      <c r="L493" s="102"/>
    </row>
    <row r="494" spans="11:12" x14ac:dyDescent="0.3">
      <c r="K494" s="102"/>
      <c r="L494" s="102"/>
    </row>
    <row r="495" spans="11:12" x14ac:dyDescent="0.3">
      <c r="K495" s="102"/>
      <c r="L495" s="102"/>
    </row>
    <row r="496" spans="11:12" x14ac:dyDescent="0.3">
      <c r="K496" s="102"/>
      <c r="L496" s="102"/>
    </row>
    <row r="497" spans="11:12" x14ac:dyDescent="0.3">
      <c r="K497" s="102"/>
      <c r="L497" s="102"/>
    </row>
    <row r="498" spans="11:12" x14ac:dyDescent="0.3">
      <c r="K498" s="102"/>
      <c r="L498" s="102"/>
    </row>
    <row r="499" spans="11:12" x14ac:dyDescent="0.3">
      <c r="K499" s="102"/>
      <c r="L499" s="102"/>
    </row>
    <row r="500" spans="11:12" x14ac:dyDescent="0.3">
      <c r="K500" s="102"/>
      <c r="L500" s="102"/>
    </row>
    <row r="501" spans="11:12" x14ac:dyDescent="0.3">
      <c r="K501" s="102"/>
      <c r="L501" s="102"/>
    </row>
    <row r="502" spans="11:12" x14ac:dyDescent="0.3">
      <c r="K502" s="102"/>
      <c r="L502" s="102"/>
    </row>
    <row r="503" spans="11:12" x14ac:dyDescent="0.3">
      <c r="K503" s="102"/>
      <c r="L503" s="102"/>
    </row>
    <row r="504" spans="11:12" x14ac:dyDescent="0.3">
      <c r="K504" s="102"/>
      <c r="L504" s="102"/>
    </row>
    <row r="505" spans="11:12" x14ac:dyDescent="0.3">
      <c r="K505" s="102"/>
      <c r="L505" s="102"/>
    </row>
    <row r="506" spans="11:12" x14ac:dyDescent="0.3">
      <c r="K506" s="102"/>
      <c r="L506" s="102"/>
    </row>
    <row r="507" spans="11:12" x14ac:dyDescent="0.3">
      <c r="K507" s="102"/>
      <c r="L507" s="102"/>
    </row>
    <row r="508" spans="11:12" x14ac:dyDescent="0.3">
      <c r="K508" s="102"/>
      <c r="L508" s="102"/>
    </row>
    <row r="509" spans="11:12" x14ac:dyDescent="0.3">
      <c r="K509" s="102"/>
      <c r="L509" s="102"/>
    </row>
    <row r="510" spans="11:12" x14ac:dyDescent="0.3">
      <c r="K510" s="102"/>
      <c r="L510" s="102"/>
    </row>
    <row r="511" spans="11:12" x14ac:dyDescent="0.3">
      <c r="K511" s="102"/>
      <c r="L511" s="102"/>
    </row>
    <row r="512" spans="11:12" x14ac:dyDescent="0.3">
      <c r="K512" s="102"/>
      <c r="L512" s="102"/>
    </row>
    <row r="513" spans="11:12" x14ac:dyDescent="0.3">
      <c r="K513" s="102"/>
      <c r="L513" s="102"/>
    </row>
    <row r="514" spans="11:12" x14ac:dyDescent="0.3">
      <c r="K514" s="102"/>
      <c r="L514" s="102"/>
    </row>
    <row r="515" spans="11:12" x14ac:dyDescent="0.3">
      <c r="K515" s="102"/>
      <c r="L515" s="102"/>
    </row>
    <row r="516" spans="11:12" x14ac:dyDescent="0.3">
      <c r="K516" s="102"/>
      <c r="L516" s="102"/>
    </row>
    <row r="517" spans="11:12" x14ac:dyDescent="0.3">
      <c r="K517" s="102"/>
      <c r="L517" s="102"/>
    </row>
    <row r="518" spans="11:12" x14ac:dyDescent="0.3">
      <c r="K518" s="102"/>
      <c r="L518" s="102"/>
    </row>
    <row r="519" spans="11:12" x14ac:dyDescent="0.3">
      <c r="K519" s="102"/>
      <c r="L519" s="102"/>
    </row>
    <row r="520" spans="11:12" x14ac:dyDescent="0.3">
      <c r="K520" s="102"/>
      <c r="L520" s="102"/>
    </row>
    <row r="521" spans="11:12" x14ac:dyDescent="0.3">
      <c r="K521" s="102"/>
      <c r="L521" s="102"/>
    </row>
    <row r="522" spans="11:12" x14ac:dyDescent="0.3">
      <c r="K522" s="102"/>
      <c r="L522" s="102"/>
    </row>
    <row r="523" spans="11:12" x14ac:dyDescent="0.3">
      <c r="K523" s="102"/>
      <c r="L523" s="102"/>
    </row>
    <row r="524" spans="11:12" x14ac:dyDescent="0.3">
      <c r="K524" s="102"/>
      <c r="L524" s="102"/>
    </row>
    <row r="525" spans="11:12" x14ac:dyDescent="0.3">
      <c r="K525" s="102"/>
      <c r="L525" s="102"/>
    </row>
    <row r="526" spans="11:12" x14ac:dyDescent="0.3">
      <c r="K526" s="102"/>
      <c r="L526" s="102"/>
    </row>
    <row r="527" spans="11:12" x14ac:dyDescent="0.3">
      <c r="K527" s="102"/>
      <c r="L527" s="102"/>
    </row>
    <row r="528" spans="11:12" x14ac:dyDescent="0.3">
      <c r="K528" s="102"/>
      <c r="L528" s="102"/>
    </row>
    <row r="529" spans="11:12" x14ac:dyDescent="0.3">
      <c r="K529" s="102"/>
      <c r="L529" s="102"/>
    </row>
    <row r="530" spans="11:12" x14ac:dyDescent="0.3">
      <c r="K530" s="102"/>
      <c r="L530" s="102"/>
    </row>
    <row r="531" spans="11:12" x14ac:dyDescent="0.3">
      <c r="K531" s="102"/>
      <c r="L531" s="102"/>
    </row>
    <row r="532" spans="11:12" x14ac:dyDescent="0.3">
      <c r="K532" s="102"/>
      <c r="L532" s="102"/>
    </row>
    <row r="533" spans="11:12" x14ac:dyDescent="0.3">
      <c r="K533" s="102"/>
      <c r="L533" s="102"/>
    </row>
    <row r="534" spans="11:12" x14ac:dyDescent="0.3">
      <c r="K534" s="102"/>
      <c r="L534" s="102"/>
    </row>
    <row r="535" spans="11:12" x14ac:dyDescent="0.3">
      <c r="K535" s="102"/>
      <c r="L535" s="102"/>
    </row>
    <row r="536" spans="11:12" x14ac:dyDescent="0.3">
      <c r="K536" s="102"/>
      <c r="L536" s="102"/>
    </row>
    <row r="537" spans="11:12" x14ac:dyDescent="0.3">
      <c r="K537" s="102"/>
      <c r="L537" s="102"/>
    </row>
    <row r="538" spans="11:12" x14ac:dyDescent="0.3">
      <c r="K538" s="102"/>
      <c r="L538" s="102"/>
    </row>
    <row r="539" spans="11:12" x14ac:dyDescent="0.3">
      <c r="K539" s="102"/>
      <c r="L539" s="102"/>
    </row>
    <row r="540" spans="11:12" x14ac:dyDescent="0.3">
      <c r="K540" s="102"/>
      <c r="L540" s="102"/>
    </row>
    <row r="541" spans="11:12" x14ac:dyDescent="0.3">
      <c r="K541" s="102"/>
      <c r="L541" s="102"/>
    </row>
    <row r="542" spans="11:12" x14ac:dyDescent="0.3">
      <c r="K542" s="102"/>
      <c r="L542" s="102"/>
    </row>
    <row r="543" spans="11:12" x14ac:dyDescent="0.3">
      <c r="K543" s="102"/>
      <c r="L543" s="102"/>
    </row>
    <row r="544" spans="11:12" x14ac:dyDescent="0.3">
      <c r="K544" s="102"/>
      <c r="L544" s="102"/>
    </row>
    <row r="545" spans="11:12" x14ac:dyDescent="0.3">
      <c r="K545" s="102"/>
      <c r="L545" s="102"/>
    </row>
    <row r="546" spans="11:12" x14ac:dyDescent="0.3">
      <c r="K546" s="102"/>
      <c r="L546" s="102"/>
    </row>
    <row r="547" spans="11:12" x14ac:dyDescent="0.3">
      <c r="K547" s="102"/>
      <c r="L547" s="102"/>
    </row>
    <row r="548" spans="11:12" x14ac:dyDescent="0.3">
      <c r="K548" s="102"/>
      <c r="L548" s="102"/>
    </row>
    <row r="549" spans="11:12" x14ac:dyDescent="0.3">
      <c r="K549" s="102"/>
      <c r="L549" s="102"/>
    </row>
    <row r="550" spans="11:12" x14ac:dyDescent="0.3">
      <c r="K550" s="102"/>
      <c r="L550" s="102"/>
    </row>
    <row r="551" spans="11:12" x14ac:dyDescent="0.3">
      <c r="K551" s="102"/>
      <c r="L551" s="102"/>
    </row>
    <row r="552" spans="11:12" x14ac:dyDescent="0.3">
      <c r="K552" s="102"/>
      <c r="L552" s="102"/>
    </row>
    <row r="553" spans="11:12" x14ac:dyDescent="0.3">
      <c r="K553" s="102"/>
      <c r="L553" s="102"/>
    </row>
    <row r="554" spans="11:12" x14ac:dyDescent="0.3">
      <c r="K554" s="102"/>
      <c r="L554" s="102"/>
    </row>
    <row r="555" spans="11:12" x14ac:dyDescent="0.3">
      <c r="K555" s="102"/>
      <c r="L555" s="102"/>
    </row>
    <row r="556" spans="11:12" x14ac:dyDescent="0.3">
      <c r="K556" s="102"/>
      <c r="L556" s="102"/>
    </row>
    <row r="557" spans="11:12" x14ac:dyDescent="0.3">
      <c r="K557" s="102"/>
      <c r="L557" s="102"/>
    </row>
    <row r="558" spans="11:12" x14ac:dyDescent="0.3">
      <c r="K558" s="102"/>
      <c r="L558" s="102"/>
    </row>
    <row r="559" spans="11:12" x14ac:dyDescent="0.3">
      <c r="K559" s="102"/>
      <c r="L559" s="102"/>
    </row>
    <row r="560" spans="11:12" x14ac:dyDescent="0.3">
      <c r="K560" s="102"/>
      <c r="L560" s="102"/>
    </row>
    <row r="561" spans="11:12" x14ac:dyDescent="0.3">
      <c r="K561" s="102"/>
      <c r="L561" s="102"/>
    </row>
    <row r="562" spans="11:12" x14ac:dyDescent="0.3">
      <c r="K562" s="102"/>
      <c r="L562" s="102"/>
    </row>
    <row r="563" spans="11:12" x14ac:dyDescent="0.3">
      <c r="K563" s="102"/>
      <c r="L563" s="102"/>
    </row>
    <row r="564" spans="11:12" x14ac:dyDescent="0.3">
      <c r="K564" s="102"/>
      <c r="L564" s="102"/>
    </row>
    <row r="565" spans="11:12" x14ac:dyDescent="0.3">
      <c r="K565" s="102"/>
      <c r="L565" s="102"/>
    </row>
    <row r="566" spans="11:12" x14ac:dyDescent="0.3">
      <c r="K566" s="102"/>
      <c r="L566" s="102"/>
    </row>
    <row r="567" spans="11:12" x14ac:dyDescent="0.3">
      <c r="K567" s="102"/>
      <c r="L567" s="102"/>
    </row>
    <row r="568" spans="11:12" x14ac:dyDescent="0.3">
      <c r="K568" s="102"/>
      <c r="L568" s="102"/>
    </row>
    <row r="569" spans="11:12" x14ac:dyDescent="0.3">
      <c r="K569" s="102"/>
      <c r="L569" s="102"/>
    </row>
    <row r="570" spans="11:12" x14ac:dyDescent="0.3">
      <c r="K570" s="102"/>
      <c r="L570" s="102"/>
    </row>
    <row r="571" spans="11:12" x14ac:dyDescent="0.3">
      <c r="K571" s="102"/>
      <c r="L571" s="102"/>
    </row>
    <row r="572" spans="11:12" x14ac:dyDescent="0.3">
      <c r="K572" s="102"/>
      <c r="L572" s="102"/>
    </row>
    <row r="573" spans="11:12" x14ac:dyDescent="0.3">
      <c r="K573" s="102"/>
      <c r="L573" s="102"/>
    </row>
    <row r="574" spans="11:12" x14ac:dyDescent="0.3">
      <c r="K574" s="102"/>
      <c r="L574" s="102"/>
    </row>
    <row r="575" spans="11:12" x14ac:dyDescent="0.3">
      <c r="K575" s="102"/>
      <c r="L575" s="102"/>
    </row>
    <row r="576" spans="11:12" x14ac:dyDescent="0.3">
      <c r="K576" s="102"/>
      <c r="L576" s="102"/>
    </row>
    <row r="577" spans="11:12" x14ac:dyDescent="0.3">
      <c r="K577" s="102"/>
      <c r="L577" s="102"/>
    </row>
    <row r="578" spans="11:12" x14ac:dyDescent="0.3">
      <c r="K578" s="102"/>
      <c r="L578" s="102"/>
    </row>
    <row r="579" spans="11:12" x14ac:dyDescent="0.3">
      <c r="K579" s="102"/>
      <c r="L579" s="102"/>
    </row>
    <row r="580" spans="11:12" x14ac:dyDescent="0.3">
      <c r="K580" s="102"/>
      <c r="L580" s="102"/>
    </row>
    <row r="581" spans="11:12" x14ac:dyDescent="0.3">
      <c r="K581" s="102"/>
      <c r="L581" s="102"/>
    </row>
    <row r="582" spans="11:12" x14ac:dyDescent="0.3">
      <c r="K582" s="102"/>
      <c r="L582" s="102"/>
    </row>
    <row r="583" spans="11:12" x14ac:dyDescent="0.3">
      <c r="K583" s="102"/>
      <c r="L583" s="102"/>
    </row>
    <row r="584" spans="11:12" x14ac:dyDescent="0.3">
      <c r="K584" s="102"/>
      <c r="L584" s="102"/>
    </row>
    <row r="585" spans="11:12" x14ac:dyDescent="0.3">
      <c r="K585" s="102"/>
      <c r="L585" s="102"/>
    </row>
    <row r="586" spans="11:12" x14ac:dyDescent="0.3">
      <c r="K586" s="102"/>
      <c r="L586" s="102"/>
    </row>
    <row r="587" spans="11:12" x14ac:dyDescent="0.3">
      <c r="K587" s="102"/>
      <c r="L587" s="102"/>
    </row>
    <row r="588" spans="11:12" x14ac:dyDescent="0.3">
      <c r="K588" s="102"/>
      <c r="L588" s="102"/>
    </row>
    <row r="589" spans="11:12" x14ac:dyDescent="0.3">
      <c r="K589" s="102"/>
      <c r="L589" s="102"/>
    </row>
    <row r="590" spans="11:12" x14ac:dyDescent="0.3">
      <c r="K590" s="102"/>
      <c r="L590" s="102"/>
    </row>
    <row r="591" spans="11:12" x14ac:dyDescent="0.3">
      <c r="K591" s="102"/>
      <c r="L591" s="102"/>
    </row>
    <row r="592" spans="11:12" x14ac:dyDescent="0.3">
      <c r="K592" s="102"/>
      <c r="L592" s="102"/>
    </row>
    <row r="593" spans="11:12" x14ac:dyDescent="0.3">
      <c r="K593" s="102"/>
      <c r="L593" s="102"/>
    </row>
    <row r="594" spans="11:12" x14ac:dyDescent="0.3">
      <c r="K594" s="102"/>
      <c r="L594" s="102"/>
    </row>
    <row r="595" spans="11:12" x14ac:dyDescent="0.3">
      <c r="K595" s="102"/>
      <c r="L595" s="102"/>
    </row>
    <row r="596" spans="11:12" x14ac:dyDescent="0.3">
      <c r="K596" s="102"/>
      <c r="L596" s="102"/>
    </row>
    <row r="597" spans="11:12" x14ac:dyDescent="0.3">
      <c r="K597" s="102"/>
      <c r="L597" s="102"/>
    </row>
    <row r="598" spans="11:12" x14ac:dyDescent="0.3">
      <c r="K598" s="102"/>
      <c r="L598" s="102"/>
    </row>
    <row r="599" spans="11:12" x14ac:dyDescent="0.3">
      <c r="K599" s="102"/>
      <c r="L599" s="102"/>
    </row>
    <row r="600" spans="11:12" x14ac:dyDescent="0.3">
      <c r="K600" s="102"/>
      <c r="L600" s="102"/>
    </row>
    <row r="601" spans="11:12" x14ac:dyDescent="0.3">
      <c r="K601" s="102"/>
      <c r="L601" s="102"/>
    </row>
    <row r="602" spans="11:12" x14ac:dyDescent="0.3">
      <c r="K602" s="102"/>
      <c r="L602" s="102"/>
    </row>
    <row r="603" spans="11:12" x14ac:dyDescent="0.3">
      <c r="K603" s="102"/>
      <c r="L603" s="102"/>
    </row>
    <row r="604" spans="11:12" x14ac:dyDescent="0.3">
      <c r="K604" s="102"/>
      <c r="L604" s="102"/>
    </row>
    <row r="605" spans="11:12" x14ac:dyDescent="0.3">
      <c r="K605" s="102"/>
      <c r="L605" s="102"/>
    </row>
    <row r="606" spans="11:12" x14ac:dyDescent="0.3">
      <c r="K606" s="102"/>
      <c r="L606" s="102"/>
    </row>
    <row r="607" spans="11:12" x14ac:dyDescent="0.3">
      <c r="K607" s="102"/>
      <c r="L607" s="102"/>
    </row>
    <row r="608" spans="11:12" x14ac:dyDescent="0.3">
      <c r="K608" s="102"/>
      <c r="L608" s="102"/>
    </row>
    <row r="609" spans="11:12" x14ac:dyDescent="0.3">
      <c r="K609" s="102"/>
      <c r="L609" s="102"/>
    </row>
    <row r="610" spans="11:12" x14ac:dyDescent="0.3">
      <c r="K610" s="102"/>
      <c r="L610" s="102"/>
    </row>
    <row r="611" spans="11:12" x14ac:dyDescent="0.3">
      <c r="K611" s="102"/>
      <c r="L611" s="102"/>
    </row>
    <row r="612" spans="11:12" x14ac:dyDescent="0.3">
      <c r="K612" s="102"/>
      <c r="L612" s="102"/>
    </row>
    <row r="613" spans="11:12" x14ac:dyDescent="0.3">
      <c r="K613" s="102"/>
      <c r="L613" s="102"/>
    </row>
    <row r="614" spans="11:12" x14ac:dyDescent="0.3">
      <c r="K614" s="102"/>
      <c r="L614" s="102"/>
    </row>
    <row r="615" spans="11:12" x14ac:dyDescent="0.3">
      <c r="K615" s="102"/>
      <c r="L615" s="102"/>
    </row>
    <row r="616" spans="11:12" x14ac:dyDescent="0.3">
      <c r="K616" s="102"/>
      <c r="L616" s="102"/>
    </row>
    <row r="617" spans="11:12" x14ac:dyDescent="0.3">
      <c r="K617" s="102"/>
      <c r="L617" s="102"/>
    </row>
    <row r="618" spans="11:12" x14ac:dyDescent="0.3">
      <c r="K618" s="102"/>
      <c r="L618" s="102"/>
    </row>
    <row r="619" spans="11:12" x14ac:dyDescent="0.3">
      <c r="K619" s="102"/>
      <c r="L619" s="102"/>
    </row>
    <row r="620" spans="11:12" x14ac:dyDescent="0.3">
      <c r="K620" s="102"/>
      <c r="L620" s="102"/>
    </row>
    <row r="621" spans="11:12" x14ac:dyDescent="0.3">
      <c r="K621" s="102"/>
      <c r="L621" s="102"/>
    </row>
    <row r="622" spans="11:12" x14ac:dyDescent="0.3">
      <c r="K622" s="102"/>
      <c r="L622" s="102"/>
    </row>
    <row r="623" spans="11:12" x14ac:dyDescent="0.3">
      <c r="K623" s="102"/>
      <c r="L623" s="102"/>
    </row>
    <row r="624" spans="11:12" x14ac:dyDescent="0.3">
      <c r="K624" s="102"/>
      <c r="L624" s="102"/>
    </row>
    <row r="625" spans="11:12" x14ac:dyDescent="0.3">
      <c r="K625" s="102"/>
      <c r="L625" s="102"/>
    </row>
    <row r="626" spans="11:12" x14ac:dyDescent="0.3">
      <c r="K626" s="102"/>
      <c r="L626" s="102"/>
    </row>
    <row r="627" spans="11:12" x14ac:dyDescent="0.3">
      <c r="K627" s="102"/>
      <c r="L627" s="102"/>
    </row>
    <row r="628" spans="11:12" x14ac:dyDescent="0.3">
      <c r="K628" s="102"/>
      <c r="L628" s="102"/>
    </row>
    <row r="629" spans="11:12" x14ac:dyDescent="0.3">
      <c r="K629" s="102"/>
      <c r="L629" s="102"/>
    </row>
    <row r="630" spans="11:12" x14ac:dyDescent="0.3">
      <c r="K630" s="102"/>
      <c r="L630" s="102"/>
    </row>
    <row r="631" spans="11:12" x14ac:dyDescent="0.3">
      <c r="K631" s="102"/>
      <c r="L631" s="102"/>
    </row>
    <row r="632" spans="11:12" x14ac:dyDescent="0.3">
      <c r="K632" s="102"/>
      <c r="L632" s="102"/>
    </row>
    <row r="633" spans="11:12" x14ac:dyDescent="0.3">
      <c r="K633" s="102"/>
      <c r="L633" s="102"/>
    </row>
    <row r="634" spans="11:12" x14ac:dyDescent="0.3">
      <c r="K634" s="102"/>
      <c r="L634" s="102"/>
    </row>
    <row r="635" spans="11:12" x14ac:dyDescent="0.3">
      <c r="K635" s="102"/>
      <c r="L635" s="102"/>
    </row>
    <row r="636" spans="11:12" x14ac:dyDescent="0.3">
      <c r="K636" s="102"/>
      <c r="L636" s="102"/>
    </row>
    <row r="637" spans="11:12" x14ac:dyDescent="0.3">
      <c r="K637" s="102"/>
      <c r="L637" s="102"/>
    </row>
    <row r="638" spans="11:12" x14ac:dyDescent="0.3">
      <c r="K638" s="102"/>
      <c r="L638" s="102"/>
    </row>
    <row r="639" spans="11:12" x14ac:dyDescent="0.3">
      <c r="K639" s="102"/>
      <c r="L639" s="102"/>
    </row>
    <row r="640" spans="11:12" x14ac:dyDescent="0.3">
      <c r="K640" s="102"/>
      <c r="L640" s="102"/>
    </row>
    <row r="641" spans="11:12" x14ac:dyDescent="0.3">
      <c r="K641" s="102"/>
      <c r="L641" s="102"/>
    </row>
    <row r="642" spans="11:12" x14ac:dyDescent="0.3">
      <c r="K642" s="102"/>
      <c r="L642" s="102"/>
    </row>
    <row r="643" spans="11:12" x14ac:dyDescent="0.3">
      <c r="K643" s="102"/>
      <c r="L643" s="102"/>
    </row>
    <row r="644" spans="11:12" x14ac:dyDescent="0.3">
      <c r="K644" s="102"/>
      <c r="L644" s="102"/>
    </row>
    <row r="645" spans="11:12" x14ac:dyDescent="0.3">
      <c r="K645" s="102"/>
      <c r="L645" s="102"/>
    </row>
    <row r="646" spans="11:12" x14ac:dyDescent="0.3">
      <c r="K646" s="102"/>
      <c r="L646" s="102"/>
    </row>
    <row r="647" spans="11:12" x14ac:dyDescent="0.3">
      <c r="K647" s="102"/>
      <c r="L647" s="102"/>
    </row>
    <row r="648" spans="11:12" x14ac:dyDescent="0.3">
      <c r="K648" s="102"/>
      <c r="L648" s="102"/>
    </row>
    <row r="649" spans="11:12" x14ac:dyDescent="0.3">
      <c r="K649" s="102"/>
      <c r="L649" s="102"/>
    </row>
    <row r="650" spans="11:12" x14ac:dyDescent="0.3">
      <c r="K650" s="102"/>
      <c r="L650" s="102"/>
    </row>
    <row r="651" spans="11:12" x14ac:dyDescent="0.3">
      <c r="K651" s="102"/>
      <c r="L651" s="102"/>
    </row>
    <row r="652" spans="11:12" x14ac:dyDescent="0.3">
      <c r="K652" s="102"/>
      <c r="L652" s="102"/>
    </row>
    <row r="653" spans="11:12" x14ac:dyDescent="0.3">
      <c r="K653" s="102"/>
      <c r="L653" s="102"/>
    </row>
    <row r="654" spans="11:12" x14ac:dyDescent="0.3">
      <c r="K654" s="102"/>
      <c r="L654" s="102"/>
    </row>
    <row r="655" spans="11:12" x14ac:dyDescent="0.3">
      <c r="K655" s="102"/>
      <c r="L655" s="102"/>
    </row>
    <row r="656" spans="11:12" x14ac:dyDescent="0.3">
      <c r="K656" s="102"/>
      <c r="L656" s="102"/>
    </row>
    <row r="657" spans="11:12" x14ac:dyDescent="0.3">
      <c r="K657" s="102"/>
      <c r="L657" s="102"/>
    </row>
    <row r="658" spans="11:12" x14ac:dyDescent="0.3">
      <c r="K658" s="102"/>
      <c r="L658" s="102"/>
    </row>
    <row r="659" spans="11:12" x14ac:dyDescent="0.3">
      <c r="K659" s="102"/>
      <c r="L659" s="102"/>
    </row>
    <row r="660" spans="11:12" x14ac:dyDescent="0.3">
      <c r="K660" s="102"/>
      <c r="L660" s="102"/>
    </row>
    <row r="661" spans="11:12" x14ac:dyDescent="0.3">
      <c r="K661" s="102"/>
      <c r="L661" s="102"/>
    </row>
    <row r="662" spans="11:12" x14ac:dyDescent="0.3">
      <c r="K662" s="102"/>
      <c r="L662" s="102"/>
    </row>
    <row r="663" spans="11:12" x14ac:dyDescent="0.3">
      <c r="K663" s="102"/>
      <c r="L663" s="102"/>
    </row>
    <row r="664" spans="11:12" x14ac:dyDescent="0.3">
      <c r="K664" s="102"/>
      <c r="L664" s="102"/>
    </row>
    <row r="665" spans="11:12" x14ac:dyDescent="0.3">
      <c r="K665" s="102"/>
      <c r="L665" s="102"/>
    </row>
    <row r="666" spans="11:12" x14ac:dyDescent="0.3">
      <c r="K666" s="102"/>
      <c r="L666" s="102"/>
    </row>
    <row r="667" spans="11:12" x14ac:dyDescent="0.3">
      <c r="K667" s="102"/>
      <c r="L667" s="102"/>
    </row>
    <row r="668" spans="11:12" x14ac:dyDescent="0.3">
      <c r="K668" s="102"/>
      <c r="L668" s="102"/>
    </row>
    <row r="669" spans="11:12" x14ac:dyDescent="0.3">
      <c r="K669" s="102"/>
      <c r="L669" s="102"/>
    </row>
    <row r="670" spans="11:12" x14ac:dyDescent="0.3">
      <c r="K670" s="102"/>
      <c r="L670" s="102"/>
    </row>
    <row r="671" spans="11:12" x14ac:dyDescent="0.3">
      <c r="K671" s="102"/>
      <c r="L671" s="102"/>
    </row>
    <row r="672" spans="11:12" x14ac:dyDescent="0.3">
      <c r="K672" s="102"/>
      <c r="L672" s="102"/>
    </row>
    <row r="673" spans="11:12" x14ac:dyDescent="0.3">
      <c r="K673" s="102"/>
      <c r="L673" s="102"/>
    </row>
    <row r="674" spans="11:12" x14ac:dyDescent="0.3">
      <c r="K674" s="102"/>
      <c r="L674" s="102"/>
    </row>
    <row r="675" spans="11:12" x14ac:dyDescent="0.3">
      <c r="K675" s="102"/>
      <c r="L675" s="102"/>
    </row>
    <row r="676" spans="11:12" x14ac:dyDescent="0.3">
      <c r="K676" s="102"/>
      <c r="L676" s="102"/>
    </row>
    <row r="677" spans="11:12" x14ac:dyDescent="0.3">
      <c r="K677" s="102"/>
      <c r="L677" s="102"/>
    </row>
    <row r="678" spans="11:12" x14ac:dyDescent="0.3">
      <c r="K678" s="102"/>
      <c r="L678" s="102"/>
    </row>
    <row r="679" spans="11:12" x14ac:dyDescent="0.3">
      <c r="K679" s="102"/>
      <c r="L679" s="102"/>
    </row>
    <row r="680" spans="11:12" x14ac:dyDescent="0.3">
      <c r="K680" s="102"/>
      <c r="L680" s="102"/>
    </row>
    <row r="681" spans="11:12" x14ac:dyDescent="0.3">
      <c r="K681" s="102"/>
      <c r="L681" s="102"/>
    </row>
    <row r="682" spans="11:12" x14ac:dyDescent="0.3">
      <c r="K682" s="102"/>
      <c r="L682" s="102"/>
    </row>
    <row r="683" spans="11:12" x14ac:dyDescent="0.3">
      <c r="K683" s="102"/>
      <c r="L683" s="102"/>
    </row>
    <row r="684" spans="11:12" x14ac:dyDescent="0.3">
      <c r="K684" s="102"/>
      <c r="L684" s="102"/>
    </row>
    <row r="685" spans="11:12" x14ac:dyDescent="0.3">
      <c r="K685" s="102"/>
      <c r="L685" s="102"/>
    </row>
    <row r="686" spans="11:12" x14ac:dyDescent="0.3">
      <c r="K686" s="102"/>
      <c r="L686" s="102"/>
    </row>
    <row r="687" spans="11:12" x14ac:dyDescent="0.3">
      <c r="K687" s="102"/>
      <c r="L687" s="102"/>
    </row>
    <row r="688" spans="11:12" x14ac:dyDescent="0.3">
      <c r="K688" s="102"/>
      <c r="L688" s="102"/>
    </row>
    <row r="689" spans="11:12" x14ac:dyDescent="0.3">
      <c r="K689" s="102"/>
      <c r="L689" s="102"/>
    </row>
    <row r="690" spans="11:12" x14ac:dyDescent="0.3">
      <c r="K690" s="102"/>
      <c r="L690" s="102"/>
    </row>
    <row r="691" spans="11:12" x14ac:dyDescent="0.3">
      <c r="K691" s="102"/>
      <c r="L691" s="102"/>
    </row>
    <row r="692" spans="11:12" x14ac:dyDescent="0.3">
      <c r="K692" s="102"/>
      <c r="L692" s="102"/>
    </row>
    <row r="693" spans="11:12" x14ac:dyDescent="0.3">
      <c r="K693" s="102"/>
      <c r="L693" s="102"/>
    </row>
    <row r="694" spans="11:12" x14ac:dyDescent="0.3">
      <c r="K694" s="102"/>
      <c r="L694" s="102"/>
    </row>
    <row r="695" spans="11:12" x14ac:dyDescent="0.3">
      <c r="K695" s="102"/>
      <c r="L695" s="102"/>
    </row>
    <row r="696" spans="11:12" x14ac:dyDescent="0.3">
      <c r="K696" s="102"/>
      <c r="L696" s="102"/>
    </row>
    <row r="697" spans="11:12" x14ac:dyDescent="0.3">
      <c r="K697" s="102"/>
      <c r="L697" s="102"/>
    </row>
    <row r="698" spans="11:12" x14ac:dyDescent="0.3">
      <c r="K698" s="102"/>
      <c r="L698" s="102"/>
    </row>
    <row r="699" spans="11:12" x14ac:dyDescent="0.3">
      <c r="K699" s="102"/>
      <c r="L699" s="102"/>
    </row>
    <row r="700" spans="11:12" x14ac:dyDescent="0.3">
      <c r="K700" s="102"/>
      <c r="L700" s="102"/>
    </row>
    <row r="701" spans="11:12" x14ac:dyDescent="0.3">
      <c r="K701" s="102"/>
      <c r="L701" s="102"/>
    </row>
    <row r="702" spans="11:12" x14ac:dyDescent="0.3">
      <c r="K702" s="102"/>
      <c r="L702" s="102"/>
    </row>
    <row r="703" spans="11:12" x14ac:dyDescent="0.3">
      <c r="K703" s="102"/>
      <c r="L703" s="102"/>
    </row>
    <row r="704" spans="11:12" x14ac:dyDescent="0.3">
      <c r="K704" s="102"/>
      <c r="L704" s="102"/>
    </row>
    <row r="705" spans="11:12" x14ac:dyDescent="0.3">
      <c r="K705" s="102"/>
      <c r="L705" s="102"/>
    </row>
    <row r="706" spans="11:12" x14ac:dyDescent="0.3">
      <c r="K706" s="102"/>
      <c r="L706" s="102"/>
    </row>
    <row r="707" spans="11:12" x14ac:dyDescent="0.3">
      <c r="K707" s="102"/>
      <c r="L707" s="102"/>
    </row>
    <row r="708" spans="11:12" x14ac:dyDescent="0.3">
      <c r="K708" s="102"/>
      <c r="L708" s="102"/>
    </row>
    <row r="709" spans="11:12" x14ac:dyDescent="0.3">
      <c r="K709" s="102"/>
      <c r="L709" s="102"/>
    </row>
    <row r="710" spans="11:12" x14ac:dyDescent="0.3">
      <c r="K710" s="102"/>
      <c r="L710" s="102"/>
    </row>
    <row r="711" spans="11:12" x14ac:dyDescent="0.3">
      <c r="K711" s="102"/>
      <c r="L711" s="102"/>
    </row>
    <row r="712" spans="11:12" x14ac:dyDescent="0.3">
      <c r="K712" s="102"/>
      <c r="L712" s="102"/>
    </row>
    <row r="713" spans="11:12" x14ac:dyDescent="0.3">
      <c r="K713" s="102"/>
      <c r="L713" s="102"/>
    </row>
    <row r="714" spans="11:12" x14ac:dyDescent="0.3">
      <c r="K714" s="102"/>
      <c r="L714" s="102"/>
    </row>
    <row r="715" spans="11:12" x14ac:dyDescent="0.3">
      <c r="K715" s="102"/>
      <c r="L715" s="102"/>
    </row>
    <row r="716" spans="11:12" x14ac:dyDescent="0.3">
      <c r="K716" s="102"/>
      <c r="L716" s="102"/>
    </row>
    <row r="717" spans="11:12" x14ac:dyDescent="0.3">
      <c r="K717" s="102"/>
      <c r="L717" s="102"/>
    </row>
    <row r="718" spans="11:12" x14ac:dyDescent="0.3">
      <c r="K718" s="102"/>
      <c r="L718" s="102"/>
    </row>
    <row r="719" spans="11:12" x14ac:dyDescent="0.3">
      <c r="K719" s="102"/>
      <c r="L719" s="102"/>
    </row>
    <row r="720" spans="11:12" x14ac:dyDescent="0.3">
      <c r="K720" s="102"/>
      <c r="L720" s="102"/>
    </row>
    <row r="721" spans="11:12" x14ac:dyDescent="0.3">
      <c r="K721" s="102"/>
      <c r="L721" s="102"/>
    </row>
    <row r="722" spans="11:12" x14ac:dyDescent="0.3">
      <c r="K722" s="102"/>
      <c r="L722" s="102"/>
    </row>
    <row r="723" spans="11:12" x14ac:dyDescent="0.3">
      <c r="K723" s="102"/>
      <c r="L723" s="102"/>
    </row>
    <row r="724" spans="11:12" x14ac:dyDescent="0.3">
      <c r="K724" s="102"/>
      <c r="L724" s="102"/>
    </row>
    <row r="725" spans="11:12" x14ac:dyDescent="0.3">
      <c r="K725" s="102"/>
      <c r="L725" s="102"/>
    </row>
    <row r="726" spans="11:12" x14ac:dyDescent="0.3">
      <c r="K726" s="102"/>
      <c r="L726" s="102"/>
    </row>
    <row r="727" spans="11:12" x14ac:dyDescent="0.3">
      <c r="K727" s="102"/>
      <c r="L727" s="102"/>
    </row>
    <row r="728" spans="11:12" x14ac:dyDescent="0.3">
      <c r="K728" s="102"/>
      <c r="L728" s="102"/>
    </row>
    <row r="729" spans="11:12" x14ac:dyDescent="0.3">
      <c r="K729" s="102"/>
      <c r="L729" s="102"/>
    </row>
    <row r="730" spans="11:12" x14ac:dyDescent="0.3">
      <c r="K730" s="102"/>
      <c r="L730" s="102"/>
    </row>
    <row r="731" spans="11:12" x14ac:dyDescent="0.3">
      <c r="K731" s="102"/>
      <c r="L731" s="102"/>
    </row>
    <row r="732" spans="11:12" x14ac:dyDescent="0.3">
      <c r="K732" s="102"/>
      <c r="L732" s="102"/>
    </row>
    <row r="733" spans="11:12" x14ac:dyDescent="0.3">
      <c r="K733" s="102"/>
      <c r="L733" s="102"/>
    </row>
    <row r="734" spans="11:12" x14ac:dyDescent="0.3">
      <c r="K734" s="102"/>
      <c r="L734" s="102"/>
    </row>
    <row r="735" spans="11:12" x14ac:dyDescent="0.3">
      <c r="K735" s="102"/>
      <c r="L735" s="102"/>
    </row>
    <row r="736" spans="11:12" x14ac:dyDescent="0.3">
      <c r="K736" s="102"/>
      <c r="L736" s="102"/>
    </row>
    <row r="737" spans="11:12" x14ac:dyDescent="0.3">
      <c r="K737" s="102"/>
      <c r="L737" s="102"/>
    </row>
    <row r="738" spans="11:12" x14ac:dyDescent="0.3">
      <c r="K738" s="102"/>
      <c r="L738" s="102"/>
    </row>
    <row r="739" spans="11:12" x14ac:dyDescent="0.3">
      <c r="K739" s="102"/>
      <c r="L739" s="102"/>
    </row>
    <row r="740" spans="11:12" x14ac:dyDescent="0.3">
      <c r="K740" s="102"/>
      <c r="L740" s="102"/>
    </row>
    <row r="741" spans="11:12" x14ac:dyDescent="0.3">
      <c r="K741" s="102"/>
      <c r="L741" s="102"/>
    </row>
    <row r="742" spans="11:12" x14ac:dyDescent="0.3">
      <c r="K742" s="102"/>
      <c r="L742" s="102"/>
    </row>
    <row r="743" spans="11:12" x14ac:dyDescent="0.3">
      <c r="K743" s="102"/>
      <c r="L743" s="102"/>
    </row>
    <row r="744" spans="11:12" x14ac:dyDescent="0.3">
      <c r="K744" s="102"/>
      <c r="L744" s="102"/>
    </row>
    <row r="745" spans="11:12" x14ac:dyDescent="0.3">
      <c r="K745" s="102"/>
      <c r="L745" s="102"/>
    </row>
    <row r="746" spans="11:12" x14ac:dyDescent="0.3">
      <c r="K746" s="102"/>
      <c r="L746" s="102"/>
    </row>
    <row r="747" spans="11:12" x14ac:dyDescent="0.3">
      <c r="K747" s="102"/>
      <c r="L747" s="102"/>
    </row>
    <row r="748" spans="11:12" x14ac:dyDescent="0.3">
      <c r="K748" s="102"/>
      <c r="L748" s="102"/>
    </row>
    <row r="749" spans="11:12" x14ac:dyDescent="0.3">
      <c r="K749" s="102"/>
      <c r="L749" s="102"/>
    </row>
    <row r="750" spans="11:12" x14ac:dyDescent="0.3">
      <c r="K750" s="102"/>
      <c r="L750" s="102"/>
    </row>
    <row r="751" spans="11:12" x14ac:dyDescent="0.3">
      <c r="K751" s="102"/>
      <c r="L751" s="102"/>
    </row>
    <row r="752" spans="11:12" x14ac:dyDescent="0.3">
      <c r="K752" s="102"/>
      <c r="L752" s="102"/>
    </row>
    <row r="753" spans="11:12" x14ac:dyDescent="0.3">
      <c r="K753" s="102"/>
      <c r="L753" s="102"/>
    </row>
    <row r="754" spans="11:12" x14ac:dyDescent="0.3">
      <c r="K754" s="102"/>
      <c r="L754" s="102"/>
    </row>
    <row r="755" spans="11:12" x14ac:dyDescent="0.3">
      <c r="K755" s="102"/>
      <c r="L755" s="102"/>
    </row>
    <row r="756" spans="11:12" x14ac:dyDescent="0.3">
      <c r="K756" s="102"/>
      <c r="L756" s="102"/>
    </row>
    <row r="757" spans="11:12" x14ac:dyDescent="0.3">
      <c r="K757" s="102"/>
      <c r="L757" s="102"/>
    </row>
    <row r="758" spans="11:12" x14ac:dyDescent="0.3">
      <c r="K758" s="102"/>
      <c r="L758" s="102"/>
    </row>
    <row r="759" spans="11:12" x14ac:dyDescent="0.3">
      <c r="K759" s="102"/>
      <c r="L759" s="102"/>
    </row>
    <row r="760" spans="11:12" x14ac:dyDescent="0.3">
      <c r="K760" s="102"/>
      <c r="L760" s="102"/>
    </row>
    <row r="761" spans="11:12" x14ac:dyDescent="0.3">
      <c r="K761" s="102"/>
      <c r="L761" s="102"/>
    </row>
    <row r="762" spans="11:12" x14ac:dyDescent="0.3">
      <c r="K762" s="102"/>
      <c r="L762" s="102"/>
    </row>
    <row r="763" spans="11:12" x14ac:dyDescent="0.3">
      <c r="K763" s="102"/>
      <c r="L763" s="102"/>
    </row>
    <row r="764" spans="11:12" x14ac:dyDescent="0.3">
      <c r="K764" s="102"/>
      <c r="L764" s="102"/>
    </row>
    <row r="765" spans="11:12" x14ac:dyDescent="0.3">
      <c r="K765" s="102"/>
      <c r="L765" s="102"/>
    </row>
    <row r="766" spans="11:12" x14ac:dyDescent="0.3">
      <c r="K766" s="102"/>
      <c r="L766" s="102"/>
    </row>
    <row r="767" spans="11:12" x14ac:dyDescent="0.3">
      <c r="K767" s="102"/>
      <c r="L767" s="102"/>
    </row>
    <row r="768" spans="11:12" x14ac:dyDescent="0.3">
      <c r="K768" s="102"/>
      <c r="L768" s="102"/>
    </row>
    <row r="769" spans="11:12" x14ac:dyDescent="0.3">
      <c r="K769" s="102"/>
      <c r="L769" s="102"/>
    </row>
    <row r="770" spans="11:12" x14ac:dyDescent="0.3">
      <c r="K770" s="102"/>
      <c r="L770" s="102"/>
    </row>
    <row r="771" spans="11:12" x14ac:dyDescent="0.3">
      <c r="K771" s="102"/>
      <c r="L771" s="102"/>
    </row>
    <row r="772" spans="11:12" x14ac:dyDescent="0.3">
      <c r="K772" s="102"/>
      <c r="L772" s="102"/>
    </row>
    <row r="773" spans="11:12" x14ac:dyDescent="0.3">
      <c r="K773" s="102"/>
      <c r="L773" s="102"/>
    </row>
    <row r="774" spans="11:12" x14ac:dyDescent="0.3">
      <c r="K774" s="102"/>
      <c r="L774" s="102"/>
    </row>
    <row r="775" spans="11:12" x14ac:dyDescent="0.3">
      <c r="K775" s="102"/>
      <c r="L775" s="102"/>
    </row>
    <row r="776" spans="11:12" x14ac:dyDescent="0.3">
      <c r="K776" s="102"/>
      <c r="L776" s="102"/>
    </row>
    <row r="777" spans="11:12" x14ac:dyDescent="0.3">
      <c r="K777" s="102"/>
      <c r="L777" s="102"/>
    </row>
    <row r="778" spans="11:12" x14ac:dyDescent="0.3">
      <c r="K778" s="102"/>
      <c r="L778" s="102"/>
    </row>
    <row r="779" spans="11:12" x14ac:dyDescent="0.3">
      <c r="K779" s="102"/>
      <c r="L779" s="102"/>
    </row>
    <row r="780" spans="11:12" x14ac:dyDescent="0.3">
      <c r="K780" s="102"/>
      <c r="L780" s="102"/>
    </row>
    <row r="781" spans="11:12" x14ac:dyDescent="0.3">
      <c r="K781" s="102"/>
      <c r="L781" s="102"/>
    </row>
    <row r="782" spans="11:12" x14ac:dyDescent="0.3">
      <c r="K782" s="102"/>
      <c r="L782" s="102"/>
    </row>
    <row r="783" spans="11:12" x14ac:dyDescent="0.3">
      <c r="K783" s="102"/>
      <c r="L783" s="102"/>
    </row>
    <row r="784" spans="11:12" x14ac:dyDescent="0.3">
      <c r="K784" s="102"/>
      <c r="L784" s="102"/>
    </row>
    <row r="785" spans="11:12" x14ac:dyDescent="0.3">
      <c r="K785" s="102"/>
      <c r="L785" s="102"/>
    </row>
    <row r="786" spans="11:12" x14ac:dyDescent="0.3">
      <c r="K786" s="102"/>
      <c r="L786" s="102"/>
    </row>
    <row r="787" spans="11:12" x14ac:dyDescent="0.3">
      <c r="K787" s="102"/>
      <c r="L787" s="102"/>
    </row>
    <row r="788" spans="11:12" x14ac:dyDescent="0.3">
      <c r="K788" s="102"/>
      <c r="L788" s="102"/>
    </row>
    <row r="789" spans="11:12" x14ac:dyDescent="0.3">
      <c r="K789" s="102"/>
      <c r="L789" s="102"/>
    </row>
    <row r="790" spans="11:12" x14ac:dyDescent="0.3">
      <c r="K790" s="102"/>
      <c r="L790" s="102"/>
    </row>
    <row r="791" spans="11:12" x14ac:dyDescent="0.3">
      <c r="K791" s="102"/>
      <c r="L791" s="102"/>
    </row>
    <row r="792" spans="11:12" x14ac:dyDescent="0.3">
      <c r="K792" s="102"/>
      <c r="L792" s="102"/>
    </row>
    <row r="793" spans="11:12" x14ac:dyDescent="0.3">
      <c r="K793" s="102"/>
      <c r="L793" s="102"/>
    </row>
    <row r="794" spans="11:12" x14ac:dyDescent="0.3">
      <c r="K794" s="102"/>
      <c r="L794" s="102"/>
    </row>
    <row r="795" spans="11:12" x14ac:dyDescent="0.3">
      <c r="K795" s="102"/>
      <c r="L795" s="102"/>
    </row>
    <row r="796" spans="11:12" x14ac:dyDescent="0.3">
      <c r="K796" s="102"/>
      <c r="L796" s="102"/>
    </row>
    <row r="797" spans="11:12" x14ac:dyDescent="0.3">
      <c r="K797" s="102"/>
      <c r="L797" s="102"/>
    </row>
    <row r="798" spans="11:12" x14ac:dyDescent="0.3">
      <c r="K798" s="102"/>
      <c r="L798" s="102"/>
    </row>
    <row r="799" spans="11:12" x14ac:dyDescent="0.3">
      <c r="K799" s="102"/>
      <c r="L799" s="102"/>
    </row>
    <row r="800" spans="11:12" x14ac:dyDescent="0.3">
      <c r="K800" s="102"/>
      <c r="L800" s="102"/>
    </row>
    <row r="801" spans="11:12" x14ac:dyDescent="0.3">
      <c r="K801" s="102"/>
      <c r="L801" s="102"/>
    </row>
    <row r="802" spans="11:12" x14ac:dyDescent="0.3">
      <c r="K802" s="102"/>
      <c r="L802" s="102"/>
    </row>
    <row r="803" spans="11:12" x14ac:dyDescent="0.3">
      <c r="K803" s="102"/>
      <c r="L803" s="102"/>
    </row>
    <row r="804" spans="11:12" x14ac:dyDescent="0.3">
      <c r="K804" s="102"/>
      <c r="L804" s="102"/>
    </row>
    <row r="805" spans="11:12" x14ac:dyDescent="0.3">
      <c r="K805" s="102"/>
      <c r="L805" s="102"/>
    </row>
    <row r="806" spans="11:12" x14ac:dyDescent="0.3">
      <c r="K806" s="102"/>
      <c r="L806" s="102"/>
    </row>
    <row r="807" spans="11:12" x14ac:dyDescent="0.3">
      <c r="K807" s="102"/>
      <c r="L807" s="102"/>
    </row>
    <row r="808" spans="11:12" x14ac:dyDescent="0.3">
      <c r="K808" s="102"/>
      <c r="L808" s="102"/>
    </row>
    <row r="809" spans="11:12" x14ac:dyDescent="0.3">
      <c r="K809" s="102"/>
      <c r="L809" s="102"/>
    </row>
    <row r="810" spans="11:12" x14ac:dyDescent="0.3">
      <c r="K810" s="102"/>
      <c r="L810" s="102"/>
    </row>
    <row r="811" spans="11:12" x14ac:dyDescent="0.3">
      <c r="K811" s="102"/>
      <c r="L811" s="102"/>
    </row>
    <row r="812" spans="11:12" x14ac:dyDescent="0.3">
      <c r="K812" s="102"/>
      <c r="L812" s="102"/>
    </row>
    <row r="813" spans="11:12" x14ac:dyDescent="0.3">
      <c r="K813" s="102"/>
      <c r="L813" s="102"/>
    </row>
    <row r="814" spans="11:12" x14ac:dyDescent="0.3">
      <c r="K814" s="102"/>
      <c r="L814" s="102"/>
    </row>
    <row r="815" spans="11:12" x14ac:dyDescent="0.3">
      <c r="K815" s="102"/>
      <c r="L815" s="102"/>
    </row>
    <row r="816" spans="11:12" x14ac:dyDescent="0.3">
      <c r="K816" s="102"/>
      <c r="L816" s="102"/>
    </row>
    <row r="817" spans="11:12" x14ac:dyDescent="0.3">
      <c r="K817" s="102"/>
      <c r="L817" s="102"/>
    </row>
    <row r="818" spans="11:12" x14ac:dyDescent="0.3">
      <c r="K818" s="102"/>
      <c r="L818" s="102"/>
    </row>
    <row r="819" spans="11:12" x14ac:dyDescent="0.3">
      <c r="K819" s="102"/>
      <c r="L819" s="102"/>
    </row>
    <row r="820" spans="11:12" x14ac:dyDescent="0.3">
      <c r="K820" s="102"/>
      <c r="L820" s="102"/>
    </row>
    <row r="821" spans="11:12" x14ac:dyDescent="0.3">
      <c r="K821" s="102"/>
      <c r="L821" s="102"/>
    </row>
    <row r="822" spans="11:12" x14ac:dyDescent="0.3">
      <c r="K822" s="102"/>
      <c r="L822" s="102"/>
    </row>
    <row r="823" spans="11:12" x14ac:dyDescent="0.3">
      <c r="K823" s="102"/>
      <c r="L823" s="102"/>
    </row>
    <row r="824" spans="11:12" x14ac:dyDescent="0.3">
      <c r="K824" s="102"/>
      <c r="L824" s="102"/>
    </row>
    <row r="825" spans="11:12" x14ac:dyDescent="0.3">
      <c r="K825" s="102"/>
      <c r="L825" s="102"/>
    </row>
    <row r="826" spans="11:12" x14ac:dyDescent="0.3">
      <c r="K826" s="102"/>
      <c r="L826" s="102"/>
    </row>
    <row r="827" spans="11:12" x14ac:dyDescent="0.3">
      <c r="K827" s="102"/>
      <c r="L827" s="102"/>
    </row>
    <row r="828" spans="11:12" x14ac:dyDescent="0.3">
      <c r="K828" s="102"/>
      <c r="L828" s="102"/>
    </row>
    <row r="829" spans="11:12" x14ac:dyDescent="0.3">
      <c r="K829" s="102"/>
      <c r="L829" s="102"/>
    </row>
    <row r="830" spans="11:12" x14ac:dyDescent="0.3">
      <c r="K830" s="102"/>
      <c r="L830" s="102"/>
    </row>
    <row r="831" spans="11:12" x14ac:dyDescent="0.3">
      <c r="K831" s="102"/>
      <c r="L831" s="102"/>
    </row>
    <row r="832" spans="11:12" x14ac:dyDescent="0.3">
      <c r="K832" s="102"/>
      <c r="L832" s="102"/>
    </row>
    <row r="833" spans="11:12" x14ac:dyDescent="0.3">
      <c r="K833" s="102"/>
      <c r="L833" s="102"/>
    </row>
    <row r="834" spans="11:12" x14ac:dyDescent="0.3">
      <c r="K834" s="102"/>
      <c r="L834" s="102"/>
    </row>
    <row r="835" spans="11:12" x14ac:dyDescent="0.3">
      <c r="K835" s="102"/>
      <c r="L835" s="102"/>
    </row>
    <row r="836" spans="11:12" x14ac:dyDescent="0.3">
      <c r="K836" s="102"/>
      <c r="L836" s="102"/>
    </row>
    <row r="837" spans="11:12" x14ac:dyDescent="0.3">
      <c r="K837" s="102"/>
      <c r="L837" s="102"/>
    </row>
    <row r="838" spans="11:12" x14ac:dyDescent="0.3">
      <c r="K838" s="102"/>
      <c r="L838" s="102"/>
    </row>
    <row r="839" spans="11:12" x14ac:dyDescent="0.3">
      <c r="K839" s="102"/>
      <c r="L839" s="102"/>
    </row>
    <row r="840" spans="11:12" x14ac:dyDescent="0.3">
      <c r="K840" s="102"/>
      <c r="L840" s="102"/>
    </row>
    <row r="841" spans="11:12" x14ac:dyDescent="0.3">
      <c r="K841" s="102"/>
      <c r="L841" s="102"/>
    </row>
    <row r="842" spans="11:12" x14ac:dyDescent="0.3">
      <c r="K842" s="102"/>
      <c r="L842" s="102"/>
    </row>
    <row r="843" spans="11:12" x14ac:dyDescent="0.3">
      <c r="K843" s="102"/>
      <c r="L843" s="102"/>
    </row>
    <row r="844" spans="11:12" x14ac:dyDescent="0.3">
      <c r="K844" s="102"/>
      <c r="L844" s="102"/>
    </row>
    <row r="845" spans="11:12" x14ac:dyDescent="0.3">
      <c r="K845" s="102"/>
      <c r="L845" s="102"/>
    </row>
    <row r="846" spans="11:12" x14ac:dyDescent="0.3">
      <c r="K846" s="102"/>
      <c r="L846" s="102"/>
    </row>
    <row r="847" spans="11:12" x14ac:dyDescent="0.3">
      <c r="K847" s="102"/>
      <c r="L847" s="102"/>
    </row>
    <row r="848" spans="11:12" x14ac:dyDescent="0.3">
      <c r="K848" s="102"/>
      <c r="L848" s="102"/>
    </row>
    <row r="849" spans="11:12" x14ac:dyDescent="0.3">
      <c r="K849" s="102"/>
      <c r="L849" s="102"/>
    </row>
    <row r="850" spans="11:12" x14ac:dyDescent="0.3">
      <c r="K850" s="102"/>
      <c r="L850" s="102"/>
    </row>
    <row r="851" spans="11:12" x14ac:dyDescent="0.3">
      <c r="K851" s="102"/>
      <c r="L851" s="102"/>
    </row>
    <row r="852" spans="11:12" x14ac:dyDescent="0.3">
      <c r="K852" s="102"/>
      <c r="L852" s="102"/>
    </row>
    <row r="853" spans="11:12" x14ac:dyDescent="0.3">
      <c r="K853" s="102"/>
      <c r="L853" s="102"/>
    </row>
    <row r="854" spans="11:12" x14ac:dyDescent="0.3">
      <c r="K854" s="102"/>
      <c r="L854" s="102"/>
    </row>
    <row r="855" spans="11:12" x14ac:dyDescent="0.3">
      <c r="K855" s="102"/>
      <c r="L855" s="102"/>
    </row>
    <row r="856" spans="11:12" x14ac:dyDescent="0.3">
      <c r="K856" s="102"/>
      <c r="L856" s="102"/>
    </row>
    <row r="857" spans="11:12" x14ac:dyDescent="0.3">
      <c r="K857" s="102"/>
      <c r="L857" s="102"/>
    </row>
    <row r="858" spans="11:12" x14ac:dyDescent="0.3">
      <c r="K858" s="102"/>
      <c r="L858" s="102"/>
    </row>
    <row r="859" spans="11:12" x14ac:dyDescent="0.3">
      <c r="K859" s="102"/>
      <c r="L859" s="102"/>
    </row>
    <row r="860" spans="11:12" x14ac:dyDescent="0.3">
      <c r="K860" s="102"/>
      <c r="L860" s="102"/>
    </row>
    <row r="861" spans="11:12" x14ac:dyDescent="0.3">
      <c r="K861" s="102"/>
      <c r="L861" s="102"/>
    </row>
    <row r="862" spans="11:12" x14ac:dyDescent="0.3">
      <c r="K862" s="102"/>
      <c r="L862" s="102"/>
    </row>
    <row r="863" spans="11:12" x14ac:dyDescent="0.3">
      <c r="K863" s="102"/>
      <c r="L863" s="102"/>
    </row>
    <row r="864" spans="11:12" x14ac:dyDescent="0.3">
      <c r="K864" s="102"/>
      <c r="L864" s="102"/>
    </row>
    <row r="865" spans="11:12" x14ac:dyDescent="0.3">
      <c r="K865" s="102"/>
      <c r="L865" s="102"/>
    </row>
    <row r="866" spans="11:12" x14ac:dyDescent="0.3">
      <c r="K866" s="102"/>
      <c r="L866" s="102"/>
    </row>
    <row r="867" spans="11:12" x14ac:dyDescent="0.3">
      <c r="K867" s="102"/>
      <c r="L867" s="102"/>
    </row>
    <row r="868" spans="11:12" x14ac:dyDescent="0.3">
      <c r="K868" s="102"/>
      <c r="L868" s="102"/>
    </row>
    <row r="869" spans="11:12" x14ac:dyDescent="0.3">
      <c r="K869" s="102"/>
      <c r="L869" s="102"/>
    </row>
    <row r="870" spans="11:12" x14ac:dyDescent="0.3">
      <c r="K870" s="102"/>
      <c r="L870" s="102"/>
    </row>
    <row r="871" spans="11:12" x14ac:dyDescent="0.3">
      <c r="K871" s="102"/>
      <c r="L871" s="102"/>
    </row>
    <row r="872" spans="11:12" x14ac:dyDescent="0.3">
      <c r="K872" s="102"/>
      <c r="L872" s="102"/>
    </row>
    <row r="873" spans="11:12" x14ac:dyDescent="0.3">
      <c r="K873" s="102"/>
      <c r="L873" s="102"/>
    </row>
    <row r="874" spans="11:12" x14ac:dyDescent="0.3">
      <c r="K874" s="102"/>
      <c r="L874" s="102"/>
    </row>
    <row r="875" spans="11:12" x14ac:dyDescent="0.3">
      <c r="K875" s="102"/>
      <c r="L875" s="102"/>
    </row>
    <row r="876" spans="11:12" x14ac:dyDescent="0.3">
      <c r="K876" s="102"/>
      <c r="L876" s="102"/>
    </row>
    <row r="877" spans="11:12" x14ac:dyDescent="0.3">
      <c r="K877" s="102"/>
      <c r="L877" s="102"/>
    </row>
    <row r="878" spans="11:12" x14ac:dyDescent="0.3">
      <c r="K878" s="102"/>
      <c r="L878" s="102"/>
    </row>
    <row r="879" spans="11:12" x14ac:dyDescent="0.3">
      <c r="K879" s="102"/>
      <c r="L879" s="102"/>
    </row>
    <row r="880" spans="11:12" x14ac:dyDescent="0.3">
      <c r="K880" s="102"/>
      <c r="L880" s="102"/>
    </row>
    <row r="881" spans="11:12" x14ac:dyDescent="0.3">
      <c r="K881" s="102"/>
      <c r="L881" s="102"/>
    </row>
    <row r="882" spans="11:12" x14ac:dyDescent="0.3">
      <c r="K882" s="102"/>
      <c r="L882" s="102"/>
    </row>
    <row r="883" spans="11:12" x14ac:dyDescent="0.3">
      <c r="K883" s="102"/>
      <c r="L883" s="102"/>
    </row>
    <row r="884" spans="11:12" x14ac:dyDescent="0.3">
      <c r="K884" s="102"/>
      <c r="L884" s="102"/>
    </row>
    <row r="885" spans="11:12" x14ac:dyDescent="0.3">
      <c r="K885" s="102"/>
      <c r="L885" s="102"/>
    </row>
    <row r="886" spans="11:12" x14ac:dyDescent="0.3">
      <c r="K886" s="102"/>
      <c r="L886" s="102"/>
    </row>
  </sheetData>
  <customSheetViews>
    <customSheetView guid="{F562D92E-120C-4AE9-9663-89E64D41DC53}" scale="70" fitToPage="1">
      <selection activeCell="A10" sqref="A10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1"/>
      <headerFooter alignWithMargins="0"/>
    </customSheetView>
    <customSheetView guid="{35F19056-2E6F-4935-B863-78836FE990BF}" scale="70" fitToPage="1" showRuler="0" topLeftCell="A28">
      <selection activeCell="O44" sqref="O4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2"/>
      <headerFooter alignWithMargins="0"/>
    </customSheetView>
    <customSheetView guid="{18BDED73-BFA0-442E-87EC-CED86EE4CF94}" scale="70" fitToPage="1" showRuler="0" topLeftCell="A9">
      <selection activeCell="G64" sqref="G64"/>
      <rowBreaks count="1" manualBreakCount="1">
        <brk id="60" max="14" man="1"/>
      </rowBreaks>
      <pageMargins left="0.5" right="0.75" top="1" bottom="1" header="0.5" footer="0.5"/>
      <printOptions horizontalCentered="1"/>
      <pageSetup scale="48" orientation="portrait" horizontalDpi="300" verticalDpi="300" r:id="rId3"/>
      <headerFooter alignWithMargins="0"/>
    </customSheetView>
    <customSheetView guid="{0BC1F393-8A13-47D5-BC6C-0C99615B5AB9}" scale="75" fitToPage="1" showRuler="0">
      <rowBreaks count="1" manualBreakCount="1">
        <brk id="61" max="14" man="1"/>
      </rowBreaks>
      <pageMargins left="0.5" right="0.75" top="1" bottom="1" header="0.5" footer="0.5"/>
      <printOptions horizontalCentered="1"/>
      <pageSetup scale="48" orientation="portrait" horizontalDpi="300" verticalDpi="300" r:id="rId4"/>
      <headerFooter alignWithMargins="0"/>
    </customSheetView>
    <customSheetView guid="{6B3D5C27-2FDE-4561-9575-1E98BFB869D0}" scale="75" fitToPage="1" showRuler="0" topLeftCell="D15">
      <selection activeCell="P24" sqref="P24"/>
      <rowBreaks count="1" manualBreakCount="1">
        <brk id="61" max="14" man="1"/>
      </rowBreaks>
      <pageMargins left="0.5" right="0.75" top="1" bottom="1" header="0.5" footer="0.5"/>
      <printOptions horizontalCentered="1"/>
      <pageSetup scale="52" orientation="portrait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K62"/>
      <rowBreaks count="1" manualBreakCount="1">
        <brk id="61" max="10" man="1"/>
      </rowBreaks>
      <pageMargins left="0.5" right="0.75" top="1" bottom="1" header="0.5" footer="0.5"/>
      <printOptions horizontalCentered="1"/>
      <pageSetup scale="67" orientation="portrait" horizontalDpi="300" verticalDpi="300" r:id="rId7"/>
      <headerFooter alignWithMargins="0"/>
    </customSheetView>
    <customSheetView guid="{2EA35095-1ADC-4CC7-8C3C-B487D65FA247}" scale="75" fitToPage="1" showRuler="0" topLeftCell="A25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8"/>
      <headerFooter alignWithMargins="0"/>
    </customSheetView>
    <customSheetView guid="{2431C9E5-7CC2-4B8D-99C3-962247B1DBF5}" scale="75" fitToPage="1" showRuler="0">
      <selection activeCell="A18" sqref="A1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9"/>
      <headerFooter alignWithMargins="0"/>
    </customSheetView>
    <customSheetView guid="{4BC93440-BA85-4935-A8C9-66DC6AE5DE5E}" scale="75" fitToPage="1" showRuler="0" topLeftCell="A38">
      <selection activeCell="E58" activeCellId="2" sqref="E50 E52 E58"/>
      <rowBreaks count="1" manualBreakCount="1">
        <brk id="62" max="10" man="1"/>
      </rowBreaks>
      <pageMargins left="0.5" right="0.75" top="1" bottom="1" header="0.5" footer="0.5"/>
      <printOptions horizontalCentered="1"/>
      <pageSetup scale="68" orientation="portrait" horizontalDpi="300" verticalDpi="300" r:id="rId10"/>
      <headerFooter alignWithMargins="0"/>
    </customSheetView>
    <customSheetView guid="{0C49E549-011E-46F4-A82E-2CC8951A9C1E}" scale="75" fitToPage="1" showRuler="0">
      <selection activeCell="C36" sqref="C36"/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0" man="1"/>
      </rowBreaks>
      <pageMargins left="0.5" right="0.75" top="1" bottom="1" header="0.5" footer="0.5"/>
      <printOptions horizontalCentered="1"/>
      <pageSetup scale="68" orientation="portrait" horizontalDpi="300" verticalDpi="300" r:id="rId12"/>
      <headerFooter alignWithMargins="0"/>
    </customSheetView>
  </customSheetViews>
  <phoneticPr fontId="11" type="noConversion"/>
  <printOptions horizontalCentered="1"/>
  <pageMargins left="0.5" right="0.75" top="1" bottom="1" header="0.5" footer="0.5"/>
  <pageSetup scale="52" orientation="portrait" horizontalDpi="300" verticalDpi="300" r:id="rId13"/>
  <headerFooter alignWithMargins="0"/>
  <rowBreaks count="1" manualBreakCount="1">
    <brk id="68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syncVertical="1" syncRef="A1" transitionEvaluation="1" transitionEntry="1" codeName="Sheet41">
    <pageSetUpPr fitToPage="1"/>
  </sheetPr>
  <dimension ref="A1:Y52"/>
  <sheetViews>
    <sheetView zoomScale="75" workbookViewId="0"/>
  </sheetViews>
  <sheetFormatPr defaultColWidth="9.75" defaultRowHeight="15.6" x14ac:dyDescent="0.3"/>
  <cols>
    <col min="1" max="1" width="4.25" style="98" customWidth="1"/>
    <col min="2" max="2" width="0.4140625" style="98" customWidth="1"/>
    <col min="3" max="3" width="11.9140625" style="98" customWidth="1"/>
    <col min="4" max="4" width="29.6640625" style="98" customWidth="1"/>
    <col min="5" max="5" width="0.33203125" style="98" customWidth="1"/>
    <col min="6" max="6" width="12.4140625" style="98" customWidth="1"/>
    <col min="7" max="7" width="0.4140625" style="98" customWidth="1"/>
    <col min="8" max="8" width="14.75" style="98" customWidth="1"/>
    <col min="9" max="9" width="0.33203125" style="98" customWidth="1"/>
    <col min="10" max="10" width="15.6640625" style="98" customWidth="1"/>
    <col min="11" max="11" width="0.33203125" style="98" customWidth="1"/>
    <col min="12" max="12" width="10.08203125" style="98" customWidth="1"/>
    <col min="13" max="13" width="0.4140625" style="98" customWidth="1"/>
    <col min="14" max="14" width="12.58203125" style="98" customWidth="1"/>
    <col min="15" max="15" width="0.33203125" style="98" customWidth="1"/>
    <col min="16" max="16" width="14.75" style="98" customWidth="1"/>
    <col min="17" max="17" width="0.4140625" style="98" customWidth="1"/>
    <col min="18" max="18" width="15.75" style="98" customWidth="1"/>
    <col min="19" max="19" width="0.4140625" style="98" customWidth="1"/>
    <col min="20" max="20" width="9.75" style="98" customWidth="1"/>
    <col min="21" max="22" width="9.75" style="98"/>
    <col min="23" max="23" width="14.9140625" style="98" bestFit="1" customWidth="1"/>
    <col min="24" max="24" width="9.75" style="98"/>
    <col min="25" max="25" width="13.33203125" style="98" bestFit="1" customWidth="1"/>
    <col min="26" max="72" width="9.75" style="98"/>
    <col min="73" max="73" width="20.75" style="98" customWidth="1"/>
    <col min="74" max="16384" width="9.75" style="98"/>
  </cols>
  <sheetData>
    <row r="1" spans="1:2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</row>
    <row r="2" spans="1:2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 x14ac:dyDescent="0.3">
      <c r="A3" s="97" t="s">
        <v>538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</row>
    <row r="4" spans="1:2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</row>
    <row r="5" spans="1:2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 x14ac:dyDescent="0.3">
      <c r="A6" s="98" t="str">
        <f>DATA_PERIOD</f>
        <v>DATA: __X__ BASE PERIOD   ____FORECASTED PERIOD</v>
      </c>
      <c r="R6" s="99" t="s">
        <v>187</v>
      </c>
      <c r="S6" s="99"/>
    </row>
    <row r="7" spans="1:20" x14ac:dyDescent="0.3">
      <c r="A7" s="98" t="str">
        <f>TYPE</f>
        <v>TYPE OF FILING: _X_ ORIGINAL   ___UPDATED  ___ REVISED</v>
      </c>
      <c r="R7" s="99" t="s">
        <v>158</v>
      </c>
      <c r="S7" s="99"/>
    </row>
    <row r="8" spans="1:20" x14ac:dyDescent="0.3">
      <c r="A8" s="99" t="s">
        <v>170</v>
      </c>
      <c r="R8" s="99" t="s">
        <v>3</v>
      </c>
      <c r="S8" s="99"/>
    </row>
    <row r="9" spans="1:20" x14ac:dyDescent="0.3">
      <c r="A9" s="124" t="str">
        <f>TIME</f>
        <v>6 Months Actual and 6 Months Projected with Riders</v>
      </c>
      <c r="R9" s="98" t="str">
        <f>WIT</f>
        <v>B. L. Sailers</v>
      </c>
      <c r="S9" s="99"/>
    </row>
    <row r="10" spans="1:20" s="134" customFormat="1" x14ac:dyDescent="0.3">
      <c r="A10" s="124" t="str">
        <f>INPUT!B5</f>
        <v>6 Months Actual Ending August 31, 2024</v>
      </c>
      <c r="S10" s="124"/>
    </row>
    <row r="11" spans="1:20" x14ac:dyDescent="0.3">
      <c r="A11" s="97" t="s">
        <v>538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</row>
    <row r="12" spans="1:2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18" customHeight="1" x14ac:dyDescent="0.3">
      <c r="J13" s="102" t="s">
        <v>540</v>
      </c>
      <c r="K13" s="102"/>
      <c r="L13" s="102"/>
      <c r="M13" s="102"/>
      <c r="N13" s="102" t="s">
        <v>190</v>
      </c>
      <c r="O13" s="102"/>
      <c r="R13" s="102"/>
      <c r="S13" s="102"/>
      <c r="T13" s="102"/>
    </row>
    <row r="14" spans="1:20" x14ac:dyDescent="0.3">
      <c r="J14" s="102" t="s">
        <v>12</v>
      </c>
      <c r="K14" s="102"/>
      <c r="L14" s="102"/>
      <c r="M14" s="102"/>
      <c r="N14" s="102" t="s">
        <v>191</v>
      </c>
      <c r="O14" s="102"/>
      <c r="R14" s="102" t="s">
        <v>540</v>
      </c>
      <c r="S14" s="102"/>
      <c r="T14" s="102"/>
    </row>
    <row r="15" spans="1:2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593</v>
      </c>
      <c r="K15" s="102"/>
      <c r="L15" s="102" t="s">
        <v>188</v>
      </c>
      <c r="M15" s="102"/>
      <c r="N15" s="102" t="s">
        <v>192</v>
      </c>
      <c r="O15" s="102"/>
      <c r="P15" s="102" t="s">
        <v>593</v>
      </c>
      <c r="Q15" s="102"/>
      <c r="R15" s="102" t="s">
        <v>9</v>
      </c>
      <c r="S15" s="102"/>
      <c r="T15" s="102" t="s">
        <v>190</v>
      </c>
    </row>
    <row r="16" spans="1:20" x14ac:dyDescent="0.3">
      <c r="A16" s="102" t="s">
        <v>22</v>
      </c>
      <c r="C16" s="102" t="s">
        <v>23</v>
      </c>
      <c r="D16" s="102" t="s">
        <v>24</v>
      </c>
      <c r="E16" s="102"/>
      <c r="F16" s="102" t="s">
        <v>55</v>
      </c>
      <c r="H16" s="102" t="s">
        <v>26</v>
      </c>
      <c r="I16" s="102"/>
      <c r="J16" s="102" t="s">
        <v>9</v>
      </c>
      <c r="K16" s="102"/>
      <c r="L16" s="102" t="s">
        <v>18</v>
      </c>
      <c r="M16" s="102"/>
      <c r="N16" s="102" t="s">
        <v>593</v>
      </c>
      <c r="O16" s="102"/>
      <c r="P16" s="102" t="s">
        <v>9</v>
      </c>
      <c r="Q16" s="102"/>
      <c r="R16" s="102" t="s">
        <v>11</v>
      </c>
      <c r="S16" s="102"/>
      <c r="T16" s="102" t="s">
        <v>191</v>
      </c>
    </row>
    <row r="17" spans="1:25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46" t="s">
        <v>37</v>
      </c>
      <c r="K17" s="131"/>
      <c r="L17" s="146" t="s">
        <v>189</v>
      </c>
      <c r="M17" s="131"/>
      <c r="N17" s="146" t="s">
        <v>39</v>
      </c>
      <c r="O17" s="131"/>
      <c r="P17" s="131" t="s">
        <v>40</v>
      </c>
      <c r="Q17" s="131"/>
      <c r="R17" s="146" t="s">
        <v>41</v>
      </c>
      <c r="S17" s="131"/>
      <c r="T17" s="146" t="s">
        <v>42</v>
      </c>
    </row>
    <row r="18" spans="1:25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5" s="134" customFormat="1" ht="17.100000000000001" customHeight="1" x14ac:dyDescent="0.3">
      <c r="H19" s="131" t="s">
        <v>49</v>
      </c>
      <c r="I19" s="131"/>
      <c r="J19" s="131" t="s">
        <v>50</v>
      </c>
      <c r="K19" s="131"/>
      <c r="L19" s="146" t="s">
        <v>197</v>
      </c>
      <c r="M19" s="131"/>
      <c r="N19" s="131" t="s">
        <v>51</v>
      </c>
      <c r="O19" s="131"/>
      <c r="P19" s="131" t="s">
        <v>50</v>
      </c>
      <c r="Q19" s="131"/>
      <c r="R19" s="131" t="s">
        <v>50</v>
      </c>
      <c r="S19" s="131"/>
      <c r="T19" s="131" t="s">
        <v>51</v>
      </c>
    </row>
    <row r="20" spans="1:25" x14ac:dyDescent="0.3">
      <c r="A20" s="102">
        <v>1</v>
      </c>
      <c r="C20" s="99" t="s">
        <v>52</v>
      </c>
      <c r="D20" s="116" t="s">
        <v>242</v>
      </c>
      <c r="E20" s="99"/>
      <c r="F20" s="106">
        <f>'Rate RS'!X79</f>
        <v>1673311</v>
      </c>
      <c r="G20" s="1"/>
      <c r="H20" s="106">
        <f>'Rate RS'!Z79</f>
        <v>1526476481.0089998</v>
      </c>
      <c r="I20" s="106"/>
      <c r="J20" s="106">
        <f>'Rate RS'!AD79</f>
        <v>199355413</v>
      </c>
      <c r="K20" s="106"/>
      <c r="L20" s="135">
        <f t="shared" ref="L20:L49" si="0">IF(H20=0,"-",ROUND(J20/H20*100,6))</f>
        <v>13.059842</v>
      </c>
      <c r="M20" s="136"/>
      <c r="N20" s="137">
        <f>IF(ABS(J20/$J$49*100)&lt;0.005,"-   ",ROUND(J20/$J$49*100,2))</f>
        <v>39.83</v>
      </c>
      <c r="O20" s="138"/>
      <c r="P20" s="106">
        <f>'Rate RS'!AL79</f>
        <v>5323148</v>
      </c>
      <c r="Q20" s="106"/>
      <c r="R20" s="106">
        <f>'Rate RS'!AN79</f>
        <v>204678561</v>
      </c>
      <c r="S20" s="106"/>
      <c r="T20" s="137">
        <f t="shared" ref="T20:T44" si="1">IF(ABS(R20/$R$49*100)&lt;0.005,"-    ",ROUND(R20/$R$49*100,2))</f>
        <v>39.78</v>
      </c>
    </row>
    <row r="21" spans="1:25" x14ac:dyDescent="0.3">
      <c r="A21" s="102">
        <v>2</v>
      </c>
      <c r="C21" s="99"/>
      <c r="D21" s="116"/>
      <c r="E21" s="99"/>
      <c r="F21" s="106"/>
      <c r="G21" s="1"/>
      <c r="H21" s="106"/>
      <c r="I21" s="106"/>
      <c r="J21" s="106"/>
      <c r="K21" s="106"/>
      <c r="L21" s="135"/>
      <c r="M21" s="136"/>
      <c r="N21" s="137"/>
      <c r="O21" s="138"/>
      <c r="P21" s="106"/>
      <c r="Q21" s="106"/>
      <c r="R21" s="106"/>
      <c r="S21" s="106"/>
      <c r="T21" s="137"/>
    </row>
    <row r="22" spans="1:25" x14ac:dyDescent="0.3">
      <c r="A22" s="102">
        <v>3</v>
      </c>
      <c r="C22" s="99" t="s">
        <v>91</v>
      </c>
      <c r="D22" s="116" t="s">
        <v>243</v>
      </c>
      <c r="E22" s="99"/>
      <c r="F22" s="106">
        <f>'Rate DS'!Y106</f>
        <v>159778</v>
      </c>
      <c r="G22" s="1"/>
      <c r="H22" s="106">
        <f>'Rate DS'!AA106</f>
        <v>1142579183.1479995</v>
      </c>
      <c r="I22" s="106"/>
      <c r="J22" s="106">
        <f>'Rate DS'!AE106</f>
        <v>137597342</v>
      </c>
      <c r="K22" s="106"/>
      <c r="L22" s="135">
        <f t="shared" si="0"/>
        <v>12.042695999999999</v>
      </c>
      <c r="M22" s="136"/>
      <c r="N22" s="137">
        <f t="shared" ref="N22:N42" si="2">IF(ABS(J22/$J$49*100)&lt;0.005,"-   ",ROUND(J22/$J$49*100,2))</f>
        <v>27.49</v>
      </c>
      <c r="O22" s="138"/>
      <c r="P22" s="106">
        <f>'Rate DS'!AM106</f>
        <v>3984417</v>
      </c>
      <c r="Q22" s="106"/>
      <c r="R22" s="106">
        <f>'Rate DS'!AO106</f>
        <v>141581759</v>
      </c>
      <c r="S22" s="106"/>
      <c r="T22" s="137">
        <f t="shared" si="1"/>
        <v>27.52</v>
      </c>
    </row>
    <row r="23" spans="1:25" x14ac:dyDescent="0.3">
      <c r="A23" s="102">
        <v>4</v>
      </c>
      <c r="C23" s="99" t="s">
        <v>378</v>
      </c>
      <c r="D23" s="99" t="s">
        <v>61</v>
      </c>
      <c r="E23" s="99"/>
      <c r="F23" s="106">
        <f>'Rate DT-Pri'!Y137</f>
        <v>404</v>
      </c>
      <c r="G23" s="1"/>
      <c r="H23" s="106">
        <f>'Rate DT-Pri'!AA137</f>
        <v>486248297.61800003</v>
      </c>
      <c r="I23" s="106"/>
      <c r="J23" s="106">
        <f>'Rate DT-Pri'!AE137</f>
        <v>46844631</v>
      </c>
      <c r="K23" s="106"/>
      <c r="L23" s="135">
        <f t="shared" si="0"/>
        <v>9.6338910000000002</v>
      </c>
      <c r="M23" s="136"/>
      <c r="N23" s="137">
        <f t="shared" si="2"/>
        <v>9.36</v>
      </c>
      <c r="O23" s="138"/>
      <c r="P23" s="106">
        <f>'Rate DT-Pri'!AM137</f>
        <v>1695651</v>
      </c>
      <c r="Q23" s="106"/>
      <c r="R23" s="106">
        <f>'Rate DT-Pri'!AO137</f>
        <v>48540282</v>
      </c>
      <c r="S23" s="106"/>
      <c r="T23" s="137">
        <f t="shared" si="1"/>
        <v>9.43</v>
      </c>
    </row>
    <row r="24" spans="1:25" x14ac:dyDescent="0.3">
      <c r="A24" s="102">
        <v>5</v>
      </c>
      <c r="C24" s="99" t="s">
        <v>376</v>
      </c>
      <c r="D24" s="99" t="s">
        <v>61</v>
      </c>
      <c r="E24" s="99"/>
      <c r="F24" s="106">
        <f>'Rate DT-Sec'!Y133</f>
        <v>1395</v>
      </c>
      <c r="G24" s="1"/>
      <c r="H24" s="106">
        <f>'Rate DT-Sec'!AA133</f>
        <v>614580418.10400009</v>
      </c>
      <c r="I24" s="106"/>
      <c r="J24" s="106">
        <f>'Rate DT-Sec'!AE133</f>
        <v>60286896</v>
      </c>
      <c r="K24" s="106"/>
      <c r="L24" s="135">
        <f t="shared" si="0"/>
        <v>9.8094400000000004</v>
      </c>
      <c r="M24" s="136"/>
      <c r="N24" s="137">
        <f t="shared" si="2"/>
        <v>12.04</v>
      </c>
      <c r="O24" s="138"/>
      <c r="P24" s="106">
        <f>'Rate DT-Sec'!AM133</f>
        <v>2143173</v>
      </c>
      <c r="Q24" s="106"/>
      <c r="R24" s="106">
        <f>J24+P24</f>
        <v>62430069</v>
      </c>
      <c r="S24" s="106"/>
      <c r="T24" s="137">
        <f t="shared" si="1"/>
        <v>12.13</v>
      </c>
    </row>
    <row r="25" spans="1:25" x14ac:dyDescent="0.3">
      <c r="A25" s="102">
        <v>6</v>
      </c>
      <c r="C25" s="99" t="s">
        <v>94</v>
      </c>
      <c r="D25" s="99" t="s">
        <v>245</v>
      </c>
      <c r="E25" s="99"/>
      <c r="F25" s="106">
        <f>'Rate EH'!Y91</f>
        <v>964</v>
      </c>
      <c r="G25" s="1"/>
      <c r="H25" s="106">
        <f>'Rate EH'!AA91</f>
        <v>19400962.346000001</v>
      </c>
      <c r="I25" s="106"/>
      <c r="J25" s="106">
        <f>'Rate EH'!AE91</f>
        <v>1908366</v>
      </c>
      <c r="K25" s="106"/>
      <c r="L25" s="135">
        <f t="shared" si="0"/>
        <v>9.8364499999999992</v>
      </c>
      <c r="M25" s="136"/>
      <c r="N25" s="137">
        <f t="shared" si="2"/>
        <v>0.38</v>
      </c>
      <c r="O25" s="138"/>
      <c r="P25" s="106">
        <f>'Rate EH'!AM91</f>
        <v>67655</v>
      </c>
      <c r="Q25" s="106"/>
      <c r="R25" s="106">
        <f>'Rate EH'!AO91</f>
        <v>1976021</v>
      </c>
      <c r="S25" s="106"/>
      <c r="T25" s="137">
        <f t="shared" si="1"/>
        <v>0.38</v>
      </c>
    </row>
    <row r="26" spans="1:25" x14ac:dyDescent="0.3">
      <c r="A26" s="102">
        <v>7</v>
      </c>
      <c r="C26" s="99" t="s">
        <v>95</v>
      </c>
      <c r="D26" s="116" t="s">
        <v>244</v>
      </c>
      <c r="E26" s="99"/>
      <c r="F26" s="106">
        <f>'Rate SP GSFL'!Y101</f>
        <v>165</v>
      </c>
      <c r="G26" s="1"/>
      <c r="H26" s="106">
        <f>'Rate SP GSFL'!AA101</f>
        <v>326050</v>
      </c>
      <c r="I26" s="106"/>
      <c r="J26" s="106">
        <f>'Rate SP GSFL'!AE101</f>
        <v>51803</v>
      </c>
      <c r="K26" s="106"/>
      <c r="L26" s="135">
        <f t="shared" si="0"/>
        <v>15.888054</v>
      </c>
      <c r="M26" s="136"/>
      <c r="N26" s="137">
        <f t="shared" si="2"/>
        <v>0.01</v>
      </c>
      <c r="O26" s="138"/>
      <c r="P26" s="106">
        <f>'Rate SP GSFL'!AM101</f>
        <v>1137</v>
      </c>
      <c r="Q26" s="106"/>
      <c r="R26" s="106">
        <f>'Rate SP GSFL'!AO101</f>
        <v>52940</v>
      </c>
      <c r="S26" s="106"/>
      <c r="T26" s="137">
        <f t="shared" si="1"/>
        <v>0.01</v>
      </c>
      <c r="Y26" s="110"/>
    </row>
    <row r="27" spans="1:25" x14ac:dyDescent="0.3">
      <c r="A27" s="102">
        <v>8</v>
      </c>
      <c r="C27" s="99" t="s">
        <v>93</v>
      </c>
      <c r="D27" s="99" t="s">
        <v>152</v>
      </c>
      <c r="E27" s="99"/>
      <c r="F27" s="106">
        <f>'Rate SP GSFL'!Y120</f>
        <v>282</v>
      </c>
      <c r="G27" s="1"/>
      <c r="H27" s="106">
        <f>'Rate SP GSFL'!AA120</f>
        <v>6188855.3929999992</v>
      </c>
      <c r="I27" s="106"/>
      <c r="J27" s="106">
        <f>'Rate SP GSFL'!AE120</f>
        <v>856221</v>
      </c>
      <c r="K27" s="106"/>
      <c r="L27" s="135">
        <f t="shared" si="0"/>
        <v>13.834885</v>
      </c>
      <c r="M27" s="136"/>
      <c r="N27" s="137">
        <f t="shared" si="2"/>
        <v>0.17</v>
      </c>
      <c r="O27" s="138"/>
      <c r="P27" s="106">
        <f>'Rate SP GSFL'!AM120</f>
        <v>21582</v>
      </c>
      <c r="Q27" s="106"/>
      <c r="R27" s="106">
        <f>J27+P27</f>
        <v>877803</v>
      </c>
      <c r="S27" s="106"/>
      <c r="T27" s="137">
        <f t="shared" si="1"/>
        <v>0.17</v>
      </c>
    </row>
    <row r="28" spans="1:25" x14ac:dyDescent="0.3">
      <c r="A28" s="102">
        <v>9</v>
      </c>
      <c r="C28" s="99" t="s">
        <v>92</v>
      </c>
      <c r="D28" s="116" t="s">
        <v>181</v>
      </c>
      <c r="E28" s="99"/>
      <c r="F28" s="106">
        <f>'Rate DP'!Y98</f>
        <v>120</v>
      </c>
      <c r="G28" s="1"/>
      <c r="H28" s="106">
        <f>'Rate DP'!AA98</f>
        <v>7868440.7609999999</v>
      </c>
      <c r="I28" s="106"/>
      <c r="J28" s="106">
        <f>'Rate DP'!AE98</f>
        <v>885092</v>
      </c>
      <c r="K28" s="106"/>
      <c r="L28" s="135">
        <f t="shared" si="0"/>
        <v>11.248633</v>
      </c>
      <c r="M28" s="136"/>
      <c r="N28" s="137">
        <f t="shared" si="2"/>
        <v>0.18</v>
      </c>
      <c r="O28" s="138"/>
      <c r="P28" s="106">
        <f>'Rate DP'!AM98</f>
        <v>27439</v>
      </c>
      <c r="Q28" s="106"/>
      <c r="R28" s="106">
        <f>'Rate DP'!AO98</f>
        <v>912531</v>
      </c>
      <c r="S28" s="106"/>
      <c r="T28" s="137">
        <f t="shared" si="1"/>
        <v>0.18</v>
      </c>
      <c r="Y28" s="110"/>
    </row>
    <row r="29" spans="1:25" x14ac:dyDescent="0.3">
      <c r="A29" s="102">
        <v>10</v>
      </c>
      <c r="C29" s="99" t="s">
        <v>60</v>
      </c>
      <c r="D29" s="99" t="s">
        <v>61</v>
      </c>
      <c r="E29" s="99"/>
      <c r="F29" s="106">
        <f>'Rate TT'!Y120</f>
        <v>156</v>
      </c>
      <c r="G29" s="1"/>
      <c r="H29" s="106">
        <f>'Rate TT'!AA120</f>
        <v>185544018.71000001</v>
      </c>
      <c r="I29" s="106"/>
      <c r="J29" s="106">
        <f>'Rate TT'!AE120</f>
        <v>14945872</v>
      </c>
      <c r="K29" s="106"/>
      <c r="L29" s="135">
        <f t="shared" si="0"/>
        <v>8.0551619999999993</v>
      </c>
      <c r="M29" s="136"/>
      <c r="N29" s="137">
        <f t="shared" si="2"/>
        <v>2.99</v>
      </c>
      <c r="O29" s="138"/>
      <c r="P29" s="106">
        <f>'Rate TT'!AM120</f>
        <v>647031</v>
      </c>
      <c r="Q29" s="106"/>
      <c r="R29" s="106">
        <f>'Rate TT'!AO120</f>
        <v>15592903</v>
      </c>
      <c r="S29" s="106"/>
      <c r="T29" s="137">
        <f t="shared" si="1"/>
        <v>3.03</v>
      </c>
    </row>
    <row r="30" spans="1:25" x14ac:dyDescent="0.3">
      <c r="A30" s="102">
        <v>11</v>
      </c>
      <c r="C30" s="98" t="s">
        <v>368</v>
      </c>
      <c r="D30" s="98" t="s">
        <v>257</v>
      </c>
      <c r="E30" s="99"/>
      <c r="F30" s="106">
        <f>'Rate DT RTP-P'!Y82</f>
        <v>0</v>
      </c>
      <c r="G30" s="1"/>
      <c r="H30" s="106">
        <f>'Rate DT RTP-P'!AA82</f>
        <v>0</v>
      </c>
      <c r="I30" s="106"/>
      <c r="J30" s="106">
        <f>'Rate DT RTP-P'!AE82</f>
        <v>0</v>
      </c>
      <c r="K30" s="106"/>
      <c r="L30" s="135" t="str">
        <f>IF(H30=0,"-",ROUND(J30/H30*100,6))</f>
        <v>-</v>
      </c>
      <c r="M30" s="136"/>
      <c r="N30" s="137" t="str">
        <f t="shared" si="2"/>
        <v xml:space="preserve">-   </v>
      </c>
      <c r="O30" s="138"/>
      <c r="P30" s="106">
        <f>'Rate DT RTP-P'!AM82</f>
        <v>0</v>
      </c>
      <c r="Q30" s="106"/>
      <c r="R30" s="106">
        <f>'Rate DT RTP-P'!AO82</f>
        <v>0</v>
      </c>
      <c r="S30" s="106"/>
      <c r="T30" s="137" t="str">
        <f t="shared" si="1"/>
        <v xml:space="preserve">-    </v>
      </c>
      <c r="W30" s="122"/>
    </row>
    <row r="31" spans="1:25" x14ac:dyDescent="0.3">
      <c r="A31" s="102">
        <v>12</v>
      </c>
      <c r="C31" s="98" t="s">
        <v>369</v>
      </c>
      <c r="D31" s="98" t="s">
        <v>257</v>
      </c>
      <c r="E31" s="99"/>
      <c r="F31" s="106">
        <f>'Rate DT RTP-S'!Y83</f>
        <v>12</v>
      </c>
      <c r="G31" s="1"/>
      <c r="H31" s="106">
        <f>'Rate DT RTP-S'!AA83</f>
        <v>1119296</v>
      </c>
      <c r="I31" s="106"/>
      <c r="J31" s="106">
        <f>'Rate DT RTP-S'!AE83</f>
        <v>75744</v>
      </c>
      <c r="K31" s="106"/>
      <c r="L31" s="135">
        <f t="shared" si="0"/>
        <v>6.7671109999999999</v>
      </c>
      <c r="M31" s="136"/>
      <c r="N31" s="137">
        <f t="shared" si="2"/>
        <v>0.02</v>
      </c>
      <c r="O31" s="138"/>
      <c r="P31" s="106">
        <f>'Rate DT RTP-S'!AM83</f>
        <v>0</v>
      </c>
      <c r="Q31" s="106"/>
      <c r="R31" s="106">
        <f>'Rate DT RTP-S'!AO83</f>
        <v>75744</v>
      </c>
      <c r="S31" s="106"/>
      <c r="T31" s="137">
        <f t="shared" si="1"/>
        <v>0.01</v>
      </c>
    </row>
    <row r="32" spans="1:25" x14ac:dyDescent="0.3">
      <c r="A32" s="102">
        <v>13</v>
      </c>
      <c r="C32" s="98" t="s">
        <v>260</v>
      </c>
      <c r="D32" s="98" t="s">
        <v>257</v>
      </c>
      <c r="E32" s="99"/>
      <c r="F32" s="106">
        <f>'Rate DS RTP'!Y83</f>
        <v>12</v>
      </c>
      <c r="G32" s="1"/>
      <c r="H32" s="106">
        <f>'Rate DS RTP'!AA83</f>
        <v>-2767</v>
      </c>
      <c r="I32" s="106"/>
      <c r="J32" s="106">
        <f>'Rate DS RTP'!AE83</f>
        <v>2033</v>
      </c>
      <c r="K32" s="106"/>
      <c r="L32" s="135">
        <f t="shared" si="0"/>
        <v>-73.473076000000006</v>
      </c>
      <c r="M32" s="136"/>
      <c r="N32" s="137" t="str">
        <f t="shared" si="2"/>
        <v xml:space="preserve">-   </v>
      </c>
      <c r="O32" s="138"/>
      <c r="P32" s="106">
        <f>'Rate DS RTP'!AM83</f>
        <v>0</v>
      </c>
      <c r="Q32" s="106"/>
      <c r="R32" s="106">
        <f>'Rate DS RTP'!AO83</f>
        <v>2033</v>
      </c>
      <c r="S32" s="106"/>
      <c r="T32" s="137" t="str">
        <f t="shared" si="1"/>
        <v xml:space="preserve">-    </v>
      </c>
      <c r="W32" s="139"/>
    </row>
    <row r="33" spans="1:24" x14ac:dyDescent="0.3">
      <c r="A33" s="102">
        <v>14</v>
      </c>
      <c r="C33" s="98" t="s">
        <v>261</v>
      </c>
      <c r="D33" s="98" t="s">
        <v>257</v>
      </c>
      <c r="E33" s="99"/>
      <c r="F33" s="106">
        <f>'Rate TT RTP'!Y85</f>
        <v>24</v>
      </c>
      <c r="G33" s="1"/>
      <c r="H33" s="106">
        <f>'Rate TT RTP'!AA85</f>
        <v>12153580</v>
      </c>
      <c r="I33" s="106"/>
      <c r="J33" s="106">
        <f>'Rate TT RTP'!AE85</f>
        <v>539919</v>
      </c>
      <c r="K33" s="106"/>
      <c r="L33" s="135">
        <f t="shared" si="0"/>
        <v>4.442469</v>
      </c>
      <c r="M33" s="136"/>
      <c r="N33" s="137">
        <f t="shared" si="2"/>
        <v>0.11</v>
      </c>
      <c r="O33" s="138"/>
      <c r="P33" s="106">
        <f>'Rate TT RTP'!AM85</f>
        <v>0</v>
      </c>
      <c r="Q33" s="106"/>
      <c r="R33" s="106">
        <f>'Rate TT RTP'!AO85</f>
        <v>539919</v>
      </c>
      <c r="S33" s="106"/>
      <c r="T33" s="137">
        <f t="shared" si="1"/>
        <v>0.1</v>
      </c>
      <c r="W33" s="140"/>
    </row>
    <row r="34" spans="1:24" x14ac:dyDescent="0.3">
      <c r="A34" s="102">
        <v>15</v>
      </c>
      <c r="C34" s="99" t="s">
        <v>77</v>
      </c>
      <c r="D34" s="116" t="s">
        <v>78</v>
      </c>
      <c r="E34" s="99"/>
      <c r="F34" s="106">
        <f>'Rate SL'!Y293</f>
        <v>103310</v>
      </c>
      <c r="G34" s="1"/>
      <c r="H34" s="106">
        <f>'Rate SL'!AA293</f>
        <v>6857780</v>
      </c>
      <c r="I34" s="106"/>
      <c r="J34" s="106">
        <f>'Rate SL'!AE293</f>
        <v>1419105</v>
      </c>
      <c r="K34" s="106"/>
      <c r="L34" s="135">
        <f t="shared" si="0"/>
        <v>20.693358</v>
      </c>
      <c r="M34" s="136"/>
      <c r="N34" s="137">
        <f t="shared" si="2"/>
        <v>0.28000000000000003</v>
      </c>
      <c r="O34" s="138"/>
      <c r="P34" s="106">
        <f>'Rate SL'!AM293</f>
        <v>23917</v>
      </c>
      <c r="Q34" s="106"/>
      <c r="R34" s="106">
        <f>'Rate SL'!AO293</f>
        <v>1443022</v>
      </c>
      <c r="S34" s="106"/>
      <c r="T34" s="137">
        <f t="shared" si="1"/>
        <v>0.28000000000000003</v>
      </c>
      <c r="W34" s="110"/>
    </row>
    <row r="35" spans="1:24" x14ac:dyDescent="0.3">
      <c r="A35" s="102">
        <v>16</v>
      </c>
      <c r="C35" s="99" t="s">
        <v>81</v>
      </c>
      <c r="D35" s="116" t="s">
        <v>82</v>
      </c>
      <c r="E35" s="99"/>
      <c r="F35" s="106">
        <f>'Rate TL'!Y72</f>
        <v>1560</v>
      </c>
      <c r="G35" s="1"/>
      <c r="H35" s="106">
        <f>'Rate TL'!AA72</f>
        <v>1436827.8010000002</v>
      </c>
      <c r="I35" s="106"/>
      <c r="J35" s="106">
        <f>'Rate TL'!AE72</f>
        <v>100504</v>
      </c>
      <c r="K35" s="106"/>
      <c r="L35" s="135">
        <f t="shared" si="0"/>
        <v>6.9948540000000001</v>
      </c>
      <c r="M35" s="136"/>
      <c r="N35" s="137">
        <f t="shared" si="2"/>
        <v>0.02</v>
      </c>
      <c r="O35" s="138"/>
      <c r="P35" s="106">
        <f>'Rate TL'!AM72</f>
        <v>5011</v>
      </c>
      <c r="Q35" s="106"/>
      <c r="R35" s="106">
        <f>'Rate TL'!AO72</f>
        <v>105515</v>
      </c>
      <c r="S35" s="106"/>
      <c r="T35" s="137">
        <f t="shared" si="1"/>
        <v>0.02</v>
      </c>
    </row>
    <row r="36" spans="1:24" x14ac:dyDescent="0.3">
      <c r="A36" s="102">
        <v>17</v>
      </c>
      <c r="C36" s="99" t="s">
        <v>239</v>
      </c>
      <c r="D36" s="99" t="s">
        <v>246</v>
      </c>
      <c r="E36" s="99"/>
      <c r="F36" s="106">
        <f>'Rate UOLS'!Y63</f>
        <v>30661</v>
      </c>
      <c r="G36" s="1"/>
      <c r="H36" s="106">
        <f>'Rate UOLS'!AA63</f>
        <v>9081472.0030000005</v>
      </c>
      <c r="I36" s="106"/>
      <c r="J36" s="106">
        <f>'Rate UOLS'!AE63</f>
        <v>628337</v>
      </c>
      <c r="K36" s="106"/>
      <c r="L36" s="135">
        <f t="shared" si="0"/>
        <v>6.9188890000000001</v>
      </c>
      <c r="M36" s="136"/>
      <c r="N36" s="137">
        <f t="shared" si="2"/>
        <v>0.13</v>
      </c>
      <c r="O36" s="138"/>
      <c r="P36" s="106">
        <f>'Rate UOLS'!AM63</f>
        <v>31669</v>
      </c>
      <c r="Q36" s="106"/>
      <c r="R36" s="106">
        <f>'Rate UOLS'!AO63</f>
        <v>660006</v>
      </c>
      <c r="S36" s="106"/>
      <c r="T36" s="137">
        <f t="shared" si="1"/>
        <v>0.13</v>
      </c>
    </row>
    <row r="37" spans="1:24" x14ac:dyDescent="0.3">
      <c r="A37" s="102">
        <v>18</v>
      </c>
      <c r="C37" s="99" t="s">
        <v>86</v>
      </c>
      <c r="D37" s="116" t="s">
        <v>247</v>
      </c>
      <c r="E37" s="99"/>
      <c r="F37" s="106">
        <f>'Rate NSU'!Y95</f>
        <v>8073</v>
      </c>
      <c r="G37" s="1"/>
      <c r="H37" s="106">
        <f>'Rate NSU'!AA95</f>
        <v>392374</v>
      </c>
      <c r="I37" s="106"/>
      <c r="J37" s="106">
        <f>'Rate NSU'!AE95</f>
        <v>95934</v>
      </c>
      <c r="K37" s="106"/>
      <c r="L37" s="135">
        <f t="shared" si="0"/>
        <v>24.449632000000001</v>
      </c>
      <c r="M37" s="136"/>
      <c r="N37" s="137">
        <f t="shared" si="2"/>
        <v>0.02</v>
      </c>
      <c r="O37" s="138"/>
      <c r="P37" s="106">
        <f>'Rate NSU'!AM95</f>
        <v>1368</v>
      </c>
      <c r="Q37" s="106"/>
      <c r="R37" s="106">
        <f>'Rate NSU'!AO95</f>
        <v>97302</v>
      </c>
      <c r="S37" s="106"/>
      <c r="T37" s="137">
        <f t="shared" si="1"/>
        <v>0.02</v>
      </c>
    </row>
    <row r="38" spans="1:24" x14ac:dyDescent="0.3">
      <c r="A38" s="102">
        <v>19</v>
      </c>
      <c r="C38" s="99" t="s">
        <v>73</v>
      </c>
      <c r="D38" s="99" t="s">
        <v>422</v>
      </c>
      <c r="E38" s="99"/>
      <c r="F38" s="106">
        <f>'Rate SC'!Y145</f>
        <v>2064</v>
      </c>
      <c r="G38" s="106"/>
      <c r="H38" s="106">
        <f>'Rate SC'!AA145</f>
        <v>91284</v>
      </c>
      <c r="I38" s="106"/>
      <c r="J38" s="106">
        <f>'Rate SC'!AE145</f>
        <v>6276</v>
      </c>
      <c r="K38" s="106"/>
      <c r="L38" s="135">
        <f t="shared" si="0"/>
        <v>6.8752459999999997</v>
      </c>
      <c r="M38" s="136"/>
      <c r="N38" s="137" t="str">
        <f t="shared" si="2"/>
        <v xml:space="preserve">-   </v>
      </c>
      <c r="O38" s="138"/>
      <c r="P38" s="106">
        <f>'Rate SC'!AM145</f>
        <v>318</v>
      </c>
      <c r="Q38" s="106"/>
      <c r="R38" s="106">
        <f>'Rate SC'!AO145</f>
        <v>6594</v>
      </c>
      <c r="S38" s="106"/>
      <c r="T38" s="137" t="str">
        <f t="shared" si="1"/>
        <v xml:space="preserve">-    </v>
      </c>
    </row>
    <row r="39" spans="1:24" x14ac:dyDescent="0.3">
      <c r="A39" s="102">
        <v>20</v>
      </c>
      <c r="C39" s="99" t="s">
        <v>70</v>
      </c>
      <c r="D39" s="99" t="s">
        <v>423</v>
      </c>
      <c r="E39" s="99"/>
      <c r="F39" s="106">
        <f>'Rate SE'!Y108</f>
        <v>20531</v>
      </c>
      <c r="G39" s="106"/>
      <c r="H39" s="106">
        <f>'Rate SE'!AA108</f>
        <v>1209602</v>
      </c>
      <c r="I39" s="106"/>
      <c r="J39" s="106">
        <f>'Rate SE'!AE108</f>
        <v>256851</v>
      </c>
      <c r="K39" s="106"/>
      <c r="L39" s="135">
        <f t="shared" si="0"/>
        <v>21.23434</v>
      </c>
      <c r="M39" s="136"/>
      <c r="N39" s="137">
        <f t="shared" si="2"/>
        <v>0.05</v>
      </c>
      <c r="O39" s="138"/>
      <c r="P39" s="106">
        <f>'Rate SE'!AM108</f>
        <v>4218</v>
      </c>
      <c r="Q39" s="106"/>
      <c r="R39" s="106">
        <f>'Rate SE'!AO108</f>
        <v>261069</v>
      </c>
      <c r="S39" s="106"/>
      <c r="T39" s="137">
        <f t="shared" si="1"/>
        <v>0.05</v>
      </c>
    </row>
    <row r="40" spans="1:24" x14ac:dyDescent="0.3">
      <c r="A40" s="102">
        <v>21</v>
      </c>
      <c r="C40" s="99" t="s">
        <v>551</v>
      </c>
      <c r="D40" s="99" t="s">
        <v>579</v>
      </c>
      <c r="E40" s="99"/>
      <c r="F40" s="106">
        <f>'Rate LED'!Y692</f>
        <v>2283</v>
      </c>
      <c r="G40" s="106"/>
      <c r="H40" s="106">
        <f>'Rate LED'!AA692</f>
        <v>42161</v>
      </c>
      <c r="I40" s="106"/>
      <c r="J40" s="106">
        <f>'Rate LED'!AE692</f>
        <v>19918</v>
      </c>
      <c r="K40" s="106"/>
      <c r="L40" s="135">
        <f t="shared" si="0"/>
        <v>47.242711999999997</v>
      </c>
      <c r="M40" s="136"/>
      <c r="N40" s="137" t="str">
        <f t="shared" si="2"/>
        <v xml:space="preserve">-   </v>
      </c>
      <c r="O40" s="138"/>
      <c r="P40" s="106">
        <f>'Rate LED'!AM692</f>
        <v>147</v>
      </c>
      <c r="Q40" s="106"/>
      <c r="R40" s="106">
        <f>'Rate LED'!AO692</f>
        <v>20065</v>
      </c>
      <c r="S40" s="106"/>
      <c r="T40" s="137" t="str">
        <f t="shared" si="1"/>
        <v xml:space="preserve">-    </v>
      </c>
    </row>
    <row r="41" spans="1:24" x14ac:dyDescent="0.3">
      <c r="A41" s="102">
        <v>22</v>
      </c>
      <c r="C41" s="98" t="s">
        <v>352</v>
      </c>
      <c r="D41" s="98" t="s">
        <v>326</v>
      </c>
      <c r="E41" s="99"/>
      <c r="F41" s="106">
        <f>'SCH M-2.2'!F57</f>
        <v>12</v>
      </c>
      <c r="G41" s="106"/>
      <c r="H41" s="106">
        <f>'SCH M-2.2'!H57</f>
        <v>285301</v>
      </c>
      <c r="I41" s="106"/>
      <c r="J41" s="106">
        <f>'SCH M-2.2'!L57</f>
        <v>26985.0947009472</v>
      </c>
      <c r="K41" s="106"/>
      <c r="L41" s="135">
        <f t="shared" si="0"/>
        <v>9.4584650000000003</v>
      </c>
      <c r="M41" s="136"/>
      <c r="N41" s="137">
        <f t="shared" si="2"/>
        <v>0.01</v>
      </c>
      <c r="O41" s="138"/>
      <c r="P41" s="106">
        <f>'SCH M-2.2'!T57</f>
        <v>994.90529905279993</v>
      </c>
      <c r="Q41" s="106"/>
      <c r="R41" s="106">
        <f>'SCH M-2.2'!V57</f>
        <v>27980</v>
      </c>
      <c r="S41" s="106"/>
      <c r="T41" s="137">
        <f t="shared" si="1"/>
        <v>0.01</v>
      </c>
    </row>
    <row r="42" spans="1:24" x14ac:dyDescent="0.3">
      <c r="A42" s="102">
        <v>23</v>
      </c>
      <c r="C42" s="99" t="s">
        <v>96</v>
      </c>
      <c r="D42" s="99" t="s">
        <v>517</v>
      </c>
      <c r="E42" s="99"/>
      <c r="F42" s="106">
        <f>'SCH M-2.2'!F58</f>
        <v>0</v>
      </c>
      <c r="G42" s="106"/>
      <c r="H42" s="106">
        <f>'SCH M-2.2'!H58</f>
        <v>0</v>
      </c>
      <c r="I42" s="106"/>
      <c r="J42" s="106">
        <f>'SCH M-2.2'!L58</f>
        <v>28511420</v>
      </c>
      <c r="K42" s="106"/>
      <c r="L42" s="135" t="str">
        <f t="shared" ref="L42:L48" si="3">IF(H42=0,"-",ROUND(J42/H42*100,6))</f>
        <v>-</v>
      </c>
      <c r="M42" s="136"/>
      <c r="N42" s="137">
        <f t="shared" si="2"/>
        <v>5.7</v>
      </c>
      <c r="O42" s="138"/>
      <c r="P42" s="106">
        <f>'SCH M-2.2'!T58</f>
        <v>0</v>
      </c>
      <c r="Q42" s="106"/>
      <c r="R42" s="106">
        <f>'SCH M-2.2'!V58</f>
        <v>28511420</v>
      </c>
      <c r="S42" s="106"/>
      <c r="T42" s="137">
        <f t="shared" si="1"/>
        <v>5.54</v>
      </c>
      <c r="W42" s="122"/>
    </row>
    <row r="43" spans="1:24" x14ac:dyDescent="0.3">
      <c r="A43" s="102">
        <v>24</v>
      </c>
      <c r="D43" s="116" t="s">
        <v>248</v>
      </c>
      <c r="E43" s="99"/>
      <c r="F43" s="106">
        <f>'SCH M-2.2'!F59</f>
        <v>0</v>
      </c>
      <c r="G43" s="106"/>
      <c r="H43" s="106">
        <f>'SCH M-2.2'!H59</f>
        <v>0</v>
      </c>
      <c r="I43" s="106"/>
      <c r="J43" s="106">
        <f>'SCH M-2.2'!L59</f>
        <v>40086</v>
      </c>
      <c r="K43" s="106"/>
      <c r="L43" s="135" t="str">
        <f t="shared" si="3"/>
        <v>-</v>
      </c>
      <c r="M43" s="136"/>
      <c r="N43" s="137">
        <f t="shared" ref="N43:N48" si="4">IF(ABS(J43/$J$49*100)&lt;0.005,"-   ",ROUND(J43/$J$49*100,2))</f>
        <v>0.01</v>
      </c>
      <c r="O43" s="138"/>
      <c r="P43" s="106">
        <f>'SCH M-2.2'!T59</f>
        <v>0</v>
      </c>
      <c r="Q43" s="106"/>
      <c r="R43" s="106">
        <f>'SCH M-2.2'!V59</f>
        <v>40086</v>
      </c>
      <c r="S43" s="106"/>
      <c r="T43" s="137">
        <f t="shared" si="1"/>
        <v>0.01</v>
      </c>
      <c r="W43" s="139"/>
    </row>
    <row r="44" spans="1:24" x14ac:dyDescent="0.3">
      <c r="A44" s="102">
        <v>25</v>
      </c>
      <c r="D44" s="99" t="s">
        <v>251</v>
      </c>
      <c r="E44" s="99"/>
      <c r="F44" s="106">
        <f>'SCH M-2.2'!F60</f>
        <v>0</v>
      </c>
      <c r="G44" s="106"/>
      <c r="H44" s="106">
        <f>'SCH M-2.2'!H60</f>
        <v>0</v>
      </c>
      <c r="I44" s="106"/>
      <c r="J44" s="106">
        <f>'SCH M-2.2'!L60</f>
        <v>40016</v>
      </c>
      <c r="K44" s="106"/>
      <c r="L44" s="135" t="str">
        <f t="shared" si="3"/>
        <v>-</v>
      </c>
      <c r="M44" s="136"/>
      <c r="N44" s="137">
        <f t="shared" si="4"/>
        <v>0.01</v>
      </c>
      <c r="O44" s="138"/>
      <c r="P44" s="106">
        <f>'SCH M-2.2'!T60</f>
        <v>0</v>
      </c>
      <c r="Q44" s="106"/>
      <c r="R44" s="106">
        <f>'SCH M-2.2'!V60</f>
        <v>40016</v>
      </c>
      <c r="S44" s="106"/>
      <c r="T44" s="137">
        <f t="shared" si="1"/>
        <v>0.01</v>
      </c>
      <c r="W44" s="140"/>
    </row>
    <row r="45" spans="1:24" x14ac:dyDescent="0.3">
      <c r="A45" s="102">
        <v>26</v>
      </c>
      <c r="D45" s="99" t="s">
        <v>476</v>
      </c>
      <c r="E45" s="99"/>
      <c r="F45" s="106">
        <f>'SCH M-2.2'!F61</f>
        <v>0</v>
      </c>
      <c r="G45" s="106"/>
      <c r="H45" s="106">
        <f>'SCH M-2.2'!H61</f>
        <v>0</v>
      </c>
      <c r="I45" s="106"/>
      <c r="J45" s="106">
        <f>'SCH M-2.2'!L61</f>
        <v>316666</v>
      </c>
      <c r="K45" s="106"/>
      <c r="L45" s="135" t="str">
        <f>IF(H45=0,"-",ROUND(J45/H45*100,6))</f>
        <v>-</v>
      </c>
      <c r="M45" s="136"/>
      <c r="N45" s="137">
        <f t="shared" si="4"/>
        <v>0.06</v>
      </c>
      <c r="O45" s="138"/>
      <c r="P45" s="106">
        <f>'SCH M-2.2'!T61</f>
        <v>0</v>
      </c>
      <c r="Q45" s="106"/>
      <c r="R45" s="106">
        <f>'SCH M-2.2'!V61</f>
        <v>316666</v>
      </c>
      <c r="S45" s="106"/>
      <c r="T45" s="137">
        <f>IF(ABS(R45/$R$49*100)&lt;0.005,"-    ",ROUND(R45/$R$49*100,2))</f>
        <v>0.06</v>
      </c>
    </row>
    <row r="46" spans="1:24" x14ac:dyDescent="0.3">
      <c r="A46" s="102">
        <v>27</v>
      </c>
      <c r="D46" s="99" t="s">
        <v>250</v>
      </c>
      <c r="E46" s="99"/>
      <c r="F46" s="106">
        <f>'SCH M-2.2'!F62</f>
        <v>0</v>
      </c>
      <c r="G46" s="106"/>
      <c r="H46" s="106">
        <f>'SCH M-2.2'!H62</f>
        <v>0</v>
      </c>
      <c r="I46" s="106"/>
      <c r="J46" s="106">
        <f>'SCH M-2.2'!L62</f>
        <v>1227323</v>
      </c>
      <c r="K46" s="106"/>
      <c r="L46" s="135" t="str">
        <f t="shared" si="3"/>
        <v>-</v>
      </c>
      <c r="M46" s="147"/>
      <c r="N46" s="137">
        <f t="shared" si="4"/>
        <v>0.25</v>
      </c>
      <c r="O46" s="136"/>
      <c r="P46" s="106">
        <f>'SCH M-2.2'!T62</f>
        <v>0</v>
      </c>
      <c r="Q46" s="106"/>
      <c r="R46" s="106">
        <f>'SCH M-2.2'!V62</f>
        <v>1227323</v>
      </c>
      <c r="S46" s="138"/>
      <c r="T46" s="137">
        <f>IF(ABS(R46/$R$49*100)&lt;0.005,"-    ",ROUND(R46/$R$49*100,2))</f>
        <v>0.24</v>
      </c>
      <c r="U46" s="110"/>
      <c r="V46" s="110"/>
      <c r="W46" s="110"/>
      <c r="X46" s="141"/>
    </row>
    <row r="47" spans="1:24" x14ac:dyDescent="0.3">
      <c r="A47" s="102">
        <v>28</v>
      </c>
      <c r="C47" s="98" t="s">
        <v>329</v>
      </c>
      <c r="D47" s="99" t="s">
        <v>327</v>
      </c>
      <c r="E47" s="99"/>
      <c r="F47" s="106">
        <f>'SCH M-2.2'!F63</f>
        <v>12</v>
      </c>
      <c r="G47" s="106"/>
      <c r="H47" s="106">
        <f>'SCH M-2.2'!H63</f>
        <v>13877361</v>
      </c>
      <c r="I47" s="106"/>
      <c r="J47" s="106">
        <f>'SCH M-2.2'!L63</f>
        <v>935691.9896835793</v>
      </c>
      <c r="K47" s="106"/>
      <c r="L47" s="135">
        <f t="shared" si="3"/>
        <v>6.7425790000000001</v>
      </c>
      <c r="M47" s="147"/>
      <c r="N47" s="137">
        <f t="shared" si="4"/>
        <v>0.19</v>
      </c>
      <c r="O47" s="136"/>
      <c r="P47" s="106">
        <f>'SCH M-2.2'!T63</f>
        <v>48393.310909420798</v>
      </c>
      <c r="Q47" s="106"/>
      <c r="R47" s="106">
        <f>'SCH M-2.2'!V63</f>
        <v>984085.30059300014</v>
      </c>
      <c r="S47" s="138"/>
      <c r="T47" s="137">
        <f>IF(ABS(R47/$R$49*100)&lt;0.005,"-    ",ROUND(R47/$R$49*100,2))</f>
        <v>0.19</v>
      </c>
      <c r="U47" s="110"/>
      <c r="V47" s="110"/>
      <c r="W47" s="110"/>
      <c r="X47" s="141"/>
    </row>
    <row r="48" spans="1:24" x14ac:dyDescent="0.3">
      <c r="A48" s="102">
        <v>29</v>
      </c>
      <c r="D48" s="99" t="s">
        <v>97</v>
      </c>
      <c r="E48" s="99"/>
      <c r="F48" s="106">
        <f>'SCH M-2.2'!F64</f>
        <v>0</v>
      </c>
      <c r="G48" s="106"/>
      <c r="H48" s="106">
        <f>'SCH M-2.2'!H64</f>
        <v>0</v>
      </c>
      <c r="I48" s="106"/>
      <c r="J48" s="106">
        <f>'SCH M-2.2'!L64</f>
        <v>3545610</v>
      </c>
      <c r="K48" s="106"/>
      <c r="L48" s="142" t="str">
        <f t="shared" si="3"/>
        <v>-</v>
      </c>
      <c r="M48" s="147"/>
      <c r="N48" s="137">
        <f t="shared" si="4"/>
        <v>0.71</v>
      </c>
      <c r="O48" s="136"/>
      <c r="P48" s="106">
        <f>'SCH M-2.2'!T64</f>
        <v>0</v>
      </c>
      <c r="Q48" s="106"/>
      <c r="R48" s="106">
        <f>'SCH M-2.2'!V64</f>
        <v>3545610</v>
      </c>
      <c r="S48" s="138"/>
      <c r="T48" s="137">
        <f>IF(ABS(R48/$R$49*100)&lt;0.005,"-    ",ROUND(R48/$R$49*100,2))</f>
        <v>0.69</v>
      </c>
      <c r="U48" s="110"/>
      <c r="V48" s="110"/>
      <c r="W48" s="110"/>
      <c r="X48" s="141"/>
    </row>
    <row r="49" spans="1:20" ht="20.100000000000001" customHeight="1" thickBot="1" x14ac:dyDescent="0.35">
      <c r="A49" s="102">
        <v>30</v>
      </c>
      <c r="C49" s="99" t="s">
        <v>98</v>
      </c>
      <c r="F49" s="143">
        <f>SUM(F20:F48)</f>
        <v>2005129</v>
      </c>
      <c r="G49" s="1"/>
      <c r="H49" s="143">
        <f>SUM(H20:H48)</f>
        <v>4035756978.8930001</v>
      </c>
      <c r="I49" s="106"/>
      <c r="J49" s="143">
        <f>SUM(J20:J48)</f>
        <v>500520055.0843845</v>
      </c>
      <c r="K49" s="106"/>
      <c r="L49" s="144">
        <f t="shared" si="0"/>
        <v>12.402136</v>
      </c>
      <c r="M49" s="136"/>
      <c r="N49" s="145">
        <v>100</v>
      </c>
      <c r="O49" s="138"/>
      <c r="P49" s="143">
        <f>SUM(P20:P48)</f>
        <v>14027269.216208473</v>
      </c>
      <c r="Q49" s="106"/>
      <c r="R49" s="143">
        <f>SUM(R20:R48)</f>
        <v>514547324.30059302</v>
      </c>
      <c r="S49" s="106"/>
      <c r="T49" s="145">
        <v>100</v>
      </c>
    </row>
    <row r="50" spans="1:20" ht="16.2" thickTop="1" x14ac:dyDescent="0.3"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3">
      <c r="C51" s="116" t="s">
        <v>193</v>
      </c>
    </row>
    <row r="52" spans="1:20" x14ac:dyDescent="0.3">
      <c r="A52" s="99"/>
    </row>
  </sheetData>
  <customSheetViews>
    <customSheetView guid="{F562D92E-120C-4AE9-9663-89E64D41DC53}" scale="75" fitToPage="1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0">
      <selection activeCell="H28" sqref="H28:H31"/>
      <pageMargins left="0.5" right="0.5" top="1" bottom="0" header="0.5" footer="0.5"/>
      <printOptions horizontalCentered="1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0">
      <selection activeCell="H28" sqref="H28:H31"/>
      <pageMargins left="0.5" right="0.5" top="1" bottom="0" header="0.5" footer="0.5"/>
      <printOptions horizontalCentered="1"/>
      <pageSetup scale="63" orientation="landscape" horizontalDpi="300" verticalDpi="300" r:id="rId3"/>
      <headerFooter alignWithMargins="0"/>
    </customSheetView>
    <customSheetView guid="{0BC1F393-8A13-47D5-BC6C-0C99615B5AB9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4"/>
      <headerFooter alignWithMargins="0"/>
    </customSheetView>
    <customSheetView guid="{6B3D5C27-2FDE-4561-9575-1E98BFB869D0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63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7"/>
      <headerFooter alignWithMargins="0"/>
    </customSheetView>
    <customSheetView guid="{2EA35095-1ADC-4CC7-8C3C-B487D65FA247}" scale="75" fitToPage="1" showRuler="0">
      <selection sqref="A1:T54"/>
      <pageMargins left="0.5" right="0.5" top="1" bottom="0" header="0.5" footer="0.5"/>
      <printOptions horizontalCentered="1"/>
      <pageSetup scale="63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R40" sqref="R40"/>
      <pageMargins left="0.5" right="0.5" top="1" bottom="0" header="0.5" footer="0.5"/>
      <printOptions horizontalCentered="1"/>
      <pageSetup scale="63" orientation="landscape" horizontalDpi="300" verticalDpi="300" r:id="rId9"/>
      <headerFooter alignWithMargins="0"/>
    </customSheetView>
    <customSheetView guid="{4BC93440-BA85-4935-A8C9-66DC6AE5DE5E}" scale="75" fitToPage="1" showRuler="0" topLeftCell="A10">
      <selection activeCell="J28" sqref="J28"/>
      <pageMargins left="0.5" right="0.5" top="1" bottom="0" header="0.5" footer="0.5"/>
      <printOptions horizontalCentered="1"/>
      <pageSetup scale="63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L9" sqref="L9"/>
      <pageMargins left="0.5" right="0.5" top="1" bottom="0" header="0.5" footer="0.5"/>
      <printOptions horizontalCentered="1"/>
      <pageSetup scale="63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63" orientation="landscape" horizontalDpi="300" verticalDpi="300" r:id="rId12"/>
      <headerFooter alignWithMargins="0"/>
    </customSheetView>
  </customSheetViews>
  <phoneticPr fontId="11" type="noConversion"/>
  <printOptions horizontalCentered="1"/>
  <pageMargins left="0.5" right="0.5" top="1" bottom="0" header="0.5" footer="0.5"/>
  <pageSetup scale="56" orientation="landscape" horizontalDpi="300" verticalDpi="300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syncVertical="1" syncRef="A1" transitionEvaluation="1" transitionEntry="1" codeName="Sheet4">
    <pageSetUpPr fitToPage="1"/>
  </sheetPr>
  <dimension ref="A1:AC97"/>
  <sheetViews>
    <sheetView zoomScale="75" workbookViewId="0">
      <selection sqref="A1:X1"/>
    </sheetView>
  </sheetViews>
  <sheetFormatPr defaultColWidth="9.75" defaultRowHeight="15.6" x14ac:dyDescent="0.3"/>
  <cols>
    <col min="1" max="1" width="4.25" style="98" customWidth="1"/>
    <col min="2" max="2" width="0.4140625" style="98" customWidth="1"/>
    <col min="3" max="3" width="11.25" style="98" customWidth="1"/>
    <col min="4" max="4" width="28.25" style="98" customWidth="1"/>
    <col min="5" max="5" width="0.33203125" style="98" customWidth="1"/>
    <col min="6" max="6" width="13.75" style="98" customWidth="1"/>
    <col min="7" max="7" width="0.4140625" style="98" customWidth="1"/>
    <col min="8" max="8" width="15.6640625" style="98" customWidth="1"/>
    <col min="9" max="9" width="0.33203125" style="98" customWidth="1"/>
    <col min="10" max="10" width="10" style="98" bestFit="1" customWidth="1"/>
    <col min="11" max="11" width="0.33203125" style="98" customWidth="1"/>
    <col min="12" max="12" width="15.6640625" style="98" customWidth="1"/>
    <col min="13" max="13" width="0.33203125" style="98" customWidth="1"/>
    <col min="14" max="14" width="11.75" style="98" customWidth="1"/>
    <col min="15" max="15" width="0.4140625" style="98" customWidth="1"/>
    <col min="16" max="16" width="15.75" style="98" customWidth="1"/>
    <col min="17" max="17" width="0.33203125" style="98" customWidth="1"/>
    <col min="18" max="18" width="13.9140625" style="148" customWidth="1"/>
    <col min="19" max="19" width="0.33203125" style="98" customWidth="1"/>
    <col min="20" max="20" width="14.4140625" style="98" customWidth="1"/>
    <col min="21" max="21" width="0.4140625" style="98" customWidth="1"/>
    <col min="22" max="22" width="14.4140625" style="98" customWidth="1"/>
    <col min="23" max="23" width="0.4140625" style="98" customWidth="1"/>
    <col min="24" max="24" width="11.75" style="148" customWidth="1"/>
    <col min="25" max="25" width="13.25" style="98" customWidth="1"/>
    <col min="26" max="26" width="9.75" style="98" customWidth="1"/>
    <col min="27" max="27" width="11.75" style="110" bestFit="1" customWidth="1"/>
    <col min="28" max="28" width="9.75" style="98"/>
    <col min="29" max="29" width="11.75" style="110" bestFit="1" customWidth="1"/>
    <col min="30" max="76" width="9.75" style="98"/>
    <col min="77" max="77" width="20.75" style="98" customWidth="1"/>
    <col min="78" max="16384" width="9.75" style="98"/>
  </cols>
  <sheetData>
    <row r="1" spans="1:26" x14ac:dyDescent="0.3">
      <c r="A1" s="353" t="str">
        <f>NAME</f>
        <v>DUKE ENERGY KENTUCKY, INC.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Z1" s="102"/>
    </row>
    <row r="2" spans="1:26" x14ac:dyDescent="0.3">
      <c r="A2" s="353" t="str">
        <f>CASE_NO</f>
        <v>CASE NO.   2024-00354</v>
      </c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Z2" s="102"/>
    </row>
    <row r="3" spans="1:26" x14ac:dyDescent="0.3">
      <c r="A3" s="353" t="str">
        <f>TITLE</f>
        <v>ANNUALIZED BASE YEAR REVENUES AT PROPOSED VS. MOST CURRENT RATES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Z3" s="102"/>
    </row>
    <row r="4" spans="1:26" x14ac:dyDescent="0.3">
      <c r="A4" s="353" t="str">
        <f>DATE</f>
        <v>FOR THE TWELVE MONTHS ENDED February 28, 2025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Z4" s="102"/>
    </row>
    <row r="5" spans="1:26" x14ac:dyDescent="0.3">
      <c r="A5" s="353" t="str">
        <f>SERVICE</f>
        <v>(ELECTRIC SERVICE)</v>
      </c>
      <c r="B5" s="353"/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  <c r="U5" s="353"/>
      <c r="V5" s="353"/>
      <c r="W5" s="353"/>
      <c r="X5" s="353"/>
      <c r="Z5" s="102"/>
    </row>
    <row r="6" spans="1:26" x14ac:dyDescent="0.3">
      <c r="A6" s="98" t="str">
        <f>DATA_PERIOD</f>
        <v>DATA: __X__ BASE PERIOD   ____FORECASTED PERIOD</v>
      </c>
      <c r="V6" s="99" t="s">
        <v>157</v>
      </c>
      <c r="W6" s="99"/>
      <c r="Z6" s="102"/>
    </row>
    <row r="7" spans="1:26" x14ac:dyDescent="0.3">
      <c r="A7" s="98" t="str">
        <f>TYPE</f>
        <v>TYPE OF FILING: _X_ ORIGINAL   ___UPDATED  ___ REVISED</v>
      </c>
      <c r="V7" s="116" t="str">
        <f>"PAGE 1 OF "&amp;TEXT(Page_Num_2.2,"00")</f>
        <v>PAGE 1 OF 24</v>
      </c>
      <c r="W7" s="99"/>
      <c r="Z7" s="102"/>
    </row>
    <row r="8" spans="1:26" x14ac:dyDescent="0.3">
      <c r="A8" s="99" t="s">
        <v>170</v>
      </c>
      <c r="V8" s="99" t="s">
        <v>3</v>
      </c>
      <c r="W8" s="99"/>
      <c r="Z8" s="102"/>
    </row>
    <row r="9" spans="1:26" x14ac:dyDescent="0.3">
      <c r="A9" s="124" t="str">
        <f>TIME</f>
        <v>6 Months Actual and 6 Months Projected with Riders</v>
      </c>
      <c r="V9" s="98" t="str">
        <f>WIT</f>
        <v>B. L. Sailers</v>
      </c>
      <c r="W9" s="99"/>
      <c r="Z9" s="102"/>
    </row>
    <row r="10" spans="1:26" x14ac:dyDescent="0.3">
      <c r="A10" s="124" t="str">
        <f>INPUT!B5</f>
        <v>6 Months Actual Ending August 31, 2024</v>
      </c>
      <c r="W10" s="99"/>
      <c r="Z10" s="102"/>
    </row>
    <row r="11" spans="1:26" x14ac:dyDescent="0.3">
      <c r="A11" s="97" t="s">
        <v>130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149"/>
      <c r="S11" s="97"/>
      <c r="T11" s="97"/>
      <c r="U11" s="97"/>
      <c r="V11" s="97"/>
      <c r="W11" s="97"/>
      <c r="X11" s="149"/>
      <c r="Z11" s="102"/>
    </row>
    <row r="12" spans="1:26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50"/>
      <c r="S12" s="100"/>
      <c r="T12" s="100"/>
      <c r="U12" s="100"/>
      <c r="V12" s="100"/>
      <c r="W12" s="100"/>
      <c r="X12" s="150"/>
      <c r="Z12" s="102"/>
    </row>
    <row r="13" spans="1:26" ht="18" customHeight="1" x14ac:dyDescent="0.3">
      <c r="L13" s="102" t="s">
        <v>8</v>
      </c>
      <c r="M13" s="102"/>
      <c r="N13" s="102" t="s">
        <v>7</v>
      </c>
      <c r="O13" s="102"/>
      <c r="P13" s="102" t="s">
        <v>9</v>
      </c>
      <c r="Q13" s="102"/>
      <c r="R13" s="151" t="s">
        <v>10</v>
      </c>
      <c r="S13" s="102"/>
      <c r="V13" s="102" t="s">
        <v>8</v>
      </c>
      <c r="W13" s="102"/>
      <c r="X13" s="151" t="s">
        <v>11</v>
      </c>
      <c r="Z13" s="102"/>
    </row>
    <row r="14" spans="1:26" x14ac:dyDescent="0.3">
      <c r="J14" s="102" t="s">
        <v>14</v>
      </c>
      <c r="K14" s="102"/>
      <c r="L14" s="102" t="s">
        <v>12</v>
      </c>
      <c r="M14" s="102"/>
      <c r="N14" s="102" t="s">
        <v>13</v>
      </c>
      <c r="O14" s="102"/>
      <c r="P14" s="102" t="s">
        <v>15</v>
      </c>
      <c r="Q14" s="102"/>
      <c r="R14" s="151" t="s">
        <v>16</v>
      </c>
      <c r="S14" s="102"/>
      <c r="V14" s="102" t="s">
        <v>11</v>
      </c>
      <c r="W14" s="102"/>
      <c r="X14" s="151" t="s">
        <v>9</v>
      </c>
      <c r="Z14" s="102"/>
    </row>
    <row r="15" spans="1:26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8</v>
      </c>
      <c r="K15" s="102"/>
      <c r="L15" s="102" t="s">
        <v>593</v>
      </c>
      <c r="M15" s="102"/>
      <c r="N15" s="102" t="s">
        <v>593</v>
      </c>
      <c r="O15" s="102"/>
      <c r="P15" s="103" t="s">
        <v>708</v>
      </c>
      <c r="Q15" s="102"/>
      <c r="R15" s="152" t="s">
        <v>708</v>
      </c>
      <c r="S15" s="102"/>
      <c r="T15" s="102" t="s">
        <v>593</v>
      </c>
      <c r="U15" s="102"/>
      <c r="V15" s="102" t="s">
        <v>9</v>
      </c>
      <c r="W15" s="102"/>
      <c r="X15" s="151" t="s">
        <v>21</v>
      </c>
      <c r="Z15" s="102"/>
    </row>
    <row r="16" spans="1:26" x14ac:dyDescent="0.3">
      <c r="A16" s="102" t="s">
        <v>22</v>
      </c>
      <c r="C16" s="102" t="s">
        <v>23</v>
      </c>
      <c r="D16" s="102" t="s">
        <v>24</v>
      </c>
      <c r="E16" s="102"/>
      <c r="F16" s="102" t="s">
        <v>55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31" t="s">
        <v>29</v>
      </c>
      <c r="Q16" s="102"/>
      <c r="R16" s="165" t="s">
        <v>30</v>
      </c>
      <c r="S16" s="102"/>
      <c r="T16" s="102" t="s">
        <v>9</v>
      </c>
      <c r="U16" s="102"/>
      <c r="V16" s="131" t="s">
        <v>31</v>
      </c>
      <c r="W16" s="102"/>
      <c r="X16" s="165" t="s">
        <v>32</v>
      </c>
      <c r="Z16" s="102"/>
    </row>
    <row r="17" spans="1:26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42</v>
      </c>
      <c r="K17" s="131"/>
      <c r="L17" s="131" t="s">
        <v>43</v>
      </c>
      <c r="M17" s="131"/>
      <c r="N17" s="131" t="s">
        <v>44</v>
      </c>
      <c r="O17" s="131"/>
      <c r="P17" s="131" t="s">
        <v>45</v>
      </c>
      <c r="Q17" s="131"/>
      <c r="R17" s="165" t="s">
        <v>46</v>
      </c>
      <c r="S17" s="131"/>
      <c r="T17" s="131" t="s">
        <v>40</v>
      </c>
      <c r="U17" s="131"/>
      <c r="V17" s="131" t="s">
        <v>47</v>
      </c>
      <c r="W17" s="131"/>
      <c r="X17" s="165" t="s">
        <v>48</v>
      </c>
      <c r="Y17" s="102"/>
      <c r="Z17" s="102"/>
    </row>
    <row r="18" spans="1:26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50"/>
      <c r="S18" s="100"/>
      <c r="T18" s="100"/>
      <c r="U18" s="100"/>
      <c r="V18" s="100"/>
      <c r="W18" s="100"/>
      <c r="X18" s="150"/>
      <c r="Y18" s="102"/>
      <c r="Z18" s="102"/>
    </row>
    <row r="19" spans="1:26" ht="17.100000000000001" customHeight="1" x14ac:dyDescent="0.3">
      <c r="H19" s="166" t="s">
        <v>49</v>
      </c>
      <c r="I19" s="166"/>
      <c r="J19" s="167" t="s">
        <v>197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8" t="s">
        <v>51</v>
      </c>
      <c r="S19" s="166"/>
      <c r="T19" s="166" t="s">
        <v>50</v>
      </c>
      <c r="U19" s="166"/>
      <c r="V19" s="166" t="s">
        <v>50</v>
      </c>
      <c r="W19" s="166"/>
      <c r="X19" s="168" t="s">
        <v>51</v>
      </c>
      <c r="Y19" s="110"/>
      <c r="Z19" s="102"/>
    </row>
    <row r="20" spans="1:26" x14ac:dyDescent="0.3">
      <c r="C20" s="352" t="s">
        <v>53</v>
      </c>
      <c r="D20" s="352"/>
      <c r="H20" s="102"/>
      <c r="I20" s="102"/>
      <c r="J20" s="103"/>
      <c r="K20" s="102"/>
      <c r="L20" s="102"/>
      <c r="M20" s="102"/>
      <c r="N20" s="102"/>
      <c r="O20" s="102"/>
      <c r="P20" s="102"/>
      <c r="Q20" s="102"/>
      <c r="R20" s="151"/>
      <c r="S20" s="102"/>
      <c r="T20" s="102"/>
      <c r="U20" s="102"/>
      <c r="V20" s="102"/>
      <c r="W20" s="102"/>
      <c r="X20" s="151"/>
      <c r="Y20" s="110"/>
      <c r="Z20" s="102"/>
    </row>
    <row r="21" spans="1:26" x14ac:dyDescent="0.3">
      <c r="A21" s="102">
        <v>1</v>
      </c>
      <c r="C21" s="99" t="s">
        <v>52</v>
      </c>
      <c r="D21" s="116" t="s">
        <v>242</v>
      </c>
      <c r="E21" s="99"/>
      <c r="F21" s="106">
        <f>'Rate RS'!X79</f>
        <v>1673311</v>
      </c>
      <c r="G21" s="1"/>
      <c r="H21" s="106">
        <f>'Rate RS'!Z79</f>
        <v>1526476481.0089998</v>
      </c>
      <c r="I21" s="106"/>
      <c r="J21" s="153">
        <f>IF(H21=0,"-",ROUND((L21/H21)*100,6))</f>
        <v>13.059842</v>
      </c>
      <c r="K21" s="136"/>
      <c r="L21" s="106">
        <f>'Rate RS'!AD79</f>
        <v>199355413</v>
      </c>
      <c r="M21" s="106"/>
      <c r="N21" s="3">
        <f>ROUND((L21/L$23)*100,2)</f>
        <v>100</v>
      </c>
      <c r="O21" s="136"/>
      <c r="P21" s="106">
        <f>'Rate RS'!AH79</f>
        <v>33198059</v>
      </c>
      <c r="Q21" s="106"/>
      <c r="R21" s="154">
        <f>ROUND((P21/L21)*100,1)</f>
        <v>16.7</v>
      </c>
      <c r="S21" s="138"/>
      <c r="T21" s="106">
        <f>'Rate RS'!AL79</f>
        <v>5323148</v>
      </c>
      <c r="U21" s="106"/>
      <c r="V21" s="106">
        <f>'Rate RS'!AN79</f>
        <v>204678561</v>
      </c>
      <c r="W21" s="106"/>
      <c r="X21" s="154">
        <f>ROUND((P21/V21)*100,1)</f>
        <v>16.2</v>
      </c>
      <c r="Y21" s="110"/>
      <c r="Z21" s="102"/>
    </row>
    <row r="22" spans="1:26" x14ac:dyDescent="0.3">
      <c r="A22" s="102">
        <v>2</v>
      </c>
      <c r="C22" s="99"/>
      <c r="D22" s="116"/>
      <c r="E22" s="99"/>
      <c r="F22" s="117"/>
      <c r="G22" s="1"/>
      <c r="H22" s="117"/>
      <c r="I22" s="106"/>
      <c r="J22" s="153"/>
      <c r="K22" s="136"/>
      <c r="L22" s="117"/>
      <c r="M22" s="106"/>
      <c r="N22" s="155"/>
      <c r="O22" s="136"/>
      <c r="P22" s="117"/>
      <c r="Q22" s="106"/>
      <c r="R22" s="154"/>
      <c r="S22" s="138"/>
      <c r="T22" s="117"/>
      <c r="U22" s="106"/>
      <c r="V22" s="117"/>
      <c r="W22" s="106"/>
      <c r="X22" s="156"/>
      <c r="Y22" s="110"/>
      <c r="Z22" s="102"/>
    </row>
    <row r="23" spans="1:26" ht="20.100000000000001" customHeight="1" x14ac:dyDescent="0.3">
      <c r="A23" s="102">
        <v>3</v>
      </c>
      <c r="C23" s="169" t="s">
        <v>195</v>
      </c>
      <c r="F23" s="112">
        <f>F21</f>
        <v>1673311</v>
      </c>
      <c r="G23" s="1"/>
      <c r="H23" s="112">
        <f>H21</f>
        <v>1526476481.0089998</v>
      </c>
      <c r="I23" s="106"/>
      <c r="J23" s="153">
        <f>IF(H23=0,"-",ROUND((L23/H23)*100,6))</f>
        <v>13.059842</v>
      </c>
      <c r="K23" s="136"/>
      <c r="L23" s="112">
        <f>L21</f>
        <v>199355413</v>
      </c>
      <c r="M23" s="106"/>
      <c r="N23" s="157">
        <f>ROUND((L23/L$67)*100,2)</f>
        <v>39.83</v>
      </c>
      <c r="O23" s="136"/>
      <c r="P23" s="112">
        <f>P21</f>
        <v>33198059</v>
      </c>
      <c r="Q23" s="106"/>
      <c r="R23" s="154">
        <f>ROUND((P23/L23)*100,1)</f>
        <v>16.7</v>
      </c>
      <c r="S23" s="138"/>
      <c r="T23" s="112">
        <f>T21</f>
        <v>5323148</v>
      </c>
      <c r="U23" s="106"/>
      <c r="V23" s="112">
        <f>V21</f>
        <v>204678561</v>
      </c>
      <c r="W23" s="106"/>
      <c r="X23" s="158">
        <f>ROUND((P23/V23)*100,1)</f>
        <v>16.2</v>
      </c>
      <c r="Y23" s="110"/>
      <c r="Z23" s="102"/>
    </row>
    <row r="24" spans="1:26" x14ac:dyDescent="0.3">
      <c r="A24" s="102"/>
      <c r="F24" s="106"/>
      <c r="G24" s="1"/>
      <c r="H24" s="106"/>
      <c r="I24" s="106"/>
      <c r="J24" s="153"/>
      <c r="K24" s="136"/>
      <c r="L24" s="106"/>
      <c r="M24" s="106"/>
      <c r="N24" s="3"/>
      <c r="O24" s="136"/>
      <c r="P24" s="1"/>
      <c r="Q24" s="1"/>
      <c r="R24" s="154"/>
      <c r="S24" s="138"/>
      <c r="T24" s="106"/>
      <c r="U24" s="106"/>
      <c r="V24" s="106"/>
      <c r="W24" s="106"/>
      <c r="X24" s="154"/>
      <c r="Y24" s="110"/>
      <c r="Z24" s="102"/>
    </row>
    <row r="25" spans="1:26" x14ac:dyDescent="0.3">
      <c r="A25" s="102"/>
      <c r="C25" s="352" t="s">
        <v>253</v>
      </c>
      <c r="D25" s="352"/>
      <c r="F25" s="106"/>
      <c r="G25" s="1"/>
      <c r="H25" s="106"/>
      <c r="I25" s="106"/>
      <c r="J25" s="153"/>
      <c r="K25" s="136"/>
      <c r="L25" s="106"/>
      <c r="M25" s="106"/>
      <c r="N25" s="3"/>
      <c r="O25" s="136"/>
      <c r="P25" s="1"/>
      <c r="Q25" s="1"/>
      <c r="R25" s="154"/>
      <c r="S25" s="138"/>
      <c r="T25" s="106"/>
      <c r="U25" s="106"/>
      <c r="V25" s="106"/>
      <c r="W25" s="106"/>
      <c r="X25" s="154"/>
      <c r="Y25" s="110"/>
      <c r="Z25" s="102"/>
    </row>
    <row r="26" spans="1:26" x14ac:dyDescent="0.3">
      <c r="A26" s="102">
        <v>4</v>
      </c>
      <c r="C26" s="99" t="s">
        <v>91</v>
      </c>
      <c r="D26" s="116" t="s">
        <v>243</v>
      </c>
      <c r="E26" s="99"/>
      <c r="F26" s="106">
        <f>'Rate DS'!Y106</f>
        <v>159778</v>
      </c>
      <c r="G26" s="1"/>
      <c r="H26" s="106">
        <f>'Rate DS'!AA106</f>
        <v>1142579183.1479995</v>
      </c>
      <c r="I26" s="106"/>
      <c r="J26" s="153">
        <f t="shared" ref="J26:J32" si="0">IF(H26=0,"-",ROUND((L26/H26)*100,6))</f>
        <v>12.042695999999999</v>
      </c>
      <c r="K26" s="136"/>
      <c r="L26" s="106">
        <f>'Rate DS'!AE106</f>
        <v>137597342</v>
      </c>
      <c r="M26" s="106"/>
      <c r="N26" s="3">
        <f t="shared" ref="N26:N31" si="1">ROUND((L26/L$33)*100,2)</f>
        <v>55.39</v>
      </c>
      <c r="O26" s="136"/>
      <c r="P26" s="106">
        <f>'Rate DS'!AI106</f>
        <v>19941144</v>
      </c>
      <c r="Q26" s="106"/>
      <c r="R26" s="154">
        <f t="shared" ref="R26:R32" si="2">ROUND((P26/L26)*100,1)</f>
        <v>14.5</v>
      </c>
      <c r="S26" s="138"/>
      <c r="T26" s="106">
        <f>'Rate DS'!AM106</f>
        <v>3984417</v>
      </c>
      <c r="U26" s="106"/>
      <c r="V26" s="106">
        <f>'Rate DS'!AO106</f>
        <v>141581759</v>
      </c>
      <c r="W26" s="106"/>
      <c r="X26" s="154">
        <f t="shared" ref="X26:X32" si="3">ROUND((P26/V26)*100,1)</f>
        <v>14.1</v>
      </c>
      <c r="Y26" s="110"/>
      <c r="Z26" s="102"/>
    </row>
    <row r="27" spans="1:26" x14ac:dyDescent="0.3">
      <c r="A27" s="102">
        <v>5</v>
      </c>
      <c r="C27" s="99" t="s">
        <v>378</v>
      </c>
      <c r="D27" s="99" t="s">
        <v>61</v>
      </c>
      <c r="E27" s="99"/>
      <c r="F27" s="106">
        <f>'Rate DT-Pri'!Y137</f>
        <v>404</v>
      </c>
      <c r="G27" s="1"/>
      <c r="H27" s="106">
        <f>'Rate DT-Pri'!AA137</f>
        <v>486248297.61800003</v>
      </c>
      <c r="I27" s="106"/>
      <c r="J27" s="153">
        <f t="shared" si="0"/>
        <v>9.6338910000000002</v>
      </c>
      <c r="K27" s="136"/>
      <c r="L27" s="106">
        <f>'Rate DT-Pri'!AE137</f>
        <v>46844631</v>
      </c>
      <c r="M27" s="106"/>
      <c r="N27" s="3">
        <f t="shared" si="1"/>
        <v>18.86</v>
      </c>
      <c r="O27" s="136"/>
      <c r="P27" s="106">
        <f>'Rate DT-Pri'!AI137</f>
        <v>6870332</v>
      </c>
      <c r="Q27" s="106"/>
      <c r="R27" s="154">
        <f t="shared" si="2"/>
        <v>14.7</v>
      </c>
      <c r="S27" s="138"/>
      <c r="T27" s="106">
        <f>'Rate DT-Pri'!AM137</f>
        <v>1695651</v>
      </c>
      <c r="U27" s="106"/>
      <c r="V27" s="106">
        <f>'Rate DT-Pri'!AO137</f>
        <v>48540282</v>
      </c>
      <c r="W27" s="106"/>
      <c r="X27" s="154">
        <f t="shared" si="3"/>
        <v>14.2</v>
      </c>
      <c r="Y27" s="110"/>
      <c r="Z27" s="102"/>
    </row>
    <row r="28" spans="1:26" x14ac:dyDescent="0.3">
      <c r="A28" s="102">
        <v>6</v>
      </c>
      <c r="C28" s="99" t="s">
        <v>376</v>
      </c>
      <c r="D28" s="99" t="s">
        <v>61</v>
      </c>
      <c r="E28" s="99"/>
      <c r="F28" s="106">
        <f>'Rate DT-Sec'!Y133</f>
        <v>1395</v>
      </c>
      <c r="G28" s="1"/>
      <c r="H28" s="106">
        <f>'Rate DT-Sec'!AA133</f>
        <v>614580418.10400009</v>
      </c>
      <c r="I28" s="106"/>
      <c r="J28" s="153">
        <f t="shared" si="0"/>
        <v>9.8094400000000004</v>
      </c>
      <c r="K28" s="136"/>
      <c r="L28" s="106">
        <f>'Rate DT-Sec'!AE133</f>
        <v>60286896</v>
      </c>
      <c r="M28" s="106"/>
      <c r="N28" s="3">
        <f t="shared" si="1"/>
        <v>24.27</v>
      </c>
      <c r="O28" s="136"/>
      <c r="P28" s="106">
        <f>'Rate DT-Sec'!AI133</f>
        <v>8805148</v>
      </c>
      <c r="Q28" s="106"/>
      <c r="R28" s="154">
        <f t="shared" si="2"/>
        <v>14.6</v>
      </c>
      <c r="S28" s="138"/>
      <c r="T28" s="106">
        <f>'Rate DT-Sec'!AM133</f>
        <v>2143173</v>
      </c>
      <c r="U28" s="106"/>
      <c r="V28" s="106">
        <f>'Rate DT-Sec'!AO133</f>
        <v>62430069</v>
      </c>
      <c r="W28" s="106"/>
      <c r="X28" s="154">
        <f>ROUND((P28/V28)*100,1)</f>
        <v>14.1</v>
      </c>
      <c r="Y28" s="110"/>
      <c r="Z28" s="102"/>
    </row>
    <row r="29" spans="1:26" x14ac:dyDescent="0.3">
      <c r="A29" s="102">
        <v>7</v>
      </c>
      <c r="C29" s="99" t="s">
        <v>94</v>
      </c>
      <c r="D29" s="116" t="s">
        <v>245</v>
      </c>
      <c r="E29" s="99"/>
      <c r="F29" s="106">
        <f>'Rate EH'!Y91</f>
        <v>964</v>
      </c>
      <c r="G29" s="1"/>
      <c r="H29" s="106">
        <f>'Rate EH'!AA91</f>
        <v>19400962.346000001</v>
      </c>
      <c r="I29" s="106"/>
      <c r="J29" s="153">
        <f t="shared" si="0"/>
        <v>9.8364499999999992</v>
      </c>
      <c r="K29" s="136"/>
      <c r="L29" s="106">
        <f>'Rate EH'!AE91</f>
        <v>1908366</v>
      </c>
      <c r="M29" s="106"/>
      <c r="N29" s="3">
        <f t="shared" si="1"/>
        <v>0.77</v>
      </c>
      <c r="O29" s="136"/>
      <c r="P29" s="106">
        <f>'Rate EH'!AI91</f>
        <v>275665</v>
      </c>
      <c r="Q29" s="106"/>
      <c r="R29" s="154">
        <f>ROUND((P29/L29)*100,1)</f>
        <v>14.4</v>
      </c>
      <c r="S29" s="138"/>
      <c r="T29" s="106">
        <f>'Rate EH'!AM91</f>
        <v>67655</v>
      </c>
      <c r="U29" s="106"/>
      <c r="V29" s="106">
        <f>'Rate EH'!AO91</f>
        <v>1976021</v>
      </c>
      <c r="W29" s="106"/>
      <c r="X29" s="154">
        <f>ROUND((P29/V29)*100,1)</f>
        <v>14</v>
      </c>
      <c r="Y29" s="110"/>
      <c r="Z29" s="102"/>
    </row>
    <row r="30" spans="1:26" x14ac:dyDescent="0.3">
      <c r="A30" s="102">
        <v>8</v>
      </c>
      <c r="C30" s="99" t="s">
        <v>95</v>
      </c>
      <c r="D30" s="116" t="s">
        <v>244</v>
      </c>
      <c r="E30" s="99"/>
      <c r="F30" s="106">
        <f>'Rate SP GSFL'!Y101</f>
        <v>165</v>
      </c>
      <c r="G30" s="1"/>
      <c r="H30" s="106">
        <f>'Rate SP GSFL'!AA101</f>
        <v>326050</v>
      </c>
      <c r="I30" s="106"/>
      <c r="J30" s="153">
        <f t="shared" si="0"/>
        <v>15.888054</v>
      </c>
      <c r="K30" s="136"/>
      <c r="L30" s="106">
        <f>'Rate SP GSFL'!AE101</f>
        <v>51803</v>
      </c>
      <c r="M30" s="106"/>
      <c r="N30" s="3">
        <f t="shared" si="1"/>
        <v>0.02</v>
      </c>
      <c r="O30" s="136"/>
      <c r="P30" s="106">
        <f>'Rate SP GSFL'!AI101</f>
        <v>7540</v>
      </c>
      <c r="Q30" s="106"/>
      <c r="R30" s="154">
        <f>ROUND((P30/L30)*100,1)</f>
        <v>14.6</v>
      </c>
      <c r="S30" s="138"/>
      <c r="T30" s="106">
        <f>'Rate SP GSFL'!AM101</f>
        <v>1137</v>
      </c>
      <c r="U30" s="106"/>
      <c r="V30" s="106">
        <f>'Rate SP GSFL'!AO101</f>
        <v>52940</v>
      </c>
      <c r="W30" s="106"/>
      <c r="X30" s="154">
        <f>ROUND((P30/V30)*100,1)</f>
        <v>14.2</v>
      </c>
      <c r="Y30" s="110"/>
      <c r="Z30" s="102"/>
    </row>
    <row r="31" spans="1:26" x14ac:dyDescent="0.3">
      <c r="A31" s="102">
        <v>9</v>
      </c>
      <c r="C31" s="99" t="s">
        <v>93</v>
      </c>
      <c r="D31" s="99" t="s">
        <v>152</v>
      </c>
      <c r="E31" s="99"/>
      <c r="F31" s="106">
        <f>'Rate SP GSFL'!Y120</f>
        <v>282</v>
      </c>
      <c r="G31" s="1"/>
      <c r="H31" s="106">
        <f>'Rate SP GSFL'!AA120</f>
        <v>6188855.3929999992</v>
      </c>
      <c r="I31" s="106"/>
      <c r="J31" s="153">
        <f t="shared" si="0"/>
        <v>13.834885</v>
      </c>
      <c r="K31" s="136"/>
      <c r="L31" s="106">
        <f>'Rate SP GSFL'!AE120</f>
        <v>856221</v>
      </c>
      <c r="M31" s="106"/>
      <c r="N31" s="3">
        <f t="shared" si="1"/>
        <v>0.34</v>
      </c>
      <c r="O31" s="136"/>
      <c r="P31" s="106">
        <f>'Rate SP GSFL'!AI120</f>
        <v>124355</v>
      </c>
      <c r="Q31" s="106"/>
      <c r="R31" s="154">
        <f>ROUND((P31/L31)*100,1)</f>
        <v>14.5</v>
      </c>
      <c r="S31" s="138"/>
      <c r="T31" s="106">
        <f>'Rate SP GSFL'!AM120</f>
        <v>21582</v>
      </c>
      <c r="U31" s="106"/>
      <c r="V31" s="106">
        <f>'Rate SP GSFL'!AO120</f>
        <v>877803</v>
      </c>
      <c r="W31" s="106"/>
      <c r="X31" s="154">
        <f>ROUND((P31/V31)*100,1)</f>
        <v>14.2</v>
      </c>
      <c r="Y31" s="110"/>
      <c r="Z31" s="102"/>
    </row>
    <row r="32" spans="1:26" x14ac:dyDescent="0.3">
      <c r="A32" s="102">
        <v>10</v>
      </c>
      <c r="C32" s="99" t="s">
        <v>92</v>
      </c>
      <c r="D32" s="116" t="s">
        <v>181</v>
      </c>
      <c r="E32" s="99"/>
      <c r="F32" s="106">
        <f>'Rate DP'!Y98</f>
        <v>120</v>
      </c>
      <c r="G32" s="1"/>
      <c r="H32" s="106">
        <f>'Rate DP'!AA98</f>
        <v>7868440.7609999999</v>
      </c>
      <c r="I32" s="106"/>
      <c r="J32" s="153">
        <f t="shared" si="0"/>
        <v>11.248633</v>
      </c>
      <c r="K32" s="136"/>
      <c r="L32" s="106">
        <f>'Rate DP'!AE98</f>
        <v>885092</v>
      </c>
      <c r="M32" s="106"/>
      <c r="N32" s="3">
        <f>ROUND((L32/L$33)*100,2)</f>
        <v>0.36</v>
      </c>
      <c r="O32" s="136"/>
      <c r="P32" s="106">
        <f>'Rate DP'!AI98</f>
        <v>54243</v>
      </c>
      <c r="Q32" s="106"/>
      <c r="R32" s="154">
        <f t="shared" si="2"/>
        <v>6.1</v>
      </c>
      <c r="S32" s="138"/>
      <c r="T32" s="106">
        <f>'Rate DP'!AM98</f>
        <v>27439</v>
      </c>
      <c r="U32" s="106"/>
      <c r="V32" s="106">
        <f>'Rate DP'!AO98</f>
        <v>912531</v>
      </c>
      <c r="W32" s="106"/>
      <c r="X32" s="156">
        <f t="shared" si="3"/>
        <v>5.9</v>
      </c>
      <c r="Y32" s="110"/>
      <c r="Z32" s="102"/>
    </row>
    <row r="33" spans="1:26" ht="20.100000000000001" customHeight="1" x14ac:dyDescent="0.3">
      <c r="A33" s="102">
        <v>11</v>
      </c>
      <c r="C33" s="169" t="s">
        <v>166</v>
      </c>
      <c r="F33" s="112">
        <f>SUM(F26:F32)</f>
        <v>163108</v>
      </c>
      <c r="G33" s="1"/>
      <c r="H33" s="112">
        <f>SUM(H26:H32)</f>
        <v>2277192207.3700004</v>
      </c>
      <c r="I33" s="106"/>
      <c r="J33" s="153">
        <f>IF(H33=0,"-",ROUND((L33/H33)*100,6))</f>
        <v>10.909503000000001</v>
      </c>
      <c r="K33" s="136"/>
      <c r="L33" s="112">
        <f>SUM(L26:L32)</f>
        <v>248430351</v>
      </c>
      <c r="M33" s="106"/>
      <c r="N33" s="157">
        <f>ROUND((L33/L$67)*100,2)</f>
        <v>49.63</v>
      </c>
      <c r="O33" s="136"/>
      <c r="P33" s="112">
        <f>SUM(P26:P32)</f>
        <v>36078427</v>
      </c>
      <c r="Q33" s="106"/>
      <c r="R33" s="154">
        <f>ROUND((P33/L33)*100,1)</f>
        <v>14.5</v>
      </c>
      <c r="S33" s="138"/>
      <c r="T33" s="112">
        <f>SUM(T26:T32)</f>
        <v>7941054</v>
      </c>
      <c r="U33" s="106"/>
      <c r="V33" s="112">
        <f>SUM(V26:V32)</f>
        <v>256371405</v>
      </c>
      <c r="W33" s="106"/>
      <c r="X33" s="158">
        <f>ROUND((P33/V33)*100,1)</f>
        <v>14.1</v>
      </c>
      <c r="Y33" s="110"/>
      <c r="Z33" s="102"/>
    </row>
    <row r="34" spans="1:26" x14ac:dyDescent="0.3">
      <c r="A34" s="102"/>
      <c r="F34" s="106"/>
      <c r="G34" s="1"/>
      <c r="H34" s="106"/>
      <c r="I34" s="106"/>
      <c r="J34" s="153"/>
      <c r="K34" s="136"/>
      <c r="L34" s="106"/>
      <c r="M34" s="106"/>
      <c r="N34" s="3"/>
      <c r="O34" s="136"/>
      <c r="P34" s="1"/>
      <c r="Q34" s="1"/>
      <c r="R34" s="154"/>
      <c r="S34" s="138"/>
      <c r="T34" s="106"/>
      <c r="U34" s="106"/>
      <c r="V34" s="106"/>
      <c r="W34" s="106"/>
      <c r="X34" s="154"/>
      <c r="Y34" s="110"/>
      <c r="Z34" s="102"/>
    </row>
    <row r="35" spans="1:26" x14ac:dyDescent="0.3">
      <c r="A35" s="102"/>
      <c r="C35" s="352" t="s">
        <v>254</v>
      </c>
      <c r="D35" s="352"/>
      <c r="F35" s="106"/>
      <c r="G35" s="1"/>
      <c r="H35" s="106"/>
      <c r="I35" s="106"/>
      <c r="J35" s="153"/>
      <c r="K35" s="136"/>
      <c r="L35" s="106"/>
      <c r="M35" s="106"/>
      <c r="N35" s="3"/>
      <c r="O35" s="136"/>
      <c r="P35" s="1"/>
      <c r="Q35" s="1"/>
      <c r="R35" s="154"/>
      <c r="S35" s="138"/>
      <c r="T35" s="106"/>
      <c r="U35" s="106"/>
      <c r="V35" s="106"/>
      <c r="W35" s="106"/>
      <c r="X35" s="154"/>
      <c r="Y35" s="110"/>
      <c r="Z35" s="102"/>
    </row>
    <row r="36" spans="1:26" x14ac:dyDescent="0.3">
      <c r="A36" s="102">
        <v>12</v>
      </c>
      <c r="C36" s="99" t="s">
        <v>60</v>
      </c>
      <c r="D36" s="99" t="s">
        <v>61</v>
      </c>
      <c r="E36" s="99"/>
      <c r="F36" s="106">
        <f>'Rate TT'!Y120</f>
        <v>156</v>
      </c>
      <c r="G36" s="1"/>
      <c r="H36" s="106">
        <f>'Rate TT'!AA120</f>
        <v>185544018.71000001</v>
      </c>
      <c r="I36" s="106"/>
      <c r="J36" s="153">
        <f>IF(H36=0,"-",ROUND((L36/H36)*100,6))</f>
        <v>8.0551619999999993</v>
      </c>
      <c r="K36" s="136"/>
      <c r="L36" s="106">
        <f>'Rate TT'!AE120</f>
        <v>14945872</v>
      </c>
      <c r="M36" s="106"/>
      <c r="N36" s="3">
        <f>ROUND((L36/L$37)*100,2)</f>
        <v>100</v>
      </c>
      <c r="O36" s="136"/>
      <c r="P36" s="106">
        <f>'Rate TT'!AI120</f>
        <v>1241218</v>
      </c>
      <c r="Q36" s="106"/>
      <c r="R36" s="154">
        <f>ROUND((P36/L36)*100,1)</f>
        <v>8.3000000000000007</v>
      </c>
      <c r="S36" s="138"/>
      <c r="T36" s="106">
        <f>'Rate TT'!AM120</f>
        <v>647031</v>
      </c>
      <c r="U36" s="106"/>
      <c r="V36" s="106">
        <f>'Rate TT'!AO120</f>
        <v>15592903</v>
      </c>
      <c r="W36" s="106"/>
      <c r="X36" s="156">
        <f>'Rate TT'!AQ120</f>
        <v>8</v>
      </c>
      <c r="Y36" s="110"/>
      <c r="Z36" s="102"/>
    </row>
    <row r="37" spans="1:26" ht="20.100000000000001" customHeight="1" x14ac:dyDescent="0.3">
      <c r="A37" s="102">
        <v>13</v>
      </c>
      <c r="C37" s="169" t="s">
        <v>167</v>
      </c>
      <c r="F37" s="112">
        <f>F36</f>
        <v>156</v>
      </c>
      <c r="G37" s="1"/>
      <c r="H37" s="112">
        <f>H36</f>
        <v>185544018.71000001</v>
      </c>
      <c r="I37" s="106"/>
      <c r="J37" s="153">
        <f>IF(H37=0,"-",ROUND((L37/H37)*100,6))</f>
        <v>8.0551619999999993</v>
      </c>
      <c r="K37" s="136"/>
      <c r="L37" s="112">
        <f>L36</f>
        <v>14945872</v>
      </c>
      <c r="M37" s="106"/>
      <c r="N37" s="157">
        <f>ROUND((L37/L$67)*100,2)</f>
        <v>2.99</v>
      </c>
      <c r="O37" s="136"/>
      <c r="P37" s="112">
        <f>P36</f>
        <v>1241218</v>
      </c>
      <c r="Q37" s="106"/>
      <c r="R37" s="154">
        <f>ROUND((P37/L37)*100,1)</f>
        <v>8.3000000000000007</v>
      </c>
      <c r="S37" s="138"/>
      <c r="T37" s="112">
        <f>T36</f>
        <v>647031</v>
      </c>
      <c r="U37" s="106"/>
      <c r="V37" s="112">
        <f>V36</f>
        <v>15592903</v>
      </c>
      <c r="W37" s="106"/>
      <c r="X37" s="158">
        <f>ROUND((P37/V37)*100,1)</f>
        <v>8</v>
      </c>
      <c r="Y37" s="110"/>
      <c r="Z37" s="102"/>
    </row>
    <row r="38" spans="1:26" x14ac:dyDescent="0.3">
      <c r="A38" s="102"/>
      <c r="F38" s="106"/>
      <c r="G38" s="1"/>
      <c r="H38" s="106"/>
      <c r="I38" s="106"/>
      <c r="J38" s="153"/>
      <c r="K38" s="136"/>
      <c r="L38" s="106"/>
      <c r="M38" s="106"/>
      <c r="N38" s="3"/>
      <c r="O38" s="136"/>
      <c r="P38" s="1"/>
      <c r="Q38" s="1"/>
      <c r="R38" s="154"/>
      <c r="S38" s="138"/>
      <c r="T38" s="106"/>
      <c r="U38" s="106"/>
      <c r="V38" s="106"/>
      <c r="W38" s="106"/>
      <c r="X38" s="154"/>
      <c r="Y38" s="110"/>
      <c r="Z38" s="102"/>
    </row>
    <row r="39" spans="1:26" x14ac:dyDescent="0.3">
      <c r="A39" s="102"/>
      <c r="C39" s="352" t="s">
        <v>257</v>
      </c>
      <c r="D39" s="352"/>
      <c r="F39" s="106"/>
      <c r="G39" s="1"/>
      <c r="H39" s="106"/>
      <c r="I39" s="106"/>
      <c r="J39" s="153"/>
      <c r="K39" s="136"/>
      <c r="L39" s="106"/>
      <c r="M39" s="106"/>
      <c r="N39" s="3"/>
      <c r="O39" s="136"/>
      <c r="P39" s="1"/>
      <c r="Q39" s="1"/>
      <c r="R39" s="154"/>
      <c r="S39" s="138"/>
      <c r="T39" s="106"/>
      <c r="U39" s="106"/>
      <c r="V39" s="106"/>
      <c r="W39" s="106"/>
      <c r="X39" s="154"/>
      <c r="Y39" s="110"/>
      <c r="Z39" s="102"/>
    </row>
    <row r="40" spans="1:26" x14ac:dyDescent="0.3">
      <c r="A40" s="102">
        <v>14</v>
      </c>
      <c r="C40" s="98" t="s">
        <v>368</v>
      </c>
      <c r="D40" s="98" t="s">
        <v>257</v>
      </c>
      <c r="F40" s="106">
        <f>'Rate DT RTP-P'!Y82</f>
        <v>0</v>
      </c>
      <c r="G40" s="1"/>
      <c r="H40" s="106">
        <f>'Rate DT RTP-P'!AA82</f>
        <v>0</v>
      </c>
      <c r="I40" s="106"/>
      <c r="J40" s="153" t="str">
        <f>IF(H40=0,"-",ROUND((L40/H40)*100,6))</f>
        <v>-</v>
      </c>
      <c r="K40" s="136"/>
      <c r="L40" s="106">
        <f>'Rate DT RTP-P'!AE82</f>
        <v>0</v>
      </c>
      <c r="M40" s="106"/>
      <c r="N40" s="3">
        <f>IFERROR(ROUND((L40/L$44)*100,2),0)</f>
        <v>0</v>
      </c>
      <c r="O40" s="136"/>
      <c r="P40" s="106">
        <f>'Rate DT RTP-P'!AI82</f>
        <v>0</v>
      </c>
      <c r="Q40" s="1"/>
      <c r="R40" s="154">
        <f>IFERROR(ROUND((P40/L40)*100,1),0)</f>
        <v>0</v>
      </c>
      <c r="S40" s="138"/>
      <c r="T40" s="106">
        <f>'Rate DT RTP-P'!AM82</f>
        <v>0</v>
      </c>
      <c r="U40" s="106"/>
      <c r="V40" s="106">
        <f>'Rate DT RTP-P'!AO82</f>
        <v>0</v>
      </c>
      <c r="W40" s="106"/>
      <c r="X40" s="154">
        <f>IFERROR(ROUND((P40/V40)*100,1),0)</f>
        <v>0</v>
      </c>
      <c r="Y40" s="110"/>
      <c r="Z40" s="102"/>
    </row>
    <row r="41" spans="1:26" x14ac:dyDescent="0.3">
      <c r="A41" s="102">
        <v>15</v>
      </c>
      <c r="C41" s="98" t="s">
        <v>369</v>
      </c>
      <c r="D41" s="98" t="s">
        <v>257</v>
      </c>
      <c r="F41" s="106">
        <f>'Rate DT RTP-S'!Y83</f>
        <v>12</v>
      </c>
      <c r="G41" s="1"/>
      <c r="H41" s="106">
        <f>'Rate DT RTP-S'!AA83</f>
        <v>1119296</v>
      </c>
      <c r="I41" s="106"/>
      <c r="J41" s="153">
        <f>IF(H41=0,"-",ROUND((L41/H41)*100,6))</f>
        <v>6.7671109999999999</v>
      </c>
      <c r="K41" s="136"/>
      <c r="L41" s="106">
        <f>'Rate DT RTP-S'!AE83</f>
        <v>75744</v>
      </c>
      <c r="M41" s="106"/>
      <c r="N41" s="3">
        <f>ROUND((L41/L$44)*100,2)</f>
        <v>12.26</v>
      </c>
      <c r="O41" s="136"/>
      <c r="P41" s="106">
        <f>'Rate DT RTP-S'!AI83</f>
        <v>15364</v>
      </c>
      <c r="Q41" s="1"/>
      <c r="R41" s="154">
        <f>ROUND((P41/L41)*100,1)</f>
        <v>20.3</v>
      </c>
      <c r="S41" s="138"/>
      <c r="T41" s="106">
        <f>'Rate DT RTP-S'!AM83</f>
        <v>0</v>
      </c>
      <c r="U41" s="106"/>
      <c r="V41" s="106">
        <f>'Rate DT RTP-S'!AO83</f>
        <v>75744</v>
      </c>
      <c r="W41" s="106"/>
      <c r="X41" s="154">
        <f>ROUND((P41/V41)*100,1)</f>
        <v>20.3</v>
      </c>
      <c r="Y41" s="110"/>
      <c r="Z41" s="102"/>
    </row>
    <row r="42" spans="1:26" x14ac:dyDescent="0.3">
      <c r="A42" s="102">
        <v>16</v>
      </c>
      <c r="C42" s="98" t="s">
        <v>260</v>
      </c>
      <c r="D42" s="98" t="s">
        <v>257</v>
      </c>
      <c r="F42" s="106">
        <f>'Rate DS RTP'!Y83</f>
        <v>12</v>
      </c>
      <c r="G42" s="1"/>
      <c r="H42" s="106">
        <f>'Rate DS RTP'!AA83</f>
        <v>-2767</v>
      </c>
      <c r="I42" s="106"/>
      <c r="J42" s="153">
        <f>IF(H42=0,"-",ROUND((L42/H42)*100,6))</f>
        <v>-73.473076000000006</v>
      </c>
      <c r="K42" s="136"/>
      <c r="L42" s="106">
        <f>'Rate DS RTP'!AE83</f>
        <v>2033</v>
      </c>
      <c r="M42" s="106"/>
      <c r="N42" s="3">
        <f>ROUND((L42/L$44)*100,2)</f>
        <v>0.33</v>
      </c>
      <c r="O42" s="136"/>
      <c r="P42" s="106">
        <f>'Rate DS RTP'!AI83</f>
        <v>-41</v>
      </c>
      <c r="Q42" s="1"/>
      <c r="R42" s="154">
        <f>ROUND((P42/L42)*100,1)</f>
        <v>-2</v>
      </c>
      <c r="S42" s="138"/>
      <c r="T42" s="106">
        <f>'Rate DS RTP'!AM83</f>
        <v>0</v>
      </c>
      <c r="U42" s="106"/>
      <c r="V42" s="106">
        <f>'Rate DS RTP'!AO83</f>
        <v>2033</v>
      </c>
      <c r="W42" s="106"/>
      <c r="X42" s="154">
        <f>ROUND((P42/V42)*100,1)</f>
        <v>-2</v>
      </c>
      <c r="Y42" s="110"/>
      <c r="Z42" s="102"/>
    </row>
    <row r="43" spans="1:26" x14ac:dyDescent="0.3">
      <c r="A43" s="102">
        <v>17</v>
      </c>
      <c r="C43" s="98" t="s">
        <v>261</v>
      </c>
      <c r="D43" s="98" t="s">
        <v>257</v>
      </c>
      <c r="F43" s="117">
        <f>'Rate TT RTP'!Y85</f>
        <v>24</v>
      </c>
      <c r="G43" s="1"/>
      <c r="H43" s="117">
        <f>'Rate TT RTP'!AA85</f>
        <v>12153580</v>
      </c>
      <c r="I43" s="106"/>
      <c r="J43" s="153">
        <f>IF(H43=0,"-",ROUND((L43/H43)*100,6))</f>
        <v>4.442469</v>
      </c>
      <c r="K43" s="136"/>
      <c r="L43" s="117">
        <f>'Rate TT RTP'!AE85</f>
        <v>539919</v>
      </c>
      <c r="M43" s="106"/>
      <c r="N43" s="3">
        <f>ROUND((L43/L$44)*100,2)</f>
        <v>87.41</v>
      </c>
      <c r="O43" s="136"/>
      <c r="P43" s="117">
        <f>'Rate TT RTP'!AI85</f>
        <v>45302</v>
      </c>
      <c r="Q43" s="1"/>
      <c r="R43" s="154">
        <f>ROUND((P43/L43)*100,1)</f>
        <v>8.4</v>
      </c>
      <c r="S43" s="138"/>
      <c r="T43" s="117">
        <f>'Rate TT RTP'!AM85</f>
        <v>0</v>
      </c>
      <c r="U43" s="106"/>
      <c r="V43" s="117">
        <f>'Rate TT RTP'!AO85</f>
        <v>539919</v>
      </c>
      <c r="W43" s="106"/>
      <c r="X43" s="156">
        <f>ROUND((P43/V43)*100,1)</f>
        <v>8.4</v>
      </c>
      <c r="Y43" s="110"/>
      <c r="Z43" s="102"/>
    </row>
    <row r="44" spans="1:26" ht="20.100000000000001" customHeight="1" x14ac:dyDescent="0.3">
      <c r="A44" s="102">
        <v>18</v>
      </c>
      <c r="C44" s="169" t="s">
        <v>262</v>
      </c>
      <c r="F44" s="112">
        <f>SUM(F40:F43)</f>
        <v>48</v>
      </c>
      <c r="G44" s="1"/>
      <c r="H44" s="112">
        <f>SUM(H40:H43)</f>
        <v>13270109</v>
      </c>
      <c r="I44" s="106"/>
      <c r="J44" s="153">
        <f>IF(H44=0,"-",ROUND((L44/H44)*100,6))</f>
        <v>4.6547919999999996</v>
      </c>
      <c r="K44" s="136"/>
      <c r="L44" s="112">
        <f>SUM(L40:L43)</f>
        <v>617696</v>
      </c>
      <c r="M44" s="106"/>
      <c r="N44" s="157">
        <f>ROUND((L44/L$67)*100,2)</f>
        <v>0.12</v>
      </c>
      <c r="O44" s="136"/>
      <c r="P44" s="112">
        <f>SUM(P40:P43)</f>
        <v>60625</v>
      </c>
      <c r="Q44" s="1"/>
      <c r="R44" s="154">
        <f>ROUND((P44/L44)*100,1)</f>
        <v>9.8000000000000007</v>
      </c>
      <c r="S44" s="138"/>
      <c r="T44" s="112">
        <f>SUM(T40:T43)</f>
        <v>0</v>
      </c>
      <c r="U44" s="106"/>
      <c r="V44" s="112">
        <f>SUM(V40:V43)</f>
        <v>617696</v>
      </c>
      <c r="W44" s="106"/>
      <c r="X44" s="158">
        <f>ROUND((P44/V44)*100,1)</f>
        <v>9.8000000000000007</v>
      </c>
      <c r="Y44" s="110"/>
      <c r="Z44" s="102"/>
    </row>
    <row r="45" spans="1:26" x14ac:dyDescent="0.3">
      <c r="A45" s="102"/>
      <c r="F45" s="106"/>
      <c r="G45" s="1"/>
      <c r="H45" s="106"/>
      <c r="I45" s="106"/>
      <c r="J45" s="153"/>
      <c r="K45" s="136"/>
      <c r="L45" s="106"/>
      <c r="M45" s="106"/>
      <c r="N45" s="3"/>
      <c r="O45" s="136"/>
      <c r="P45" s="1"/>
      <c r="Q45" s="1"/>
      <c r="R45" s="154"/>
      <c r="S45" s="138"/>
      <c r="T45" s="106"/>
      <c r="U45" s="106"/>
      <c r="V45" s="106"/>
      <c r="W45" s="106"/>
      <c r="X45" s="154"/>
      <c r="Y45" s="110"/>
      <c r="Z45" s="102"/>
    </row>
    <row r="46" spans="1:26" x14ac:dyDescent="0.3">
      <c r="A46" s="102"/>
      <c r="C46" s="352" t="s">
        <v>409</v>
      </c>
      <c r="D46" s="352"/>
      <c r="F46" s="106"/>
      <c r="G46" s="1"/>
      <c r="H46" s="106"/>
      <c r="I46" s="106"/>
      <c r="J46" s="153"/>
      <c r="K46" s="136"/>
      <c r="L46" s="106"/>
      <c r="M46" s="106"/>
      <c r="N46" s="3"/>
      <c r="O46" s="136"/>
      <c r="P46" s="1"/>
      <c r="Q46" s="1"/>
      <c r="R46" s="154"/>
      <c r="S46" s="138"/>
      <c r="T46" s="106"/>
      <c r="U46" s="106"/>
      <c r="V46" s="106"/>
      <c r="W46" s="106"/>
      <c r="X46" s="154"/>
      <c r="Y46" s="110"/>
      <c r="Z46" s="102"/>
    </row>
    <row r="47" spans="1:26" x14ac:dyDescent="0.3">
      <c r="A47" s="102">
        <v>19</v>
      </c>
      <c r="C47" s="99" t="s">
        <v>77</v>
      </c>
      <c r="D47" s="116" t="s">
        <v>78</v>
      </c>
      <c r="E47" s="99"/>
      <c r="F47" s="106">
        <f>'Rate SL'!Y293</f>
        <v>103310</v>
      </c>
      <c r="G47" s="1"/>
      <c r="H47" s="106">
        <f>'Rate SL'!AA293</f>
        <v>6857780</v>
      </c>
      <c r="I47" s="106"/>
      <c r="J47" s="153">
        <f t="shared" ref="J47:J53" si="4">IF(H47=0,"-",ROUND((L47/H47)*100,6))</f>
        <v>20.693358</v>
      </c>
      <c r="K47" s="136"/>
      <c r="L47" s="106">
        <f>'Rate SL'!AE293</f>
        <v>1419105</v>
      </c>
      <c r="M47" s="106"/>
      <c r="N47" s="3">
        <f t="shared" ref="N47:N53" si="5">ROUND((L47/L$54)*100,2)</f>
        <v>56.16</v>
      </c>
      <c r="O47" s="136"/>
      <c r="P47" s="106">
        <f>'Rate SL'!AI293</f>
        <v>198713</v>
      </c>
      <c r="Q47" s="106"/>
      <c r="R47" s="154">
        <f t="shared" ref="R47:R54" si="6">ROUND((P47/L47)*100,1)</f>
        <v>14</v>
      </c>
      <c r="S47" s="138"/>
      <c r="T47" s="106">
        <f>'Rate SL'!AM293</f>
        <v>23917</v>
      </c>
      <c r="U47" s="106"/>
      <c r="V47" s="106">
        <f>'Rate SL'!AO293</f>
        <v>1443022</v>
      </c>
      <c r="W47" s="106"/>
      <c r="X47" s="154">
        <f t="shared" ref="X47:X54" si="7">ROUND((P47/V47)*100,1)</f>
        <v>13.8</v>
      </c>
      <c r="Y47" s="110"/>
      <c r="Z47" s="102"/>
    </row>
    <row r="48" spans="1:26" x14ac:dyDescent="0.3">
      <c r="A48" s="102">
        <v>20</v>
      </c>
      <c r="C48" s="99" t="s">
        <v>81</v>
      </c>
      <c r="D48" s="116" t="s">
        <v>82</v>
      </c>
      <c r="E48" s="99"/>
      <c r="F48" s="106">
        <f>'Rate TL'!Y72</f>
        <v>1560</v>
      </c>
      <c r="G48" s="1"/>
      <c r="H48" s="106">
        <f>'Rate TL'!AA72</f>
        <v>1436827.8010000002</v>
      </c>
      <c r="I48" s="106"/>
      <c r="J48" s="153">
        <f t="shared" si="4"/>
        <v>6.9948540000000001</v>
      </c>
      <c r="K48" s="136"/>
      <c r="L48" s="106">
        <f>'Rate TL'!AE72</f>
        <v>100504</v>
      </c>
      <c r="M48" s="106"/>
      <c r="N48" s="3">
        <f t="shared" si="5"/>
        <v>3.98</v>
      </c>
      <c r="O48" s="136"/>
      <c r="P48" s="106">
        <f>'Rate TL'!AI72</f>
        <v>13791</v>
      </c>
      <c r="Q48" s="106"/>
      <c r="R48" s="154">
        <f t="shared" si="6"/>
        <v>13.7</v>
      </c>
      <c r="S48" s="138"/>
      <c r="T48" s="106">
        <f>'Rate TL'!AM72</f>
        <v>5011</v>
      </c>
      <c r="U48" s="106"/>
      <c r="V48" s="106">
        <f>'Rate TL'!AO72</f>
        <v>105515</v>
      </c>
      <c r="W48" s="106"/>
      <c r="X48" s="154">
        <f t="shared" si="7"/>
        <v>13.1</v>
      </c>
      <c r="Y48" s="110"/>
      <c r="Z48" s="102"/>
    </row>
    <row r="49" spans="1:26" x14ac:dyDescent="0.3">
      <c r="A49" s="102">
        <v>21</v>
      </c>
      <c r="C49" s="99" t="s">
        <v>239</v>
      </c>
      <c r="D49" s="116" t="s">
        <v>246</v>
      </c>
      <c r="E49" s="99"/>
      <c r="F49" s="106">
        <f>'Rate UOLS'!Y63</f>
        <v>30661</v>
      </c>
      <c r="G49" s="1"/>
      <c r="H49" s="106">
        <f>'Rate UOLS'!AA63</f>
        <v>9081472.0030000005</v>
      </c>
      <c r="I49" s="106"/>
      <c r="J49" s="153">
        <f t="shared" si="4"/>
        <v>6.9188890000000001</v>
      </c>
      <c r="K49" s="136"/>
      <c r="L49" s="106">
        <f>'Rate UOLS'!AE63</f>
        <v>628337</v>
      </c>
      <c r="M49" s="106"/>
      <c r="N49" s="3">
        <f t="shared" si="5"/>
        <v>24.87</v>
      </c>
      <c r="O49" s="136"/>
      <c r="P49" s="106">
        <f>'Rate UOLS'!AI63</f>
        <v>86187</v>
      </c>
      <c r="Q49" s="106"/>
      <c r="R49" s="159">
        <f>IF(L49=0,"0.0 ",ROUND((P49/L49)*100,1))</f>
        <v>13.7</v>
      </c>
      <c r="S49" s="138"/>
      <c r="T49" s="106">
        <f>'Rate UOLS'!AM63</f>
        <v>31669</v>
      </c>
      <c r="U49" s="106"/>
      <c r="V49" s="106">
        <f>'Rate UOLS'!AO63</f>
        <v>660006</v>
      </c>
      <c r="W49" s="106"/>
      <c r="X49" s="159">
        <f>IF(V49=0,"0.0 ",ROUND((P49/V49)*100,1))</f>
        <v>13.1</v>
      </c>
      <c r="Y49" s="110"/>
      <c r="Z49" s="102"/>
    </row>
    <row r="50" spans="1:26" x14ac:dyDescent="0.3">
      <c r="A50" s="102">
        <v>22</v>
      </c>
      <c r="C50" s="99" t="s">
        <v>86</v>
      </c>
      <c r="D50" s="116" t="s">
        <v>247</v>
      </c>
      <c r="E50" s="99"/>
      <c r="F50" s="106">
        <f>'Rate NSU'!Y95</f>
        <v>8073</v>
      </c>
      <c r="G50" s="1"/>
      <c r="H50" s="106">
        <f>'Rate NSU'!AA95</f>
        <v>392374</v>
      </c>
      <c r="I50" s="106"/>
      <c r="J50" s="153">
        <f t="shared" si="4"/>
        <v>24.449632000000001</v>
      </c>
      <c r="K50" s="136"/>
      <c r="L50" s="106">
        <f>'Rate NSU'!AE95</f>
        <v>95934</v>
      </c>
      <c r="M50" s="106"/>
      <c r="N50" s="3">
        <f t="shared" si="5"/>
        <v>3.8</v>
      </c>
      <c r="O50" s="136"/>
      <c r="P50" s="106">
        <f>'Rate NSU'!AI95</f>
        <v>13460</v>
      </c>
      <c r="Q50" s="106"/>
      <c r="R50" s="154">
        <f t="shared" si="6"/>
        <v>14</v>
      </c>
      <c r="S50" s="138"/>
      <c r="T50" s="106">
        <f>'Rate NSU'!AM95</f>
        <v>1368</v>
      </c>
      <c r="U50" s="106"/>
      <c r="V50" s="106">
        <f>'Rate NSU'!AO95</f>
        <v>97302</v>
      </c>
      <c r="W50" s="106"/>
      <c r="X50" s="154">
        <f t="shared" si="7"/>
        <v>13.8</v>
      </c>
      <c r="Y50" s="110"/>
      <c r="Z50" s="102"/>
    </row>
    <row r="51" spans="1:26" x14ac:dyDescent="0.3">
      <c r="A51" s="102">
        <v>23</v>
      </c>
      <c r="C51" s="99" t="s">
        <v>73</v>
      </c>
      <c r="D51" s="99" t="s">
        <v>422</v>
      </c>
      <c r="E51" s="99"/>
      <c r="F51" s="106">
        <f>'Rate SC'!Y145</f>
        <v>2064</v>
      </c>
      <c r="G51" s="106"/>
      <c r="H51" s="106">
        <f>'Rate SC'!AA145</f>
        <v>91284</v>
      </c>
      <c r="I51" s="106"/>
      <c r="J51" s="153">
        <f t="shared" si="4"/>
        <v>6.8752459999999997</v>
      </c>
      <c r="K51" s="136"/>
      <c r="L51" s="106">
        <f>'Rate SC'!AE145</f>
        <v>6276</v>
      </c>
      <c r="M51" s="106"/>
      <c r="N51" s="3">
        <f t="shared" si="5"/>
        <v>0.25</v>
      </c>
      <c r="O51" s="136"/>
      <c r="P51" s="106">
        <f>'Rate SC'!AI145</f>
        <v>861</v>
      </c>
      <c r="Q51" s="106"/>
      <c r="R51" s="154">
        <f t="shared" si="6"/>
        <v>13.7</v>
      </c>
      <c r="S51" s="138"/>
      <c r="T51" s="106">
        <f>'Rate SC'!AM145</f>
        <v>318</v>
      </c>
      <c r="U51" s="106"/>
      <c r="V51" s="106">
        <f>'Rate SC'!AO145</f>
        <v>6594</v>
      </c>
      <c r="W51" s="106"/>
      <c r="X51" s="154">
        <f t="shared" si="7"/>
        <v>13.1</v>
      </c>
      <c r="Y51" s="110"/>
      <c r="Z51" s="102"/>
    </row>
    <row r="52" spans="1:26" x14ac:dyDescent="0.3">
      <c r="A52" s="102">
        <v>24</v>
      </c>
      <c r="C52" s="99" t="s">
        <v>70</v>
      </c>
      <c r="D52" s="99" t="s">
        <v>423</v>
      </c>
      <c r="E52" s="99"/>
      <c r="F52" s="106">
        <f>'Rate SE'!Y108</f>
        <v>20531</v>
      </c>
      <c r="G52" s="106"/>
      <c r="H52" s="106">
        <f>'Rate SE'!AA108</f>
        <v>1209602</v>
      </c>
      <c r="I52" s="106"/>
      <c r="J52" s="153">
        <f t="shared" si="4"/>
        <v>21.23434</v>
      </c>
      <c r="K52" s="136"/>
      <c r="L52" s="106">
        <f>'Rate SE'!AE108</f>
        <v>256851</v>
      </c>
      <c r="M52" s="106"/>
      <c r="N52" s="3">
        <f t="shared" si="5"/>
        <v>10.16</v>
      </c>
      <c r="O52" s="136"/>
      <c r="P52" s="106">
        <f>'Rate SE'!AI108</f>
        <v>35982</v>
      </c>
      <c r="Q52" s="106"/>
      <c r="R52" s="154">
        <f t="shared" si="6"/>
        <v>14</v>
      </c>
      <c r="S52" s="138"/>
      <c r="T52" s="106">
        <f>'Rate SE'!AM108</f>
        <v>4218</v>
      </c>
      <c r="U52" s="106"/>
      <c r="V52" s="106">
        <f>'Rate SE'!AO108</f>
        <v>261069</v>
      </c>
      <c r="W52" s="106"/>
      <c r="X52" s="154">
        <f t="shared" si="7"/>
        <v>13.8</v>
      </c>
      <c r="Y52" s="110"/>
      <c r="Z52" s="102"/>
    </row>
    <row r="53" spans="1:26" x14ac:dyDescent="0.3">
      <c r="A53" s="102">
        <v>25</v>
      </c>
      <c r="C53" s="99" t="s">
        <v>551</v>
      </c>
      <c r="D53" s="99" t="s">
        <v>579</v>
      </c>
      <c r="E53" s="99"/>
      <c r="F53" s="106">
        <f>'Rate LED'!Y692</f>
        <v>2283</v>
      </c>
      <c r="G53" s="106"/>
      <c r="H53" s="106">
        <f>'Rate LED'!AA692</f>
        <v>42161</v>
      </c>
      <c r="I53" s="106"/>
      <c r="J53" s="153">
        <f t="shared" si="4"/>
        <v>47.242711999999997</v>
      </c>
      <c r="K53" s="136"/>
      <c r="L53" s="106">
        <f>'Rate LED'!AE692</f>
        <v>19918</v>
      </c>
      <c r="M53" s="106"/>
      <c r="N53" s="3">
        <f t="shared" si="5"/>
        <v>0.79</v>
      </c>
      <c r="O53" s="136"/>
      <c r="P53" s="106">
        <f>'Rate LED'!AI692</f>
        <v>2852.4291680000001</v>
      </c>
      <c r="Q53" s="106"/>
      <c r="R53" s="154">
        <f>IFERROR(ROUND((P53/L53)*100,1),0)</f>
        <v>14.3</v>
      </c>
      <c r="S53" s="138"/>
      <c r="T53" s="106">
        <f>'Rate LED'!AM692</f>
        <v>147</v>
      </c>
      <c r="U53" s="106"/>
      <c r="V53" s="106">
        <f>'Rate LED'!AO692</f>
        <v>20065</v>
      </c>
      <c r="W53" s="106"/>
      <c r="X53" s="156">
        <f>IFERROR(ROUND((P53/V53)*100,1),0)</f>
        <v>14.2</v>
      </c>
      <c r="Y53" s="110"/>
      <c r="Z53" s="102"/>
    </row>
    <row r="54" spans="1:26" ht="20.100000000000001" customHeight="1" x14ac:dyDescent="0.3">
      <c r="A54" s="102">
        <v>26</v>
      </c>
      <c r="C54" s="169" t="s">
        <v>168</v>
      </c>
      <c r="F54" s="112">
        <f>SUM(F47:F53)</f>
        <v>168482</v>
      </c>
      <c r="G54" s="1"/>
      <c r="H54" s="112">
        <f>SUM(H47:H53)</f>
        <v>19111500.804000001</v>
      </c>
      <c r="I54" s="106"/>
      <c r="J54" s="153">
        <f>IF(H54=0,"-",ROUND((L54/H54)*100,6))</f>
        <v>13.222011999999999</v>
      </c>
      <c r="K54" s="136"/>
      <c r="L54" s="112">
        <f>SUM(L47:L53)</f>
        <v>2526925</v>
      </c>
      <c r="M54" s="106"/>
      <c r="N54" s="157">
        <f>ROUND((L54/L$67)*100,2)</f>
        <v>0.5</v>
      </c>
      <c r="O54" s="136"/>
      <c r="P54" s="112">
        <f>SUM(P47:P53)</f>
        <v>351846.429168</v>
      </c>
      <c r="Q54" s="106"/>
      <c r="R54" s="154">
        <f t="shared" si="6"/>
        <v>13.9</v>
      </c>
      <c r="S54" s="138"/>
      <c r="T54" s="112">
        <f>SUM(T47:T53)</f>
        <v>66648</v>
      </c>
      <c r="U54" s="106"/>
      <c r="V54" s="112">
        <f>SUM(V47:V53)</f>
        <v>2593573</v>
      </c>
      <c r="W54" s="106"/>
      <c r="X54" s="158">
        <f t="shared" si="7"/>
        <v>13.6</v>
      </c>
      <c r="Y54" s="110"/>
      <c r="Z54" s="102"/>
    </row>
    <row r="55" spans="1:26" x14ac:dyDescent="0.3">
      <c r="A55" s="102"/>
      <c r="F55" s="106"/>
      <c r="G55" s="1"/>
      <c r="H55" s="106"/>
      <c r="I55" s="106"/>
      <c r="J55" s="170"/>
      <c r="K55" s="171"/>
      <c r="L55" s="106"/>
      <c r="M55" s="106"/>
      <c r="N55" s="3"/>
      <c r="O55" s="106"/>
      <c r="P55" s="106"/>
      <c r="Q55" s="106"/>
      <c r="R55" s="154"/>
      <c r="S55" s="1"/>
      <c r="T55" s="106"/>
      <c r="U55" s="106"/>
      <c r="V55" s="106"/>
      <c r="W55" s="106"/>
      <c r="X55" s="154"/>
      <c r="Y55" s="110"/>
      <c r="Z55" s="102"/>
    </row>
    <row r="56" spans="1:26" x14ac:dyDescent="0.3">
      <c r="A56" s="102"/>
      <c r="C56" s="352" t="s">
        <v>410</v>
      </c>
      <c r="D56" s="352"/>
      <c r="F56" s="106"/>
      <c r="G56" s="1"/>
      <c r="H56" s="106"/>
      <c r="I56" s="106"/>
      <c r="J56" s="170"/>
      <c r="K56" s="171"/>
      <c r="L56" s="106"/>
      <c r="M56" s="106"/>
      <c r="N56" s="3"/>
      <c r="O56" s="106"/>
      <c r="P56" s="106"/>
      <c r="Q56" s="106"/>
      <c r="R56" s="154"/>
      <c r="S56" s="1"/>
      <c r="T56" s="106"/>
      <c r="U56" s="106"/>
      <c r="V56" s="106"/>
      <c r="W56" s="106"/>
      <c r="X56" s="154"/>
      <c r="Y56" s="110"/>
      <c r="Z56" s="102"/>
    </row>
    <row r="57" spans="1:26" x14ac:dyDescent="0.3">
      <c r="A57" s="102">
        <v>27</v>
      </c>
      <c r="C57" s="98" t="s">
        <v>352</v>
      </c>
      <c r="D57" s="98" t="s">
        <v>326</v>
      </c>
      <c r="E57" s="99"/>
      <c r="F57" s="110">
        <v>12</v>
      </c>
      <c r="G57" s="110"/>
      <c r="H57" s="110">
        <v>285301</v>
      </c>
      <c r="I57" s="1"/>
      <c r="J57" s="153">
        <f t="shared" ref="J57:J64" si="8">IF(H57=0,"-",ROUND((L57/H57)*100,6))</f>
        <v>9.4584650000000003</v>
      </c>
      <c r="K57" s="1"/>
      <c r="L57" s="110">
        <f>27980-(H57*INPUT!F19)</f>
        <v>26985.0947009472</v>
      </c>
      <c r="M57" s="106"/>
      <c r="N57" s="3">
        <f>ROUND((L57/L$65)*100,2)</f>
        <v>0.08</v>
      </c>
      <c r="O57" s="136"/>
      <c r="P57" s="110">
        <f>'SCH M-2.3'!L57-'SCH M-2.2'!L57</f>
        <v>3800</v>
      </c>
      <c r="Q57" s="106"/>
      <c r="R57" s="154">
        <f t="shared" ref="R57:R65" si="9">ROUND((P57/L57)*100,1)</f>
        <v>14.1</v>
      </c>
      <c r="S57" s="138"/>
      <c r="T57" s="172">
        <f>H57*CUR_FAC</f>
        <v>994.90529905279993</v>
      </c>
      <c r="U57" s="1"/>
      <c r="V57" s="106">
        <f t="shared" ref="V57:V64" si="10">L57+T57</f>
        <v>27980</v>
      </c>
      <c r="W57" s="106"/>
      <c r="X57" s="154">
        <f t="shared" ref="X57:X65" si="11">ROUND((P57/V57)*100,1)</f>
        <v>13.6</v>
      </c>
      <c r="Y57" s="110"/>
      <c r="Z57" s="160"/>
    </row>
    <row r="58" spans="1:26" x14ac:dyDescent="0.3">
      <c r="A58" s="102">
        <v>28</v>
      </c>
      <c r="C58" s="99"/>
      <c r="D58" s="99" t="s">
        <v>517</v>
      </c>
      <c r="E58" s="99"/>
      <c r="F58" s="106">
        <v>0</v>
      </c>
      <c r="G58" s="1"/>
      <c r="H58" s="106">
        <v>0</v>
      </c>
      <c r="I58" s="106"/>
      <c r="J58" s="153" t="str">
        <f t="shared" si="8"/>
        <v>-</v>
      </c>
      <c r="K58" s="136"/>
      <c r="L58" s="110">
        <f>2783039+25728381</f>
        <v>28511420</v>
      </c>
      <c r="M58" s="106"/>
      <c r="N58" s="3">
        <f t="shared" ref="N58:N63" si="12">ROUND((L58/L$65)*100,2)</f>
        <v>82.3</v>
      </c>
      <c r="O58" s="136"/>
      <c r="P58" s="110">
        <f>'SCH M-2.3'!L58-'SCH M-2.2'!L58</f>
        <v>0</v>
      </c>
      <c r="Q58" s="106"/>
      <c r="R58" s="154">
        <f>IF(L58=0,0,ROUND((P58/L58)*100,1))</f>
        <v>0</v>
      </c>
      <c r="S58" s="138"/>
      <c r="T58" s="106">
        <v>0</v>
      </c>
      <c r="U58" s="106"/>
      <c r="V58" s="106">
        <f t="shared" si="10"/>
        <v>28511420</v>
      </c>
      <c r="W58" s="106"/>
      <c r="X58" s="154">
        <f>IF(V58=0,0,ROUND((P58/V58)*100,1))</f>
        <v>0</v>
      </c>
      <c r="Y58" s="99"/>
      <c r="Z58" s="102"/>
    </row>
    <row r="59" spans="1:26" x14ac:dyDescent="0.3">
      <c r="A59" s="102">
        <v>29</v>
      </c>
      <c r="D59" s="116" t="s">
        <v>248</v>
      </c>
      <c r="F59" s="106">
        <v>0</v>
      </c>
      <c r="G59" s="1"/>
      <c r="H59" s="106">
        <v>0</v>
      </c>
      <c r="I59" s="106"/>
      <c r="J59" s="153" t="str">
        <f t="shared" si="8"/>
        <v>-</v>
      </c>
      <c r="K59" s="136"/>
      <c r="L59" s="110">
        <v>40086</v>
      </c>
      <c r="M59" s="106"/>
      <c r="N59" s="3">
        <f t="shared" si="12"/>
        <v>0.12</v>
      </c>
      <c r="O59" s="136"/>
      <c r="P59" s="110">
        <f>'SCH M-2.3'!L59-'SCH M-2.2'!L59</f>
        <v>0</v>
      </c>
      <c r="Q59" s="1"/>
      <c r="R59" s="154">
        <f t="shared" si="9"/>
        <v>0</v>
      </c>
      <c r="S59" s="138"/>
      <c r="T59" s="106">
        <v>0</v>
      </c>
      <c r="U59" s="106"/>
      <c r="V59" s="106">
        <f t="shared" si="10"/>
        <v>40086</v>
      </c>
      <c r="W59" s="106"/>
      <c r="X59" s="154">
        <f t="shared" si="11"/>
        <v>0</v>
      </c>
      <c r="Y59" s="99"/>
      <c r="Z59" s="102"/>
    </row>
    <row r="60" spans="1:26" x14ac:dyDescent="0.3">
      <c r="A60" s="102">
        <v>30</v>
      </c>
      <c r="D60" s="99" t="s">
        <v>251</v>
      </c>
      <c r="F60" s="106">
        <v>0</v>
      </c>
      <c r="G60" s="1"/>
      <c r="H60" s="106">
        <v>0</v>
      </c>
      <c r="I60" s="106"/>
      <c r="J60" s="153" t="str">
        <f t="shared" si="8"/>
        <v>-</v>
      </c>
      <c r="K60" s="136"/>
      <c r="L60" s="110">
        <v>40016</v>
      </c>
      <c r="M60" s="106"/>
      <c r="N60" s="3">
        <f t="shared" si="12"/>
        <v>0.12</v>
      </c>
      <c r="O60" s="136"/>
      <c r="P60" s="110">
        <f>'SCH M-2.3'!L60-'SCH M-2.2'!L60</f>
        <v>23375</v>
      </c>
      <c r="Q60" s="1"/>
      <c r="R60" s="154">
        <f t="shared" si="9"/>
        <v>58.4</v>
      </c>
      <c r="S60" s="138"/>
      <c r="T60" s="106">
        <v>0</v>
      </c>
      <c r="U60" s="106"/>
      <c r="V60" s="106">
        <f t="shared" si="10"/>
        <v>40016</v>
      </c>
      <c r="W60" s="106"/>
      <c r="X60" s="154">
        <f t="shared" si="11"/>
        <v>58.4</v>
      </c>
      <c r="Y60" s="99"/>
      <c r="Z60" s="102"/>
    </row>
    <row r="61" spans="1:26" x14ac:dyDescent="0.3">
      <c r="A61" s="102">
        <v>31</v>
      </c>
      <c r="D61" s="99" t="s">
        <v>476</v>
      </c>
      <c r="F61" s="106">
        <v>0</v>
      </c>
      <c r="G61" s="1"/>
      <c r="H61" s="106">
        <v>0</v>
      </c>
      <c r="I61" s="106"/>
      <c r="J61" s="153" t="str">
        <f t="shared" si="8"/>
        <v>-</v>
      </c>
      <c r="K61" s="136"/>
      <c r="L61" s="110">
        <v>316666</v>
      </c>
      <c r="M61" s="106"/>
      <c r="N61" s="3">
        <f>ROUND((L61/L$65)*100,2)</f>
        <v>0.91</v>
      </c>
      <c r="O61" s="136"/>
      <c r="P61" s="110">
        <f>'SCH M-2.3'!L61-'SCH M-2.2'!L61</f>
        <v>390924</v>
      </c>
      <c r="Q61" s="1"/>
      <c r="R61" s="154">
        <f>ROUND((P61/L61)*100,1)</f>
        <v>123.4</v>
      </c>
      <c r="S61" s="138"/>
      <c r="T61" s="106">
        <v>0</v>
      </c>
      <c r="U61" s="106"/>
      <c r="V61" s="106">
        <f>L61+T61</f>
        <v>316666</v>
      </c>
      <c r="W61" s="106"/>
      <c r="X61" s="154">
        <f>ROUND((P61/V61)*100,1)</f>
        <v>123.4</v>
      </c>
      <c r="Y61" s="99"/>
      <c r="Z61" s="102"/>
    </row>
    <row r="62" spans="1:26" x14ac:dyDescent="0.3">
      <c r="A62" s="102">
        <v>32</v>
      </c>
      <c r="D62" s="99" t="s">
        <v>250</v>
      </c>
      <c r="F62" s="106">
        <v>0</v>
      </c>
      <c r="G62" s="1"/>
      <c r="H62" s="106">
        <v>0</v>
      </c>
      <c r="I62" s="106"/>
      <c r="J62" s="153" t="str">
        <f t="shared" si="8"/>
        <v>-</v>
      </c>
      <c r="K62" s="136"/>
      <c r="L62" s="110">
        <v>1227323</v>
      </c>
      <c r="M62" s="106"/>
      <c r="N62" s="3">
        <f t="shared" si="12"/>
        <v>3.54</v>
      </c>
      <c r="O62" s="136"/>
      <c r="P62" s="110">
        <f>'SCH M-2.3'!L62-'SCH M-2.2'!L62</f>
        <v>0</v>
      </c>
      <c r="Q62" s="1"/>
      <c r="R62" s="154">
        <f t="shared" si="9"/>
        <v>0</v>
      </c>
      <c r="S62" s="138"/>
      <c r="T62" s="106">
        <v>0</v>
      </c>
      <c r="U62" s="106"/>
      <c r="V62" s="106">
        <f t="shared" si="10"/>
        <v>1227323</v>
      </c>
      <c r="W62" s="106"/>
      <c r="X62" s="154">
        <f t="shared" si="11"/>
        <v>0</v>
      </c>
      <c r="Y62" s="99"/>
      <c r="Z62" s="102"/>
    </row>
    <row r="63" spans="1:26" x14ac:dyDescent="0.3">
      <c r="A63" s="102">
        <v>33</v>
      </c>
      <c r="C63" s="98" t="s">
        <v>329</v>
      </c>
      <c r="D63" s="99" t="s">
        <v>327</v>
      </c>
      <c r="E63" s="99"/>
      <c r="F63" s="110">
        <f>'[2]Forecast BILLS'!$B$69</f>
        <v>12</v>
      </c>
      <c r="H63" s="110">
        <f>'[2]Forecast KWH'!$B$68</f>
        <v>13877361</v>
      </c>
      <c r="I63" s="106"/>
      <c r="J63" s="153">
        <f t="shared" si="8"/>
        <v>6.7425790000000001</v>
      </c>
      <c r="K63" s="136"/>
      <c r="L63" s="110">
        <f>IF(INPUT!$C$29&gt;0,$H$63*(INPUT!$C$204-CUR_FAC),$H$63*(INPUT!$C$204-INPUT!F19)-($H$63*(INPUT!$F$30+INPUT!$F$34)))</f>
        <v>935691.9896835793</v>
      </c>
      <c r="M63" s="147"/>
      <c r="N63" s="3">
        <f t="shared" si="12"/>
        <v>2.7</v>
      </c>
      <c r="O63" s="136"/>
      <c r="P63" s="110">
        <f>'SCH M-2.3'!L63-'SCH M-2.2'!L63</f>
        <v>0</v>
      </c>
      <c r="Q63" s="106"/>
      <c r="R63" s="154">
        <f t="shared" si="9"/>
        <v>0</v>
      </c>
      <c r="S63" s="138"/>
      <c r="T63" s="172">
        <f>H63*CUR_FAC</f>
        <v>48393.310909420798</v>
      </c>
      <c r="U63" s="106"/>
      <c r="V63" s="106">
        <f t="shared" si="10"/>
        <v>984085.30059300014</v>
      </c>
      <c r="W63" s="106"/>
      <c r="X63" s="154">
        <f t="shared" si="11"/>
        <v>0</v>
      </c>
      <c r="Y63" s="110"/>
      <c r="Z63" s="102"/>
    </row>
    <row r="64" spans="1:26" x14ac:dyDescent="0.3">
      <c r="A64" s="102">
        <v>34</v>
      </c>
      <c r="D64" s="99" t="s">
        <v>97</v>
      </c>
      <c r="E64" s="99"/>
      <c r="F64" s="106">
        <v>0</v>
      </c>
      <c r="G64" s="1"/>
      <c r="H64" s="106">
        <v>0</v>
      </c>
      <c r="I64" s="106"/>
      <c r="J64" s="153" t="str">
        <f t="shared" si="8"/>
        <v>-</v>
      </c>
      <c r="K64" s="136"/>
      <c r="L64" s="172">
        <f>1088122+2616295-158807</f>
        <v>3545610</v>
      </c>
      <c r="M64" s="147"/>
      <c r="N64" s="3">
        <f>ROUND((L64/L$65)*100,2)</f>
        <v>10.23</v>
      </c>
      <c r="O64" s="136"/>
      <c r="P64" s="110">
        <f>'SCH M-2.3'!L64-'SCH M-2.2'!L64</f>
        <v>0</v>
      </c>
      <c r="Q64" s="106"/>
      <c r="R64" s="154">
        <f t="shared" si="9"/>
        <v>0</v>
      </c>
      <c r="S64" s="138"/>
      <c r="T64" s="106">
        <v>0</v>
      </c>
      <c r="U64" s="106"/>
      <c r="V64" s="106">
        <f t="shared" si="10"/>
        <v>3545610</v>
      </c>
      <c r="W64" s="106"/>
      <c r="X64" s="156">
        <f t="shared" si="11"/>
        <v>0</v>
      </c>
      <c r="Y64" s="99"/>
      <c r="Z64" s="102"/>
    </row>
    <row r="65" spans="1:26" ht="20.100000000000001" customHeight="1" x14ac:dyDescent="0.3">
      <c r="A65" s="102">
        <v>35</v>
      </c>
      <c r="C65" s="124" t="s">
        <v>411</v>
      </c>
      <c r="F65" s="112">
        <f>SUM(F57:F64)</f>
        <v>24</v>
      </c>
      <c r="G65" s="1"/>
      <c r="H65" s="112">
        <f>SUM(H57:H64)</f>
        <v>14162662</v>
      </c>
      <c r="I65" s="106"/>
      <c r="J65" s="153"/>
      <c r="K65" s="136"/>
      <c r="L65" s="112">
        <f>SUM(L57:L64)</f>
        <v>34643798.084384531</v>
      </c>
      <c r="M65" s="106"/>
      <c r="N65" s="157">
        <f>ROUND((L65/L$67)*100,2)</f>
        <v>6.92</v>
      </c>
      <c r="O65" s="136"/>
      <c r="P65" s="112">
        <f>SUM(P57:P64)</f>
        <v>418099</v>
      </c>
      <c r="Q65" s="106"/>
      <c r="R65" s="154">
        <f t="shared" si="9"/>
        <v>1.2</v>
      </c>
      <c r="S65" s="138"/>
      <c r="T65" s="112">
        <f>SUM(T57:T64)</f>
        <v>49388.216208473597</v>
      </c>
      <c r="U65" s="106"/>
      <c r="V65" s="112">
        <f>SUM(V57:V64)</f>
        <v>34693186.300593004</v>
      </c>
      <c r="W65" s="106"/>
      <c r="X65" s="158">
        <f t="shared" si="11"/>
        <v>1.2</v>
      </c>
      <c r="Y65" s="110"/>
      <c r="Z65" s="102"/>
    </row>
    <row r="66" spans="1:26" x14ac:dyDescent="0.3">
      <c r="A66" s="102"/>
      <c r="F66" s="106"/>
      <c r="G66" s="1"/>
      <c r="H66" s="106"/>
      <c r="I66" s="106"/>
      <c r="J66" s="153"/>
      <c r="K66" s="136"/>
      <c r="L66" s="106"/>
      <c r="M66" s="106"/>
      <c r="N66" s="3"/>
      <c r="O66" s="136"/>
      <c r="P66" s="1"/>
      <c r="Q66" s="1"/>
      <c r="R66" s="154"/>
      <c r="S66" s="138"/>
      <c r="T66" s="106"/>
      <c r="U66" s="106"/>
      <c r="V66" s="106"/>
      <c r="W66" s="106"/>
      <c r="X66" s="154"/>
      <c r="Y66" s="110"/>
      <c r="Z66" s="102"/>
    </row>
    <row r="67" spans="1:26" ht="20.100000000000001" customHeight="1" thickBot="1" x14ac:dyDescent="0.35">
      <c r="A67" s="102">
        <v>36</v>
      </c>
      <c r="C67" s="124" t="s">
        <v>98</v>
      </c>
      <c r="F67" s="120">
        <f>F65+F54+F44+F37+F33+F23</f>
        <v>2005129</v>
      </c>
      <c r="G67" s="1"/>
      <c r="H67" s="120">
        <f>H65+H54+H44+H37+H33+H23</f>
        <v>4035756978.8930001</v>
      </c>
      <c r="I67" s="106"/>
      <c r="J67" s="153">
        <f>IF(H67=0,"-",ROUND((L67/H67)*100,6))</f>
        <v>12.402136</v>
      </c>
      <c r="K67" s="136"/>
      <c r="L67" s="120">
        <f>L65+L54+L44+L37+L33+L23</f>
        <v>500520055.08438456</v>
      </c>
      <c r="M67" s="106"/>
      <c r="N67" s="161">
        <v>100</v>
      </c>
      <c r="O67" s="136"/>
      <c r="P67" s="120">
        <f>P65+P54+P44+P37+P33+P23</f>
        <v>71348274.429168001</v>
      </c>
      <c r="Q67" s="106"/>
      <c r="R67" s="154">
        <f>ROUND((P67/L67)*100,1)</f>
        <v>14.3</v>
      </c>
      <c r="S67" s="138"/>
      <c r="T67" s="120">
        <f>T65+T54+T44+T37+T33+T23</f>
        <v>14027269.216208473</v>
      </c>
      <c r="U67" s="106"/>
      <c r="V67" s="120">
        <f>V65+V54+V44+V37+V33+V23</f>
        <v>514547324.30059302</v>
      </c>
      <c r="W67" s="106"/>
      <c r="X67" s="162">
        <f>ROUND((P67/V67)*100,1)</f>
        <v>13.9</v>
      </c>
      <c r="Y67" s="110"/>
      <c r="Z67" s="102"/>
    </row>
    <row r="68" spans="1:26" ht="16.2" thickTop="1" x14ac:dyDescent="0.3">
      <c r="F68" s="1"/>
      <c r="G68" s="1"/>
      <c r="H68" s="1"/>
      <c r="I68" s="1"/>
      <c r="J68" s="2"/>
      <c r="K68" s="1"/>
      <c r="L68" s="1"/>
      <c r="M68" s="1"/>
      <c r="N68" s="3"/>
      <c r="O68" s="1"/>
      <c r="P68" s="1"/>
      <c r="Q68" s="1"/>
      <c r="R68" s="154"/>
      <c r="S68" s="1"/>
      <c r="T68" s="1"/>
      <c r="U68" s="1"/>
      <c r="V68" s="1"/>
      <c r="W68" s="1"/>
      <c r="X68" s="154"/>
      <c r="Y68" s="110"/>
      <c r="Z68" s="102"/>
    </row>
    <row r="69" spans="1:26" x14ac:dyDescent="0.3">
      <c r="C69" s="116" t="str">
        <f>"NOTE: DETAIL CONTAINED ON SCHEDULES M-2.2 PAGES 2 THROUGH "&amp;TEXT(Page_Num_2.2,"00")&amp;"."</f>
        <v>NOTE: DETAIL CONTAINED ON SCHEDULES M-2.2 PAGES 2 THROUGH 24.</v>
      </c>
      <c r="J69" s="102"/>
      <c r="N69" s="163"/>
      <c r="Y69" s="110"/>
      <c r="Z69" s="102"/>
    </row>
    <row r="70" spans="1:26" x14ac:dyDescent="0.3">
      <c r="C70" s="116"/>
      <c r="J70" s="102"/>
      <c r="N70" s="163"/>
      <c r="Y70" s="110"/>
      <c r="Z70" s="102"/>
    </row>
    <row r="71" spans="1:26" x14ac:dyDescent="0.3">
      <c r="C71" s="116"/>
      <c r="J71" s="102"/>
      <c r="L71" s="110"/>
      <c r="N71" s="163"/>
      <c r="V71" s="110"/>
      <c r="Y71" s="110"/>
      <c r="Z71" s="102"/>
    </row>
    <row r="72" spans="1:26" x14ac:dyDescent="0.3">
      <c r="C72" s="116"/>
      <c r="J72" s="102"/>
      <c r="N72" s="163"/>
      <c r="Y72" s="110"/>
      <c r="Z72" s="102"/>
    </row>
    <row r="73" spans="1:26" x14ac:dyDescent="0.3">
      <c r="C73" s="116"/>
      <c r="J73" s="102"/>
      <c r="N73" s="163"/>
      <c r="Y73" s="110"/>
      <c r="Z73" s="102"/>
    </row>
    <row r="74" spans="1:26" x14ac:dyDescent="0.3">
      <c r="C74" s="116"/>
      <c r="J74" s="102"/>
      <c r="N74" s="163"/>
      <c r="Y74" s="110"/>
      <c r="Z74" s="102"/>
    </row>
    <row r="75" spans="1:26" x14ac:dyDescent="0.3">
      <c r="A75" s="99"/>
      <c r="J75" s="102"/>
      <c r="N75" s="163"/>
      <c r="Y75" s="110"/>
      <c r="Z75" s="102"/>
    </row>
    <row r="76" spans="1:26" x14ac:dyDescent="0.3">
      <c r="H76" s="110"/>
      <c r="Y76" s="110"/>
      <c r="Z76" s="102"/>
    </row>
    <row r="77" spans="1:26" ht="24.6" x14ac:dyDescent="0.4">
      <c r="L77" s="164"/>
      <c r="Y77" s="110"/>
      <c r="Z77" s="102"/>
    </row>
    <row r="78" spans="1:26" x14ac:dyDescent="0.3">
      <c r="H78" s="139"/>
      <c r="L78" s="139"/>
      <c r="Y78" s="110"/>
      <c r="Z78" s="102"/>
    </row>
    <row r="79" spans="1:26" x14ac:dyDescent="0.3">
      <c r="L79" s="139"/>
      <c r="Y79" s="110"/>
      <c r="Z79" s="102"/>
    </row>
    <row r="80" spans="1:26" x14ac:dyDescent="0.3">
      <c r="H80" s="110"/>
      <c r="L80" s="139"/>
      <c r="Y80" s="110"/>
      <c r="Z80" s="102"/>
    </row>
    <row r="81" spans="8:26" x14ac:dyDescent="0.3">
      <c r="H81" s="110"/>
      <c r="Y81" s="110"/>
      <c r="Z81" s="102"/>
    </row>
    <row r="82" spans="8:26" x14ac:dyDescent="0.3">
      <c r="H82" s="110"/>
      <c r="L82" s="173"/>
      <c r="Y82" s="110"/>
      <c r="Z82" s="102"/>
    </row>
    <row r="83" spans="8:26" x14ac:dyDescent="0.3">
      <c r="Y83" s="110"/>
      <c r="Z83" s="102"/>
    </row>
    <row r="84" spans="8:26" x14ac:dyDescent="0.3">
      <c r="Y84" s="110"/>
      <c r="Z84" s="102"/>
    </row>
    <row r="85" spans="8:26" x14ac:dyDescent="0.3">
      <c r="Y85" s="110"/>
      <c r="Z85" s="102"/>
    </row>
    <row r="86" spans="8:26" x14ac:dyDescent="0.3">
      <c r="Z86" s="102"/>
    </row>
    <row r="87" spans="8:26" x14ac:dyDescent="0.3">
      <c r="Z87" s="102"/>
    </row>
    <row r="88" spans="8:26" x14ac:dyDescent="0.3">
      <c r="Z88" s="102"/>
    </row>
    <row r="89" spans="8:26" x14ac:dyDescent="0.3">
      <c r="Z89" s="102"/>
    </row>
    <row r="90" spans="8:26" x14ac:dyDescent="0.3">
      <c r="Z90" s="102"/>
    </row>
    <row r="91" spans="8:26" x14ac:dyDescent="0.3">
      <c r="Z91" s="102"/>
    </row>
    <row r="92" spans="8:26" x14ac:dyDescent="0.3">
      <c r="Z92" s="102"/>
    </row>
    <row r="93" spans="8:26" x14ac:dyDescent="0.3">
      <c r="Z93" s="102"/>
    </row>
    <row r="94" spans="8:26" x14ac:dyDescent="0.3">
      <c r="Z94" s="102"/>
    </row>
    <row r="95" spans="8:26" x14ac:dyDescent="0.3">
      <c r="Z95" s="102"/>
    </row>
    <row r="96" spans="8:26" x14ac:dyDescent="0.3">
      <c r="Z96" s="102"/>
    </row>
    <row r="97" spans="26:26" x14ac:dyDescent="0.3">
      <c r="Z97" s="102"/>
    </row>
  </sheetData>
  <customSheetViews>
    <customSheetView guid="{F562D92E-120C-4AE9-9663-89E64D41DC53}" scale="75" fitToPage="1" topLeftCell="G16">
      <selection activeCell="T19" sqref="T19"/>
      <pageMargins left="0.5" right="0.5" top="1" bottom="0" header="0.5" footer="0.5"/>
      <printOptions horizontalCentered="1"/>
      <pageSetup scale="54" orientation="landscape" horizontalDpi="300" verticalDpi="300" r:id="rId1"/>
      <headerFooter alignWithMargins="0"/>
    </customSheetView>
    <customSheetView guid="{35F19056-2E6F-4935-B863-78836FE990BF}" scale="75" fitToPage="1" showRuler="0" topLeftCell="G33">
      <selection activeCell="V55" sqref="V55"/>
      <pageMargins left="0.5" right="0.5" top="1" bottom="0" header="0.5" footer="0.5"/>
      <printOptions horizontalCentered="1"/>
      <pageSetup scale="54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pageMargins left="0.5" right="0.5" top="1" bottom="0" header="0.5" footer="0.5"/>
      <printOptions horizontalCentered="1"/>
      <pageSetup scale="52" orientation="landscape" horizontalDpi="300" verticalDpi="300" r:id="rId4"/>
      <headerFooter alignWithMargins="0"/>
    </customSheetView>
    <customSheetView guid="{6B3D5C27-2FDE-4561-9575-1E98BFB869D0}" scale="75" fitToPage="1" showRuler="0">
      <selection activeCell="D33" sqref="D33"/>
      <pageMargins left="0.5" right="0.5" top="1" bottom="0" header="0.5" footer="0.5"/>
      <printOptions horizontalCentered="1"/>
      <pageSetup scale="48" orientation="landscape" horizontalDpi="300" verticalDpi="300" r:id="rId5"/>
      <headerFooter alignWithMargins="0"/>
    </customSheetView>
    <customSheetView guid="{8FB94551-8874-4095-B8FB-5316E0D2FD2C}" scale="75" fitToPage="1" showRuler="0">
      <pageMargins left="0.5" right="0.5" top="1" bottom="0" header="0.5" footer="0.5"/>
      <printOptions horizontalCentered="1"/>
      <pageSetup scale="52" orientation="landscape" horizontalDpi="300" verticalDpi="300" r:id="rId6"/>
      <headerFooter alignWithMargins="0"/>
    </customSheetView>
    <customSheetView guid="{8FC77C99-DBF7-40B8-99B8-01B75826CDCB}" scale="75" fitToPage="1" showRuler="0" topLeftCell="I46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7"/>
      <headerFooter alignWithMargins="0"/>
    </customSheetView>
    <customSheetView guid="{2EA35095-1ADC-4CC7-8C3C-B487D65FA247}" scale="75" fitToPage="1" showRuler="0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8"/>
      <headerFooter alignWithMargins="0"/>
    </customSheetView>
    <customSheetView guid="{2431C9E5-7CC2-4B8D-99C3-962247B1DBF5}" scale="75" fitToPage="1" showRuler="0">
      <pane xSplit="5" ySplit="18" topLeftCell="F19" activePane="bottomRight" state="frozen"/>
      <selection pane="bottomRight" activeCell="L50" sqref="L50"/>
      <pageMargins left="0.5" right="0.5" top="1" bottom="0" header="0.5" footer="0.5"/>
      <printOptions horizontalCentered="1"/>
      <pageSetup scale="53" orientation="landscape" horizontalDpi="300" verticalDpi="300" r:id="rId9"/>
      <headerFooter alignWithMargins="0"/>
    </customSheetView>
    <customSheetView guid="{4BC93440-BA85-4935-A8C9-66DC6AE5DE5E}" scale="75" fitToPage="1" showRuler="0">
      <pane xSplit="5" ySplit="18" topLeftCell="G64" activePane="bottomRight" state="frozen"/>
      <selection pane="bottomRight" activeCell="L68" sqref="L68"/>
      <pageMargins left="0.5" right="0.5" top="1" bottom="0" header="0.5" footer="0.5"/>
      <printOptions horizontalCentered="1"/>
      <pageSetup scale="53" orientation="landscape" horizontalDpi="300" verticalDpi="300" r:id="rId10"/>
      <headerFooter alignWithMargins="0"/>
    </customSheetView>
    <customSheetView guid="{0C49E549-011E-46F4-A82E-2CC8951A9C1E}" scale="75" fitToPage="1" showRuler="0" topLeftCell="A4">
      <selection activeCell="D33" sqref="D33"/>
      <pageMargins left="0.5" right="0.5" top="1" bottom="0" header="0.5" footer="0.5"/>
      <printOptions horizontalCentered="1"/>
      <pageSetup scale="52" orientation="landscape" horizontalDpi="300" verticalDpi="300" r:id="rId11"/>
      <headerFooter alignWithMargins="0"/>
    </customSheetView>
    <customSheetView guid="{195DF303-1BBD-4236-94B5-47432850B006}" scale="75" fitToPage="1" showRuler="0">
      <pageMargins left="0.5" right="0.5" top="1" bottom="0" header="0.5" footer="0.5"/>
      <printOptions horizontalCentered="1"/>
      <pageSetup scale="52" orientation="landscape" horizontalDpi="300" verticalDpi="300" r:id="rId12"/>
      <headerFooter alignWithMargins="0"/>
    </customSheetView>
  </customSheetViews>
  <mergeCells count="11">
    <mergeCell ref="A1:X1"/>
    <mergeCell ref="A2:X2"/>
    <mergeCell ref="A3:X3"/>
    <mergeCell ref="A4:X4"/>
    <mergeCell ref="A5:X5"/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4" orientation="landscape" horizontalDpi="300" verticalDpi="300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syncVertical="1" syncRef="A1" transitionEvaluation="1" transitionEntry="1" codeName="Sheet5">
    <pageSetUpPr fitToPage="1"/>
  </sheetPr>
  <dimension ref="A1:X80"/>
  <sheetViews>
    <sheetView zoomScale="75" zoomScaleNormal="75" workbookViewId="0"/>
  </sheetViews>
  <sheetFormatPr defaultColWidth="9.75" defaultRowHeight="15.6" x14ac:dyDescent="0.3"/>
  <cols>
    <col min="1" max="1" width="5.6640625" style="98" customWidth="1"/>
    <col min="2" max="2" width="0.33203125" style="98" customWidth="1"/>
    <col min="3" max="3" width="13.58203125" style="98" customWidth="1"/>
    <col min="4" max="4" width="32" style="98" customWidth="1"/>
    <col min="5" max="5" width="0.58203125" style="98" customWidth="1"/>
    <col min="6" max="6" width="15.58203125" style="98" customWidth="1"/>
    <col min="7" max="7" width="0.58203125" style="98" customWidth="1"/>
    <col min="8" max="8" width="19.33203125" style="98" customWidth="1"/>
    <col min="9" max="9" width="0.75" style="98" customWidth="1"/>
    <col min="10" max="10" width="12.08203125" style="98" customWidth="1"/>
    <col min="11" max="11" width="0.4140625" style="98" customWidth="1"/>
    <col min="12" max="12" width="15.6640625" style="98" customWidth="1"/>
    <col min="13" max="13" width="0.9140625" style="98" customWidth="1"/>
    <col min="14" max="14" width="12.75" style="98" customWidth="1"/>
    <col min="15" max="15" width="0.6640625" style="98" customWidth="1"/>
    <col min="16" max="16" width="15.4140625" style="98" customWidth="1"/>
    <col min="17" max="17" width="0.75" style="98" customWidth="1"/>
    <col min="18" max="18" width="22.33203125" style="98" customWidth="1"/>
    <col min="19" max="70" width="9.75" style="98"/>
    <col min="71" max="71" width="20.75" style="98" customWidth="1"/>
    <col min="72" max="16384" width="9.75" style="98"/>
  </cols>
  <sheetData>
    <row r="1" spans="1:18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18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1:18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8" x14ac:dyDescent="0.3">
      <c r="A6" s="98" t="str">
        <f>DATA_PERIOD</f>
        <v>DATA: __X__ BASE PERIOD   ____FORECASTED PERIOD</v>
      </c>
      <c r="R6" s="99" t="s">
        <v>156</v>
      </c>
    </row>
    <row r="7" spans="1:18" x14ac:dyDescent="0.3">
      <c r="A7" s="98" t="str">
        <f>TYPE</f>
        <v>TYPE OF FILING: _X_ ORIGINAL   ___UPDATED  ___ REVISED</v>
      </c>
      <c r="R7" s="116" t="str">
        <f>"PAGE 1 OF "&amp;TEXT(Page_Num_2.3,"00")</f>
        <v>PAGE 1 OF 24</v>
      </c>
    </row>
    <row r="8" spans="1:18" x14ac:dyDescent="0.3">
      <c r="A8" s="99" t="s">
        <v>186</v>
      </c>
      <c r="R8" s="99" t="s">
        <v>3</v>
      </c>
    </row>
    <row r="9" spans="1:18" x14ac:dyDescent="0.3">
      <c r="A9" s="124" t="str">
        <f>TIME</f>
        <v>6 Months Actual and 6 Months Projected with Riders</v>
      </c>
      <c r="R9" s="98" t="str">
        <f>WIT</f>
        <v>B. L. Sailers</v>
      </c>
    </row>
    <row r="10" spans="1:18" x14ac:dyDescent="0.3">
      <c r="A10" s="124" t="str">
        <f>INPUT!B5</f>
        <v>6 Months Actual Ending August 31, 2024</v>
      </c>
    </row>
    <row r="11" spans="1:18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</row>
    <row r="12" spans="1:18" ht="12.75" customHeight="1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</row>
    <row r="13" spans="1:18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</row>
    <row r="14" spans="1:18" x14ac:dyDescent="0.3">
      <c r="L14" s="102" t="s">
        <v>12</v>
      </c>
      <c r="M14" s="102"/>
      <c r="N14" s="102" t="s">
        <v>13</v>
      </c>
      <c r="O14" s="102"/>
      <c r="R14" s="102" t="s">
        <v>11</v>
      </c>
    </row>
    <row r="15" spans="1:18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</row>
    <row r="16" spans="1:18" x14ac:dyDescent="0.3">
      <c r="A16" s="102" t="s">
        <v>22</v>
      </c>
      <c r="C16" s="102" t="s">
        <v>23</v>
      </c>
      <c r="D16" s="102" t="s">
        <v>24</v>
      </c>
      <c r="E16" s="102"/>
      <c r="F16" s="102" t="s">
        <v>55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9</v>
      </c>
      <c r="Q16" s="102"/>
      <c r="R16" s="131" t="s">
        <v>28</v>
      </c>
    </row>
    <row r="17" spans="1:18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</row>
    <row r="18" spans="1:18" ht="9.75" customHeight="1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</row>
    <row r="19" spans="1:18" ht="17.100000000000001" customHeight="1" x14ac:dyDescent="0.3">
      <c r="H19" s="166" t="s">
        <v>49</v>
      </c>
      <c r="I19" s="166"/>
      <c r="J19" s="167" t="s">
        <v>197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</row>
    <row r="20" spans="1:18" x14ac:dyDescent="0.3">
      <c r="C20" s="352" t="s">
        <v>53</v>
      </c>
      <c r="D20" s="352"/>
      <c r="H20" s="102"/>
      <c r="I20" s="102"/>
      <c r="J20" s="103"/>
      <c r="K20" s="102"/>
      <c r="L20" s="102"/>
      <c r="M20" s="102"/>
      <c r="N20" s="102"/>
      <c r="O20" s="102"/>
      <c r="P20" s="102"/>
      <c r="Q20" s="102"/>
      <c r="R20" s="102"/>
    </row>
    <row r="21" spans="1:18" x14ac:dyDescent="0.3">
      <c r="A21" s="102">
        <v>1</v>
      </c>
      <c r="C21" s="99" t="s">
        <v>52</v>
      </c>
      <c r="D21" s="116" t="s">
        <v>242</v>
      </c>
      <c r="E21" s="99"/>
      <c r="F21" s="106">
        <f>'Rate RS'!F38</f>
        <v>1673311</v>
      </c>
      <c r="G21" s="1"/>
      <c r="H21" s="106">
        <f>'Rate RS'!H38</f>
        <v>1526476481.0089998</v>
      </c>
      <c r="I21" s="106"/>
      <c r="J21" s="153">
        <f>IF(H21=0,"-",ROUND((L21/H21)*100,6))</f>
        <v>15.234658</v>
      </c>
      <c r="K21" s="136"/>
      <c r="L21" s="106">
        <f>'Rate RS'!L38</f>
        <v>232553472</v>
      </c>
      <c r="M21" s="106"/>
      <c r="N21" s="3">
        <f>ROUND((L21/L$23)*100,2)</f>
        <v>100</v>
      </c>
      <c r="O21" s="136"/>
      <c r="P21" s="106">
        <f>'Rate RS'!P38</f>
        <v>5323148</v>
      </c>
      <c r="Q21" s="106"/>
      <c r="R21" s="106">
        <f>'Rate RS'!R38</f>
        <v>237876620</v>
      </c>
    </row>
    <row r="22" spans="1:18" x14ac:dyDescent="0.3">
      <c r="A22" s="102">
        <v>2</v>
      </c>
      <c r="C22" s="99"/>
      <c r="D22" s="116"/>
      <c r="E22" s="99"/>
      <c r="F22" s="106"/>
      <c r="G22" s="1"/>
      <c r="H22" s="106"/>
      <c r="I22" s="106"/>
      <c r="J22" s="153"/>
      <c r="K22" s="136"/>
      <c r="L22" s="106"/>
      <c r="M22" s="106"/>
      <c r="N22" s="3"/>
      <c r="O22" s="136"/>
      <c r="P22" s="106"/>
      <c r="Q22" s="106"/>
      <c r="R22" s="106"/>
    </row>
    <row r="23" spans="1:18" ht="20.100000000000001" customHeight="1" x14ac:dyDescent="0.3">
      <c r="A23" s="102">
        <v>3</v>
      </c>
      <c r="C23" s="169" t="s">
        <v>195</v>
      </c>
      <c r="F23" s="112">
        <f>F21</f>
        <v>1673311</v>
      </c>
      <c r="G23" s="1"/>
      <c r="H23" s="112">
        <f>H21</f>
        <v>1526476481.0089998</v>
      </c>
      <c r="I23" s="106"/>
      <c r="J23" s="153">
        <f>IF(H23=0,"-",ROUND((L23/H23)*100,6))</f>
        <v>15.234658</v>
      </c>
      <c r="K23" s="136"/>
      <c r="L23" s="112">
        <f>L21</f>
        <v>232553472</v>
      </c>
      <c r="M23" s="106"/>
      <c r="N23" s="157">
        <f>ROUND((L23/L$67)*100,2)</f>
        <v>40.67</v>
      </c>
      <c r="O23" s="136"/>
      <c r="P23" s="112">
        <f>P21</f>
        <v>5323148</v>
      </c>
      <c r="Q23" s="106"/>
      <c r="R23" s="112">
        <f>R21</f>
        <v>237876620</v>
      </c>
    </row>
    <row r="24" spans="1:18" ht="12" customHeight="1" x14ac:dyDescent="0.3">
      <c r="A24" s="102"/>
      <c r="F24" s="106"/>
      <c r="G24" s="1"/>
      <c r="H24" s="106"/>
      <c r="I24" s="106"/>
      <c r="J24" s="153"/>
      <c r="K24" s="136"/>
      <c r="L24" s="106"/>
      <c r="M24" s="106"/>
      <c r="N24" s="3"/>
      <c r="O24" s="136"/>
      <c r="P24" s="106"/>
      <c r="Q24" s="106"/>
      <c r="R24" s="106"/>
    </row>
    <row r="25" spans="1:18" ht="15.75" customHeight="1" x14ac:dyDescent="0.3">
      <c r="A25" s="102"/>
      <c r="C25" s="352" t="s">
        <v>253</v>
      </c>
      <c r="D25" s="352"/>
      <c r="F25" s="106"/>
      <c r="G25" s="1"/>
      <c r="H25" s="106"/>
      <c r="I25" s="106"/>
      <c r="J25" s="153"/>
      <c r="K25" s="136"/>
      <c r="L25" s="106"/>
      <c r="M25" s="106"/>
      <c r="N25" s="3"/>
      <c r="O25" s="136"/>
      <c r="P25" s="106"/>
      <c r="Q25" s="106"/>
      <c r="R25" s="106"/>
    </row>
    <row r="26" spans="1:18" x14ac:dyDescent="0.3">
      <c r="A26" s="102">
        <v>4</v>
      </c>
      <c r="C26" s="99" t="s">
        <v>91</v>
      </c>
      <c r="D26" s="116" t="s">
        <v>243</v>
      </c>
      <c r="E26" s="99"/>
      <c r="F26" s="106">
        <f>'Rate DS'!F50</f>
        <v>159778</v>
      </c>
      <c r="G26" s="1"/>
      <c r="H26" s="106">
        <f>'Rate DS'!H50</f>
        <v>1142579183.1479995</v>
      </c>
      <c r="I26" s="106"/>
      <c r="J26" s="153">
        <f t="shared" ref="J26:J33" si="0">IF(H26=0,"-",ROUND((L26/H26)*100,6))</f>
        <v>13.787971000000001</v>
      </c>
      <c r="K26" s="136"/>
      <c r="L26" s="106">
        <f>'Rate DS'!L50</f>
        <v>157538486</v>
      </c>
      <c r="M26" s="106"/>
      <c r="N26" s="3">
        <f t="shared" ref="N26:N31" si="1">ROUND((L26/L$33)*100,2)</f>
        <v>55.37</v>
      </c>
      <c r="O26" s="136"/>
      <c r="P26" s="106">
        <f>'Rate DS'!P50</f>
        <v>3984417</v>
      </c>
      <c r="Q26" s="106"/>
      <c r="R26" s="106">
        <f>'Rate DS'!R50</f>
        <v>161522903</v>
      </c>
    </row>
    <row r="27" spans="1:18" x14ac:dyDescent="0.3">
      <c r="A27" s="102">
        <v>5</v>
      </c>
      <c r="C27" s="99" t="s">
        <v>378</v>
      </c>
      <c r="D27" s="99" t="s">
        <v>61</v>
      </c>
      <c r="E27" s="99"/>
      <c r="F27" s="106">
        <f>'Rate DT-Pri'!F65</f>
        <v>404</v>
      </c>
      <c r="G27" s="1"/>
      <c r="H27" s="106">
        <f>'Rate DT-Pri'!H65</f>
        <v>486248297.61800003</v>
      </c>
      <c r="I27" s="106"/>
      <c r="J27" s="153">
        <f t="shared" si="0"/>
        <v>11.046818</v>
      </c>
      <c r="K27" s="136"/>
      <c r="L27" s="106">
        <f>'Rate DT-Pri'!L65</f>
        <v>53714963</v>
      </c>
      <c r="M27" s="106"/>
      <c r="N27" s="3">
        <f t="shared" si="1"/>
        <v>18.88</v>
      </c>
      <c r="O27" s="136"/>
      <c r="P27" s="106">
        <f>'Rate DT-Pri'!P65</f>
        <v>1695651</v>
      </c>
      <c r="Q27" s="106"/>
      <c r="R27" s="106">
        <f>'Rate DT-Pri'!R65</f>
        <v>55410614</v>
      </c>
    </row>
    <row r="28" spans="1:18" x14ac:dyDescent="0.3">
      <c r="A28" s="102">
        <v>6</v>
      </c>
      <c r="C28" s="99" t="s">
        <v>376</v>
      </c>
      <c r="D28" s="99" t="s">
        <v>61</v>
      </c>
      <c r="E28" s="99"/>
      <c r="F28" s="106">
        <f>'Rate DT-Sec'!F63</f>
        <v>1395</v>
      </c>
      <c r="G28" s="1"/>
      <c r="H28" s="106">
        <f>'Rate DT-Sec'!H63</f>
        <v>614580418.10400009</v>
      </c>
      <c r="I28" s="106"/>
      <c r="J28" s="153">
        <f t="shared" si="0"/>
        <v>11.242149</v>
      </c>
      <c r="K28" s="136"/>
      <c r="L28" s="106">
        <f>'Rate DT-Sec'!L63</f>
        <v>69092044</v>
      </c>
      <c r="M28" s="106"/>
      <c r="N28" s="3">
        <f t="shared" si="1"/>
        <v>24.28</v>
      </c>
      <c r="O28" s="136"/>
      <c r="P28" s="106">
        <f>'Rate DT-Sec'!P63</f>
        <v>2143173</v>
      </c>
      <c r="Q28" s="106"/>
      <c r="R28" s="106">
        <f>'Rate DT-Sec'!R63</f>
        <v>71235217</v>
      </c>
    </row>
    <row r="29" spans="1:18" x14ac:dyDescent="0.3">
      <c r="A29" s="102">
        <v>7</v>
      </c>
      <c r="C29" s="99" t="s">
        <v>94</v>
      </c>
      <c r="D29" s="99" t="s">
        <v>245</v>
      </c>
      <c r="E29" s="99"/>
      <c r="F29" s="106">
        <f>'Rate EH'!F43</f>
        <v>964</v>
      </c>
      <c r="G29" s="1"/>
      <c r="H29" s="106">
        <f>'Rate EH'!H43</f>
        <v>19400962.346000001</v>
      </c>
      <c r="I29" s="106"/>
      <c r="J29" s="153">
        <f t="shared" si="0"/>
        <v>11.257332999999999</v>
      </c>
      <c r="K29" s="136"/>
      <c r="L29" s="106">
        <f>'Rate EH'!L43</f>
        <v>2184031</v>
      </c>
      <c r="M29" s="106"/>
      <c r="N29" s="3">
        <f t="shared" si="1"/>
        <v>0.77</v>
      </c>
      <c r="O29" s="136"/>
      <c r="P29" s="106">
        <f>'Rate EH'!P43</f>
        <v>67655</v>
      </c>
      <c r="Q29" s="106"/>
      <c r="R29" s="106">
        <f>'Rate EH'!R43</f>
        <v>2251686</v>
      </c>
    </row>
    <row r="30" spans="1:18" x14ac:dyDescent="0.3">
      <c r="A30" s="102">
        <v>8</v>
      </c>
      <c r="B30" s="174"/>
      <c r="C30" s="99" t="s">
        <v>95</v>
      </c>
      <c r="D30" s="116" t="s">
        <v>244</v>
      </c>
      <c r="E30" s="99"/>
      <c r="F30" s="106">
        <f>'Rate SP GSFL'!F38</f>
        <v>165</v>
      </c>
      <c r="G30" s="1"/>
      <c r="H30" s="106">
        <f>'Rate SP GSFL'!H38</f>
        <v>326050</v>
      </c>
      <c r="I30" s="106"/>
      <c r="J30" s="153">
        <f t="shared" si="0"/>
        <v>18.200583000000002</v>
      </c>
      <c r="K30" s="136"/>
      <c r="L30" s="106">
        <f>'Rate SP GSFL'!L38</f>
        <v>59343</v>
      </c>
      <c r="M30" s="106"/>
      <c r="N30" s="3">
        <f t="shared" si="1"/>
        <v>0.02</v>
      </c>
      <c r="O30" s="136"/>
      <c r="P30" s="106">
        <f>'Rate SP GSFL'!P38</f>
        <v>1137</v>
      </c>
      <c r="Q30" s="106"/>
      <c r="R30" s="106">
        <f>'Rate SP GSFL'!R38</f>
        <v>60480</v>
      </c>
    </row>
    <row r="31" spans="1:18" x14ac:dyDescent="0.3">
      <c r="A31" s="102">
        <v>9</v>
      </c>
      <c r="C31" s="99" t="s">
        <v>93</v>
      </c>
      <c r="D31" s="99" t="s">
        <v>152</v>
      </c>
      <c r="E31" s="99"/>
      <c r="F31" s="106">
        <f>'Rate SP GSFL'!F57</f>
        <v>282</v>
      </c>
      <c r="G31" s="1"/>
      <c r="H31" s="106">
        <f>'Rate SP GSFL'!H57</f>
        <v>6188855.3929999992</v>
      </c>
      <c r="I31" s="106"/>
      <c r="J31" s="153">
        <f t="shared" si="0"/>
        <v>15.844222</v>
      </c>
      <c r="K31" s="136"/>
      <c r="L31" s="106">
        <f>'Rate SP GSFL'!L57</f>
        <v>980576</v>
      </c>
      <c r="M31" s="106"/>
      <c r="N31" s="3">
        <f t="shared" si="1"/>
        <v>0.34</v>
      </c>
      <c r="O31" s="136"/>
      <c r="P31" s="106">
        <f>'Rate SP GSFL'!P57</f>
        <v>21582</v>
      </c>
      <c r="Q31" s="106"/>
      <c r="R31" s="106">
        <f>'Rate SP GSFL'!R57</f>
        <v>1002158</v>
      </c>
    </row>
    <row r="32" spans="1:18" x14ac:dyDescent="0.3">
      <c r="A32" s="102">
        <v>10</v>
      </c>
      <c r="C32" s="99" t="s">
        <v>92</v>
      </c>
      <c r="D32" s="116" t="s">
        <v>181</v>
      </c>
      <c r="E32" s="99"/>
      <c r="F32" s="106">
        <f>'Rate DP'!F46</f>
        <v>120</v>
      </c>
      <c r="G32" s="1"/>
      <c r="H32" s="106">
        <f>'Rate DP'!H46</f>
        <v>7868440.7609999999</v>
      </c>
      <c r="I32" s="106"/>
      <c r="J32" s="153">
        <f t="shared" si="0"/>
        <v>11.938007000000001</v>
      </c>
      <c r="K32" s="136"/>
      <c r="L32" s="106">
        <f>'Rate DP'!L46</f>
        <v>939335</v>
      </c>
      <c r="M32" s="106"/>
      <c r="N32" s="3">
        <f>ROUND((L32/L$33)*100,2)</f>
        <v>0.33</v>
      </c>
      <c r="O32" s="136"/>
      <c r="P32" s="106">
        <f>'Rate DP'!P46</f>
        <v>27439</v>
      </c>
      <c r="Q32" s="106"/>
      <c r="R32" s="106">
        <f>'Rate DP'!R46</f>
        <v>966774</v>
      </c>
    </row>
    <row r="33" spans="1:18" ht="20.100000000000001" customHeight="1" x14ac:dyDescent="0.3">
      <c r="A33" s="102">
        <v>11</v>
      </c>
      <c r="C33" s="169" t="s">
        <v>166</v>
      </c>
      <c r="F33" s="112">
        <f>SUM(F26:F32)</f>
        <v>163108</v>
      </c>
      <c r="G33" s="1"/>
      <c r="H33" s="112">
        <f>SUM(H26:H32)</f>
        <v>2277192207.3700004</v>
      </c>
      <c r="I33" s="106"/>
      <c r="J33" s="153">
        <f t="shared" si="0"/>
        <v>12.493841</v>
      </c>
      <c r="K33" s="136"/>
      <c r="L33" s="112">
        <f>SUM(L26:L32)</f>
        <v>284508778</v>
      </c>
      <c r="M33" s="106"/>
      <c r="N33" s="157">
        <f>ROUND((L33/L$67)*100,2)+0.01</f>
        <v>49.76</v>
      </c>
      <c r="O33" s="136"/>
      <c r="P33" s="112">
        <f>SUM(P26:P32)</f>
        <v>7941054</v>
      </c>
      <c r="Q33" s="106"/>
      <c r="R33" s="112">
        <f>SUM(R26:R32)</f>
        <v>292449832</v>
      </c>
    </row>
    <row r="34" spans="1:18" ht="16.5" customHeight="1" x14ac:dyDescent="0.3">
      <c r="A34" s="102"/>
      <c r="F34" s="106"/>
      <c r="G34" s="1"/>
      <c r="H34" s="106"/>
      <c r="I34" s="106"/>
      <c r="J34" s="153"/>
      <c r="K34" s="136"/>
      <c r="L34" s="106"/>
      <c r="M34" s="106"/>
      <c r="N34" s="3"/>
      <c r="O34" s="136"/>
      <c r="P34" s="106"/>
      <c r="Q34" s="106"/>
      <c r="R34" s="106"/>
    </row>
    <row r="35" spans="1:18" ht="15.75" customHeight="1" x14ac:dyDescent="0.3">
      <c r="A35" s="102"/>
      <c r="C35" s="352" t="s">
        <v>254</v>
      </c>
      <c r="D35" s="352"/>
      <c r="F35" s="106"/>
      <c r="G35" s="1"/>
      <c r="H35" s="106"/>
      <c r="I35" s="106"/>
      <c r="J35" s="153"/>
      <c r="K35" s="136"/>
      <c r="L35" s="106"/>
      <c r="M35" s="106"/>
      <c r="N35" s="3"/>
      <c r="O35" s="136"/>
      <c r="P35" s="106"/>
      <c r="Q35" s="106"/>
      <c r="R35" s="106"/>
    </row>
    <row r="36" spans="1:18" x14ac:dyDescent="0.3">
      <c r="A36" s="102">
        <v>12</v>
      </c>
      <c r="C36" s="99" t="s">
        <v>60</v>
      </c>
      <c r="D36" s="99" t="s">
        <v>61</v>
      </c>
      <c r="E36" s="99"/>
      <c r="F36" s="117">
        <f>'Rate TT'!F56</f>
        <v>156</v>
      </c>
      <c r="G36" s="1"/>
      <c r="H36" s="117">
        <f>'Rate TT'!H56</f>
        <v>185544018.71000001</v>
      </c>
      <c r="I36" s="106"/>
      <c r="J36" s="153">
        <f>IF(H36=0,"-",ROUND((L36/H36)*100,6))</f>
        <v>8.7241239999999998</v>
      </c>
      <c r="K36" s="136"/>
      <c r="L36" s="117">
        <f>'Rate TT'!L56</f>
        <v>16187090</v>
      </c>
      <c r="M36" s="106"/>
      <c r="N36" s="155">
        <f>ROUND((L36/L$37)*100,2)</f>
        <v>100</v>
      </c>
      <c r="O36" s="136"/>
      <c r="P36" s="117">
        <f>'Rate TT'!P56</f>
        <v>647031</v>
      </c>
      <c r="Q36" s="106"/>
      <c r="R36" s="117">
        <f>'Rate TT'!R56</f>
        <v>16834121</v>
      </c>
    </row>
    <row r="37" spans="1:18" ht="20.100000000000001" customHeight="1" x14ac:dyDescent="0.3">
      <c r="A37" s="102">
        <v>13</v>
      </c>
      <c r="C37" s="169" t="s">
        <v>167</v>
      </c>
      <c r="D37" s="134"/>
      <c r="F37" s="112">
        <f>F36</f>
        <v>156</v>
      </c>
      <c r="G37" s="1"/>
      <c r="H37" s="112">
        <f>H36</f>
        <v>185544018.71000001</v>
      </c>
      <c r="I37" s="106"/>
      <c r="J37" s="153">
        <f>IF(H37=0,"-",ROUND((L37/H37)*100,6))</f>
        <v>8.7241239999999998</v>
      </c>
      <c r="K37" s="136"/>
      <c r="L37" s="112">
        <f>L36</f>
        <v>16187090</v>
      </c>
      <c r="M37" s="106"/>
      <c r="N37" s="157">
        <f>ROUND((L37/L$67)*100,2)</f>
        <v>2.83</v>
      </c>
      <c r="O37" s="136"/>
      <c r="P37" s="112">
        <f>P36</f>
        <v>647031</v>
      </c>
      <c r="Q37" s="106"/>
      <c r="R37" s="112">
        <f>R36</f>
        <v>16834121</v>
      </c>
    </row>
    <row r="38" spans="1:18" ht="12" customHeight="1" x14ac:dyDescent="0.3">
      <c r="A38" s="102"/>
      <c r="F38" s="106"/>
      <c r="G38" s="1"/>
      <c r="H38" s="106"/>
      <c r="I38" s="106"/>
      <c r="J38" s="153"/>
      <c r="K38" s="136"/>
      <c r="L38" s="106"/>
      <c r="M38" s="106"/>
      <c r="N38" s="3"/>
      <c r="O38" s="136"/>
      <c r="P38" s="106"/>
      <c r="Q38" s="106"/>
      <c r="R38" s="106"/>
    </row>
    <row r="39" spans="1:18" ht="15.75" customHeight="1" x14ac:dyDescent="0.3">
      <c r="A39" s="102"/>
      <c r="C39" s="352" t="s">
        <v>257</v>
      </c>
      <c r="D39" s="352"/>
      <c r="F39" s="106"/>
      <c r="G39" s="1"/>
      <c r="H39" s="106"/>
      <c r="I39" s="106"/>
      <c r="J39" s="153"/>
      <c r="K39" s="136"/>
      <c r="L39" s="106"/>
      <c r="M39" s="106"/>
      <c r="N39" s="3"/>
      <c r="O39" s="136"/>
      <c r="P39" s="106"/>
      <c r="Q39" s="106"/>
      <c r="R39" s="106"/>
    </row>
    <row r="40" spans="1:18" x14ac:dyDescent="0.3">
      <c r="A40" s="102">
        <v>14</v>
      </c>
      <c r="C40" s="98" t="s">
        <v>368</v>
      </c>
      <c r="D40" s="98" t="s">
        <v>257</v>
      </c>
      <c r="F40" s="106">
        <f>'Rate DT RTP-P'!F38</f>
        <v>0</v>
      </c>
      <c r="G40" s="1"/>
      <c r="H40" s="106">
        <f>'Rate DT RTP-P'!H38</f>
        <v>0</v>
      </c>
      <c r="I40" s="106"/>
      <c r="J40" s="153" t="str">
        <f>IF(H40=0,"-",ROUND((L40/H40)*100,6))</f>
        <v>-</v>
      </c>
      <c r="K40" s="136"/>
      <c r="L40" s="106">
        <f>'Rate DT RTP-P'!L38</f>
        <v>0</v>
      </c>
      <c r="M40" s="106"/>
      <c r="N40" s="3">
        <f>IFERROR(ROUND((L40/L$44)*100,2),0)</f>
        <v>0</v>
      </c>
      <c r="O40" s="136"/>
      <c r="P40" s="106">
        <f>'Rate DT RTP-P'!P38</f>
        <v>0</v>
      </c>
      <c r="Q40" s="106"/>
      <c r="R40" s="106">
        <f>'Rate DT RTP-P'!R38</f>
        <v>0</v>
      </c>
    </row>
    <row r="41" spans="1:18" x14ac:dyDescent="0.3">
      <c r="A41" s="102">
        <v>15</v>
      </c>
      <c r="C41" s="98" t="s">
        <v>369</v>
      </c>
      <c r="D41" s="98" t="s">
        <v>257</v>
      </c>
      <c r="F41" s="106">
        <f>'Rate DT RTP-S'!F39</f>
        <v>12</v>
      </c>
      <c r="G41" s="1"/>
      <c r="H41" s="106">
        <f>'Rate DT RTP-S'!H39</f>
        <v>1119296</v>
      </c>
      <c r="I41" s="106"/>
      <c r="J41" s="153">
        <f>IF(H41=0,"-",ROUND((L41/H41)*100,6))</f>
        <v>8.1397589999999997</v>
      </c>
      <c r="K41" s="136"/>
      <c r="L41" s="106">
        <f>'Rate DT RTP-S'!L39</f>
        <v>91108</v>
      </c>
      <c r="M41" s="106"/>
      <c r="N41" s="3">
        <f>IFERROR(ROUND((L41/L$44)*100,2),0)</f>
        <v>13.43</v>
      </c>
      <c r="O41" s="136"/>
      <c r="P41" s="106">
        <f>'Rate DT RTP-S'!P39</f>
        <v>0</v>
      </c>
      <c r="Q41" s="106"/>
      <c r="R41" s="106">
        <f>'Rate DT RTP-S'!R39</f>
        <v>91108</v>
      </c>
    </row>
    <row r="42" spans="1:18" x14ac:dyDescent="0.3">
      <c r="A42" s="102">
        <v>16</v>
      </c>
      <c r="C42" s="98" t="s">
        <v>260</v>
      </c>
      <c r="D42" s="98" t="s">
        <v>257</v>
      </c>
      <c r="F42" s="106">
        <f>'Rate DS RTP'!F39</f>
        <v>12</v>
      </c>
      <c r="G42" s="1"/>
      <c r="H42" s="106">
        <f>'Rate DS RTP'!H39</f>
        <v>-2767</v>
      </c>
      <c r="I42" s="106"/>
      <c r="J42" s="153">
        <f>IF(H42=0,"-",ROUND((L42/H42)*100,6))</f>
        <v>-71.991326000000001</v>
      </c>
      <c r="K42" s="136"/>
      <c r="L42" s="106">
        <f>'Rate DS RTP'!L39</f>
        <v>1992</v>
      </c>
      <c r="M42" s="106"/>
      <c r="N42" s="3">
        <f>IFERROR(ROUND((L42/L$44)*100,2),0)</f>
        <v>0.28999999999999998</v>
      </c>
      <c r="O42" s="136"/>
      <c r="P42" s="106">
        <f>'Rate DS RTP'!P39</f>
        <v>0</v>
      </c>
      <c r="Q42" s="106"/>
      <c r="R42" s="106">
        <f>'Rate DS RTP'!R39</f>
        <v>1992</v>
      </c>
    </row>
    <row r="43" spans="1:18" x14ac:dyDescent="0.3">
      <c r="A43" s="102">
        <v>17</v>
      </c>
      <c r="C43" s="98" t="s">
        <v>261</v>
      </c>
      <c r="D43" s="98" t="s">
        <v>257</v>
      </c>
      <c r="F43" s="117">
        <f>'Rate TT RTP'!F39</f>
        <v>24</v>
      </c>
      <c r="G43" s="1"/>
      <c r="H43" s="117">
        <f>'Rate TT RTP'!H39</f>
        <v>12153580</v>
      </c>
      <c r="I43" s="106"/>
      <c r="J43" s="153">
        <f>IF(H43=0,"-",ROUND((L43/H43)*100,6))</f>
        <v>4.8152150000000002</v>
      </c>
      <c r="K43" s="136"/>
      <c r="L43" s="117">
        <f>'Rate TT RTP'!L39</f>
        <v>585221</v>
      </c>
      <c r="M43" s="106"/>
      <c r="N43" s="155">
        <f>IFERROR(ROUND((L43/L$44)*100,2),0)</f>
        <v>86.27</v>
      </c>
      <c r="O43" s="136"/>
      <c r="P43" s="117">
        <f>'Rate TT RTP'!P39</f>
        <v>0</v>
      </c>
      <c r="Q43" s="106"/>
      <c r="R43" s="117">
        <f>'Rate TT RTP'!R39</f>
        <v>585221</v>
      </c>
    </row>
    <row r="44" spans="1:18" ht="20.100000000000001" customHeight="1" x14ac:dyDescent="0.3">
      <c r="A44" s="102">
        <v>18</v>
      </c>
      <c r="C44" s="169" t="s">
        <v>262</v>
      </c>
      <c r="F44" s="112">
        <f>SUM(F40:F43)</f>
        <v>48</v>
      </c>
      <c r="G44" s="1"/>
      <c r="H44" s="112">
        <f>SUM(H40:H43)</f>
        <v>13270109</v>
      </c>
      <c r="I44" s="106"/>
      <c r="J44" s="153">
        <f>IF(H44=0,"-",ROUND((L44/H44)*100,6))</f>
        <v>5.1116460000000004</v>
      </c>
      <c r="K44" s="136"/>
      <c r="L44" s="112">
        <f>SUM(L40:L43)</f>
        <v>678321</v>
      </c>
      <c r="M44" s="106"/>
      <c r="N44" s="157">
        <f>ROUND((L44/L$67)*100,2)</f>
        <v>0.12</v>
      </c>
      <c r="O44" s="136"/>
      <c r="P44" s="112">
        <f>SUM(P40:P43)</f>
        <v>0</v>
      </c>
      <c r="Q44" s="106"/>
      <c r="R44" s="112">
        <f>SUM(R40:R43)</f>
        <v>678321</v>
      </c>
    </row>
    <row r="45" spans="1:18" ht="10.5" customHeight="1" x14ac:dyDescent="0.3">
      <c r="A45" s="102"/>
      <c r="C45" s="116"/>
      <c r="F45" s="106"/>
      <c r="G45" s="1"/>
      <c r="H45" s="106"/>
      <c r="I45" s="106"/>
      <c r="J45" s="153"/>
      <c r="K45" s="136"/>
      <c r="L45" s="106"/>
      <c r="M45" s="106"/>
      <c r="N45" s="3"/>
      <c r="O45" s="136"/>
      <c r="P45" s="106"/>
      <c r="Q45" s="106"/>
      <c r="R45" s="106"/>
    </row>
    <row r="46" spans="1:18" ht="15.75" customHeight="1" x14ac:dyDescent="0.3">
      <c r="A46" s="102"/>
      <c r="C46" s="352" t="s">
        <v>409</v>
      </c>
      <c r="D46" s="352"/>
      <c r="F46" s="106"/>
      <c r="G46" s="1"/>
      <c r="H46" s="106"/>
      <c r="I46" s="106"/>
      <c r="J46" s="153"/>
      <c r="K46" s="136"/>
      <c r="L46" s="106"/>
      <c r="M46" s="106"/>
      <c r="N46" s="3"/>
      <c r="O46" s="136"/>
      <c r="P46" s="106"/>
      <c r="Q46" s="106"/>
      <c r="R46" s="106"/>
    </row>
    <row r="47" spans="1:18" x14ac:dyDescent="0.3">
      <c r="A47" s="102">
        <v>19</v>
      </c>
      <c r="C47" s="99" t="s">
        <v>77</v>
      </c>
      <c r="D47" s="116" t="s">
        <v>78</v>
      </c>
      <c r="E47" s="99"/>
      <c r="F47" s="106">
        <f>'Rate SL'!F139</f>
        <v>103310</v>
      </c>
      <c r="G47" s="1"/>
      <c r="H47" s="106">
        <f>'Rate SL'!H139</f>
        <v>6857780</v>
      </c>
      <c r="I47" s="106"/>
      <c r="J47" s="153">
        <f t="shared" ref="J47:J54" si="2">IF(H47=0,"-",ROUND((L47/H47)*100,6))</f>
        <v>23.590986999999998</v>
      </c>
      <c r="K47" s="136"/>
      <c r="L47" s="106">
        <f>'Rate SL'!L139</f>
        <v>1617818</v>
      </c>
      <c r="M47" s="106"/>
      <c r="N47" s="3">
        <f t="shared" ref="N47:N53" si="3">ROUND((L47/L$54)*100,2)</f>
        <v>56.2</v>
      </c>
      <c r="O47" s="136"/>
      <c r="P47" s="106">
        <f>'Rate SL'!P139</f>
        <v>23915</v>
      </c>
      <c r="Q47" s="106"/>
      <c r="R47" s="106">
        <f>'Rate SL'!R139</f>
        <v>1641735</v>
      </c>
    </row>
    <row r="48" spans="1:18" x14ac:dyDescent="0.3">
      <c r="A48" s="102">
        <v>20</v>
      </c>
      <c r="C48" s="99" t="s">
        <v>81</v>
      </c>
      <c r="D48" s="116" t="s">
        <v>82</v>
      </c>
      <c r="E48" s="99"/>
      <c r="F48" s="106">
        <f>'Rate TL'!F34</f>
        <v>1560</v>
      </c>
      <c r="G48" s="1"/>
      <c r="H48" s="106">
        <f>'Rate TL'!H34</f>
        <v>1436827.8010000002</v>
      </c>
      <c r="I48" s="106"/>
      <c r="J48" s="153">
        <f t="shared" si="2"/>
        <v>7.9546760000000001</v>
      </c>
      <c r="K48" s="136"/>
      <c r="L48" s="106">
        <f>'Rate TL'!L34</f>
        <v>114295</v>
      </c>
      <c r="M48" s="106"/>
      <c r="N48" s="3">
        <f t="shared" si="3"/>
        <v>3.97</v>
      </c>
      <c r="O48" s="136"/>
      <c r="P48" s="106">
        <f>'Rate TL'!P34</f>
        <v>5011</v>
      </c>
      <c r="Q48" s="106"/>
      <c r="R48" s="106">
        <f>'Rate TL'!R34</f>
        <v>119306</v>
      </c>
    </row>
    <row r="49" spans="1:24" x14ac:dyDescent="0.3">
      <c r="A49" s="102">
        <v>21</v>
      </c>
      <c r="C49" s="99" t="s">
        <v>249</v>
      </c>
      <c r="D49" s="99" t="s">
        <v>246</v>
      </c>
      <c r="E49" s="99"/>
      <c r="F49" s="106">
        <f>'Rate UOLS'!F28</f>
        <v>30661</v>
      </c>
      <c r="G49" s="1"/>
      <c r="H49" s="106">
        <f>'Rate UOLS'!H28</f>
        <v>9081472.0030000005</v>
      </c>
      <c r="I49" s="106"/>
      <c r="J49" s="153">
        <f t="shared" si="2"/>
        <v>7.8679319999999997</v>
      </c>
      <c r="K49" s="136"/>
      <c r="L49" s="106">
        <f>'Rate UOLS'!L28</f>
        <v>714524</v>
      </c>
      <c r="M49" s="106"/>
      <c r="N49" s="3">
        <f t="shared" si="3"/>
        <v>24.82</v>
      </c>
      <c r="O49" s="136"/>
      <c r="P49" s="106">
        <f>'Rate UOLS'!P28</f>
        <v>31669</v>
      </c>
      <c r="Q49" s="106"/>
      <c r="R49" s="106">
        <f>'Rate UOLS'!R28</f>
        <v>746193</v>
      </c>
    </row>
    <row r="50" spans="1:24" x14ac:dyDescent="0.3">
      <c r="A50" s="102">
        <v>22</v>
      </c>
      <c r="C50" s="116" t="s">
        <v>86</v>
      </c>
      <c r="D50" s="116" t="s">
        <v>247</v>
      </c>
      <c r="E50" s="99"/>
      <c r="F50" s="106">
        <f>'Rate NSU'!F45</f>
        <v>8073</v>
      </c>
      <c r="G50" s="1"/>
      <c r="H50" s="106">
        <f>'Rate NSU'!H45</f>
        <v>392374</v>
      </c>
      <c r="I50" s="106"/>
      <c r="J50" s="153">
        <f t="shared" si="2"/>
        <v>27.880033000000001</v>
      </c>
      <c r="K50" s="136"/>
      <c r="L50" s="106">
        <f>'Rate NSU'!L45</f>
        <v>109394</v>
      </c>
      <c r="M50" s="106"/>
      <c r="N50" s="3">
        <f t="shared" si="3"/>
        <v>3.8</v>
      </c>
      <c r="O50" s="136"/>
      <c r="P50" s="106">
        <f>'Rate NSU'!P45</f>
        <v>1368</v>
      </c>
      <c r="Q50" s="106"/>
      <c r="R50" s="106">
        <f>'Rate NSU'!R45</f>
        <v>110762</v>
      </c>
    </row>
    <row r="51" spans="1:24" x14ac:dyDescent="0.3">
      <c r="A51" s="102">
        <v>23</v>
      </c>
      <c r="C51" s="99" t="s">
        <v>73</v>
      </c>
      <c r="D51" s="99" t="s">
        <v>422</v>
      </c>
      <c r="E51" s="99"/>
      <c r="F51" s="106">
        <f>'Rate SC'!F72</f>
        <v>2064</v>
      </c>
      <c r="G51" s="106"/>
      <c r="H51" s="106">
        <f>'Rate SC'!H72</f>
        <v>91284</v>
      </c>
      <c r="I51" s="106"/>
      <c r="J51" s="153">
        <f t="shared" si="2"/>
        <v>7.8184570000000004</v>
      </c>
      <c r="K51" s="136"/>
      <c r="L51" s="106">
        <f>'Rate SC'!L72</f>
        <v>7137</v>
      </c>
      <c r="M51" s="106"/>
      <c r="N51" s="3">
        <f t="shared" si="3"/>
        <v>0.25</v>
      </c>
      <c r="O51" s="136"/>
      <c r="P51" s="106">
        <f>'Rate SC'!P72</f>
        <v>318</v>
      </c>
      <c r="Q51" s="106"/>
      <c r="R51" s="106">
        <f>'Rate SC'!R72</f>
        <v>7455</v>
      </c>
    </row>
    <row r="52" spans="1:24" x14ac:dyDescent="0.3">
      <c r="A52" s="102">
        <v>24</v>
      </c>
      <c r="C52" s="99" t="s">
        <v>70</v>
      </c>
      <c r="D52" s="99" t="s">
        <v>423</v>
      </c>
      <c r="E52" s="99"/>
      <c r="F52" s="106">
        <f>'Rate SE'!F52</f>
        <v>20531</v>
      </c>
      <c r="G52" s="106"/>
      <c r="H52" s="106">
        <f>'Rate SE'!H52</f>
        <v>1209602</v>
      </c>
      <c r="I52" s="106"/>
      <c r="J52" s="153">
        <f t="shared" si="2"/>
        <v>24.209036999999999</v>
      </c>
      <c r="K52" s="136"/>
      <c r="L52" s="106">
        <f>'Rate SE'!L52</f>
        <v>292833</v>
      </c>
      <c r="M52" s="106"/>
      <c r="N52" s="3">
        <f t="shared" si="3"/>
        <v>10.17</v>
      </c>
      <c r="O52" s="136"/>
      <c r="P52" s="106">
        <f>'Rate SE'!P52</f>
        <v>4218</v>
      </c>
      <c r="Q52" s="106"/>
      <c r="R52" s="106">
        <f>'Rate SE'!R52</f>
        <v>297051</v>
      </c>
    </row>
    <row r="53" spans="1:24" x14ac:dyDescent="0.3">
      <c r="A53" s="102">
        <v>25</v>
      </c>
      <c r="C53" s="99" t="s">
        <v>551</v>
      </c>
      <c r="D53" s="99" t="s">
        <v>579</v>
      </c>
      <c r="E53" s="99"/>
      <c r="F53" s="117">
        <f>'Rate LED'!F340</f>
        <v>2283</v>
      </c>
      <c r="G53" s="106"/>
      <c r="H53" s="117">
        <f>'Rate LED'!H340</f>
        <v>42161</v>
      </c>
      <c r="I53" s="106"/>
      <c r="J53" s="153">
        <f t="shared" si="2"/>
        <v>53.901541999999999</v>
      </c>
      <c r="K53" s="136"/>
      <c r="L53" s="117">
        <f>'Rate LED'!L340</f>
        <v>22725.429167999999</v>
      </c>
      <c r="M53" s="106"/>
      <c r="N53" s="3">
        <f t="shared" si="3"/>
        <v>0.79</v>
      </c>
      <c r="O53" s="136"/>
      <c r="P53" s="117">
        <f>'Rate LED'!P340</f>
        <v>147</v>
      </c>
      <c r="Q53" s="106"/>
      <c r="R53" s="117">
        <f>'Rate LED'!R340</f>
        <v>22872.429167999999</v>
      </c>
    </row>
    <row r="54" spans="1:24" ht="20.100000000000001" customHeight="1" x14ac:dyDescent="0.3">
      <c r="A54" s="102">
        <v>26</v>
      </c>
      <c r="C54" s="169" t="s">
        <v>168</v>
      </c>
      <c r="D54" s="134"/>
      <c r="F54" s="112">
        <f>SUM(F47:F53)</f>
        <v>168482</v>
      </c>
      <c r="G54" s="1"/>
      <c r="H54" s="112">
        <f>SUM(H47:H53)</f>
        <v>19111500.804000001</v>
      </c>
      <c r="I54" s="106"/>
      <c r="J54" s="153">
        <f t="shared" si="2"/>
        <v>15.062796000000001</v>
      </c>
      <c r="K54" s="136"/>
      <c r="L54" s="112">
        <f>SUM(L47:L53)</f>
        <v>2878726.4291679999</v>
      </c>
      <c r="M54" s="106"/>
      <c r="N54" s="157">
        <f>ROUND((L54/L$67)*100,2)</f>
        <v>0.5</v>
      </c>
      <c r="O54" s="136"/>
      <c r="P54" s="112">
        <f>SUM(P47:P53)</f>
        <v>66646</v>
      </c>
      <c r="Q54" s="106"/>
      <c r="R54" s="112">
        <f>SUM(R47:R53)</f>
        <v>2945374.4291679999</v>
      </c>
    </row>
    <row r="55" spans="1:24" ht="16.5" customHeight="1" x14ac:dyDescent="0.3">
      <c r="A55" s="102"/>
      <c r="F55" s="1"/>
      <c r="G55" s="1"/>
      <c r="H55" s="1"/>
      <c r="I55" s="1"/>
      <c r="J55" s="153"/>
      <c r="K55" s="1"/>
      <c r="L55" s="1"/>
      <c r="M55" s="1"/>
      <c r="N55" s="3"/>
      <c r="O55" s="1"/>
      <c r="P55" s="1"/>
      <c r="Q55" s="1"/>
      <c r="R55" s="1"/>
    </row>
    <row r="56" spans="1:24" ht="15.75" customHeight="1" x14ac:dyDescent="0.3">
      <c r="A56" s="102"/>
      <c r="C56" s="352" t="s">
        <v>410</v>
      </c>
      <c r="D56" s="352"/>
      <c r="F56" s="1"/>
      <c r="G56" s="1"/>
      <c r="H56" s="1"/>
      <c r="I56" s="1"/>
      <c r="J56" s="153"/>
      <c r="K56" s="1"/>
      <c r="L56" s="1"/>
      <c r="M56" s="1"/>
      <c r="N56" s="3"/>
      <c r="O56" s="1"/>
      <c r="P56" s="1"/>
      <c r="Q56" s="1"/>
      <c r="R56" s="1"/>
    </row>
    <row r="57" spans="1:24" x14ac:dyDescent="0.3">
      <c r="A57" s="102">
        <v>27</v>
      </c>
      <c r="C57" s="98" t="s">
        <v>352</v>
      </c>
      <c r="D57" s="98" t="s">
        <v>326</v>
      </c>
      <c r="E57" s="99"/>
      <c r="F57" s="110">
        <f>'SCH M-2.2'!F57</f>
        <v>12</v>
      </c>
      <c r="G57" s="106"/>
      <c r="H57" s="110">
        <f>'SCH M-2.2'!H57</f>
        <v>285301</v>
      </c>
      <c r="I57" s="1"/>
      <c r="J57" s="153">
        <f>IF(H57=0,"-",ROUND((L57/H57)*100,6))</f>
        <v>10.790391</v>
      </c>
      <c r="K57" s="1"/>
      <c r="L57" s="110">
        <f>31780-P57</f>
        <v>30785.0947009472</v>
      </c>
      <c r="M57" s="106"/>
      <c r="N57" s="3">
        <f t="shared" ref="N57:N63" si="4">ROUND((L57/L$65)*100,2)</f>
        <v>0.09</v>
      </c>
      <c r="O57" s="136"/>
      <c r="P57" s="110">
        <f>'SCH M-2.2'!T57</f>
        <v>994.90529905279993</v>
      </c>
      <c r="Q57" s="1"/>
      <c r="R57" s="106">
        <f>L57+P57</f>
        <v>31780</v>
      </c>
    </row>
    <row r="58" spans="1:24" x14ac:dyDescent="0.3">
      <c r="A58" s="102">
        <v>28</v>
      </c>
      <c r="C58" s="99"/>
      <c r="D58" s="99" t="s">
        <v>517</v>
      </c>
      <c r="E58" s="99"/>
      <c r="F58" s="110">
        <f>'SCH M-2.2'!F58</f>
        <v>0</v>
      </c>
      <c r="G58" s="106"/>
      <c r="H58" s="110">
        <f>'SCH M-2.2'!H58</f>
        <v>0</v>
      </c>
      <c r="I58" s="147"/>
      <c r="J58" s="153" t="str">
        <f t="shared" ref="J58:J67" si="5">IF(H58=0,"-",ROUND((L58/H58)*100,2))</f>
        <v>-</v>
      </c>
      <c r="K58" s="136"/>
      <c r="L58" s="110">
        <f>'SCH M-2.2'!L58</f>
        <v>28511420</v>
      </c>
      <c r="M58" s="106"/>
      <c r="N58" s="3">
        <f t="shared" si="4"/>
        <v>81.319999999999993</v>
      </c>
      <c r="O58" s="136"/>
      <c r="P58" s="110">
        <f>'SCH M-2.2'!T58</f>
        <v>0</v>
      </c>
      <c r="Q58" s="147"/>
      <c r="R58" s="106">
        <f t="shared" ref="R58:R64" si="6">L58+P58</f>
        <v>28511420</v>
      </c>
    </row>
    <row r="59" spans="1:24" ht="18" customHeight="1" x14ac:dyDescent="0.3">
      <c r="A59" s="102">
        <v>29</v>
      </c>
      <c r="D59" s="116" t="s">
        <v>248</v>
      </c>
      <c r="F59" s="110">
        <f>'SCH M-2.2'!F59</f>
        <v>0</v>
      </c>
      <c r="G59" s="106"/>
      <c r="H59" s="110">
        <f>'SCH M-2.2'!H59</f>
        <v>0</v>
      </c>
      <c r="I59" s="106"/>
      <c r="J59" s="153" t="str">
        <f t="shared" si="5"/>
        <v>-</v>
      </c>
      <c r="K59" s="136"/>
      <c r="L59" s="110">
        <f>'SCH M-2.2'!L59</f>
        <v>40086</v>
      </c>
      <c r="M59" s="106"/>
      <c r="N59" s="3">
        <f t="shared" si="4"/>
        <v>0.11</v>
      </c>
      <c r="O59" s="136"/>
      <c r="P59" s="110">
        <f>'SCH M-2.2'!T59</f>
        <v>0</v>
      </c>
      <c r="Q59" s="106"/>
      <c r="R59" s="106">
        <f t="shared" si="6"/>
        <v>40086</v>
      </c>
    </row>
    <row r="60" spans="1:24" ht="18" customHeight="1" x14ac:dyDescent="0.3">
      <c r="A60" s="102">
        <v>30</v>
      </c>
      <c r="D60" s="99" t="s">
        <v>251</v>
      </c>
      <c r="F60" s="110">
        <f>'SCH M-2.2'!F60</f>
        <v>0</v>
      </c>
      <c r="G60" s="106"/>
      <c r="H60" s="110">
        <f>'SCH M-2.2'!H60</f>
        <v>0</v>
      </c>
      <c r="I60" s="106"/>
      <c r="J60" s="153" t="str">
        <f t="shared" si="5"/>
        <v>-</v>
      </c>
      <c r="K60" s="136"/>
      <c r="L60" s="110">
        <v>63391</v>
      </c>
      <c r="M60" s="106"/>
      <c r="N60" s="3">
        <f t="shared" si="4"/>
        <v>0.18</v>
      </c>
      <c r="O60" s="136"/>
      <c r="P60" s="110">
        <f>'SCH M-2.2'!T60</f>
        <v>0</v>
      </c>
      <c r="Q60" s="106"/>
      <c r="R60" s="106">
        <f t="shared" si="6"/>
        <v>63391</v>
      </c>
    </row>
    <row r="61" spans="1:24" ht="18" customHeight="1" x14ac:dyDescent="0.3">
      <c r="A61" s="102">
        <v>31</v>
      </c>
      <c r="D61" s="99" t="s">
        <v>476</v>
      </c>
      <c r="F61" s="110">
        <f>'SCH M-2.2'!F61</f>
        <v>0</v>
      </c>
      <c r="G61" s="106"/>
      <c r="H61" s="110">
        <f>'SCH M-2.2'!H61</f>
        <v>0</v>
      </c>
      <c r="I61" s="106"/>
      <c r="J61" s="153" t="str">
        <f>IF(H61=0,"-",ROUND((L61/H61)*100,2))</f>
        <v>-</v>
      </c>
      <c r="K61" s="136"/>
      <c r="L61" s="110">
        <v>707590</v>
      </c>
      <c r="M61" s="106"/>
      <c r="N61" s="3">
        <f>ROUND((L61/L$65)*100,2)</f>
        <v>2.02</v>
      </c>
      <c r="O61" s="136"/>
      <c r="P61" s="110">
        <f>'SCH M-2.2'!T61</f>
        <v>0</v>
      </c>
      <c r="Q61" s="106"/>
      <c r="R61" s="106">
        <f>L61+P61</f>
        <v>707590</v>
      </c>
      <c r="S61" s="138"/>
      <c r="T61" s="106"/>
      <c r="U61" s="106"/>
      <c r="V61" s="106"/>
      <c r="W61" s="106"/>
      <c r="X61" s="154"/>
    </row>
    <row r="62" spans="1:24" ht="18" customHeight="1" x14ac:dyDescent="0.3">
      <c r="A62" s="102">
        <v>32</v>
      </c>
      <c r="D62" s="99" t="s">
        <v>250</v>
      </c>
      <c r="F62" s="110">
        <f>'SCH M-2.2'!F62</f>
        <v>0</v>
      </c>
      <c r="G62" s="106"/>
      <c r="H62" s="110">
        <f>'SCH M-2.2'!H62</f>
        <v>0</v>
      </c>
      <c r="I62" s="106"/>
      <c r="J62" s="153" t="str">
        <f t="shared" si="5"/>
        <v>-</v>
      </c>
      <c r="K62" s="136"/>
      <c r="L62" s="110">
        <f>'SCH M-2.2'!L62</f>
        <v>1227323</v>
      </c>
      <c r="M62" s="106"/>
      <c r="N62" s="3">
        <f t="shared" si="4"/>
        <v>3.5</v>
      </c>
      <c r="O62" s="136"/>
      <c r="P62" s="110">
        <f>'SCH M-2.2'!T62</f>
        <v>0</v>
      </c>
      <c r="Q62" s="106"/>
      <c r="R62" s="106">
        <f t="shared" si="6"/>
        <v>1227323</v>
      </c>
    </row>
    <row r="63" spans="1:24" x14ac:dyDescent="0.3">
      <c r="A63" s="102">
        <v>33</v>
      </c>
      <c r="C63" s="98" t="s">
        <v>329</v>
      </c>
      <c r="D63" s="99" t="s">
        <v>327</v>
      </c>
      <c r="E63" s="99"/>
      <c r="F63" s="110">
        <f>'SCH M-2.2'!F63</f>
        <v>12</v>
      </c>
      <c r="G63" s="106"/>
      <c r="H63" s="110">
        <f>'SCH M-2.2'!H63</f>
        <v>13877361</v>
      </c>
      <c r="I63" s="106"/>
      <c r="J63" s="153">
        <f>IF(H63=0,"-",ROUND((L63/H63)*100,6))</f>
        <v>6.7425790000000001</v>
      </c>
      <c r="K63" s="136"/>
      <c r="L63" s="110">
        <f>'SCH M-2.2'!L63</f>
        <v>935691.9896835793</v>
      </c>
      <c r="M63" s="147"/>
      <c r="N63" s="3">
        <f t="shared" si="4"/>
        <v>2.67</v>
      </c>
      <c r="O63" s="136"/>
      <c r="P63" s="110">
        <f>'SCH M-2.2'!T63</f>
        <v>48393.310909420798</v>
      </c>
      <c r="Q63" s="106"/>
      <c r="R63" s="106">
        <f t="shared" si="6"/>
        <v>984085.30059300014</v>
      </c>
    </row>
    <row r="64" spans="1:24" x14ac:dyDescent="0.3">
      <c r="A64" s="102">
        <v>34</v>
      </c>
      <c r="D64" s="99" t="s">
        <v>97</v>
      </c>
      <c r="E64" s="99"/>
      <c r="F64" s="110">
        <f>'SCH M-2.2'!F64</f>
        <v>0</v>
      </c>
      <c r="G64" s="106"/>
      <c r="H64" s="110">
        <f>'SCH M-2.2'!H64</f>
        <v>0</v>
      </c>
      <c r="I64" s="106"/>
      <c r="J64" s="153" t="str">
        <f t="shared" si="5"/>
        <v>-</v>
      </c>
      <c r="K64" s="136"/>
      <c r="L64" s="110">
        <f>'SCH M-2.2'!L64</f>
        <v>3545610</v>
      </c>
      <c r="M64" s="147"/>
      <c r="N64" s="3">
        <f>ROUND((L64/L$65)*100,2)</f>
        <v>10.11</v>
      </c>
      <c r="O64" s="136"/>
      <c r="P64" s="110">
        <f>'SCH M-2.2'!T64</f>
        <v>0</v>
      </c>
      <c r="Q64" s="106"/>
      <c r="R64" s="106">
        <f t="shared" si="6"/>
        <v>3545610</v>
      </c>
    </row>
    <row r="65" spans="1:18" ht="20.100000000000001" customHeight="1" x14ac:dyDescent="0.3">
      <c r="A65" s="102">
        <v>35</v>
      </c>
      <c r="C65" s="124" t="s">
        <v>411</v>
      </c>
      <c r="F65" s="112">
        <f>SUM(F57:F64)</f>
        <v>24</v>
      </c>
      <c r="G65" s="1"/>
      <c r="H65" s="112">
        <f>SUM(H57:H64)</f>
        <v>14162662</v>
      </c>
      <c r="I65" s="106"/>
      <c r="J65" s="153"/>
      <c r="K65" s="136"/>
      <c r="L65" s="112">
        <f>SUM(L57:L64)</f>
        <v>35061897.084384531</v>
      </c>
      <c r="M65" s="106"/>
      <c r="N65" s="157">
        <f>ROUND((L65/L$67)*100,2)</f>
        <v>6.13</v>
      </c>
      <c r="O65" s="136"/>
      <c r="P65" s="112">
        <f>SUM(P57:P64)</f>
        <v>49388.216208473597</v>
      </c>
      <c r="Q65" s="106"/>
      <c r="R65" s="112">
        <f>SUM(R57:R64)</f>
        <v>35111285.300593004</v>
      </c>
    </row>
    <row r="66" spans="1:18" ht="10.5" customHeight="1" x14ac:dyDescent="0.3">
      <c r="A66" s="102"/>
      <c r="F66" s="106"/>
      <c r="G66" s="1"/>
      <c r="H66" s="106"/>
      <c r="I66" s="106"/>
      <c r="J66" s="153"/>
      <c r="K66" s="136"/>
      <c r="L66" s="106"/>
      <c r="M66" s="106"/>
      <c r="N66" s="3"/>
      <c r="O66" s="136"/>
      <c r="P66" s="106"/>
      <c r="Q66" s="106"/>
      <c r="R66" s="106"/>
    </row>
    <row r="67" spans="1:18" ht="20.100000000000001" customHeight="1" thickBot="1" x14ac:dyDescent="0.35">
      <c r="A67" s="102">
        <v>36</v>
      </c>
      <c r="C67" s="124" t="s">
        <v>98</v>
      </c>
      <c r="F67" s="120">
        <f>F65+F54+F44+F37+F33+F23</f>
        <v>2005129</v>
      </c>
      <c r="G67" s="1"/>
      <c r="H67" s="120">
        <f>H65+H54+H44+H37+H33+H23</f>
        <v>4035756978.8930001</v>
      </c>
      <c r="I67" s="106"/>
      <c r="J67" s="153">
        <f t="shared" si="5"/>
        <v>14.17</v>
      </c>
      <c r="K67" s="136"/>
      <c r="L67" s="120">
        <f>L65+L54+L44+L37+L33+L23</f>
        <v>571868284.51355255</v>
      </c>
      <c r="M67" s="106"/>
      <c r="N67" s="161">
        <v>100</v>
      </c>
      <c r="O67" s="136"/>
      <c r="P67" s="120">
        <f>P65+P54+P44+P37+P33+P23</f>
        <v>14027267.216208473</v>
      </c>
      <c r="Q67" s="106"/>
      <c r="R67" s="120">
        <f>R65+R54+R44+R37+R33+R23</f>
        <v>585895553.729761</v>
      </c>
    </row>
    <row r="68" spans="1:18" ht="24" customHeight="1" thickTop="1" x14ac:dyDescent="0.3">
      <c r="C68" s="116" t="str">
        <f>"NOTE: DETAIL CONTAINED ON SCHEDULES M-2.3 PAGES 2 THROUGH "&amp;TEXT(Page_Num_2.3,"00")&amp;"."</f>
        <v>NOTE: DETAIL CONTAINED ON SCHEDULES M-2.3 PAGES 2 THROUGH 24.</v>
      </c>
      <c r="F68" s="1"/>
      <c r="G68" s="1"/>
      <c r="H68" s="1"/>
      <c r="I68" s="1"/>
      <c r="J68" s="2"/>
      <c r="K68" s="1"/>
      <c r="L68" s="1"/>
      <c r="M68" s="1"/>
      <c r="N68" s="3"/>
      <c r="O68" s="1"/>
      <c r="P68" s="1"/>
      <c r="Q68" s="1"/>
      <c r="R68" s="1"/>
    </row>
    <row r="69" spans="1:18" x14ac:dyDescent="0.3">
      <c r="J69" s="102"/>
      <c r="L69" s="110"/>
      <c r="M69" s="110"/>
      <c r="N69" s="163"/>
      <c r="P69" s="110"/>
      <c r="Q69" s="110"/>
      <c r="R69" s="110"/>
    </row>
    <row r="70" spans="1:18" x14ac:dyDescent="0.3">
      <c r="A70" s="99"/>
      <c r="J70" s="102"/>
      <c r="L70" s="110"/>
      <c r="M70" s="110"/>
      <c r="N70" s="163"/>
      <c r="P70" s="110"/>
      <c r="Q70" s="110"/>
      <c r="R70" s="110"/>
    </row>
    <row r="71" spans="1:18" x14ac:dyDescent="0.3">
      <c r="J71" s="102"/>
      <c r="L71" s="110"/>
      <c r="M71" s="110"/>
      <c r="P71" s="110"/>
      <c r="Q71" s="110"/>
      <c r="R71" s="110"/>
    </row>
    <row r="72" spans="1:18" x14ac:dyDescent="0.3">
      <c r="J72" s="102"/>
      <c r="L72" s="110"/>
      <c r="M72" s="110"/>
      <c r="P72" s="110"/>
      <c r="Q72" s="110"/>
      <c r="R72" s="110"/>
    </row>
    <row r="73" spans="1:18" x14ac:dyDescent="0.3">
      <c r="J73" s="102"/>
      <c r="L73" s="110"/>
      <c r="M73" s="110"/>
      <c r="P73" s="110"/>
      <c r="Q73" s="110"/>
      <c r="R73" s="110"/>
    </row>
    <row r="74" spans="1:18" x14ac:dyDescent="0.3">
      <c r="J74" s="102"/>
      <c r="L74" s="110"/>
      <c r="M74" s="110"/>
      <c r="P74" s="110"/>
      <c r="Q74" s="110"/>
      <c r="R74" s="110"/>
    </row>
    <row r="75" spans="1:18" x14ac:dyDescent="0.3">
      <c r="J75" s="102"/>
      <c r="L75" s="110"/>
      <c r="M75" s="110"/>
      <c r="P75" s="110"/>
      <c r="Q75" s="110"/>
      <c r="R75" s="110"/>
    </row>
    <row r="76" spans="1:18" x14ac:dyDescent="0.3">
      <c r="J76" s="102"/>
    </row>
    <row r="77" spans="1:18" x14ac:dyDescent="0.3">
      <c r="J77" s="102"/>
    </row>
    <row r="78" spans="1:18" x14ac:dyDescent="0.3">
      <c r="J78" s="102"/>
    </row>
    <row r="79" spans="1:18" x14ac:dyDescent="0.3">
      <c r="J79" s="102"/>
    </row>
    <row r="80" spans="1:18" x14ac:dyDescent="0.3">
      <c r="J80" s="102"/>
    </row>
  </sheetData>
  <customSheetViews>
    <customSheetView guid="{F562D92E-120C-4AE9-9663-89E64D41DC53}" scale="75" fitToPage="1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1"/>
      <headerFooter alignWithMargins="0"/>
    </customSheetView>
    <customSheetView guid="{35F19056-2E6F-4935-B863-78836FE990BF}" scale="75" fitToPage="1" showRuler="0" topLeftCell="F29">
      <selection activeCell="L59" sqref="L59"/>
      <rowBreaks count="1" manualBreakCount="1">
        <brk id="61" max="17" man="1"/>
      </rowBreaks>
      <pageMargins left="0.5" right="0.5" top="1" bottom="0" header="0.5" footer="0.5"/>
      <printOptions horizontalCentered="1"/>
      <pageSetup scale="60" orientation="landscape" horizontalDpi="300" verticalDpi="300" r:id="rId2"/>
      <headerFooter alignWithMargins="0"/>
    </customSheetView>
    <customSheetView guid="{18BDED73-BFA0-442E-87EC-CED86EE4CF94}" scale="75" fitToPage="1" showRuler="0" topLeftCell="A33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3"/>
      <headerFooter alignWithMargins="0"/>
    </customSheetView>
    <customSheetView guid="{0BC1F393-8A13-47D5-BC6C-0C99615B5AB9}" scale="75" fitToPage="1" showRuler="0" topLeftCell="A33">
      <selection activeCell="H55" sqref="H55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4"/>
      <headerFooter alignWithMargins="0"/>
    </customSheetView>
    <customSheetView guid="{6B3D5C27-2FDE-4561-9575-1E98BFB869D0}" scale="75" fitToPage="1" showRuler="0" topLeftCell="F9">
      <selection activeCell="D33" sqref="D33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5"/>
      <headerFooter alignWithMargins="0"/>
    </customSheetView>
    <customSheetView guid="{8FB94551-8874-4095-B8FB-5316E0D2FD2C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6"/>
      <headerFooter alignWithMargins="0"/>
    </customSheetView>
    <customSheetView guid="{8FC77C99-DBF7-40B8-99B8-01B75826CDCB}" scale="75" showPageBreaks="1" fitToPage="1" printArea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3" orientation="landscape" horizontalDpi="300" verticalDpi="300" r:id="rId7"/>
      <headerFooter alignWithMargins="0"/>
    </customSheetView>
    <customSheetView guid="{2EA35095-1ADC-4CC7-8C3C-B487D65FA247}" scale="75" fitToPage="1" showRuler="0">
      <selection sqref="A1:R64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8"/>
      <headerFooter alignWithMargins="0"/>
    </customSheetView>
    <customSheetView guid="{2431C9E5-7CC2-4B8D-99C3-962247B1DBF5}" scale="75" fitToPage="1" showRuler="0">
      <selection activeCell="L50" sqref="L50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9"/>
      <headerFooter alignWithMargins="0"/>
    </customSheetView>
    <customSheetView guid="{4BC93440-BA85-4935-A8C9-66DC6AE5DE5E}" scale="75" fitToPage="1" showRuler="0">
      <selection sqref="A1:R65"/>
      <rowBreaks count="1" manualBreakCount="1">
        <brk id="62" max="17" man="1"/>
      </rowBreaks>
      <pageMargins left="0.5" right="0.5" top="1" bottom="0" header="0.5" footer="0.5"/>
      <printOptions horizontalCentered="1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 topLeftCell="D36">
      <selection activeCell="L56" sqref="L56"/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1"/>
      <headerFooter alignWithMargins="0"/>
    </customSheetView>
    <customSheetView guid="{195DF303-1BBD-4236-94B5-47432850B006}" scale="75" fitToPage="1" showRuler="0">
      <rowBreaks count="1" manualBreakCount="1">
        <brk id="61" max="17" man="1"/>
      </rowBreaks>
      <pageMargins left="0.5" right="0.5" top="1" bottom="0" header="0.5" footer="0.5"/>
      <printOptions horizontalCentered="1"/>
      <pageSetup scale="59" orientation="landscape" horizontalDpi="300" verticalDpi="300" r:id="rId12"/>
      <headerFooter alignWithMargins="0"/>
    </customSheetView>
  </customSheetViews>
  <mergeCells count="6">
    <mergeCell ref="C56:D56"/>
    <mergeCell ref="C20:D20"/>
    <mergeCell ref="C25:D25"/>
    <mergeCell ref="C35:D35"/>
    <mergeCell ref="C39:D39"/>
    <mergeCell ref="C46:D46"/>
  </mergeCells>
  <phoneticPr fontId="11" type="noConversion"/>
  <printOptions horizontalCentered="1"/>
  <pageMargins left="0.5" right="0.5" top="1" bottom="0" header="0.5" footer="0.5"/>
  <pageSetup scale="43" orientation="landscape" horizontalDpi="300" verticalDpi="300" r:id="rId13"/>
  <headerFooter alignWithMargins="0"/>
  <rowBreaks count="1" manualBreakCount="1">
    <brk id="69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syncVertical="1" syncRef="A1" transitionEvaluation="1" transitionEntry="1" codeName="Sheet6">
    <pageSetUpPr fitToPage="1"/>
  </sheetPr>
  <dimension ref="A1:CW288"/>
  <sheetViews>
    <sheetView zoomScale="75" workbookViewId="0"/>
  </sheetViews>
  <sheetFormatPr defaultColWidth="9.75" defaultRowHeight="15.6" x14ac:dyDescent="0.3"/>
  <cols>
    <col min="1" max="1" width="5.6640625" style="98" customWidth="1"/>
    <col min="2" max="2" width="0.6640625" style="98" customWidth="1"/>
    <col min="3" max="3" width="6.75" style="98" customWidth="1"/>
    <col min="4" max="4" width="35.6640625" style="98" customWidth="1"/>
    <col min="5" max="5" width="0.4140625" style="98" customWidth="1"/>
    <col min="6" max="6" width="12.33203125" style="98" customWidth="1"/>
    <col min="7" max="7" width="0.9140625" style="98" customWidth="1"/>
    <col min="8" max="8" width="15.6640625" style="98" customWidth="1"/>
    <col min="9" max="9" width="0.75" style="98" customWidth="1"/>
    <col min="10" max="10" width="13" style="98" customWidth="1"/>
    <col min="11" max="11" width="0.6640625" style="98" customWidth="1"/>
    <col min="12" max="12" width="15.6640625" style="98" customWidth="1"/>
    <col min="13" max="13" width="0.75" style="98" customWidth="1"/>
    <col min="14" max="14" width="12.75" style="98" customWidth="1"/>
    <col min="15" max="15" width="0.6640625" style="98" customWidth="1"/>
    <col min="16" max="16" width="14.6640625" style="98" customWidth="1"/>
    <col min="17" max="17" width="0.9140625" style="98" customWidth="1"/>
    <col min="18" max="18" width="18.25" style="98" customWidth="1"/>
    <col min="19" max="19" width="13.75" style="98" customWidth="1"/>
    <col min="20" max="20" width="5.75" style="98" customWidth="1"/>
    <col min="21" max="21" width="0.9140625" style="98" customWidth="1"/>
    <col min="22" max="22" width="6.75" style="98" customWidth="1"/>
    <col min="23" max="23" width="37.6640625" style="98" customWidth="1"/>
    <col min="24" max="24" width="12.75" style="98" customWidth="1"/>
    <col min="25" max="25" width="1" style="98" customWidth="1"/>
    <col min="26" max="26" width="14.25" style="98" customWidth="1"/>
    <col min="27" max="27" width="1" style="98" customWidth="1"/>
    <col min="28" max="28" width="11.75" style="98" customWidth="1"/>
    <col min="29" max="29" width="0.9140625" style="98" customWidth="1"/>
    <col min="30" max="30" width="15.58203125" style="98" customWidth="1"/>
    <col min="31" max="31" width="0.75" style="98" customWidth="1"/>
    <col min="32" max="32" width="11.75" style="148" customWidth="1"/>
    <col min="33" max="33" width="0.9140625" style="98" customWidth="1"/>
    <col min="34" max="34" width="15" style="98" customWidth="1"/>
    <col min="35" max="35" width="0.58203125" style="98" customWidth="1"/>
    <col min="36" max="36" width="13.75" style="148" customWidth="1"/>
    <col min="37" max="37" width="0.4140625" style="98" customWidth="1"/>
    <col min="38" max="38" width="14.4140625" style="98" customWidth="1"/>
    <col min="39" max="39" width="0.6640625" style="98" customWidth="1"/>
    <col min="40" max="40" width="15.4140625" style="98" customWidth="1"/>
    <col min="41" max="41" width="0.75" style="98" customWidth="1"/>
    <col min="42" max="42" width="10.75" style="148" customWidth="1"/>
    <col min="43" max="99" width="9.75" style="98"/>
    <col min="100" max="100" width="20.75" style="98" customWidth="1"/>
    <col min="101" max="16384" width="9.75" style="98"/>
  </cols>
  <sheetData>
    <row r="1" spans="1:18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18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1:18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8" x14ac:dyDescent="0.3">
      <c r="A6" s="98" t="str">
        <f>DATA_PERIOD</f>
        <v>DATA: __X__ BASE PERIOD   ____FORECASTED PERIOD</v>
      </c>
      <c r="R6" s="99" t="s">
        <v>156</v>
      </c>
    </row>
    <row r="7" spans="1:18" x14ac:dyDescent="0.3">
      <c r="A7" s="98" t="str">
        <f>TYPE</f>
        <v>TYPE OF FILING: _X_ ORIGINAL   ___UPDATED  ___ REVISED</v>
      </c>
      <c r="R7" s="116" t="str">
        <f>"PAGE 2 OF "&amp;TEXT(Page_Num_2.3,"00")</f>
        <v>PAGE 2 OF 24</v>
      </c>
    </row>
    <row r="8" spans="1:18" x14ac:dyDescent="0.3">
      <c r="A8" s="99" t="s">
        <v>170</v>
      </c>
      <c r="R8" s="99" t="s">
        <v>3</v>
      </c>
    </row>
    <row r="9" spans="1:18" x14ac:dyDescent="0.3">
      <c r="A9" s="124" t="str">
        <f>TIME</f>
        <v>6 Months Actual and 6 Months Projected with Riders</v>
      </c>
      <c r="R9" s="98" t="str">
        <f>WIT</f>
        <v>B. L. Sailers</v>
      </c>
    </row>
    <row r="10" spans="1:18" x14ac:dyDescent="0.3">
      <c r="A10" s="124" t="str">
        <f>INPUT!B5</f>
        <v>6 Months Actual Ending August 31, 2024</v>
      </c>
    </row>
    <row r="11" spans="1:18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</row>
    <row r="12" spans="1:18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</row>
    <row r="13" spans="1:18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</row>
    <row r="14" spans="1:18" x14ac:dyDescent="0.3">
      <c r="L14" s="102" t="s">
        <v>12</v>
      </c>
      <c r="M14" s="102"/>
      <c r="N14" s="102" t="s">
        <v>13</v>
      </c>
      <c r="O14" s="102"/>
      <c r="R14" s="102" t="s">
        <v>11</v>
      </c>
    </row>
    <row r="15" spans="1:18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</row>
    <row r="16" spans="1:18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9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</row>
    <row r="17" spans="1:22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</row>
    <row r="18" spans="1:22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</row>
    <row r="19" spans="1:22" ht="17.100000000000001" customHeight="1" x14ac:dyDescent="0.3">
      <c r="H19" s="166" t="s">
        <v>49</v>
      </c>
      <c r="I19" s="166"/>
      <c r="J19" s="167" t="s">
        <v>312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</row>
    <row r="20" spans="1:22" x14ac:dyDescent="0.3">
      <c r="A20" s="98">
        <v>1</v>
      </c>
      <c r="C20" s="124" t="s">
        <v>52</v>
      </c>
      <c r="D20" s="124" t="s">
        <v>53</v>
      </c>
      <c r="E20" s="99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22" x14ac:dyDescent="0.3">
      <c r="C21" s="99"/>
      <c r="D21" s="99"/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22" x14ac:dyDescent="0.3">
      <c r="A22" s="98">
        <v>2</v>
      </c>
      <c r="C22" s="134" t="s">
        <v>133</v>
      </c>
      <c r="F22" s="147"/>
      <c r="G22" s="1"/>
      <c r="H22" s="147"/>
      <c r="I22" s="147"/>
      <c r="J22" s="171"/>
      <c r="K22" s="171"/>
      <c r="L22" s="106"/>
      <c r="M22" s="106"/>
      <c r="N22" s="175"/>
      <c r="O22" s="175"/>
      <c r="P22" s="106"/>
      <c r="Q22" s="106"/>
      <c r="R22" s="106"/>
      <c r="S22" s="110"/>
    </row>
    <row r="23" spans="1:22" x14ac:dyDescent="0.3">
      <c r="A23" s="98">
        <v>3</v>
      </c>
      <c r="C23" s="176" t="s">
        <v>55</v>
      </c>
      <c r="F23" s="172">
        <f>'[3]Forecast BILLS'!$I$69</f>
        <v>1673311</v>
      </c>
      <c r="G23" s="1"/>
      <c r="H23" s="147"/>
      <c r="I23" s="147"/>
      <c r="J23" s="181">
        <f>INPUT!D43</f>
        <v>16</v>
      </c>
      <c r="K23" s="180"/>
      <c r="L23" s="106">
        <f>ROUND(F23*J23,0)-P23</f>
        <v>26772976</v>
      </c>
      <c r="M23" s="106"/>
      <c r="N23" s="154">
        <f>ROUND((L23/$L$38)*100,1)</f>
        <v>11.5</v>
      </c>
      <c r="O23" s="175"/>
      <c r="P23" s="106"/>
      <c r="Q23" s="106"/>
      <c r="R23" s="106">
        <f>L23+P23</f>
        <v>26772976</v>
      </c>
      <c r="S23" s="110"/>
      <c r="V23" s="110"/>
    </row>
    <row r="24" spans="1:22" x14ac:dyDescent="0.3">
      <c r="C24" s="99"/>
      <c r="F24" s="147"/>
      <c r="G24" s="1"/>
      <c r="H24" s="147"/>
      <c r="I24" s="147"/>
      <c r="J24" s="180"/>
      <c r="K24" s="180"/>
      <c r="L24" s="106"/>
      <c r="M24" s="106"/>
      <c r="N24" s="154"/>
      <c r="O24" s="175"/>
      <c r="P24" s="106"/>
      <c r="Q24" s="106"/>
      <c r="R24" s="106"/>
      <c r="S24" s="110"/>
    </row>
    <row r="25" spans="1:22" x14ac:dyDescent="0.3">
      <c r="A25" s="98">
        <v>4</v>
      </c>
      <c r="C25" s="169" t="s">
        <v>371</v>
      </c>
      <c r="F25" s="182"/>
      <c r="G25" s="1"/>
      <c r="H25" s="182"/>
      <c r="I25" s="182"/>
      <c r="J25" s="171"/>
      <c r="K25" s="171"/>
      <c r="L25" s="106"/>
      <c r="M25" s="106"/>
      <c r="N25" s="154"/>
      <c r="O25" s="175"/>
      <c r="P25" s="1"/>
      <c r="Q25" s="1"/>
      <c r="R25" s="106"/>
    </row>
    <row r="26" spans="1:22" x14ac:dyDescent="0.3">
      <c r="A26" s="98">
        <v>5</v>
      </c>
      <c r="C26" s="176" t="s">
        <v>122</v>
      </c>
      <c r="F26" s="177"/>
      <c r="G26" s="1"/>
      <c r="H26" s="183">
        <f>'[3]Forecast KWH'!$I$68</f>
        <v>1526476481.0089998</v>
      </c>
      <c r="I26" s="147"/>
      <c r="J26" s="184">
        <f>INPUT!D44</f>
        <v>0.130111</v>
      </c>
      <c r="K26" s="185"/>
      <c r="L26" s="117">
        <f>ROUND(H26*J26,0)-P26</f>
        <v>198611381</v>
      </c>
      <c r="M26" s="106"/>
      <c r="N26" s="156">
        <f>ROUND((L26/$L$38)*100,1)</f>
        <v>85.4</v>
      </c>
      <c r="O26" s="175"/>
      <c r="P26" s="117"/>
      <c r="Q26" s="106"/>
      <c r="R26" s="117">
        <f>L26+P26</f>
        <v>198611381</v>
      </c>
      <c r="S26" s="110"/>
      <c r="V26" s="110"/>
    </row>
    <row r="27" spans="1:22" x14ac:dyDescent="0.3">
      <c r="C27" s="176"/>
      <c r="F27" s="147"/>
      <c r="G27" s="1"/>
      <c r="H27" s="172"/>
      <c r="I27" s="147"/>
      <c r="J27" s="186"/>
      <c r="K27" s="185"/>
      <c r="L27" s="106"/>
      <c r="M27" s="106"/>
      <c r="N27" s="154"/>
      <c r="O27" s="175"/>
      <c r="P27" s="106"/>
      <c r="Q27" s="106"/>
      <c r="R27" s="106"/>
      <c r="S27" s="110"/>
    </row>
    <row r="28" spans="1:22" ht="17.100000000000001" customHeight="1" x14ac:dyDescent="0.3">
      <c r="A28" s="98">
        <v>6</v>
      </c>
      <c r="C28" s="169" t="s">
        <v>429</v>
      </c>
      <c r="F28" s="177">
        <f>F23</f>
        <v>1673311</v>
      </c>
      <c r="G28" s="1"/>
      <c r="H28" s="177">
        <f>H26</f>
        <v>1526476481.0089998</v>
      </c>
      <c r="I28" s="147"/>
      <c r="J28" s="186"/>
      <c r="K28" s="185"/>
      <c r="L28" s="117">
        <f>SUM(L23:L26)</f>
        <v>225384357</v>
      </c>
      <c r="M28" s="106"/>
      <c r="N28" s="156">
        <f>ROUND((L28/$L$38)*100,1)</f>
        <v>96.9</v>
      </c>
      <c r="O28" s="175"/>
      <c r="P28" s="117"/>
      <c r="Q28" s="106"/>
      <c r="R28" s="117">
        <f>SUM(R23:R26)</f>
        <v>225384357</v>
      </c>
      <c r="S28" s="110"/>
      <c r="V28" s="110"/>
    </row>
    <row r="29" spans="1:22" x14ac:dyDescent="0.3">
      <c r="C29" s="176"/>
      <c r="F29" s="147"/>
      <c r="G29" s="1"/>
      <c r="H29" s="172"/>
      <c r="I29" s="147"/>
      <c r="J29" s="186"/>
      <c r="K29" s="185"/>
      <c r="L29" s="106"/>
      <c r="M29" s="106"/>
      <c r="N29" s="154"/>
      <c r="O29" s="175"/>
      <c r="P29" s="106"/>
      <c r="Q29" s="106"/>
      <c r="R29" s="106"/>
      <c r="S29" s="110"/>
    </row>
    <row r="30" spans="1:22" x14ac:dyDescent="0.3">
      <c r="A30" s="98">
        <v>7</v>
      </c>
      <c r="C30" s="124" t="s">
        <v>428</v>
      </c>
      <c r="F30" s="147"/>
      <c r="G30" s="1"/>
      <c r="H30" s="172"/>
      <c r="I30" s="147"/>
      <c r="J30" s="186"/>
      <c r="K30" s="185"/>
      <c r="L30" s="106"/>
      <c r="M30" s="106"/>
      <c r="N30" s="154"/>
      <c r="O30" s="175"/>
      <c r="P30" s="106"/>
      <c r="Q30" s="106"/>
      <c r="R30" s="106"/>
      <c r="S30" s="110"/>
    </row>
    <row r="31" spans="1:22" x14ac:dyDescent="0.3">
      <c r="A31" s="98">
        <v>8</v>
      </c>
      <c r="C31" s="176" t="str">
        <f>HEA_Name</f>
        <v>HOME ENERGY ASSISTANCE (HEA)</v>
      </c>
      <c r="F31" s="147"/>
      <c r="G31" s="1"/>
      <c r="H31" s="172"/>
      <c r="I31" s="147"/>
      <c r="J31" s="181">
        <f>DSM_RS_CUST</f>
        <v>0.3</v>
      </c>
      <c r="K31" s="185"/>
      <c r="L31" s="106">
        <f>ROUND(F23*J31,0)</f>
        <v>501993</v>
      </c>
      <c r="M31" s="106"/>
      <c r="N31" s="154">
        <f t="shared" ref="N31:N36" si="0">ROUND((L31/$L$38)*100,1)</f>
        <v>0.2</v>
      </c>
      <c r="O31" s="175"/>
      <c r="P31" s="106"/>
      <c r="Q31" s="106"/>
      <c r="R31" s="106">
        <f>L31+P31</f>
        <v>501993</v>
      </c>
      <c r="S31" s="110"/>
      <c r="V31" s="110"/>
    </row>
    <row r="32" spans="1:22" x14ac:dyDescent="0.3">
      <c r="A32" s="98">
        <v>9</v>
      </c>
      <c r="C32" s="176" t="str">
        <f>DSMR_Name</f>
        <v>DEMAND SIDE MANAGEMENT RIDER (DSMR)</v>
      </c>
      <c r="F32" s="147"/>
      <c r="G32" s="1"/>
      <c r="H32" s="172"/>
      <c r="I32" s="147"/>
      <c r="J32" s="184">
        <f>PRO_DSM_RES</f>
        <v>1.3519999999999999E-3</v>
      </c>
      <c r="K32" s="185"/>
      <c r="L32" s="106">
        <f>ROUND(H26*J32,0)</f>
        <v>2063796</v>
      </c>
      <c r="M32" s="106"/>
      <c r="N32" s="154">
        <f t="shared" si="0"/>
        <v>0.9</v>
      </c>
      <c r="O32" s="175"/>
      <c r="P32" s="106"/>
      <c r="Q32" s="106"/>
      <c r="R32" s="106">
        <f>L32+P32</f>
        <v>2063796</v>
      </c>
      <c r="S32" s="110"/>
      <c r="V32" s="110"/>
    </row>
    <row r="33" spans="1:42" x14ac:dyDescent="0.3">
      <c r="A33" s="98">
        <v>10</v>
      </c>
      <c r="C33" s="176" t="str">
        <f>ESM_Name</f>
        <v>ENVIRONMENTAL SURCHARGE MECHANISM RIDER (ESM)</v>
      </c>
      <c r="F33" s="147"/>
      <c r="G33" s="1"/>
      <c r="H33" s="172"/>
      <c r="I33" s="147"/>
      <c r="J33" s="187">
        <f>PRO_ESM</f>
        <v>3.4815119650567325E-3</v>
      </c>
      <c r="K33" s="185"/>
      <c r="L33" s="106">
        <f>ROUND((R28+R31+R32+R34+R35)*J33,0)</f>
        <v>825297</v>
      </c>
      <c r="M33" s="106"/>
      <c r="N33" s="154">
        <f t="shared" si="0"/>
        <v>0.4</v>
      </c>
      <c r="O33" s="175"/>
      <c r="P33" s="106"/>
      <c r="Q33" s="106"/>
      <c r="R33" s="106">
        <f>L33+P33</f>
        <v>825297</v>
      </c>
      <c r="S33" s="110"/>
      <c r="V33" s="110"/>
    </row>
    <row r="34" spans="1:42" x14ac:dyDescent="0.3">
      <c r="A34" s="98">
        <v>11</v>
      </c>
      <c r="C34" s="176" t="str">
        <f>FAC_Name</f>
        <v>FUEL ADJUSTMENT CLAUSE (FAC)</v>
      </c>
      <c r="F34" s="147"/>
      <c r="G34" s="1"/>
      <c r="H34" s="172"/>
      <c r="I34" s="147"/>
      <c r="J34" s="184">
        <f>PRO_FAC</f>
        <v>3.4872127999999998E-3</v>
      </c>
      <c r="K34" s="185"/>
      <c r="L34" s="106"/>
      <c r="M34" s="106"/>
      <c r="N34" s="154">
        <f t="shared" si="0"/>
        <v>0</v>
      </c>
      <c r="O34" s="175"/>
      <c r="P34" s="106">
        <f>ROUND($H$26*PRO_FAC,0)</f>
        <v>5323148</v>
      </c>
      <c r="Q34" s="106"/>
      <c r="R34" s="106">
        <f>L34+P34</f>
        <v>5323148</v>
      </c>
      <c r="S34" s="110"/>
      <c r="V34" s="110"/>
    </row>
    <row r="35" spans="1:42" x14ac:dyDescent="0.3">
      <c r="A35" s="98">
        <v>12</v>
      </c>
      <c r="C35" s="176" t="str">
        <f>PSM_Name</f>
        <v>PROFIT SHARING MECHANISM (PSM)</v>
      </c>
      <c r="F35" s="147"/>
      <c r="G35" s="1"/>
      <c r="H35" s="172"/>
      <c r="I35" s="147"/>
      <c r="J35" s="184">
        <f>PRO_PSM</f>
        <v>2.4750000000000002E-3</v>
      </c>
      <c r="K35" s="185"/>
      <c r="L35" s="106">
        <f>ROUND(H26*J35,0)</f>
        <v>3778029</v>
      </c>
      <c r="M35" s="106"/>
      <c r="N35" s="154">
        <f t="shared" si="0"/>
        <v>1.6</v>
      </c>
      <c r="O35" s="175"/>
      <c r="P35" s="106"/>
      <c r="Q35" s="106"/>
      <c r="R35" s="106">
        <f>L35+P35</f>
        <v>3778029</v>
      </c>
      <c r="S35" s="110"/>
      <c r="V35" s="110"/>
    </row>
    <row r="36" spans="1:42" ht="18" customHeight="1" x14ac:dyDescent="0.3">
      <c r="A36" s="98">
        <v>13</v>
      </c>
      <c r="C36" s="124" t="s">
        <v>433</v>
      </c>
      <c r="F36" s="177"/>
      <c r="G36" s="1"/>
      <c r="H36" s="183"/>
      <c r="I36" s="147"/>
      <c r="J36" s="186"/>
      <c r="K36" s="185"/>
      <c r="L36" s="112">
        <f>SUM(L31:L35)</f>
        <v>7169115</v>
      </c>
      <c r="M36" s="106"/>
      <c r="N36" s="158">
        <f t="shared" si="0"/>
        <v>3.1</v>
      </c>
      <c r="O36" s="175"/>
      <c r="P36" s="112">
        <f>SUM(P31:P35)</f>
        <v>5323148</v>
      </c>
      <c r="Q36" s="106"/>
      <c r="R36" s="112">
        <f>SUM(R31:R35)</f>
        <v>12492263</v>
      </c>
      <c r="S36" s="110"/>
    </row>
    <row r="37" spans="1:42" x14ac:dyDescent="0.3">
      <c r="C37" s="99"/>
      <c r="F37" s="1"/>
      <c r="G37" s="1"/>
      <c r="H37" s="1"/>
      <c r="I37" s="1"/>
      <c r="J37" s="136"/>
      <c r="K37" s="136"/>
      <c r="L37" s="106"/>
      <c r="M37" s="106"/>
      <c r="N37" s="154"/>
      <c r="O37" s="175"/>
      <c r="P37" s="106"/>
      <c r="Q37" s="106"/>
      <c r="R37" s="106"/>
      <c r="S37" s="110"/>
    </row>
    <row r="38" spans="1:42" ht="24.9" customHeight="1" thickBot="1" x14ac:dyDescent="0.35">
      <c r="A38" s="98">
        <v>14</v>
      </c>
      <c r="C38" s="169" t="s">
        <v>434</v>
      </c>
      <c r="F38" s="120">
        <f>F23</f>
        <v>1673311</v>
      </c>
      <c r="G38" s="1"/>
      <c r="H38" s="120">
        <f>H26</f>
        <v>1526476481.0089998</v>
      </c>
      <c r="I38" s="106"/>
      <c r="J38" s="136"/>
      <c r="K38" s="136"/>
      <c r="L38" s="120">
        <f>L28+L36</f>
        <v>232553472</v>
      </c>
      <c r="M38" s="106"/>
      <c r="N38" s="162">
        <v>100</v>
      </c>
      <c r="O38" s="175"/>
      <c r="P38" s="120">
        <f>P36+P28</f>
        <v>5323148</v>
      </c>
      <c r="Q38" s="147"/>
      <c r="R38" s="120">
        <f>R28+R36</f>
        <v>237876620</v>
      </c>
      <c r="S38" s="110"/>
    </row>
    <row r="39" spans="1:42" ht="24.9" customHeight="1" thickTop="1" x14ac:dyDescent="0.3">
      <c r="C39" s="116"/>
      <c r="F39" s="106"/>
      <c r="G39" s="1"/>
      <c r="H39" s="106"/>
      <c r="I39" s="106"/>
      <c r="J39" s="136"/>
      <c r="K39" s="136"/>
      <c r="L39" s="106"/>
      <c r="M39" s="106"/>
      <c r="N39" s="175"/>
      <c r="O39" s="175"/>
      <c r="P39" s="106"/>
      <c r="Q39" s="147"/>
      <c r="R39" s="106"/>
      <c r="S39" s="110"/>
    </row>
    <row r="40" spans="1:42" x14ac:dyDescent="0.3">
      <c r="C40" s="178" t="s">
        <v>59</v>
      </c>
      <c r="L40" s="110"/>
      <c r="M40" s="110"/>
      <c r="N40" s="110"/>
      <c r="O40" s="110"/>
      <c r="P40" s="110"/>
      <c r="Q40" s="110"/>
      <c r="R40" s="110"/>
      <c r="S40" s="110"/>
    </row>
    <row r="41" spans="1:42" x14ac:dyDescent="0.3">
      <c r="C41" s="178" t="str">
        <f>"(2) REFLECTS FUEL COMPONENT OF "&amp;TEXT(PRO_FAC,"$0.000000;($0.000000)")&amp;"  PER KWH."</f>
        <v>(2) REFLECTS FUEL COMPONENT OF $0.003487  PER KWH.</v>
      </c>
    </row>
    <row r="42" spans="1:42" x14ac:dyDescent="0.3">
      <c r="C42" s="178" t="str">
        <f>"(3) REFLECTS FUEL COST RECOVERY INCLUDED IN BASE RATES OF "&amp;TEXT(PRO_BASE_FUEL,"$0.000000;($0.000000)")&amp;"  PER KWH."</f>
        <v>(3) REFLECTS FUEL COST RECOVERY INCLUDED IN BASE RATES OF $0.033780  PER KWH.</v>
      </c>
      <c r="T42" s="97" t="str">
        <f>NAME</f>
        <v>DUKE ENERGY KENTUCKY, INC.</v>
      </c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149"/>
      <c r="AG42" s="97"/>
      <c r="AH42" s="97"/>
      <c r="AI42" s="97"/>
      <c r="AJ42" s="149"/>
      <c r="AK42" s="97"/>
      <c r="AL42" s="97"/>
      <c r="AM42" s="97"/>
      <c r="AN42" s="97"/>
      <c r="AO42" s="97"/>
      <c r="AP42" s="149"/>
    </row>
    <row r="43" spans="1:42" x14ac:dyDescent="0.3">
      <c r="T43" s="97" t="str">
        <f>CASE_NO</f>
        <v>CASE NO.   2024-00354</v>
      </c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149"/>
      <c r="AG43" s="97"/>
      <c r="AH43" s="97"/>
      <c r="AI43" s="97"/>
      <c r="AJ43" s="149"/>
      <c r="AK43" s="97"/>
      <c r="AL43" s="97"/>
      <c r="AM43" s="97"/>
      <c r="AN43" s="97"/>
      <c r="AO43" s="97"/>
      <c r="AP43" s="149"/>
    </row>
    <row r="44" spans="1:42" x14ac:dyDescent="0.3">
      <c r="F44" s="110"/>
      <c r="G44" s="110"/>
      <c r="H44" s="110"/>
      <c r="T44" s="97" t="str">
        <f>TITLE</f>
        <v>ANNUALIZED BASE YEAR REVENUES AT PROPOSED VS. MOST CURRENT RATES</v>
      </c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149"/>
      <c r="AG44" s="97"/>
      <c r="AH44" s="97"/>
      <c r="AI44" s="97"/>
      <c r="AJ44" s="149"/>
      <c r="AK44" s="97"/>
      <c r="AL44" s="97"/>
      <c r="AM44" s="97"/>
      <c r="AN44" s="97"/>
      <c r="AO44" s="97"/>
      <c r="AP44" s="149"/>
    </row>
    <row r="45" spans="1:42" x14ac:dyDescent="0.3">
      <c r="T45" s="97" t="str">
        <f>DATE</f>
        <v>FOR THE TWELVE MONTHS ENDED February 28, 2025</v>
      </c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149"/>
      <c r="AG45" s="97"/>
      <c r="AH45" s="97"/>
      <c r="AI45" s="97"/>
      <c r="AJ45" s="149"/>
      <c r="AK45" s="97"/>
      <c r="AL45" s="97"/>
      <c r="AM45" s="97"/>
      <c r="AN45" s="97"/>
      <c r="AO45" s="97"/>
      <c r="AP45" s="149"/>
    </row>
    <row r="46" spans="1:42" x14ac:dyDescent="0.3">
      <c r="F46" s="179"/>
      <c r="T46" s="97" t="str">
        <f>SERVICE</f>
        <v>(ELECTRIC SERVICE)</v>
      </c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149"/>
      <c r="AG46" s="97"/>
      <c r="AH46" s="97"/>
      <c r="AI46" s="97"/>
      <c r="AJ46" s="149"/>
      <c r="AK46" s="97"/>
      <c r="AL46" s="97"/>
      <c r="AM46" s="97"/>
      <c r="AN46" s="97"/>
      <c r="AO46" s="97"/>
      <c r="AP46" s="149"/>
    </row>
    <row r="47" spans="1:42" x14ac:dyDescent="0.3">
      <c r="T47" s="98" t="str">
        <f>DATA_PERIOD</f>
        <v>DATA: __X__ BASE PERIOD   ____FORECASTED PERIOD</v>
      </c>
      <c r="AN47" s="99" t="s">
        <v>157</v>
      </c>
      <c r="AO47" s="99"/>
    </row>
    <row r="48" spans="1:42" x14ac:dyDescent="0.3">
      <c r="C48" s="176"/>
      <c r="T48" s="98" t="str">
        <f>TYPE</f>
        <v>TYPE OF FILING: _X_ ORIGINAL   ___UPDATED  ___ REVISED</v>
      </c>
      <c r="AN48" s="116" t="str">
        <f>"PAGE 2 OF "&amp;TEXT(Page_Num_2.2,"00")</f>
        <v>PAGE 2 OF 24</v>
      </c>
      <c r="AO48" s="99"/>
    </row>
    <row r="49" spans="20:42" x14ac:dyDescent="0.3">
      <c r="T49" s="99" t="s">
        <v>170</v>
      </c>
      <c r="AN49" s="99" t="s">
        <v>3</v>
      </c>
      <c r="AO49" s="99"/>
    </row>
    <row r="50" spans="20:42" x14ac:dyDescent="0.3">
      <c r="T50" s="124" t="str">
        <f>TIME</f>
        <v>6 Months Actual and 6 Months Projected with Riders</v>
      </c>
      <c r="AN50" s="99" t="str">
        <f>WIT</f>
        <v>B. L. Sailers</v>
      </c>
      <c r="AO50" s="99"/>
    </row>
    <row r="51" spans="20:42" x14ac:dyDescent="0.3">
      <c r="T51" s="124" t="str">
        <f>INPUT!B5</f>
        <v>6 Months Actual Ending August 31, 2024</v>
      </c>
      <c r="AN51" s="99"/>
      <c r="AO51" s="99"/>
    </row>
    <row r="52" spans="20:42" x14ac:dyDescent="0.3">
      <c r="AD52" s="99" t="s">
        <v>5</v>
      </c>
      <c r="AE52" s="99"/>
    </row>
    <row r="53" spans="20:42" x14ac:dyDescent="0.3">
      <c r="T53" s="100"/>
      <c r="U53" s="100"/>
      <c r="V53" s="100"/>
      <c r="W53" s="100"/>
      <c r="X53" s="100"/>
      <c r="Y53" s="100"/>
      <c r="Z53" s="100"/>
      <c r="AA53" s="100"/>
      <c r="AB53" s="100"/>
      <c r="AC53" s="100"/>
      <c r="AD53" s="100"/>
      <c r="AE53" s="100"/>
      <c r="AF53" s="150"/>
      <c r="AG53" s="100"/>
      <c r="AH53" s="100"/>
      <c r="AI53" s="100"/>
      <c r="AJ53" s="150"/>
      <c r="AK53" s="100"/>
      <c r="AL53" s="100"/>
      <c r="AM53" s="100"/>
      <c r="AN53" s="100"/>
      <c r="AO53" s="100"/>
      <c r="AP53" s="150"/>
    </row>
    <row r="54" spans="20:42" ht="18" customHeight="1" x14ac:dyDescent="0.3">
      <c r="AD54" s="102" t="s">
        <v>8</v>
      </c>
      <c r="AE54" s="102"/>
      <c r="AF54" s="151" t="s">
        <v>7</v>
      </c>
      <c r="AG54" s="102"/>
      <c r="AH54" s="102" t="s">
        <v>9</v>
      </c>
      <c r="AI54" s="102"/>
      <c r="AJ54" s="151" t="s">
        <v>10</v>
      </c>
      <c r="AK54" s="102"/>
      <c r="AN54" s="102" t="s">
        <v>8</v>
      </c>
      <c r="AO54" s="102"/>
      <c r="AP54" s="151" t="s">
        <v>11</v>
      </c>
    </row>
    <row r="55" spans="20:42" x14ac:dyDescent="0.3">
      <c r="AB55" s="102" t="s">
        <v>14</v>
      </c>
      <c r="AC55" s="102"/>
      <c r="AD55" s="102" t="s">
        <v>12</v>
      </c>
      <c r="AE55" s="102"/>
      <c r="AF55" s="151" t="s">
        <v>13</v>
      </c>
      <c r="AG55" s="102"/>
      <c r="AH55" s="102" t="s">
        <v>15</v>
      </c>
      <c r="AI55" s="102"/>
      <c r="AJ55" s="151" t="s">
        <v>16</v>
      </c>
      <c r="AK55" s="102"/>
      <c r="AN55" s="102" t="s">
        <v>11</v>
      </c>
      <c r="AO55" s="102"/>
      <c r="AP55" s="151" t="s">
        <v>9</v>
      </c>
    </row>
    <row r="56" spans="20:42" x14ac:dyDescent="0.3">
      <c r="T56" s="102" t="s">
        <v>17</v>
      </c>
      <c r="V56" s="102" t="s">
        <v>18</v>
      </c>
      <c r="W56" s="102" t="s">
        <v>19</v>
      </c>
      <c r="X56" s="102" t="s">
        <v>20</v>
      </c>
      <c r="AB56" s="102" t="s">
        <v>8</v>
      </c>
      <c r="AC56" s="102"/>
      <c r="AD56" s="102" t="s">
        <v>593</v>
      </c>
      <c r="AE56" s="102"/>
      <c r="AF56" s="151" t="s">
        <v>593</v>
      </c>
      <c r="AG56" s="102"/>
      <c r="AH56" s="102" t="s">
        <v>708</v>
      </c>
      <c r="AI56" s="102"/>
      <c r="AJ56" s="151" t="s">
        <v>708</v>
      </c>
      <c r="AK56" s="102"/>
      <c r="AL56" s="102" t="s">
        <v>593</v>
      </c>
      <c r="AM56" s="102"/>
      <c r="AN56" s="102" t="s">
        <v>9</v>
      </c>
      <c r="AO56" s="102"/>
      <c r="AP56" s="151" t="s">
        <v>21</v>
      </c>
    </row>
    <row r="57" spans="20:42" x14ac:dyDescent="0.3">
      <c r="T57" s="102" t="s">
        <v>22</v>
      </c>
      <c r="V57" s="102" t="s">
        <v>23</v>
      </c>
      <c r="W57" s="102" t="s">
        <v>24</v>
      </c>
      <c r="X57" s="102" t="s">
        <v>25</v>
      </c>
      <c r="Z57" s="102" t="s">
        <v>26</v>
      </c>
      <c r="AA57" s="102"/>
      <c r="AB57" s="102" t="s">
        <v>27</v>
      </c>
      <c r="AC57" s="102"/>
      <c r="AD57" s="102" t="s">
        <v>9</v>
      </c>
      <c r="AE57" s="102"/>
      <c r="AF57" s="151" t="s">
        <v>9</v>
      </c>
      <c r="AG57" s="102"/>
      <c r="AH57" s="131" t="s">
        <v>29</v>
      </c>
      <c r="AI57" s="131"/>
      <c r="AJ57" s="165" t="s">
        <v>30</v>
      </c>
      <c r="AK57" s="102"/>
      <c r="AL57" s="102" t="s">
        <v>323</v>
      </c>
      <c r="AM57" s="102"/>
      <c r="AN57" s="131" t="s">
        <v>31</v>
      </c>
      <c r="AO57" s="131"/>
      <c r="AP57" s="165" t="s">
        <v>32</v>
      </c>
    </row>
    <row r="58" spans="20:42" x14ac:dyDescent="0.3">
      <c r="V58" s="131" t="s">
        <v>33</v>
      </c>
      <c r="W58" s="131" t="s">
        <v>34</v>
      </c>
      <c r="X58" s="131" t="s">
        <v>35</v>
      </c>
      <c r="Y58" s="134"/>
      <c r="Z58" s="131" t="s">
        <v>36</v>
      </c>
      <c r="AA58" s="131"/>
      <c r="AB58" s="131" t="s">
        <v>42</v>
      </c>
      <c r="AC58" s="131"/>
      <c r="AD58" s="131" t="s">
        <v>43</v>
      </c>
      <c r="AE58" s="131"/>
      <c r="AF58" s="165" t="s">
        <v>44</v>
      </c>
      <c r="AG58" s="131"/>
      <c r="AH58" s="131" t="s">
        <v>45</v>
      </c>
      <c r="AI58" s="131"/>
      <c r="AJ58" s="165" t="s">
        <v>46</v>
      </c>
      <c r="AK58" s="131"/>
      <c r="AL58" s="131" t="s">
        <v>40</v>
      </c>
      <c r="AM58" s="131"/>
      <c r="AN58" s="131" t="s">
        <v>47</v>
      </c>
      <c r="AO58" s="131"/>
      <c r="AP58" s="165" t="s">
        <v>48</v>
      </c>
    </row>
    <row r="59" spans="20:42" ht="17.100000000000001" customHeight="1" x14ac:dyDescent="0.3"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50"/>
      <c r="AG59" s="100"/>
      <c r="AH59" s="100"/>
      <c r="AI59" s="100"/>
      <c r="AJ59" s="150"/>
      <c r="AK59" s="100"/>
      <c r="AL59" s="100"/>
      <c r="AM59" s="100"/>
      <c r="AN59" s="100"/>
      <c r="AO59" s="100"/>
      <c r="AP59" s="150"/>
    </row>
    <row r="60" spans="20:42" ht="17.100000000000001" customHeight="1" x14ac:dyDescent="0.3">
      <c r="Z60" s="166" t="s">
        <v>49</v>
      </c>
      <c r="AA60" s="166"/>
      <c r="AB60" s="167" t="s">
        <v>312</v>
      </c>
      <c r="AC60" s="166"/>
      <c r="AD60" s="166" t="s">
        <v>50</v>
      </c>
      <c r="AE60" s="166"/>
      <c r="AF60" s="168" t="s">
        <v>51</v>
      </c>
      <c r="AG60" s="166"/>
      <c r="AH60" s="166" t="s">
        <v>50</v>
      </c>
      <c r="AI60" s="166"/>
      <c r="AJ60" s="168" t="s">
        <v>51</v>
      </c>
      <c r="AK60" s="166"/>
      <c r="AL60" s="166" t="s">
        <v>50</v>
      </c>
      <c r="AM60" s="166"/>
      <c r="AN60" s="166" t="s">
        <v>50</v>
      </c>
      <c r="AO60" s="166"/>
      <c r="AP60" s="168" t="s">
        <v>51</v>
      </c>
    </row>
    <row r="61" spans="20:42" x14ac:dyDescent="0.3">
      <c r="T61" s="98">
        <v>1</v>
      </c>
      <c r="V61" s="124" t="s">
        <v>52</v>
      </c>
      <c r="W61" s="124" t="s">
        <v>53</v>
      </c>
      <c r="X61" s="1"/>
      <c r="Y61" s="1"/>
      <c r="Z61" s="1"/>
      <c r="AA61" s="1"/>
      <c r="AB61" s="1"/>
      <c r="AC61" s="1"/>
      <c r="AD61" s="1"/>
      <c r="AE61" s="1"/>
      <c r="AF61" s="154"/>
      <c r="AG61" s="1"/>
      <c r="AH61" s="1"/>
      <c r="AI61" s="1"/>
      <c r="AJ61" s="154"/>
      <c r="AK61" s="1"/>
      <c r="AL61" s="1"/>
      <c r="AM61" s="1"/>
      <c r="AN61" s="1"/>
      <c r="AO61" s="1"/>
      <c r="AP61" s="154"/>
    </row>
    <row r="62" spans="20:42" x14ac:dyDescent="0.3">
      <c r="V62" s="99"/>
      <c r="W62" s="99"/>
      <c r="X62" s="1"/>
      <c r="Y62" s="1"/>
      <c r="Z62" s="1"/>
      <c r="AA62" s="1"/>
      <c r="AB62" s="1"/>
      <c r="AC62" s="1"/>
      <c r="AD62" s="1"/>
      <c r="AE62" s="1"/>
      <c r="AF62" s="154"/>
      <c r="AG62" s="1"/>
      <c r="AH62" s="1"/>
      <c r="AI62" s="1"/>
      <c r="AJ62" s="154"/>
      <c r="AK62" s="1"/>
      <c r="AL62" s="1"/>
      <c r="AM62" s="1"/>
      <c r="AN62" s="1"/>
      <c r="AO62" s="1"/>
      <c r="AP62" s="154"/>
    </row>
    <row r="63" spans="20:42" x14ac:dyDescent="0.3">
      <c r="T63" s="98">
        <v>2</v>
      </c>
      <c r="V63" s="134" t="s">
        <v>133</v>
      </c>
      <c r="X63" s="147"/>
      <c r="Y63" s="1"/>
      <c r="Z63" s="147"/>
      <c r="AA63" s="147"/>
      <c r="AB63" s="171"/>
      <c r="AC63" s="171"/>
      <c r="AD63" s="106"/>
      <c r="AE63" s="106"/>
      <c r="AF63" s="154"/>
      <c r="AG63" s="175"/>
      <c r="AH63" s="106"/>
      <c r="AI63" s="106"/>
      <c r="AJ63" s="154"/>
      <c r="AK63" s="1"/>
      <c r="AL63" s="106"/>
      <c r="AM63" s="106"/>
      <c r="AN63" s="106"/>
      <c r="AO63" s="106"/>
      <c r="AP63" s="154"/>
    </row>
    <row r="64" spans="20:42" x14ac:dyDescent="0.3">
      <c r="T64" s="98">
        <v>3</v>
      </c>
      <c r="V64" s="176" t="s">
        <v>55</v>
      </c>
      <c r="X64" s="106">
        <f>F23</f>
        <v>1673311</v>
      </c>
      <c r="Y64" s="1"/>
      <c r="Z64" s="147"/>
      <c r="AA64" s="147"/>
      <c r="AB64" s="181">
        <f>INPUT!C43</f>
        <v>13</v>
      </c>
      <c r="AC64" s="180"/>
      <c r="AD64" s="106">
        <f>ROUND(X64*AB64,0)</f>
        <v>21753043</v>
      </c>
      <c r="AE64" s="106"/>
      <c r="AF64" s="154">
        <f>ROUND((AD64/$AD$79)*100,1)</f>
        <v>10.9</v>
      </c>
      <c r="AG64" s="175"/>
      <c r="AH64" s="106">
        <f>L23-AD64</f>
        <v>5019933</v>
      </c>
      <c r="AI64" s="106"/>
      <c r="AJ64" s="154">
        <f>ROUND((AH64/AD64)*100,1)</f>
        <v>23.1</v>
      </c>
      <c r="AK64" s="175"/>
      <c r="AL64" s="106"/>
      <c r="AM64" s="106"/>
      <c r="AN64" s="106">
        <f>AD64+AL64</f>
        <v>21753043</v>
      </c>
      <c r="AO64" s="106"/>
      <c r="AP64" s="154">
        <f>ROUND((AH64/AN64)*100,1)</f>
        <v>23.1</v>
      </c>
    </row>
    <row r="65" spans="20:42" x14ac:dyDescent="0.3">
      <c r="V65" s="99"/>
      <c r="X65" s="106"/>
      <c r="Y65" s="1"/>
      <c r="Z65" s="147"/>
      <c r="AA65" s="147"/>
      <c r="AB65" s="180"/>
      <c r="AC65" s="180"/>
      <c r="AD65" s="106"/>
      <c r="AE65" s="106"/>
      <c r="AF65" s="154"/>
      <c r="AG65" s="175"/>
      <c r="AH65" s="106"/>
      <c r="AI65" s="106"/>
      <c r="AJ65" s="154"/>
      <c r="AK65" s="175"/>
      <c r="AL65" s="106"/>
      <c r="AM65" s="106"/>
      <c r="AN65" s="106"/>
      <c r="AO65" s="106"/>
      <c r="AP65" s="154"/>
    </row>
    <row r="66" spans="20:42" x14ac:dyDescent="0.3">
      <c r="T66" s="98">
        <v>4</v>
      </c>
      <c r="V66" s="169" t="s">
        <v>371</v>
      </c>
      <c r="X66" s="182"/>
      <c r="Y66" s="1"/>
      <c r="Z66" s="182"/>
      <c r="AA66" s="182"/>
      <c r="AB66" s="171"/>
      <c r="AC66" s="171"/>
      <c r="AD66" s="106"/>
      <c r="AE66" s="106"/>
      <c r="AF66" s="154"/>
      <c r="AG66" s="175"/>
      <c r="AH66" s="106"/>
      <c r="AI66" s="106"/>
      <c r="AJ66" s="154"/>
      <c r="AK66" s="175"/>
      <c r="AL66" s="1"/>
      <c r="AM66" s="1"/>
      <c r="AN66" s="106"/>
      <c r="AO66" s="106"/>
      <c r="AP66" s="154"/>
    </row>
    <row r="67" spans="20:42" x14ac:dyDescent="0.3">
      <c r="T67" s="98">
        <v>5</v>
      </c>
      <c r="V67" s="176" t="s">
        <v>122</v>
      </c>
      <c r="X67" s="177"/>
      <c r="Y67" s="1"/>
      <c r="Z67" s="117">
        <f>H26</f>
        <v>1526476481.0089998</v>
      </c>
      <c r="AA67" s="106"/>
      <c r="AB67" s="184">
        <f>INPUT!C44</f>
        <v>0.111639</v>
      </c>
      <c r="AC67" s="188"/>
      <c r="AD67" s="117">
        <f>ROUND((Z67*AB67),0)-AL67</f>
        <v>170414308</v>
      </c>
      <c r="AE67" s="106"/>
      <c r="AF67" s="156">
        <f>ROUND((AD67/$AD$79)*100,1)</f>
        <v>85.5</v>
      </c>
      <c r="AG67" s="175"/>
      <c r="AH67" s="117">
        <f>L26-AD67</f>
        <v>28197073</v>
      </c>
      <c r="AI67" s="106"/>
      <c r="AJ67" s="156">
        <f>ROUND((AH67/AD67)*100,1)</f>
        <v>16.5</v>
      </c>
      <c r="AK67" s="175"/>
      <c r="AL67" s="117"/>
      <c r="AM67" s="106"/>
      <c r="AN67" s="117">
        <f>AD67+AL67</f>
        <v>170414308</v>
      </c>
      <c r="AO67" s="106"/>
      <c r="AP67" s="156">
        <f>ROUND((AH67/AN67)*100,1)</f>
        <v>16.5</v>
      </c>
    </row>
    <row r="68" spans="20:42" x14ac:dyDescent="0.3">
      <c r="V68" s="99"/>
      <c r="X68" s="1"/>
      <c r="Y68" s="1"/>
      <c r="Z68" s="1"/>
      <c r="AA68" s="1"/>
      <c r="AB68" s="171"/>
      <c r="AC68" s="171"/>
      <c r="AD68" s="106"/>
      <c r="AE68" s="106"/>
      <c r="AF68" s="154"/>
      <c r="AG68" s="175"/>
      <c r="AH68" s="106"/>
      <c r="AI68" s="106"/>
      <c r="AJ68" s="154"/>
      <c r="AK68" s="175"/>
      <c r="AL68" s="106"/>
      <c r="AM68" s="106"/>
      <c r="AN68" s="106"/>
      <c r="AO68" s="106"/>
      <c r="AP68" s="154"/>
    </row>
    <row r="69" spans="20:42" x14ac:dyDescent="0.3">
      <c r="T69" s="98">
        <v>6</v>
      </c>
      <c r="V69" s="169" t="s">
        <v>429</v>
      </c>
      <c r="X69" s="117">
        <f>X64</f>
        <v>1673311</v>
      </c>
      <c r="Y69" s="1"/>
      <c r="Z69" s="117">
        <f>Z67</f>
        <v>1526476481.0089998</v>
      </c>
      <c r="AA69" s="1"/>
      <c r="AB69" s="171"/>
      <c r="AC69" s="171"/>
      <c r="AD69" s="117">
        <f>SUM(AD64:AD67)</f>
        <v>192167351</v>
      </c>
      <c r="AE69" s="106"/>
      <c r="AF69" s="156">
        <f>ROUND((AD69/$AD$79)*100,1)</f>
        <v>96.4</v>
      </c>
      <c r="AG69" s="175"/>
      <c r="AH69" s="117">
        <f>SUM(AH64:AH67)</f>
        <v>33217006</v>
      </c>
      <c r="AI69" s="106"/>
      <c r="AJ69" s="156">
        <f>ROUND((AH69/AD69)*100,1)</f>
        <v>17.3</v>
      </c>
      <c r="AK69" s="175"/>
      <c r="AL69" s="117"/>
      <c r="AM69" s="106"/>
      <c r="AN69" s="117">
        <f>SUM(AN64:AN67)</f>
        <v>192167351</v>
      </c>
      <c r="AO69" s="106"/>
      <c r="AP69" s="156">
        <f>ROUND((AH69/AN69)*100,1)</f>
        <v>17.3</v>
      </c>
    </row>
    <row r="70" spans="20:42" x14ac:dyDescent="0.3">
      <c r="V70" s="176"/>
      <c r="X70" s="1"/>
      <c r="Y70" s="1"/>
      <c r="Z70" s="1"/>
      <c r="AA70" s="1"/>
      <c r="AB70" s="171"/>
      <c r="AC70" s="171"/>
      <c r="AD70" s="106"/>
      <c r="AE70" s="106"/>
      <c r="AF70" s="154"/>
      <c r="AG70" s="175"/>
      <c r="AH70" s="106"/>
      <c r="AI70" s="106"/>
      <c r="AJ70" s="154"/>
      <c r="AK70" s="175"/>
      <c r="AL70" s="106"/>
      <c r="AM70" s="106"/>
      <c r="AN70" s="106"/>
      <c r="AO70" s="106"/>
      <c r="AP70" s="154"/>
    </row>
    <row r="71" spans="20:42" x14ac:dyDescent="0.3">
      <c r="T71" s="98">
        <v>7</v>
      </c>
      <c r="V71" s="124" t="s">
        <v>428</v>
      </c>
      <c r="X71" s="1"/>
      <c r="Y71" s="1"/>
      <c r="Z71" s="1"/>
      <c r="AA71" s="1"/>
      <c r="AB71" s="171"/>
      <c r="AC71" s="171"/>
      <c r="AD71" s="106"/>
      <c r="AE71" s="106"/>
      <c r="AF71" s="154"/>
      <c r="AG71" s="175"/>
      <c r="AH71" s="106"/>
      <c r="AI71" s="106"/>
      <c r="AJ71" s="154"/>
      <c r="AK71" s="175"/>
      <c r="AL71" s="106"/>
      <c r="AM71" s="106"/>
      <c r="AN71" s="106"/>
      <c r="AO71" s="106"/>
      <c r="AP71" s="154"/>
    </row>
    <row r="72" spans="20:42" x14ac:dyDescent="0.3">
      <c r="T72" s="98">
        <f t="shared" ref="T72:T77" si="1">A31</f>
        <v>8</v>
      </c>
      <c r="V72" s="176" t="str">
        <f>C31</f>
        <v>HOME ENERGY ASSISTANCE (HEA)</v>
      </c>
      <c r="X72" s="1"/>
      <c r="Y72" s="1"/>
      <c r="Z72" s="1"/>
      <c r="AA72" s="1"/>
      <c r="AB72" s="181">
        <f>DSM_RS_CUST</f>
        <v>0.3</v>
      </c>
      <c r="AC72" s="171"/>
      <c r="AD72" s="106">
        <f>ROUND(X64*AB72,0)</f>
        <v>501993</v>
      </c>
      <c r="AE72" s="106"/>
      <c r="AF72" s="154">
        <f>ROUND((AD72/$AD$79)*100,1)</f>
        <v>0.3</v>
      </c>
      <c r="AG72" s="175"/>
      <c r="AH72" s="106">
        <f>L31-AD72</f>
        <v>0</v>
      </c>
      <c r="AI72" s="106"/>
      <c r="AJ72" s="154">
        <f>IFERROR(ROUND((AH72/AD72)*100,1),0)</f>
        <v>0</v>
      </c>
      <c r="AK72" s="175"/>
      <c r="AL72" s="106"/>
      <c r="AM72" s="106"/>
      <c r="AN72" s="106">
        <f>AD72+AL72</f>
        <v>501993</v>
      </c>
      <c r="AO72" s="106"/>
      <c r="AP72" s="154">
        <f>IFERROR(ROUND((AH72/AN72)*100,1),0)</f>
        <v>0</v>
      </c>
    </row>
    <row r="73" spans="20:42" x14ac:dyDescent="0.3">
      <c r="T73" s="98">
        <f t="shared" si="1"/>
        <v>9</v>
      </c>
      <c r="V73" s="176" t="str">
        <f>C32</f>
        <v>DEMAND SIDE MANAGEMENT RIDER (DSMR)</v>
      </c>
      <c r="X73" s="1"/>
      <c r="Y73" s="1"/>
      <c r="Z73" s="1"/>
      <c r="AA73" s="1"/>
      <c r="AB73" s="189">
        <f>DSM_RES</f>
        <v>1.3519999999999999E-3</v>
      </c>
      <c r="AC73" s="171"/>
      <c r="AD73" s="106">
        <f>ROUND(Z67*AB73,0)</f>
        <v>2063796</v>
      </c>
      <c r="AE73" s="106"/>
      <c r="AF73" s="154">
        <f>ROUND((AD73/$AD$79)*100,1)</f>
        <v>1</v>
      </c>
      <c r="AG73" s="175"/>
      <c r="AH73" s="106">
        <f>L32-AD73</f>
        <v>0</v>
      </c>
      <c r="AI73" s="106"/>
      <c r="AJ73" s="154">
        <f>IFERROR(ROUND((AH73/AD73)*100,1),0)</f>
        <v>0</v>
      </c>
      <c r="AK73" s="175"/>
      <c r="AL73" s="106"/>
      <c r="AM73" s="106"/>
      <c r="AN73" s="106">
        <f>AD73+AL73</f>
        <v>2063796</v>
      </c>
      <c r="AO73" s="106"/>
      <c r="AP73" s="154">
        <f>IFERROR(ROUND((AH73/AN73)*100,1),0)</f>
        <v>0</v>
      </c>
    </row>
    <row r="74" spans="20:42" x14ac:dyDescent="0.3">
      <c r="T74" s="98">
        <f t="shared" si="1"/>
        <v>10</v>
      </c>
      <c r="V74" s="176" t="str">
        <f>C33</f>
        <v>ENVIRONMENTAL SURCHARGE MECHANISM RIDER (ESM)</v>
      </c>
      <c r="X74" s="1"/>
      <c r="Y74" s="1"/>
      <c r="Z74" s="1"/>
      <c r="AA74" s="1"/>
      <c r="AB74" s="187">
        <f>CUR_ESM</f>
        <v>4.1418127002653491E-3</v>
      </c>
      <c r="AC74" s="171"/>
      <c r="AD74" s="106">
        <f>ROUND((AN69+AN72+AN73+AN75+AN76)*AB74,0)</f>
        <v>844244</v>
      </c>
      <c r="AE74" s="106"/>
      <c r="AF74" s="154">
        <f>ROUND((AD74/$AD$79)*100,1)</f>
        <v>0.4</v>
      </c>
      <c r="AG74" s="175"/>
      <c r="AH74" s="106">
        <f>L33-AD74</f>
        <v>-18947</v>
      </c>
      <c r="AI74" s="106"/>
      <c r="AJ74" s="154">
        <f>IFERROR(ROUND((AH74/AD74)*100,1),0)</f>
        <v>-2.2000000000000002</v>
      </c>
      <c r="AK74" s="175"/>
      <c r="AL74" s="106"/>
      <c r="AM74" s="106"/>
      <c r="AN74" s="106">
        <f>AD74+AL74</f>
        <v>844244</v>
      </c>
      <c r="AO74" s="106"/>
      <c r="AP74" s="154">
        <f>IFERROR(ROUND((AH74/AN74)*100,1),0)</f>
        <v>-2.2000000000000002</v>
      </c>
    </row>
    <row r="75" spans="20:42" x14ac:dyDescent="0.3">
      <c r="T75" s="98">
        <f t="shared" si="1"/>
        <v>11</v>
      </c>
      <c r="V75" s="176" t="str">
        <f>C34</f>
        <v>FUEL ADJUSTMENT CLAUSE (FAC)</v>
      </c>
      <c r="X75" s="1"/>
      <c r="Y75" s="1"/>
      <c r="Z75" s="1"/>
      <c r="AA75" s="1"/>
      <c r="AB75" s="189">
        <f>CUR_FAC</f>
        <v>3.4872127999999998E-3</v>
      </c>
      <c r="AC75" s="171"/>
      <c r="AD75" s="106"/>
      <c r="AE75" s="106"/>
      <c r="AF75" s="154"/>
      <c r="AG75" s="175"/>
      <c r="AH75" s="106"/>
      <c r="AI75" s="106"/>
      <c r="AJ75" s="154"/>
      <c r="AK75" s="175"/>
      <c r="AL75" s="106">
        <f>ROUND(Z67*CUR_FAC,0)</f>
        <v>5323148</v>
      </c>
      <c r="AM75" s="106"/>
      <c r="AN75" s="106">
        <f>AD75+AL75</f>
        <v>5323148</v>
      </c>
      <c r="AO75" s="106"/>
      <c r="AP75" s="154">
        <f>IFERROR(ROUND((AH75/AN75)*100,1),0)</f>
        <v>0</v>
      </c>
    </row>
    <row r="76" spans="20:42" x14ac:dyDescent="0.3">
      <c r="T76" s="98">
        <f t="shared" si="1"/>
        <v>12</v>
      </c>
      <c r="V76" s="176" t="str">
        <f>C35</f>
        <v>PROFIT SHARING MECHANISM (PSM)</v>
      </c>
      <c r="X76" s="1"/>
      <c r="Y76" s="1"/>
      <c r="Z76" s="1"/>
      <c r="AA76" s="1"/>
      <c r="AB76" s="189">
        <f>RS_PSM</f>
        <v>2.4750000000000002E-3</v>
      </c>
      <c r="AC76" s="171"/>
      <c r="AD76" s="117">
        <f>ROUND(Z67*AB76,0)</f>
        <v>3778029</v>
      </c>
      <c r="AE76" s="106"/>
      <c r="AF76" s="156">
        <f>ROUND((AD76/$AD$79)*100,1)</f>
        <v>1.9</v>
      </c>
      <c r="AG76" s="175"/>
      <c r="AH76" s="117">
        <f>L35-AD76</f>
        <v>0</v>
      </c>
      <c r="AI76" s="106"/>
      <c r="AJ76" s="154">
        <f>IFERROR(ROUND((AH76/AD76)*100,1),0)</f>
        <v>0</v>
      </c>
      <c r="AK76" s="175"/>
      <c r="AL76" s="117"/>
      <c r="AM76" s="106"/>
      <c r="AN76" s="117">
        <f>AD76+AL76</f>
        <v>3778029</v>
      </c>
      <c r="AO76" s="106"/>
      <c r="AP76" s="156">
        <f>IFERROR(ROUND((AH76/AN76)*100,1),0)</f>
        <v>0</v>
      </c>
    </row>
    <row r="77" spans="20:42" ht="18" customHeight="1" x14ac:dyDescent="0.3">
      <c r="T77" s="98">
        <f t="shared" si="1"/>
        <v>13</v>
      </c>
      <c r="V77" s="124" t="s">
        <v>433</v>
      </c>
      <c r="X77" s="4"/>
      <c r="Y77" s="1"/>
      <c r="Z77" s="4"/>
      <c r="AA77" s="1"/>
      <c r="AB77" s="171"/>
      <c r="AC77" s="171"/>
      <c r="AD77" s="112">
        <f>SUM(AD72:AD76)</f>
        <v>7188062</v>
      </c>
      <c r="AE77" s="106"/>
      <c r="AF77" s="158">
        <f>ROUND((AD77/$AD$79)*100,1)</f>
        <v>3.6</v>
      </c>
      <c r="AG77" s="175"/>
      <c r="AH77" s="112">
        <f>SUM(AH72:AH76)</f>
        <v>-18947</v>
      </c>
      <c r="AI77" s="106"/>
      <c r="AJ77" s="158">
        <v>0</v>
      </c>
      <c r="AK77" s="175"/>
      <c r="AL77" s="112">
        <f>SUM(AL72:AL76)</f>
        <v>5323148</v>
      </c>
      <c r="AM77" s="106"/>
      <c r="AN77" s="112">
        <f>SUM(AN72:AN76)</f>
        <v>12511210</v>
      </c>
      <c r="AO77" s="106"/>
      <c r="AP77" s="156">
        <f>ROUND((AH77/AN77)*100,1)</f>
        <v>-0.2</v>
      </c>
    </row>
    <row r="78" spans="20:42" x14ac:dyDescent="0.3">
      <c r="V78" s="99"/>
      <c r="X78" s="1"/>
      <c r="Y78" s="1"/>
      <c r="Z78" s="1"/>
      <c r="AA78" s="1"/>
      <c r="AB78" s="171"/>
      <c r="AC78" s="171"/>
      <c r="AD78" s="106"/>
      <c r="AE78" s="106"/>
      <c r="AF78" s="154"/>
      <c r="AG78" s="175"/>
      <c r="AH78" s="106"/>
      <c r="AI78" s="106"/>
      <c r="AJ78" s="154"/>
      <c r="AK78" s="175"/>
      <c r="AL78" s="106"/>
      <c r="AM78" s="106"/>
      <c r="AN78" s="106"/>
      <c r="AO78" s="106"/>
      <c r="AP78" s="154"/>
    </row>
    <row r="79" spans="20:42" ht="24.9" customHeight="1" thickBot="1" x14ac:dyDescent="0.35">
      <c r="T79" s="98">
        <f>A38</f>
        <v>14</v>
      </c>
      <c r="V79" s="169" t="s">
        <v>434</v>
      </c>
      <c r="X79" s="120">
        <f>X64</f>
        <v>1673311</v>
      </c>
      <c r="Y79" s="1"/>
      <c r="Z79" s="120">
        <f>Z67</f>
        <v>1526476481.0089998</v>
      </c>
      <c r="AA79" s="106"/>
      <c r="AB79" s="171"/>
      <c r="AC79" s="171"/>
      <c r="AD79" s="120">
        <f>AD69+AD77</f>
        <v>199355413</v>
      </c>
      <c r="AE79" s="106"/>
      <c r="AF79" s="162">
        <v>100</v>
      </c>
      <c r="AG79" s="175"/>
      <c r="AH79" s="120">
        <f>AH69+AH77</f>
        <v>33198059</v>
      </c>
      <c r="AI79" s="106"/>
      <c r="AJ79" s="162">
        <f>ROUND((AH79/AD79)*100,1)</f>
        <v>16.7</v>
      </c>
      <c r="AK79" s="175"/>
      <c r="AL79" s="120">
        <f>AL69+AL77</f>
        <v>5323148</v>
      </c>
      <c r="AM79" s="106"/>
      <c r="AN79" s="120">
        <f>AN69+AN77</f>
        <v>204678561</v>
      </c>
      <c r="AO79" s="106"/>
      <c r="AP79" s="162">
        <f>ROUND((AH79/AN79)*100,1)</f>
        <v>16.2</v>
      </c>
    </row>
    <row r="80" spans="20:42" ht="24.9" customHeight="1" thickTop="1" x14ac:dyDescent="0.3">
      <c r="V80" s="116"/>
      <c r="X80" s="106"/>
      <c r="Y80" s="1"/>
      <c r="Z80" s="106"/>
      <c r="AA80" s="106"/>
      <c r="AB80" s="171"/>
      <c r="AC80" s="171"/>
      <c r="AD80" s="106"/>
      <c r="AE80" s="106"/>
      <c r="AF80" s="154"/>
      <c r="AG80" s="175"/>
      <c r="AH80" s="106"/>
      <c r="AI80" s="106"/>
      <c r="AJ80" s="154"/>
      <c r="AK80" s="175"/>
      <c r="AL80" s="106"/>
      <c r="AM80" s="106"/>
      <c r="AN80" s="106"/>
      <c r="AO80" s="106"/>
      <c r="AP80" s="154"/>
    </row>
    <row r="81" spans="22:41" x14ac:dyDescent="0.3">
      <c r="V81" s="178" t="s">
        <v>59</v>
      </c>
      <c r="AD81" s="110"/>
      <c r="AE81" s="110"/>
      <c r="AG81" s="110"/>
      <c r="AL81" s="110"/>
      <c r="AM81" s="110"/>
      <c r="AN81" s="110"/>
      <c r="AO81" s="110"/>
    </row>
    <row r="82" spans="22:41" x14ac:dyDescent="0.3">
      <c r="V82" s="178" t="str">
        <f>"(2) REFLECTS FUEL COMPONENT OF "&amp;TEXT(CUR_FAC,"$0.000000;($0.000000)")&amp;"  PER KWH."</f>
        <v>(2) REFLECTS FUEL COMPONENT OF $0.003487  PER KWH.</v>
      </c>
    </row>
    <row r="83" spans="22:41" x14ac:dyDescent="0.3">
      <c r="V83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96" spans="1:101" x14ac:dyDescent="0.3">
      <c r="A196" s="99"/>
    </row>
    <row r="197" spans="1:101" x14ac:dyDescent="0.3">
      <c r="A197" s="99"/>
    </row>
    <row r="198" spans="1:101" x14ac:dyDescent="0.3">
      <c r="A198" s="99"/>
    </row>
    <row r="199" spans="1:101" x14ac:dyDescent="0.3">
      <c r="A199" s="99"/>
    </row>
    <row r="200" spans="1:101" x14ac:dyDescent="0.3">
      <c r="A200" s="99"/>
    </row>
    <row r="201" spans="1:101" x14ac:dyDescent="0.3">
      <c r="A201" s="99"/>
    </row>
    <row r="202" spans="1:101" x14ac:dyDescent="0.3">
      <c r="A202" s="99"/>
    </row>
    <row r="203" spans="1:101" x14ac:dyDescent="0.3">
      <c r="A203" s="99"/>
    </row>
    <row r="204" spans="1:101" x14ac:dyDescent="0.3">
      <c r="A204" s="99"/>
      <c r="CV204" s="99"/>
      <c r="CW204" s="99"/>
    </row>
    <row r="205" spans="1:101" x14ac:dyDescent="0.3">
      <c r="A205" s="99"/>
      <c r="CV205" s="99"/>
      <c r="CW205" s="99"/>
    </row>
    <row r="206" spans="1:101" x14ac:dyDescent="0.3">
      <c r="A206" s="99"/>
      <c r="CV206" s="99"/>
      <c r="CW206" s="99"/>
    </row>
    <row r="207" spans="1:101" x14ac:dyDescent="0.3">
      <c r="CV207" s="99"/>
      <c r="CW207" s="99"/>
    </row>
    <row r="208" spans="1:101" x14ac:dyDescent="0.3">
      <c r="CV208" s="99"/>
      <c r="CW208" s="99"/>
    </row>
    <row r="209" spans="1:101" x14ac:dyDescent="0.3">
      <c r="CV209" s="99"/>
      <c r="CW209" s="99"/>
    </row>
    <row r="210" spans="1:101" x14ac:dyDescent="0.3">
      <c r="CV210" s="99"/>
      <c r="CW210" s="99"/>
    </row>
    <row r="211" spans="1:101" x14ac:dyDescent="0.3">
      <c r="A211" s="99"/>
      <c r="CV211" s="99"/>
      <c r="CW211" s="99"/>
    </row>
    <row r="212" spans="1:101" x14ac:dyDescent="0.3">
      <c r="A212" s="99"/>
      <c r="CV212" s="99"/>
      <c r="CW212" s="99"/>
    </row>
    <row r="213" spans="1:101" x14ac:dyDescent="0.3">
      <c r="CV213" s="99"/>
      <c r="CW213" s="99"/>
    </row>
    <row r="214" spans="1:101" x14ac:dyDescent="0.3">
      <c r="CV214" s="99"/>
      <c r="CW214" s="99"/>
    </row>
    <row r="215" spans="1:101" x14ac:dyDescent="0.3">
      <c r="A215" s="99"/>
      <c r="CV215" s="99"/>
      <c r="CW215" s="99"/>
    </row>
    <row r="216" spans="1:101" x14ac:dyDescent="0.3">
      <c r="CV216" s="99"/>
      <c r="CW216" s="99"/>
    </row>
    <row r="217" spans="1:101" x14ac:dyDescent="0.3">
      <c r="A217" s="99"/>
      <c r="CV217" s="99"/>
      <c r="CW217" s="99"/>
    </row>
    <row r="218" spans="1:101" x14ac:dyDescent="0.3">
      <c r="CV218" s="99"/>
      <c r="CW218" s="99"/>
    </row>
    <row r="219" spans="1:101" x14ac:dyDescent="0.3">
      <c r="A219" s="99"/>
      <c r="CV219" s="99"/>
      <c r="CW219" s="99"/>
    </row>
    <row r="220" spans="1:101" x14ac:dyDescent="0.3">
      <c r="CV220" s="99"/>
      <c r="CW220" s="99"/>
    </row>
    <row r="221" spans="1:101" x14ac:dyDescent="0.3">
      <c r="A221" s="99"/>
      <c r="CV221" s="99"/>
      <c r="CW221" s="99"/>
    </row>
    <row r="222" spans="1:101" x14ac:dyDescent="0.3">
      <c r="CV222" s="99"/>
      <c r="CW222" s="99"/>
    </row>
    <row r="223" spans="1:101" x14ac:dyDescent="0.3">
      <c r="CV223" s="99"/>
      <c r="CW223" s="99"/>
    </row>
    <row r="224" spans="1:101" x14ac:dyDescent="0.3">
      <c r="A224" s="99"/>
      <c r="CV224" s="99"/>
      <c r="CW224" s="99"/>
    </row>
    <row r="225" spans="1:101" x14ac:dyDescent="0.3">
      <c r="A225" s="99"/>
      <c r="CV225" s="99"/>
      <c r="CW225" s="99"/>
    </row>
    <row r="226" spans="1:101" x14ac:dyDescent="0.3">
      <c r="A226" s="99"/>
      <c r="CV226" s="99"/>
      <c r="CW226" s="99"/>
    </row>
    <row r="227" spans="1:101" x14ac:dyDescent="0.3">
      <c r="A227" s="99"/>
      <c r="CV227" s="99"/>
      <c r="CW227" s="99"/>
    </row>
    <row r="228" spans="1:101" x14ac:dyDescent="0.3">
      <c r="A228" s="99"/>
      <c r="CV228" s="99"/>
      <c r="CW228" s="99"/>
    </row>
    <row r="229" spans="1:101" x14ac:dyDescent="0.3">
      <c r="A229" s="99"/>
      <c r="CV229" s="99"/>
      <c r="CW229" s="99"/>
    </row>
    <row r="230" spans="1:101" x14ac:dyDescent="0.3">
      <c r="A230" s="99"/>
      <c r="CV230" s="99"/>
      <c r="CW230" s="99"/>
    </row>
    <row r="231" spans="1:101" x14ac:dyDescent="0.3">
      <c r="A231" s="99"/>
      <c r="CV231" s="99"/>
      <c r="CW231" s="99"/>
    </row>
    <row r="232" spans="1:101" x14ac:dyDescent="0.3">
      <c r="CV232" s="99"/>
      <c r="CW232" s="99"/>
    </row>
    <row r="233" spans="1:101" x14ac:dyDescent="0.3">
      <c r="CV233" s="99"/>
      <c r="CW233" s="99"/>
    </row>
    <row r="234" spans="1:101" x14ac:dyDescent="0.3">
      <c r="CV234" s="99"/>
      <c r="CW234" s="99"/>
    </row>
    <row r="235" spans="1:101" x14ac:dyDescent="0.3">
      <c r="CV235" s="99"/>
      <c r="CW235" s="99"/>
    </row>
    <row r="236" spans="1:101" x14ac:dyDescent="0.3">
      <c r="CV236" s="99"/>
      <c r="CW236" s="99"/>
    </row>
    <row r="237" spans="1:101" x14ac:dyDescent="0.3">
      <c r="CV237" s="99"/>
      <c r="CW237" s="99"/>
    </row>
    <row r="238" spans="1:101" x14ac:dyDescent="0.3">
      <c r="CV238" s="99"/>
      <c r="CW238" s="99"/>
    </row>
    <row r="239" spans="1:101" x14ac:dyDescent="0.3">
      <c r="CV239" s="99"/>
      <c r="CW239" s="99"/>
    </row>
    <row r="240" spans="1:101" x14ac:dyDescent="0.3">
      <c r="CV240" s="99"/>
      <c r="CW240" s="99"/>
    </row>
    <row r="241" spans="100:101" x14ac:dyDescent="0.3">
      <c r="CV241" s="99"/>
      <c r="CW241" s="99"/>
    </row>
    <row r="242" spans="100:101" x14ac:dyDescent="0.3">
      <c r="CV242" s="99"/>
      <c r="CW242" s="99"/>
    </row>
    <row r="243" spans="100:101" x14ac:dyDescent="0.3">
      <c r="CV243" s="99"/>
      <c r="CW243" s="99"/>
    </row>
    <row r="244" spans="100:101" x14ac:dyDescent="0.3">
      <c r="CV244" s="99"/>
      <c r="CW244" s="99"/>
    </row>
    <row r="245" spans="100:101" x14ac:dyDescent="0.3">
      <c r="CV245" s="99"/>
      <c r="CW245" s="99"/>
    </row>
    <row r="246" spans="100:101" x14ac:dyDescent="0.3">
      <c r="CV246" s="99"/>
      <c r="CW246" s="99"/>
    </row>
    <row r="247" spans="100:101" x14ac:dyDescent="0.3">
      <c r="CV247" s="99"/>
      <c r="CW247" s="99"/>
    </row>
    <row r="248" spans="100:101" x14ac:dyDescent="0.3">
      <c r="CV248" s="99"/>
      <c r="CW248" s="99"/>
    </row>
    <row r="249" spans="100:101" x14ac:dyDescent="0.3">
      <c r="CV249" s="99"/>
      <c r="CW249" s="99"/>
    </row>
    <row r="250" spans="100:101" x14ac:dyDescent="0.3">
      <c r="CV250" s="99"/>
      <c r="CW250" s="99"/>
    </row>
    <row r="251" spans="100:101" x14ac:dyDescent="0.3">
      <c r="CV251" s="99"/>
      <c r="CW251" s="99"/>
    </row>
    <row r="252" spans="100:101" x14ac:dyDescent="0.3">
      <c r="CV252" s="99"/>
      <c r="CW252" s="99"/>
    </row>
    <row r="253" spans="100:101" x14ac:dyDescent="0.3">
      <c r="CV253" s="99"/>
      <c r="CW253" s="99"/>
    </row>
    <row r="254" spans="100:101" x14ac:dyDescent="0.3">
      <c r="CV254" s="99"/>
      <c r="CW254" s="99"/>
    </row>
    <row r="255" spans="100:101" x14ac:dyDescent="0.3">
      <c r="CV255" s="99"/>
      <c r="CW255" s="99"/>
    </row>
    <row r="256" spans="100:101" x14ac:dyDescent="0.3">
      <c r="CV256" s="99"/>
      <c r="CW256" s="99"/>
    </row>
    <row r="257" spans="100:101" x14ac:dyDescent="0.3">
      <c r="CV257" s="99"/>
      <c r="CW257" s="99"/>
    </row>
    <row r="258" spans="100:101" x14ac:dyDescent="0.3">
      <c r="CV258" s="99"/>
      <c r="CW258" s="99"/>
    </row>
    <row r="259" spans="100:101" x14ac:dyDescent="0.3">
      <c r="CV259" s="99"/>
      <c r="CW259" s="99"/>
    </row>
    <row r="260" spans="100:101" x14ac:dyDescent="0.3">
      <c r="CV260" s="99"/>
      <c r="CW260" s="99"/>
    </row>
    <row r="261" spans="100:101" x14ac:dyDescent="0.3">
      <c r="CV261" s="99"/>
      <c r="CW261" s="99"/>
    </row>
    <row r="262" spans="100:101" x14ac:dyDescent="0.3">
      <c r="CV262" s="99"/>
      <c r="CW262" s="99"/>
    </row>
    <row r="263" spans="100:101" x14ac:dyDescent="0.3">
      <c r="CV263" s="99"/>
      <c r="CW263" s="99"/>
    </row>
    <row r="264" spans="100:101" x14ac:dyDescent="0.3">
      <c r="CV264" s="99"/>
      <c r="CW264" s="99"/>
    </row>
    <row r="265" spans="100:101" x14ac:dyDescent="0.3">
      <c r="CV265" s="99"/>
      <c r="CW265" s="99"/>
    </row>
    <row r="266" spans="100:101" x14ac:dyDescent="0.3">
      <c r="CV266" s="99"/>
      <c r="CW266" s="99"/>
    </row>
    <row r="267" spans="100:101" x14ac:dyDescent="0.3">
      <c r="CV267" s="99"/>
      <c r="CW267" s="99"/>
    </row>
    <row r="268" spans="100:101" x14ac:dyDescent="0.3">
      <c r="CV268" s="99"/>
      <c r="CW268" s="99"/>
    </row>
    <row r="269" spans="100:101" x14ac:dyDescent="0.3">
      <c r="CV269" s="99"/>
      <c r="CW269" s="99"/>
    </row>
    <row r="270" spans="100:101" x14ac:dyDescent="0.3">
      <c r="CV270" s="99"/>
      <c r="CW270" s="99"/>
    </row>
    <row r="271" spans="100:101" x14ac:dyDescent="0.3">
      <c r="CV271" s="99"/>
      <c r="CW271" s="99"/>
    </row>
    <row r="272" spans="100:101" x14ac:dyDescent="0.3">
      <c r="CV272" s="99"/>
      <c r="CW272" s="99"/>
    </row>
    <row r="273" spans="100:101" x14ac:dyDescent="0.3">
      <c r="CV273" s="99"/>
      <c r="CW273" s="99"/>
    </row>
    <row r="274" spans="100:101" x14ac:dyDescent="0.3">
      <c r="CV274" s="99"/>
      <c r="CW274" s="99"/>
    </row>
    <row r="275" spans="100:101" x14ac:dyDescent="0.3">
      <c r="CV275" s="99"/>
      <c r="CW275" s="99"/>
    </row>
    <row r="276" spans="100:101" x14ac:dyDescent="0.3">
      <c r="CV276" s="99"/>
      <c r="CW276" s="99"/>
    </row>
    <row r="277" spans="100:101" x14ac:dyDescent="0.3">
      <c r="CV277" s="99"/>
      <c r="CW277" s="99"/>
    </row>
    <row r="278" spans="100:101" x14ac:dyDescent="0.3">
      <c r="CV278" s="99"/>
      <c r="CW278" s="99"/>
    </row>
    <row r="279" spans="100:101" x14ac:dyDescent="0.3">
      <c r="CV279" s="99"/>
      <c r="CW279" s="99"/>
    </row>
    <row r="280" spans="100:101" x14ac:dyDescent="0.3">
      <c r="CV280" s="99"/>
      <c r="CW280" s="99"/>
    </row>
    <row r="281" spans="100:101" x14ac:dyDescent="0.3">
      <c r="CV281" s="99"/>
      <c r="CW281" s="99"/>
    </row>
    <row r="282" spans="100:101" x14ac:dyDescent="0.3">
      <c r="CV282" s="99"/>
      <c r="CW282" s="99"/>
    </row>
    <row r="283" spans="100:101" x14ac:dyDescent="0.3">
      <c r="CV283" s="99"/>
      <c r="CW283" s="99"/>
    </row>
    <row r="284" spans="100:101" x14ac:dyDescent="0.3">
      <c r="CV284" s="99"/>
      <c r="CW284" s="99"/>
    </row>
    <row r="285" spans="100:101" x14ac:dyDescent="0.3">
      <c r="CV285" s="99"/>
      <c r="CW285" s="99"/>
    </row>
    <row r="286" spans="100:101" x14ac:dyDescent="0.3">
      <c r="CV286" s="99"/>
      <c r="CW286" s="99"/>
    </row>
    <row r="287" spans="100:101" x14ac:dyDescent="0.3">
      <c r="CV287" s="99"/>
      <c r="CW287" s="99"/>
    </row>
    <row r="288" spans="100:101" x14ac:dyDescent="0.3">
      <c r="CV288" s="99"/>
      <c r="CW288" s="99"/>
    </row>
  </sheetData>
  <customSheetViews>
    <customSheetView guid="{F562D92E-120C-4AE9-9663-89E64D41DC53}" scale="75" fitToPage="1" printArea="1">
      <selection activeCell="L16" sqref="L16"/>
      <rowBreaks count="3" manualBreakCount="3">
        <brk id="30" max="17" man="1"/>
        <brk id="69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"/>
      <headerFooter alignWithMargins="0"/>
    </customSheetView>
    <customSheetView guid="{35F19056-2E6F-4935-B863-78836FE990BF}" scale="75" fitToPage="1" showRuler="0" topLeftCell="A16">
      <selection activeCell="J22" sqref="J22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2"/>
      <headerFooter alignWithMargins="0"/>
    </customSheetView>
    <customSheetView guid="{18BDED73-BFA0-442E-87EC-CED86EE4CF94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3"/>
      <headerFooter alignWithMargins="0"/>
    </customSheetView>
    <customSheetView guid="{0BC1F393-8A13-47D5-BC6C-0C99615B5AB9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4"/>
      <headerFooter alignWithMargins="0"/>
    </customSheetView>
    <customSheetView guid="{6B3D5C27-2FDE-4561-9575-1E98BFB869D0}" scale="75" fitToPage="1" showRuler="0" topLeftCell="A16">
      <selection activeCell="D33" sqref="D33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5"/>
      <headerFooter alignWithMargins="0"/>
    </customSheetView>
    <customSheetView guid="{8FB94551-8874-4095-B8FB-5316E0D2FD2C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6"/>
      <headerFooter alignWithMargins="0"/>
    </customSheetView>
    <customSheetView guid="{8FC77C99-DBF7-40B8-99B8-01B75826CDCB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7"/>
      <headerFooter alignWithMargins="0"/>
    </customSheetView>
    <customSheetView guid="{2EA35095-1ADC-4CC7-8C3C-B487D65FA247}" scale="75" fitToPage="1" showRuler="0" topLeftCell="A26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8"/>
      <headerFooter alignWithMargins="0"/>
    </customSheetView>
    <customSheetView guid="{2431C9E5-7CC2-4B8D-99C3-962247B1DBF5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9"/>
      <headerFooter alignWithMargins="0"/>
    </customSheetView>
    <customSheetView guid="{4BC93440-BA85-4935-A8C9-66DC6AE5DE5E}" scale="75" fitToPage="1" showRuler="0" topLeftCell="I32">
      <selection activeCell="P47" sqref="P47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58" orientation="landscape" horizontalDpi="300" verticalDpi="300" r:id="rId10"/>
      <headerFooter alignWithMargins="0"/>
    </customSheetView>
    <customSheetView guid="{0C49E549-011E-46F4-A82E-2CC8951A9C1E}" scale="75" fitToPage="1" showRuler="0">
      <selection activeCell="J48" sqref="J48"/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1"/>
      <headerFooter alignWithMargins="0"/>
    </customSheetView>
    <customSheetView guid="{195DF303-1BBD-4236-94B5-47432850B006}" scale="75" fitToPage="1" showRuler="0">
      <rowBreaks count="3" manualBreakCount="3">
        <brk id="47" max="17" man="1"/>
        <brk id="86" min="19" max="41" man="1"/>
        <brk id="133" max="65535" man="1"/>
      </rowBreaks>
      <colBreaks count="1" manualBreakCount="1">
        <brk id="19" max="1048575" man="1"/>
      </colBreaks>
      <pageMargins left="0.5" right="0.5" top="1" bottom="1" header="0.5" footer="0.5"/>
      <pageSetup scale="64" orientation="landscape" horizontalDpi="300" verticalDpi="300" r:id="rId12"/>
      <headerFooter alignWithMargins="0"/>
    </customSheetView>
  </customSheetViews>
  <phoneticPr fontId="11" type="noConversion"/>
  <pageMargins left="0.5" right="0.5" top="1" bottom="1" header="0.5" footer="0.5"/>
  <pageSetup scale="61" orientation="landscape" horizontalDpi="300" verticalDpi="300" r:id="rId13"/>
  <headerFooter alignWithMargins="0"/>
  <rowBreaks count="2" manualBreakCount="2">
    <brk id="41" max="17" man="1"/>
    <brk id="133" max="65535" man="1"/>
  </rowBreaks>
  <colBreaks count="1" manualBreakCount="1">
    <brk id="1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syncVertical="1" syncRef="A1" transitionEvaluation="1" transitionEntry="1" codeName="Sheet7">
    <pageSetUpPr fitToPage="1"/>
  </sheetPr>
  <dimension ref="A1:BX1140"/>
  <sheetViews>
    <sheetView zoomScale="75" workbookViewId="0"/>
  </sheetViews>
  <sheetFormatPr defaultColWidth="9.75" defaultRowHeight="15.6" x14ac:dyDescent="0.3"/>
  <cols>
    <col min="1" max="1" width="4" style="98" customWidth="1"/>
    <col min="2" max="2" width="0.6640625" style="98" customWidth="1"/>
    <col min="3" max="3" width="6.75" style="98" customWidth="1"/>
    <col min="4" max="4" width="37.75" style="98" customWidth="1"/>
    <col min="5" max="5" width="0.4140625" style="98" customWidth="1"/>
    <col min="6" max="6" width="11.08203125" style="98" customWidth="1"/>
    <col min="7" max="7" width="0.6640625" style="98" customWidth="1"/>
    <col min="8" max="8" width="14.58203125" style="98" customWidth="1"/>
    <col min="9" max="9" width="0.6640625" style="98" customWidth="1"/>
    <col min="10" max="10" width="10.6640625" style="98" customWidth="1"/>
    <col min="11" max="11" width="0.6640625" style="98" customWidth="1"/>
    <col min="12" max="12" width="14.6640625" style="98" customWidth="1"/>
    <col min="13" max="13" width="0.33203125" style="98" customWidth="1"/>
    <col min="14" max="14" width="12.75" style="98" customWidth="1"/>
    <col min="15" max="15" width="0.58203125" style="98" customWidth="1"/>
    <col min="16" max="16" width="14.75" style="98" customWidth="1"/>
    <col min="17" max="17" width="0.58203125" style="98" customWidth="1"/>
    <col min="18" max="18" width="16" style="98" customWidth="1"/>
    <col min="19" max="19" width="8.75" style="98" customWidth="1"/>
    <col min="20" max="20" width="5.4140625" style="98" customWidth="1"/>
    <col min="21" max="21" width="0.58203125" style="98" customWidth="1"/>
    <col min="22" max="22" width="4.58203125" style="98" customWidth="1"/>
    <col min="23" max="23" width="39.9140625" style="98" customWidth="1"/>
    <col min="24" max="24" width="0.4140625" style="98" customWidth="1"/>
    <col min="25" max="25" width="9.6640625" style="98" customWidth="1"/>
    <col min="26" max="26" width="0.6640625" style="98" customWidth="1"/>
    <col min="27" max="27" width="14.33203125" style="98" customWidth="1"/>
    <col min="28" max="28" width="0.6640625" style="98" customWidth="1"/>
    <col min="29" max="29" width="11.4140625" style="98" customWidth="1"/>
    <col min="30" max="30" width="0.58203125" style="98" customWidth="1"/>
    <col min="31" max="31" width="12.9140625" style="98" customWidth="1"/>
    <col min="32" max="32" width="0.75" style="98" customWidth="1"/>
    <col min="33" max="33" width="13.6640625" style="148" customWidth="1"/>
    <col min="34" max="34" width="0.6640625" style="98" customWidth="1"/>
    <col min="35" max="35" width="14.33203125" style="98" customWidth="1"/>
    <col min="36" max="36" width="0.9140625" style="98" customWidth="1"/>
    <col min="37" max="37" width="14.58203125" style="148" customWidth="1"/>
    <col min="38" max="38" width="0.6640625" style="98" customWidth="1"/>
    <col min="39" max="39" width="12.08203125" style="98" customWidth="1"/>
    <col min="40" max="40" width="0.58203125" style="98" customWidth="1"/>
    <col min="41" max="41" width="13.25" style="98" customWidth="1"/>
    <col min="42" max="42" width="0.6640625" style="98" customWidth="1"/>
    <col min="43" max="43" width="11.25" style="148" customWidth="1"/>
    <col min="44" max="44" width="14.75" style="98" customWidth="1"/>
    <col min="45" max="45" width="4.75" style="98" customWidth="1"/>
    <col min="46" max="46" width="5.75" style="98" customWidth="1"/>
    <col min="47" max="47" width="10.75" style="98" customWidth="1"/>
    <col min="48" max="48" width="11.75" style="98" customWidth="1"/>
    <col min="49" max="49" width="12.75" style="98" customWidth="1"/>
    <col min="50" max="52" width="15.75" style="98" customWidth="1"/>
    <col min="53" max="53" width="12.75" style="98" customWidth="1"/>
    <col min="54" max="56" width="15.75" style="98" customWidth="1"/>
    <col min="57" max="57" width="12.75" style="98" customWidth="1"/>
    <col min="58" max="59" width="9.75" style="98"/>
    <col min="60" max="62" width="12.75" style="98" customWidth="1"/>
    <col min="63" max="63" width="14.75" style="98" customWidth="1"/>
    <col min="64" max="65" width="9.75" style="98"/>
    <col min="66" max="68" width="12.75" style="98" customWidth="1"/>
    <col min="69" max="69" width="14.75" style="98" customWidth="1"/>
    <col min="70" max="76" width="9.75" style="98"/>
    <col min="77" max="77" width="1.75" style="98" customWidth="1"/>
    <col min="78" max="79" width="9.75" style="98"/>
    <col min="80" max="80" width="10.75" style="98" customWidth="1"/>
    <col min="81" max="82" width="9.75" style="98"/>
    <col min="83" max="83" width="7.75" style="98" customWidth="1"/>
    <col min="84" max="16384" width="9.75" style="98"/>
  </cols>
  <sheetData>
    <row r="1" spans="1:40" x14ac:dyDescent="0.3">
      <c r="A1" s="97" t="str">
        <f>NAME</f>
        <v>DUKE ENERGY KENTUCKY, INC.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40" x14ac:dyDescent="0.3">
      <c r="A2" s="97" t="str">
        <f>CASE_NO</f>
        <v>CASE NO.   2024-00354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40" x14ac:dyDescent="0.3">
      <c r="A3" s="97" t="str">
        <f>TITLE</f>
        <v>ANNUALIZED BASE YEAR REVENUES AT PROPOSED VS. MOST CURRENT RATES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Y3" s="99"/>
    </row>
    <row r="4" spans="1:40" x14ac:dyDescent="0.3">
      <c r="A4" s="97" t="str">
        <f>DATE</f>
        <v>FOR THE TWELVE MONTHS ENDED February 28, 2025</v>
      </c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40" x14ac:dyDescent="0.3">
      <c r="A5" s="97" t="str">
        <f>SERVICE</f>
        <v>(ELECTRIC SERVICE)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AA5" s="99"/>
      <c r="AB5" s="99"/>
    </row>
    <row r="6" spans="1:40" x14ac:dyDescent="0.3">
      <c r="A6" s="98" t="str">
        <f>DATA_PERIOD</f>
        <v>DATA: __X__ BASE PERIOD   ____FORECASTED PERIOD</v>
      </c>
      <c r="R6" s="99" t="s">
        <v>156</v>
      </c>
      <c r="AK6" s="190"/>
      <c r="AL6" s="99"/>
    </row>
    <row r="7" spans="1:40" x14ac:dyDescent="0.3">
      <c r="A7" s="98" t="str">
        <f>TYPE</f>
        <v>TYPE OF FILING: _X_ ORIGINAL   ___UPDATED  ___ REVISED</v>
      </c>
      <c r="R7" s="116" t="str">
        <f>"PAGE 3 OF "&amp;TEXT(Page_Num_2.3,"00")</f>
        <v>PAGE 3 OF 24</v>
      </c>
      <c r="AK7" s="190"/>
      <c r="AL7" s="99"/>
    </row>
    <row r="8" spans="1:40" x14ac:dyDescent="0.3">
      <c r="A8" s="99" t="s">
        <v>170</v>
      </c>
      <c r="R8" s="99" t="s">
        <v>3</v>
      </c>
      <c r="AK8" s="190"/>
      <c r="AL8" s="99"/>
    </row>
    <row r="9" spans="1:40" x14ac:dyDescent="0.3">
      <c r="A9" s="124" t="str">
        <f>TIME</f>
        <v>6 Months Actual and 6 Months Projected with Riders</v>
      </c>
      <c r="R9" s="98" t="str">
        <f>WIT</f>
        <v>B. L. Sailers</v>
      </c>
      <c r="AK9" s="190"/>
      <c r="AL9" s="99"/>
    </row>
    <row r="10" spans="1:40" x14ac:dyDescent="0.3">
      <c r="A10" s="124" t="str">
        <f>INPUT!B5</f>
        <v>6 Months Actual Ending August 31, 2024</v>
      </c>
      <c r="AK10" s="190"/>
      <c r="AL10" s="99"/>
    </row>
    <row r="11" spans="1:40" x14ac:dyDescent="0.3">
      <c r="A11" s="97" t="s">
        <v>129</v>
      </c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AA11" s="99"/>
      <c r="AB11" s="99"/>
    </row>
    <row r="12" spans="1:40" x14ac:dyDescent="0.3">
      <c r="A12" s="100"/>
      <c r="B12" s="100"/>
      <c r="C12" s="100"/>
      <c r="D12" s="10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91"/>
      <c r="AH12" s="101"/>
      <c r="AI12" s="101"/>
      <c r="AJ12" s="101"/>
      <c r="AK12" s="191"/>
      <c r="AL12" s="101"/>
      <c r="AM12" s="101"/>
      <c r="AN12" s="101"/>
    </row>
    <row r="13" spans="1:40" ht="18" customHeight="1" x14ac:dyDescent="0.3">
      <c r="L13" s="102" t="s">
        <v>6</v>
      </c>
      <c r="M13" s="102"/>
      <c r="N13" s="102" t="s">
        <v>7</v>
      </c>
      <c r="O13" s="102"/>
      <c r="R13" s="102" t="s">
        <v>6</v>
      </c>
      <c r="AA13" s="102"/>
      <c r="AB13" s="102"/>
      <c r="AC13" s="102"/>
      <c r="AD13" s="102"/>
      <c r="AE13" s="102"/>
      <c r="AF13" s="102"/>
      <c r="AG13" s="151"/>
      <c r="AH13" s="102"/>
      <c r="AK13" s="151"/>
      <c r="AL13" s="102"/>
      <c r="AM13" s="102"/>
      <c r="AN13" s="102"/>
    </row>
    <row r="14" spans="1:40" x14ac:dyDescent="0.3">
      <c r="L14" s="102" t="s">
        <v>12</v>
      </c>
      <c r="M14" s="102"/>
      <c r="N14" s="102" t="s">
        <v>13</v>
      </c>
      <c r="O14" s="102"/>
      <c r="R14" s="102" t="s">
        <v>11</v>
      </c>
      <c r="Z14" s="102"/>
      <c r="AA14" s="102"/>
      <c r="AB14" s="102"/>
      <c r="AC14" s="102"/>
      <c r="AD14" s="102"/>
      <c r="AE14" s="102"/>
      <c r="AF14" s="102"/>
      <c r="AG14" s="151"/>
      <c r="AH14" s="102"/>
      <c r="AK14" s="151"/>
      <c r="AL14" s="102"/>
      <c r="AM14" s="102"/>
      <c r="AN14" s="102"/>
    </row>
    <row r="15" spans="1:40" x14ac:dyDescent="0.3">
      <c r="A15" s="102" t="s">
        <v>17</v>
      </c>
      <c r="C15" s="102" t="s">
        <v>18</v>
      </c>
      <c r="D15" s="102" t="s">
        <v>19</v>
      </c>
      <c r="E15" s="102"/>
      <c r="F15" s="102" t="s">
        <v>20</v>
      </c>
      <c r="J15" s="102" t="s">
        <v>6</v>
      </c>
      <c r="K15" s="102"/>
      <c r="L15" s="102" t="s">
        <v>593</v>
      </c>
      <c r="M15" s="102"/>
      <c r="N15" s="102" t="s">
        <v>593</v>
      </c>
      <c r="O15" s="102"/>
      <c r="P15" s="102" t="s">
        <v>593</v>
      </c>
      <c r="Q15" s="102"/>
      <c r="R15" s="102" t="s">
        <v>9</v>
      </c>
      <c r="T15" s="102"/>
      <c r="U15" s="102"/>
      <c r="V15" s="102"/>
      <c r="Z15" s="102"/>
      <c r="AA15" s="102"/>
      <c r="AB15" s="102"/>
      <c r="AC15" s="102"/>
      <c r="AD15" s="102"/>
      <c r="AE15" s="102"/>
      <c r="AF15" s="102"/>
      <c r="AG15" s="151"/>
      <c r="AH15" s="102"/>
      <c r="AI15" s="102"/>
      <c r="AJ15" s="102"/>
      <c r="AK15" s="151"/>
      <c r="AL15" s="102"/>
      <c r="AM15" s="102"/>
      <c r="AN15" s="102"/>
    </row>
    <row r="16" spans="1:40" x14ac:dyDescent="0.3">
      <c r="A16" s="102" t="s">
        <v>22</v>
      </c>
      <c r="C16" s="102" t="s">
        <v>23</v>
      </c>
      <c r="D16" s="102" t="s">
        <v>24</v>
      </c>
      <c r="E16" s="102"/>
      <c r="F16" s="102" t="s">
        <v>25</v>
      </c>
      <c r="H16" s="102" t="s">
        <v>26</v>
      </c>
      <c r="I16" s="102"/>
      <c r="J16" s="102" t="s">
        <v>27</v>
      </c>
      <c r="K16" s="102"/>
      <c r="L16" s="102" t="s">
        <v>778</v>
      </c>
      <c r="M16" s="102"/>
      <c r="N16" s="102" t="s">
        <v>9</v>
      </c>
      <c r="O16" s="102"/>
      <c r="P16" s="102" t="s">
        <v>323</v>
      </c>
      <c r="Q16" s="102"/>
      <c r="R16" s="131" t="s">
        <v>28</v>
      </c>
      <c r="T16" s="102"/>
      <c r="U16" s="102"/>
      <c r="V16" s="102"/>
      <c r="Y16" s="102"/>
      <c r="Z16" s="102"/>
      <c r="AA16" s="102"/>
      <c r="AB16" s="102"/>
      <c r="AC16" s="102"/>
      <c r="AD16" s="102"/>
      <c r="AE16" s="102"/>
      <c r="AF16" s="102"/>
      <c r="AG16" s="151"/>
      <c r="AH16" s="102"/>
      <c r="AI16" s="102"/>
      <c r="AJ16" s="102"/>
      <c r="AK16" s="151"/>
      <c r="AL16" s="102"/>
      <c r="AM16" s="102"/>
      <c r="AN16" s="102"/>
    </row>
    <row r="17" spans="1:40" x14ac:dyDescent="0.3">
      <c r="C17" s="131" t="s">
        <v>33</v>
      </c>
      <c r="D17" s="131" t="s">
        <v>34</v>
      </c>
      <c r="E17" s="131"/>
      <c r="F17" s="131" t="s">
        <v>35</v>
      </c>
      <c r="G17" s="134"/>
      <c r="H17" s="131" t="s">
        <v>36</v>
      </c>
      <c r="I17" s="131"/>
      <c r="J17" s="131" t="s">
        <v>37</v>
      </c>
      <c r="K17" s="131"/>
      <c r="L17" s="131" t="s">
        <v>38</v>
      </c>
      <c r="M17" s="131"/>
      <c r="N17" s="131" t="s">
        <v>39</v>
      </c>
      <c r="O17" s="131"/>
      <c r="P17" s="131" t="s">
        <v>40</v>
      </c>
      <c r="Q17" s="131"/>
      <c r="R17" s="131" t="s">
        <v>41</v>
      </c>
      <c r="T17" s="102"/>
      <c r="U17" s="102"/>
      <c r="V17" s="102"/>
      <c r="Y17" s="102"/>
      <c r="Z17" s="102"/>
      <c r="AA17" s="102"/>
      <c r="AB17" s="102"/>
      <c r="AC17" s="102"/>
      <c r="AD17" s="102"/>
      <c r="AE17" s="102"/>
      <c r="AF17" s="102"/>
      <c r="AG17" s="151"/>
      <c r="AH17" s="102"/>
      <c r="AI17" s="102"/>
      <c r="AJ17" s="102"/>
      <c r="AK17" s="151"/>
      <c r="AL17" s="102"/>
      <c r="AM17" s="102"/>
      <c r="AN17" s="102"/>
    </row>
    <row r="18" spans="1:40" x14ac:dyDescent="0.3">
      <c r="A18" s="100"/>
      <c r="B18" s="100"/>
      <c r="C18" s="100"/>
      <c r="D18" s="100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91"/>
      <c r="AH18" s="101"/>
      <c r="AI18" s="101"/>
      <c r="AJ18" s="101"/>
      <c r="AK18" s="191"/>
      <c r="AL18" s="101"/>
      <c r="AM18" s="101"/>
      <c r="AN18" s="101"/>
    </row>
    <row r="19" spans="1:40" ht="17.100000000000001" customHeight="1" x14ac:dyDescent="0.3">
      <c r="H19" s="167" t="s">
        <v>196</v>
      </c>
      <c r="I19" s="166"/>
      <c r="J19" s="167" t="s">
        <v>331</v>
      </c>
      <c r="K19" s="166"/>
      <c r="L19" s="166" t="s">
        <v>50</v>
      </c>
      <c r="M19" s="166"/>
      <c r="N19" s="166" t="s">
        <v>51</v>
      </c>
      <c r="O19" s="166"/>
      <c r="P19" s="166" t="s">
        <v>50</v>
      </c>
      <c r="Q19" s="166"/>
      <c r="R19" s="166" t="s">
        <v>50</v>
      </c>
      <c r="Y19" s="102"/>
      <c r="Z19" s="102"/>
      <c r="AA19" s="102"/>
      <c r="AB19" s="102"/>
      <c r="AC19" s="102"/>
      <c r="AD19" s="102"/>
      <c r="AE19" s="102"/>
      <c r="AF19" s="102"/>
      <c r="AG19" s="151"/>
      <c r="AH19" s="102"/>
      <c r="AI19" s="102"/>
      <c r="AJ19" s="102"/>
      <c r="AK19" s="151"/>
      <c r="AL19" s="102"/>
      <c r="AM19" s="102"/>
      <c r="AN19" s="102"/>
    </row>
    <row r="20" spans="1:40" x14ac:dyDescent="0.3">
      <c r="A20" s="98">
        <v>1</v>
      </c>
      <c r="C20" s="124" t="s">
        <v>91</v>
      </c>
      <c r="D20" s="124" t="s">
        <v>131</v>
      </c>
      <c r="E20" s="99"/>
      <c r="F20" s="1"/>
      <c r="G20" s="1"/>
      <c r="H20" s="215"/>
      <c r="I20" s="215"/>
      <c r="J20" s="167" t="s">
        <v>328</v>
      </c>
      <c r="K20" s="215"/>
      <c r="L20" s="215"/>
      <c r="M20" s="215"/>
      <c r="N20" s="215"/>
      <c r="O20" s="215"/>
      <c r="P20" s="215"/>
      <c r="Q20" s="215"/>
      <c r="R20" s="215"/>
      <c r="T20" s="99"/>
      <c r="U20" s="99"/>
    </row>
    <row r="21" spans="1:40" x14ac:dyDescent="0.3">
      <c r="A21" s="98">
        <v>2</v>
      </c>
      <c r="C21" s="134"/>
      <c r="D21" s="124" t="s">
        <v>132</v>
      </c>
      <c r="E21" s="9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T21" s="99"/>
    </row>
    <row r="22" spans="1:40" x14ac:dyDescent="0.3"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40" x14ac:dyDescent="0.3">
      <c r="A23" s="98">
        <v>3</v>
      </c>
      <c r="C23" s="124" t="s">
        <v>133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10"/>
      <c r="T23" s="99"/>
      <c r="V23" s="110"/>
      <c r="Y23" s="110"/>
      <c r="Z23" s="181"/>
      <c r="AA23" s="110"/>
      <c r="AB23" s="110"/>
      <c r="AC23" s="141"/>
      <c r="AD23" s="141"/>
      <c r="AE23" s="110"/>
      <c r="AF23" s="110"/>
      <c r="AH23" s="141"/>
      <c r="AI23" s="110"/>
      <c r="AJ23" s="110"/>
      <c r="AL23" s="110"/>
      <c r="AM23" s="141"/>
      <c r="AN23" s="141"/>
    </row>
    <row r="24" spans="1:40" x14ac:dyDescent="0.3">
      <c r="A24" s="98">
        <v>4</v>
      </c>
      <c r="C24" s="116" t="s">
        <v>353</v>
      </c>
      <c r="F24" s="110">
        <f>'[4]Forecast BILLS'!$D$69</f>
        <v>1591</v>
      </c>
      <c r="G24" s="1"/>
      <c r="H24" s="1"/>
      <c r="I24" s="1"/>
      <c r="J24" s="209">
        <f>INPUT!D63</f>
        <v>5</v>
      </c>
      <c r="K24" s="1"/>
      <c r="L24" s="106">
        <f>ROUND(F24*J24,0)</f>
        <v>7955</v>
      </c>
      <c r="M24" s="106"/>
      <c r="N24" s="175">
        <f>ROUND((L24/L$50)*100,1)</f>
        <v>0</v>
      </c>
      <c r="O24" s="175"/>
      <c r="P24" s="106"/>
      <c r="Q24" s="1"/>
      <c r="R24" s="106">
        <f>L24+P24</f>
        <v>7955</v>
      </c>
      <c r="S24" s="110"/>
      <c r="T24" s="99"/>
      <c r="V24" s="110"/>
      <c r="Y24" s="110"/>
      <c r="Z24" s="181"/>
      <c r="AA24" s="110"/>
      <c r="AB24" s="110"/>
      <c r="AC24" s="141"/>
      <c r="AD24" s="141"/>
      <c r="AE24" s="110"/>
      <c r="AF24" s="110"/>
      <c r="AH24" s="141"/>
      <c r="AI24" s="110"/>
      <c r="AJ24" s="110"/>
      <c r="AL24" s="110"/>
      <c r="AM24" s="141"/>
      <c r="AN24" s="141"/>
    </row>
    <row r="25" spans="1:40" x14ac:dyDescent="0.3">
      <c r="A25" s="98">
        <v>5</v>
      </c>
      <c r="C25" s="99" t="s">
        <v>134</v>
      </c>
      <c r="F25" s="172">
        <f>'[4]Forecast BILLS'!$I$69</f>
        <v>82137</v>
      </c>
      <c r="G25" s="1"/>
      <c r="H25" s="147"/>
      <c r="I25" s="147"/>
      <c r="J25" s="181">
        <f>INPUT!D48</f>
        <v>15</v>
      </c>
      <c r="K25" s="180"/>
      <c r="L25" s="106">
        <f>ROUND(F25*J25,0)</f>
        <v>1232055</v>
      </c>
      <c r="M25" s="106"/>
      <c r="N25" s="175">
        <f>ROUND((L25/L$50)*100,1)</f>
        <v>0.8</v>
      </c>
      <c r="O25" s="175"/>
      <c r="P25" s="106"/>
      <c r="Q25" s="1"/>
      <c r="R25" s="106">
        <f>L25+P25</f>
        <v>1232055</v>
      </c>
      <c r="S25" s="110"/>
      <c r="V25" s="192"/>
      <c r="Y25" s="110"/>
      <c r="Z25" s="172"/>
      <c r="AA25" s="110"/>
      <c r="AB25" s="110"/>
      <c r="AC25" s="141"/>
      <c r="AD25" s="141"/>
      <c r="AE25" s="110"/>
      <c r="AF25" s="110"/>
      <c r="AI25" s="110"/>
      <c r="AJ25" s="110"/>
      <c r="AL25" s="110"/>
    </row>
    <row r="26" spans="1:40" x14ac:dyDescent="0.3">
      <c r="A26" s="98">
        <v>6</v>
      </c>
      <c r="C26" s="99" t="s">
        <v>135</v>
      </c>
      <c r="F26" s="172">
        <f>'[4]Forecast BILLS'!$C$69+'[4]Forecast BILLS'!$G$69</f>
        <v>77641</v>
      </c>
      <c r="G26" s="1"/>
      <c r="H26" s="147"/>
      <c r="I26" s="147"/>
      <c r="J26" s="181">
        <f>INPUT!D49</f>
        <v>30</v>
      </c>
      <c r="K26" s="180"/>
      <c r="L26" s="106">
        <f>ROUND(F26*J26,0)</f>
        <v>2329230</v>
      </c>
      <c r="M26" s="106"/>
      <c r="N26" s="175">
        <f>ROUND((L26/L$50)*100,1)</f>
        <v>1.5</v>
      </c>
      <c r="O26" s="175"/>
      <c r="P26" s="106"/>
      <c r="Q26" s="1"/>
      <c r="R26" s="106">
        <f>L26+P26</f>
        <v>2329230</v>
      </c>
      <c r="S26" s="110"/>
      <c r="V26" s="110"/>
      <c r="Y26" s="110"/>
      <c r="Z26" s="172"/>
      <c r="AA26" s="110"/>
      <c r="AB26" s="110"/>
      <c r="AC26" s="141"/>
      <c r="AD26" s="141"/>
      <c r="AE26" s="110"/>
      <c r="AF26" s="110"/>
      <c r="AI26" s="110"/>
      <c r="AJ26" s="110"/>
      <c r="AL26" s="110"/>
    </row>
    <row r="27" spans="1:40" ht="20.100000000000001" customHeight="1" x14ac:dyDescent="0.3">
      <c r="A27" s="98">
        <v>7</v>
      </c>
      <c r="C27" s="124" t="s">
        <v>136</v>
      </c>
      <c r="F27" s="112">
        <f>SUM(F25:F26)</f>
        <v>159778</v>
      </c>
      <c r="G27" s="1"/>
      <c r="H27" s="106"/>
      <c r="I27" s="106"/>
      <c r="J27" s="171"/>
      <c r="K27" s="171"/>
      <c r="L27" s="112">
        <f>SUM(L24:L26)</f>
        <v>3569240</v>
      </c>
      <c r="M27" s="106"/>
      <c r="N27" s="193">
        <f>ROUND((L27/L$50)*100,1)</f>
        <v>2.2999999999999998</v>
      </c>
      <c r="O27" s="175"/>
      <c r="P27" s="112"/>
      <c r="Q27" s="106"/>
      <c r="R27" s="112">
        <f>SUM(R24:R26)</f>
        <v>3569240</v>
      </c>
      <c r="S27" s="110"/>
      <c r="T27" s="99"/>
      <c r="V27" s="110"/>
      <c r="Y27" s="110"/>
      <c r="Z27" s="216"/>
      <c r="AA27" s="110"/>
      <c r="AB27" s="110"/>
      <c r="AC27" s="141"/>
      <c r="AD27" s="141"/>
      <c r="AE27" s="110"/>
      <c r="AF27" s="110"/>
      <c r="AH27" s="141"/>
      <c r="AI27" s="110"/>
      <c r="AJ27" s="110"/>
      <c r="AL27" s="110"/>
      <c r="AM27" s="141"/>
      <c r="AN27" s="141"/>
    </row>
    <row r="28" spans="1:40" x14ac:dyDescent="0.3">
      <c r="F28" s="106"/>
      <c r="G28" s="1"/>
      <c r="H28" s="106"/>
      <c r="I28" s="106"/>
      <c r="J28" s="171"/>
      <c r="K28" s="171"/>
      <c r="L28" s="106"/>
      <c r="M28" s="106"/>
      <c r="N28" s="175"/>
      <c r="O28" s="175"/>
      <c r="P28" s="106"/>
      <c r="Q28" s="106"/>
      <c r="R28" s="106"/>
      <c r="S28" s="110"/>
      <c r="T28" s="99"/>
      <c r="V28" s="110"/>
      <c r="Y28" s="110"/>
      <c r="Z28" s="217"/>
      <c r="AA28" s="110"/>
      <c r="AB28" s="110"/>
      <c r="AC28" s="141"/>
      <c r="AD28" s="141"/>
      <c r="AE28" s="110"/>
      <c r="AF28" s="110"/>
      <c r="AH28" s="141"/>
      <c r="AI28" s="110"/>
      <c r="AJ28" s="110"/>
      <c r="AL28" s="110"/>
      <c r="AM28" s="141"/>
      <c r="AN28" s="141"/>
    </row>
    <row r="29" spans="1:40" x14ac:dyDescent="0.3">
      <c r="A29" s="98">
        <v>8</v>
      </c>
      <c r="C29" s="124" t="s">
        <v>63</v>
      </c>
      <c r="F29" s="106"/>
      <c r="G29" s="1"/>
      <c r="H29" s="106"/>
      <c r="I29" s="106"/>
      <c r="J29" s="171"/>
      <c r="K29" s="171"/>
      <c r="L29" s="106"/>
      <c r="M29" s="106"/>
      <c r="N29" s="175"/>
      <c r="O29" s="175"/>
      <c r="P29" s="106"/>
      <c r="Q29" s="106"/>
      <c r="R29" s="106"/>
      <c r="S29" s="110"/>
      <c r="V29" s="192"/>
      <c r="Y29" s="192"/>
      <c r="Z29" s="217"/>
      <c r="AA29" s="192"/>
      <c r="AB29" s="192"/>
      <c r="AC29" s="192"/>
      <c r="AD29" s="192"/>
      <c r="AE29" s="192"/>
      <c r="AF29" s="192"/>
      <c r="AI29" s="192"/>
      <c r="AJ29" s="192"/>
      <c r="AK29" s="194"/>
      <c r="AL29" s="192"/>
      <c r="AM29" s="141"/>
      <c r="AN29" s="141"/>
    </row>
    <row r="30" spans="1:40" x14ac:dyDescent="0.3">
      <c r="A30" s="98">
        <v>9</v>
      </c>
      <c r="C30" s="99" t="s">
        <v>137</v>
      </c>
      <c r="F30" s="147"/>
      <c r="G30" s="1"/>
      <c r="H30" s="172">
        <f>'[4]Forecast KW'!$B$69</f>
        <v>1406292</v>
      </c>
      <c r="I30" s="147"/>
      <c r="J30" s="181">
        <f>INPUT!D55</f>
        <v>0</v>
      </c>
      <c r="K30" s="180"/>
      <c r="L30" s="106">
        <f>ROUND(H30*J30,0)</f>
        <v>0</v>
      </c>
      <c r="M30" s="106"/>
      <c r="N30" s="175">
        <f>ROUND((L30/L$50)*100,1)</f>
        <v>0</v>
      </c>
      <c r="O30" s="175"/>
      <c r="P30" s="106"/>
      <c r="Q30" s="106"/>
      <c r="R30" s="106">
        <f>L30+P30</f>
        <v>0</v>
      </c>
      <c r="S30" s="110"/>
      <c r="T30" s="99"/>
      <c r="V30" s="172"/>
      <c r="Y30" s="172"/>
      <c r="Z30" s="217"/>
      <c r="AA30" s="110"/>
      <c r="AB30" s="110"/>
      <c r="AC30" s="141"/>
      <c r="AD30" s="141"/>
      <c r="AE30" s="110"/>
      <c r="AF30" s="110"/>
      <c r="AI30" s="110"/>
      <c r="AJ30" s="110"/>
      <c r="AL30" s="110"/>
      <c r="AM30" s="141"/>
      <c r="AN30" s="141"/>
    </row>
    <row r="31" spans="1:40" x14ac:dyDescent="0.3">
      <c r="A31" s="98">
        <v>10</v>
      </c>
      <c r="C31" s="99" t="s">
        <v>138</v>
      </c>
      <c r="F31" s="147"/>
      <c r="G31" s="1"/>
      <c r="H31" s="172">
        <f>'[4]Forecast KW'!$C$69</f>
        <v>2743214</v>
      </c>
      <c r="I31" s="147"/>
      <c r="J31" s="181">
        <f>INPUT!D56</f>
        <v>12.36</v>
      </c>
      <c r="K31" s="180"/>
      <c r="L31" s="106">
        <f>ROUND((H31+W31)*J31,0)</f>
        <v>33906125</v>
      </c>
      <c r="M31" s="106"/>
      <c r="N31" s="175">
        <f>ROUND((L31/L$50)*100,1)</f>
        <v>21.5</v>
      </c>
      <c r="O31" s="175"/>
      <c r="P31" s="106"/>
      <c r="Q31" s="106"/>
      <c r="R31" s="106">
        <f>L31+P31</f>
        <v>33906125</v>
      </c>
      <c r="S31" s="110"/>
      <c r="V31" s="172"/>
      <c r="W31" s="195"/>
      <c r="Y31" s="172"/>
      <c r="Z31" s="217"/>
      <c r="AA31" s="110"/>
      <c r="AB31" s="110"/>
      <c r="AC31" s="141"/>
      <c r="AD31" s="141"/>
      <c r="AE31" s="110"/>
      <c r="AF31" s="110"/>
      <c r="AI31" s="110"/>
      <c r="AJ31" s="110"/>
      <c r="AL31" s="110"/>
      <c r="AM31" s="141"/>
      <c r="AN31" s="141"/>
    </row>
    <row r="32" spans="1:40" ht="20.100000000000001" customHeight="1" x14ac:dyDescent="0.3">
      <c r="A32" s="98">
        <v>11</v>
      </c>
      <c r="C32" s="124" t="s">
        <v>66</v>
      </c>
      <c r="F32" s="106"/>
      <c r="G32" s="1"/>
      <c r="H32" s="112">
        <f>SUM(H30:H31)</f>
        <v>4149506</v>
      </c>
      <c r="I32" s="106"/>
      <c r="J32" s="171"/>
      <c r="K32" s="171"/>
      <c r="L32" s="112">
        <f>SUM(L30:L31)</f>
        <v>33906125</v>
      </c>
      <c r="M32" s="106"/>
      <c r="N32" s="193">
        <f>ROUND((L32/L$50)*100,1)</f>
        <v>21.5</v>
      </c>
      <c r="O32" s="175"/>
      <c r="P32" s="112"/>
      <c r="Q32" s="106"/>
      <c r="R32" s="112">
        <f>SUM(R30:R31)</f>
        <v>33906125</v>
      </c>
      <c r="S32" s="110"/>
      <c r="V32" s="192"/>
      <c r="Y32" s="172"/>
      <c r="Z32" s="217"/>
      <c r="AA32" s="110"/>
      <c r="AB32" s="110"/>
      <c r="AC32" s="141"/>
      <c r="AD32" s="141"/>
      <c r="AE32" s="110"/>
      <c r="AF32" s="110"/>
      <c r="AH32" s="141"/>
      <c r="AI32" s="110"/>
      <c r="AJ32" s="110"/>
      <c r="AL32" s="110"/>
      <c r="AM32" s="141"/>
      <c r="AN32" s="141"/>
    </row>
    <row r="33" spans="1:40" x14ac:dyDescent="0.3">
      <c r="C33" s="99"/>
      <c r="F33" s="106"/>
      <c r="G33" s="1"/>
      <c r="H33" s="106"/>
      <c r="I33" s="106"/>
      <c r="J33" s="171"/>
      <c r="K33" s="171"/>
      <c r="L33" s="106"/>
      <c r="M33" s="106"/>
      <c r="N33" s="175"/>
      <c r="O33" s="175"/>
      <c r="P33" s="106"/>
      <c r="Q33" s="106"/>
      <c r="R33" s="106"/>
      <c r="S33" s="110"/>
      <c r="V33" s="192"/>
      <c r="Y33" s="172"/>
      <c r="Z33" s="217"/>
      <c r="AA33" s="110"/>
      <c r="AB33" s="110"/>
      <c r="AC33" s="141"/>
      <c r="AD33" s="141"/>
      <c r="AE33" s="110"/>
      <c r="AF33" s="110"/>
      <c r="AH33" s="141"/>
      <c r="AI33" s="110"/>
      <c r="AJ33" s="110"/>
      <c r="AL33" s="110"/>
      <c r="AM33" s="141"/>
      <c r="AN33" s="141"/>
    </row>
    <row r="34" spans="1:40" x14ac:dyDescent="0.3">
      <c r="A34" s="98">
        <v>12</v>
      </c>
      <c r="C34" s="169" t="s">
        <v>371</v>
      </c>
      <c r="F34" s="106"/>
      <c r="G34" s="1"/>
      <c r="H34" s="106"/>
      <c r="I34" s="106"/>
      <c r="J34" s="136"/>
      <c r="K34" s="136"/>
      <c r="L34" s="106"/>
      <c r="M34" s="106"/>
      <c r="N34" s="175"/>
      <c r="O34" s="175"/>
      <c r="P34" s="106"/>
      <c r="Q34" s="106"/>
      <c r="R34" s="106"/>
      <c r="S34" s="110"/>
      <c r="T34" s="99"/>
      <c r="V34" s="172"/>
      <c r="Y34" s="110"/>
      <c r="Z34" s="216"/>
      <c r="AA34" s="110"/>
      <c r="AB34" s="110"/>
      <c r="AC34" s="141"/>
      <c r="AD34" s="141"/>
      <c r="AE34" s="110"/>
      <c r="AF34" s="110"/>
      <c r="AH34" s="141"/>
      <c r="AI34" s="110"/>
      <c r="AJ34" s="110"/>
      <c r="AL34" s="110"/>
      <c r="AM34" s="141"/>
      <c r="AN34" s="141"/>
    </row>
    <row r="35" spans="1:40" x14ac:dyDescent="0.3">
      <c r="A35" s="98">
        <v>13</v>
      </c>
      <c r="C35" s="99" t="s">
        <v>139</v>
      </c>
      <c r="F35" s="147"/>
      <c r="G35" s="1"/>
      <c r="H35" s="172">
        <f>'[4]Forecast KWH'!$B$68</f>
        <v>361837029</v>
      </c>
      <c r="I35" s="147"/>
      <c r="J35" s="189">
        <f>INPUT!D51</f>
        <v>0.13287399999999999</v>
      </c>
      <c r="K35" s="185"/>
      <c r="L35" s="106">
        <f>ROUND(H35*J35,0)-P35</f>
        <v>48078733</v>
      </c>
      <c r="M35" s="106"/>
      <c r="N35" s="175">
        <f t="shared" ref="N35:N41" si="0">ROUND((L35/L$50)*100,1)</f>
        <v>30.5</v>
      </c>
      <c r="O35" s="175"/>
      <c r="P35" s="147"/>
      <c r="Q35" s="147"/>
      <c r="R35" s="106">
        <f>L35+P35</f>
        <v>48078733</v>
      </c>
      <c r="S35" s="110"/>
      <c r="T35" s="99"/>
      <c r="V35" s="172"/>
      <c r="Y35" s="110"/>
      <c r="Z35" s="216"/>
      <c r="AA35" s="110"/>
      <c r="AB35" s="110"/>
      <c r="AC35" s="141"/>
      <c r="AD35" s="141"/>
      <c r="AE35" s="110"/>
      <c r="AF35" s="110"/>
      <c r="AH35" s="141"/>
      <c r="AI35" s="110"/>
      <c r="AJ35" s="110"/>
      <c r="AL35" s="110"/>
      <c r="AM35" s="141"/>
      <c r="AN35" s="141"/>
    </row>
    <row r="36" spans="1:40" x14ac:dyDescent="0.3">
      <c r="A36" s="98">
        <v>14</v>
      </c>
      <c r="C36" s="99" t="s">
        <v>140</v>
      </c>
      <c r="F36" s="147"/>
      <c r="G36" s="1"/>
      <c r="H36" s="172">
        <f>'[4]Forecast KWH'!$I$68</f>
        <v>541458973.14799953</v>
      </c>
      <c r="I36" s="147"/>
      <c r="J36" s="189">
        <f>INPUT!D52</f>
        <v>8.6375999999999994E-2</v>
      </c>
      <c r="K36" s="185"/>
      <c r="L36" s="106">
        <f>ROUND(H36*J36,0)-P36</f>
        <v>46769060</v>
      </c>
      <c r="M36" s="106"/>
      <c r="N36" s="175">
        <f t="shared" si="0"/>
        <v>29.7</v>
      </c>
      <c r="O36" s="175"/>
      <c r="P36" s="147"/>
      <c r="Q36" s="147"/>
      <c r="R36" s="106">
        <f>L36+P36</f>
        <v>46769060</v>
      </c>
      <c r="S36" s="110"/>
      <c r="V36" s="192"/>
      <c r="Y36" s="192"/>
      <c r="Z36" s="217"/>
      <c r="AA36" s="192"/>
      <c r="AB36" s="192"/>
      <c r="AC36" s="192"/>
      <c r="AD36" s="192"/>
      <c r="AE36" s="192"/>
      <c r="AF36" s="192"/>
      <c r="AI36" s="192"/>
      <c r="AJ36" s="192"/>
      <c r="AK36" s="194"/>
      <c r="AL36" s="192"/>
      <c r="AM36" s="141"/>
      <c r="AN36" s="141"/>
    </row>
    <row r="37" spans="1:40" x14ac:dyDescent="0.3">
      <c r="A37" s="98">
        <v>15</v>
      </c>
      <c r="C37" s="99" t="s">
        <v>141</v>
      </c>
      <c r="F37" s="147"/>
      <c r="G37" s="1"/>
      <c r="H37" s="172">
        <f>'[4]Forecast KWH'!$D$68</f>
        <v>238242353</v>
      </c>
      <c r="I37" s="147"/>
      <c r="J37" s="189">
        <f>INPUT!D53</f>
        <v>7.2988999999999998E-2</v>
      </c>
      <c r="K37" s="185"/>
      <c r="L37" s="106">
        <f>ROUND(H37*J37,0)-P37</f>
        <v>17389071</v>
      </c>
      <c r="M37" s="106"/>
      <c r="N37" s="175">
        <f t="shared" si="0"/>
        <v>11</v>
      </c>
      <c r="O37" s="175"/>
      <c r="P37" s="147"/>
      <c r="Q37" s="147"/>
      <c r="R37" s="106">
        <f>L37+P37</f>
        <v>17389071</v>
      </c>
      <c r="S37" s="110"/>
      <c r="T37" s="99"/>
      <c r="V37" s="110"/>
      <c r="Y37" s="110"/>
      <c r="Z37" s="217"/>
      <c r="AA37" s="110"/>
      <c r="AB37" s="110"/>
      <c r="AC37" s="141"/>
      <c r="AD37" s="141"/>
      <c r="AE37" s="110"/>
      <c r="AF37" s="110"/>
      <c r="AH37" s="141"/>
      <c r="AI37" s="110"/>
      <c r="AJ37" s="110"/>
      <c r="AL37" s="110"/>
      <c r="AM37" s="141"/>
      <c r="AN37" s="141"/>
    </row>
    <row r="38" spans="1:40" x14ac:dyDescent="0.3">
      <c r="A38" s="98">
        <v>16</v>
      </c>
      <c r="C38" s="99" t="s">
        <v>360</v>
      </c>
      <c r="F38" s="1"/>
      <c r="G38" s="1"/>
      <c r="H38" s="172">
        <f>'[4]Forecast KWH'!$F$68</f>
        <v>972296</v>
      </c>
      <c r="I38" s="147"/>
      <c r="J38" s="189">
        <f>INPUT!D58</f>
        <v>0.35571399999999997</v>
      </c>
      <c r="K38" s="185"/>
      <c r="L38" s="106">
        <f>ROUND(H38*J38,0)-P38</f>
        <v>345859</v>
      </c>
      <c r="M38" s="106"/>
      <c r="N38" s="175">
        <f t="shared" si="0"/>
        <v>0.2</v>
      </c>
      <c r="O38" s="175"/>
      <c r="P38" s="147"/>
      <c r="Q38" s="147"/>
      <c r="R38" s="106">
        <f>L38+P38</f>
        <v>345859</v>
      </c>
      <c r="S38" s="110"/>
      <c r="V38" s="192"/>
      <c r="Y38" s="192"/>
      <c r="Z38" s="217"/>
      <c r="AA38" s="192"/>
      <c r="AB38" s="192"/>
      <c r="AC38" s="192"/>
      <c r="AD38" s="192"/>
      <c r="AE38" s="192"/>
      <c r="AF38" s="192"/>
      <c r="AI38" s="192"/>
      <c r="AJ38" s="192"/>
      <c r="AK38" s="194"/>
      <c r="AL38" s="192"/>
      <c r="AM38" s="141"/>
      <c r="AN38" s="141"/>
    </row>
    <row r="39" spans="1:40" x14ac:dyDescent="0.3">
      <c r="A39" s="98">
        <v>17</v>
      </c>
      <c r="C39" s="99" t="s">
        <v>361</v>
      </c>
      <c r="F39" s="1"/>
      <c r="G39" s="1"/>
      <c r="H39" s="172">
        <f>'[4]Forecast KWH'!$E$68</f>
        <v>68532</v>
      </c>
      <c r="I39" s="147"/>
      <c r="J39" s="189">
        <f>INPUT!D59</f>
        <v>0.218386</v>
      </c>
      <c r="K39" s="185"/>
      <c r="L39" s="106">
        <f>ROUND(H39*J39,0)-P39</f>
        <v>14966</v>
      </c>
      <c r="M39" s="106"/>
      <c r="N39" s="175">
        <f t="shared" si="0"/>
        <v>0</v>
      </c>
      <c r="O39" s="175"/>
      <c r="P39" s="177"/>
      <c r="Q39" s="147"/>
      <c r="R39" s="106">
        <f>L39+P39</f>
        <v>14966</v>
      </c>
      <c r="S39" s="110"/>
      <c r="T39" s="99"/>
      <c r="Z39" s="217"/>
      <c r="AA39" s="110"/>
      <c r="AB39" s="110"/>
      <c r="AC39" s="141"/>
      <c r="AD39" s="141"/>
      <c r="AE39" s="110"/>
      <c r="AF39" s="110"/>
      <c r="AH39" s="141"/>
      <c r="AI39" s="110"/>
      <c r="AJ39" s="110"/>
      <c r="AL39" s="110"/>
      <c r="AM39" s="141"/>
      <c r="AN39" s="141"/>
    </row>
    <row r="40" spans="1:40" ht="21.75" customHeight="1" x14ac:dyDescent="0.3">
      <c r="A40" s="98">
        <v>18</v>
      </c>
      <c r="C40" s="124" t="s">
        <v>142</v>
      </c>
      <c r="F40" s="117"/>
      <c r="G40" s="1"/>
      <c r="H40" s="112">
        <f>SUM(H35:H39)</f>
        <v>1142579183.1479995</v>
      </c>
      <c r="I40" s="106"/>
      <c r="J40" s="196"/>
      <c r="K40" s="136"/>
      <c r="L40" s="112">
        <f>SUM(L35:L39)</f>
        <v>112597689</v>
      </c>
      <c r="M40" s="106"/>
      <c r="N40" s="193">
        <f t="shared" si="0"/>
        <v>71.5</v>
      </c>
      <c r="O40" s="175"/>
      <c r="P40" s="112"/>
      <c r="Q40" s="106"/>
      <c r="R40" s="112">
        <f>SUM(R35:R39)</f>
        <v>112597689</v>
      </c>
      <c r="S40" s="110"/>
      <c r="V40" s="192"/>
      <c r="Y40" s="192"/>
      <c r="Z40" s="217"/>
      <c r="AA40" s="192"/>
      <c r="AB40" s="192"/>
      <c r="AC40" s="192"/>
      <c r="AD40" s="192"/>
      <c r="AE40" s="192"/>
      <c r="AF40" s="192"/>
      <c r="AI40" s="192"/>
      <c r="AJ40" s="192"/>
      <c r="AK40" s="194"/>
      <c r="AL40" s="192"/>
    </row>
    <row r="41" spans="1:40" ht="21.75" customHeight="1" x14ac:dyDescent="0.3">
      <c r="A41" s="98">
        <v>19</v>
      </c>
      <c r="C41" s="124" t="s">
        <v>435</v>
      </c>
      <c r="F41" s="117">
        <f>F27</f>
        <v>159778</v>
      </c>
      <c r="G41" s="1"/>
      <c r="H41" s="112">
        <f>H40</f>
        <v>1142579183.1479995</v>
      </c>
      <c r="I41" s="106"/>
      <c r="J41" s="196"/>
      <c r="K41" s="136"/>
      <c r="L41" s="112">
        <f>L27+L32+L40</f>
        <v>150073054</v>
      </c>
      <c r="M41" s="106"/>
      <c r="N41" s="193">
        <f t="shared" si="0"/>
        <v>95.3</v>
      </c>
      <c r="O41" s="175"/>
      <c r="P41" s="112"/>
      <c r="Q41" s="106"/>
      <c r="R41" s="112">
        <f>R27+R32+R40</f>
        <v>150073054</v>
      </c>
      <c r="S41" s="110"/>
      <c r="V41" s="192"/>
      <c r="Y41" s="192"/>
      <c r="Z41" s="217"/>
      <c r="AA41" s="192"/>
      <c r="AB41" s="192"/>
      <c r="AC41" s="192"/>
      <c r="AD41" s="192"/>
      <c r="AE41" s="192"/>
      <c r="AF41" s="192"/>
      <c r="AI41" s="192"/>
      <c r="AJ41" s="192"/>
      <c r="AK41" s="194"/>
      <c r="AL41" s="192"/>
    </row>
    <row r="42" spans="1:40" ht="15.75" customHeight="1" x14ac:dyDescent="0.3">
      <c r="C42" s="124"/>
      <c r="F42" s="106"/>
      <c r="G42" s="1"/>
      <c r="H42" s="106"/>
      <c r="I42" s="106"/>
      <c r="J42" s="196"/>
      <c r="K42" s="136"/>
      <c r="L42" s="106"/>
      <c r="M42" s="106"/>
      <c r="N42" s="175"/>
      <c r="O42" s="175"/>
      <c r="P42" s="106"/>
      <c r="Q42" s="106"/>
      <c r="R42" s="106"/>
      <c r="S42" s="110"/>
      <c r="V42" s="192"/>
      <c r="Y42" s="192"/>
      <c r="Z42" s="217"/>
      <c r="AA42" s="192"/>
      <c r="AB42" s="192"/>
      <c r="AC42" s="192"/>
      <c r="AD42" s="192"/>
      <c r="AE42" s="192"/>
      <c r="AF42" s="192"/>
      <c r="AI42" s="192"/>
      <c r="AJ42" s="192"/>
      <c r="AK42" s="194"/>
      <c r="AL42" s="192"/>
    </row>
    <row r="43" spans="1:40" ht="15.75" customHeight="1" x14ac:dyDescent="0.3">
      <c r="A43" s="98">
        <v>20</v>
      </c>
      <c r="C43" s="124" t="s">
        <v>428</v>
      </c>
      <c r="F43" s="106"/>
      <c r="G43" s="1"/>
      <c r="H43" s="106"/>
      <c r="I43" s="106"/>
      <c r="J43" s="196"/>
      <c r="K43" s="136"/>
      <c r="L43" s="106"/>
      <c r="M43" s="106"/>
      <c r="N43" s="175"/>
      <c r="O43" s="175"/>
      <c r="P43" s="106"/>
      <c r="Q43" s="106"/>
      <c r="R43" s="106"/>
      <c r="S43" s="110"/>
      <c r="V43" s="192"/>
      <c r="Y43" s="192"/>
      <c r="Z43" s="217"/>
      <c r="AA43" s="192"/>
      <c r="AB43" s="192"/>
      <c r="AC43" s="192"/>
      <c r="AD43" s="192"/>
      <c r="AE43" s="192"/>
      <c r="AF43" s="192"/>
      <c r="AI43" s="192"/>
      <c r="AJ43" s="192"/>
      <c r="AK43" s="194"/>
      <c r="AL43" s="192"/>
    </row>
    <row r="44" spans="1:40" ht="15.75" customHeight="1" x14ac:dyDescent="0.3">
      <c r="A44" s="98">
        <v>21</v>
      </c>
      <c r="C44" s="176" t="str">
        <f>DSMR_Name</f>
        <v>DEMAND SIDE MANAGEMENT RIDER (DSMR)</v>
      </c>
      <c r="F44" s="106"/>
      <c r="G44" s="1"/>
      <c r="H44" s="106"/>
      <c r="I44" s="106"/>
      <c r="J44" s="218">
        <f>PRO_DSM_DIST</f>
        <v>3.503E-3</v>
      </c>
      <c r="K44" s="136"/>
      <c r="L44" s="106">
        <f>ROUND($H$41*J44,0)</f>
        <v>4002455</v>
      </c>
      <c r="M44" s="106"/>
      <c r="N44" s="154">
        <f>ROUND((L44/L$50)*100,1)</f>
        <v>2.5</v>
      </c>
      <c r="O44" s="175"/>
      <c r="P44" s="106"/>
      <c r="Q44" s="106"/>
      <c r="R44" s="106">
        <f>L44+P44</f>
        <v>4002455</v>
      </c>
      <c r="S44" s="110"/>
      <c r="V44" s="192"/>
      <c r="Y44" s="192"/>
      <c r="Z44" s="217"/>
      <c r="AA44" s="192"/>
      <c r="AB44" s="192"/>
      <c r="AC44" s="192"/>
      <c r="AD44" s="192"/>
      <c r="AE44" s="192"/>
      <c r="AF44" s="192"/>
      <c r="AI44" s="192"/>
      <c r="AJ44" s="192"/>
      <c r="AK44" s="194"/>
      <c r="AL44" s="192"/>
    </row>
    <row r="45" spans="1:40" ht="15.75" customHeight="1" x14ac:dyDescent="0.3">
      <c r="A45" s="98">
        <v>22</v>
      </c>
      <c r="C45" s="176" t="str">
        <f>ESM_Name</f>
        <v>ENVIRONMENTAL SURCHARGE MECHANISM RIDER (ESM)</v>
      </c>
      <c r="F45" s="106"/>
      <c r="G45" s="1"/>
      <c r="H45" s="106"/>
      <c r="I45" s="106"/>
      <c r="J45" s="187">
        <f>PRO_ESM_NONRES</f>
        <v>5.3681872802409589E-3</v>
      </c>
      <c r="K45" s="136"/>
      <c r="L45" s="106">
        <f>ROUND((R41-(PRO_BASE_FUEL*H41)+R44+R47)*J45,0)</f>
        <v>635094</v>
      </c>
      <c r="M45" s="106"/>
      <c r="N45" s="154">
        <f>ROUND((L45/L$50)*100,1)</f>
        <v>0.4</v>
      </c>
      <c r="O45" s="175"/>
      <c r="P45" s="106"/>
      <c r="Q45" s="106"/>
      <c r="R45" s="106">
        <f>L45+P45</f>
        <v>635094</v>
      </c>
      <c r="S45" s="110"/>
      <c r="V45" s="192"/>
      <c r="Y45" s="192"/>
      <c r="Z45" s="217"/>
      <c r="AA45" s="192"/>
      <c r="AB45" s="192"/>
      <c r="AC45" s="192"/>
      <c r="AD45" s="192"/>
      <c r="AE45" s="192"/>
      <c r="AF45" s="192"/>
      <c r="AI45" s="192"/>
      <c r="AJ45" s="192"/>
      <c r="AK45" s="194"/>
      <c r="AL45" s="192"/>
    </row>
    <row r="46" spans="1:40" ht="15.75" customHeight="1" x14ac:dyDescent="0.3">
      <c r="A46" s="98">
        <v>23</v>
      </c>
      <c r="C46" s="176" t="str">
        <f>FAC_Name</f>
        <v>FUEL ADJUSTMENT CLAUSE (FAC)</v>
      </c>
      <c r="F46" s="106"/>
      <c r="G46" s="1"/>
      <c r="H46" s="106"/>
      <c r="I46" s="106"/>
      <c r="J46" s="218">
        <f>PRO_FAC</f>
        <v>3.4872127999999998E-3</v>
      </c>
      <c r="K46" s="136"/>
      <c r="L46" s="106"/>
      <c r="M46" s="106"/>
      <c r="N46" s="154"/>
      <c r="O46" s="175"/>
      <c r="P46" s="106">
        <f>ROUND(H40*J46,0)</f>
        <v>3984417</v>
      </c>
      <c r="Q46" s="106"/>
      <c r="R46" s="106">
        <f>L46+P46</f>
        <v>3984417</v>
      </c>
      <c r="S46" s="110"/>
      <c r="V46" s="192"/>
      <c r="Y46" s="192"/>
      <c r="Z46" s="217"/>
      <c r="AA46" s="192"/>
      <c r="AB46" s="192"/>
      <c r="AC46" s="192"/>
      <c r="AD46" s="192"/>
      <c r="AE46" s="192"/>
      <c r="AF46" s="192"/>
      <c r="AI46" s="192"/>
      <c r="AJ46" s="192"/>
      <c r="AK46" s="194"/>
      <c r="AL46" s="192"/>
    </row>
    <row r="47" spans="1:40" ht="15.75" customHeight="1" x14ac:dyDescent="0.3">
      <c r="A47" s="98">
        <v>24</v>
      </c>
      <c r="C47" s="176" t="str">
        <f>PSM_Name</f>
        <v>PROFIT SHARING MECHANISM (PSM)</v>
      </c>
      <c r="F47" s="106"/>
      <c r="G47" s="1"/>
      <c r="H47" s="106"/>
      <c r="I47" s="106"/>
      <c r="J47" s="218">
        <f>PRO_PSM</f>
        <v>2.4750000000000002E-3</v>
      </c>
      <c r="K47" s="136"/>
      <c r="L47" s="117">
        <f>ROUND(H41*J47,0)</f>
        <v>2827883</v>
      </c>
      <c r="M47" s="106"/>
      <c r="N47" s="156">
        <f>ROUND((L47/L$50)*100,1)</f>
        <v>1.8</v>
      </c>
      <c r="O47" s="175"/>
      <c r="P47" s="117"/>
      <c r="Q47" s="106"/>
      <c r="R47" s="117">
        <f>L47+P47</f>
        <v>2827883</v>
      </c>
      <c r="S47" s="110"/>
      <c r="V47" s="192"/>
      <c r="Y47" s="192"/>
      <c r="Z47" s="217"/>
      <c r="AA47" s="192"/>
      <c r="AB47" s="192"/>
      <c r="AC47" s="192"/>
      <c r="AD47" s="192"/>
      <c r="AE47" s="192"/>
      <c r="AF47" s="192"/>
      <c r="AI47" s="192"/>
      <c r="AJ47" s="192"/>
      <c r="AK47" s="194"/>
      <c r="AL47" s="192"/>
    </row>
    <row r="48" spans="1:40" ht="18" customHeight="1" x14ac:dyDescent="0.3">
      <c r="A48" s="98">
        <v>25</v>
      </c>
      <c r="C48" s="124" t="s">
        <v>433</v>
      </c>
      <c r="F48" s="117"/>
      <c r="G48" s="1"/>
      <c r="H48" s="117"/>
      <c r="I48" s="106"/>
      <c r="J48" s="136"/>
      <c r="K48" s="136"/>
      <c r="L48" s="112">
        <f>SUM(L44:L47)</f>
        <v>7465432</v>
      </c>
      <c r="M48" s="106"/>
      <c r="N48" s="158">
        <f>ROUND((L48/L$50)*100,1)</f>
        <v>4.7</v>
      </c>
      <c r="O48" s="175"/>
      <c r="P48" s="112">
        <f>SUM(P44:P47)</f>
        <v>3984417</v>
      </c>
      <c r="Q48" s="106"/>
      <c r="R48" s="112">
        <f>SUM(R44:R47)</f>
        <v>11449849</v>
      </c>
      <c r="S48" s="110"/>
      <c r="V48" s="192"/>
      <c r="Y48" s="192"/>
      <c r="Z48" s="217"/>
      <c r="AA48" s="192"/>
      <c r="AB48" s="192"/>
      <c r="AC48" s="192"/>
      <c r="AD48" s="192"/>
      <c r="AE48" s="192"/>
      <c r="AF48" s="192"/>
      <c r="AI48" s="192"/>
      <c r="AJ48" s="192"/>
      <c r="AK48" s="194"/>
      <c r="AL48" s="192"/>
    </row>
    <row r="49" spans="1:43" x14ac:dyDescent="0.3">
      <c r="C49" s="99"/>
      <c r="F49" s="106"/>
      <c r="G49" s="1"/>
      <c r="H49" s="106"/>
      <c r="I49" s="106"/>
      <c r="J49" s="136"/>
      <c r="K49" s="136"/>
      <c r="L49" s="106"/>
      <c r="M49" s="106"/>
      <c r="N49" s="175"/>
      <c r="O49" s="175"/>
      <c r="P49" s="106"/>
      <c r="Q49" s="106"/>
      <c r="R49" s="106"/>
      <c r="S49" s="110"/>
      <c r="V49" s="192"/>
      <c r="Y49" s="192"/>
      <c r="Z49" s="217"/>
      <c r="AA49" s="192"/>
      <c r="AB49" s="192"/>
      <c r="AC49" s="192"/>
      <c r="AD49" s="192"/>
      <c r="AE49" s="192"/>
      <c r="AF49" s="192"/>
      <c r="AI49" s="192"/>
      <c r="AJ49" s="192"/>
      <c r="AK49" s="194"/>
      <c r="AL49" s="192"/>
    </row>
    <row r="50" spans="1:43" ht="20.100000000000001" customHeight="1" thickBot="1" x14ac:dyDescent="0.35">
      <c r="A50" s="98">
        <v>26</v>
      </c>
      <c r="C50" s="169" t="s">
        <v>436</v>
      </c>
      <c r="F50" s="120">
        <f>F41</f>
        <v>159778</v>
      </c>
      <c r="G50" s="1"/>
      <c r="H50" s="120">
        <f>H41</f>
        <v>1142579183.1479995</v>
      </c>
      <c r="I50" s="106"/>
      <c r="J50" s="136"/>
      <c r="K50" s="136"/>
      <c r="L50" s="120">
        <f>L41+L48</f>
        <v>157538486</v>
      </c>
      <c r="M50" s="106"/>
      <c r="N50" s="197">
        <v>100</v>
      </c>
      <c r="O50" s="175"/>
      <c r="P50" s="120">
        <f>P41+P48</f>
        <v>3984417</v>
      </c>
      <c r="Q50" s="106"/>
      <c r="R50" s="120">
        <f>R41+R48</f>
        <v>161522903</v>
      </c>
      <c r="S50" s="110"/>
      <c r="AA50" s="110"/>
      <c r="AB50" s="110"/>
      <c r="AC50" s="110"/>
      <c r="AD50" s="110"/>
      <c r="AI50" s="110"/>
      <c r="AJ50" s="110"/>
      <c r="AL50" s="110"/>
    </row>
    <row r="51" spans="1:43" ht="15.15" customHeight="1" thickTop="1" x14ac:dyDescent="0.3">
      <c r="F51" s="106"/>
      <c r="G51" s="1"/>
      <c r="H51" s="106"/>
      <c r="I51" s="106"/>
      <c r="J51" s="136"/>
      <c r="K51" s="136"/>
      <c r="L51" s="106"/>
      <c r="M51" s="106"/>
      <c r="N51" s="106"/>
      <c r="O51" s="106"/>
      <c r="P51" s="106"/>
      <c r="Q51" s="106"/>
      <c r="R51" s="106"/>
    </row>
    <row r="52" spans="1:43" x14ac:dyDescent="0.3">
      <c r="C52" s="178" t="s">
        <v>59</v>
      </c>
      <c r="F52" s="110"/>
      <c r="H52" s="110"/>
      <c r="I52" s="110"/>
      <c r="J52" s="198"/>
      <c r="K52" s="198"/>
      <c r="L52" s="110"/>
      <c r="M52" s="110"/>
      <c r="N52" s="110"/>
      <c r="O52" s="110"/>
      <c r="P52" s="110"/>
      <c r="Q52" s="110"/>
      <c r="R52" s="110"/>
      <c r="Y52" s="99"/>
    </row>
    <row r="53" spans="1:43" x14ac:dyDescent="0.3">
      <c r="A53" s="99"/>
      <c r="C53" s="178" t="str">
        <f>"(2) REFLECTS FUEL COMPONENT OF "&amp;TEXT(PRO_FAC,"$0.000000;($0.000000)")&amp;"  PER KWH."</f>
        <v>(2) REFLECTS FUEL COMPONENT OF $0.003487  PER KWH.</v>
      </c>
      <c r="F53" s="110"/>
      <c r="H53" s="110"/>
      <c r="I53" s="110"/>
      <c r="J53" s="198"/>
      <c r="K53" s="198"/>
      <c r="L53" s="110"/>
      <c r="M53" s="110"/>
      <c r="N53" s="110"/>
      <c r="O53" s="110"/>
      <c r="P53" s="110"/>
      <c r="Q53" s="110"/>
      <c r="R53" s="110"/>
    </row>
    <row r="54" spans="1:43" x14ac:dyDescent="0.3">
      <c r="C54" s="178" t="str">
        <f>"(3) REFLECTS FUEL COST RECOVERY INCLUDED IN BASE RATES OF "&amp;TEXT(PRO_BASE_FUEL,"$0.000000;($0.000000)")&amp;"  PER KWH."</f>
        <v>(3) REFLECTS FUEL COST RECOVERY INCLUDED IN BASE RATES OF $0.033780  PER KWH.</v>
      </c>
      <c r="L54" s="99"/>
      <c r="M54" s="99"/>
      <c r="AA54" s="99"/>
      <c r="AB54" s="99"/>
    </row>
    <row r="55" spans="1:43" x14ac:dyDescent="0.3">
      <c r="C55" s="178" t="str">
        <f>"(4) REFLECTS REVENUE ADDED FOR RIDER LM PROVISION"</f>
        <v>(4) REFLECTS REVENUE ADDED FOR RIDER LM PROVISION</v>
      </c>
      <c r="L55" s="99"/>
      <c r="M55" s="99"/>
      <c r="AA55" s="99"/>
      <c r="AB55" s="99"/>
    </row>
    <row r="56" spans="1:43" x14ac:dyDescent="0.3">
      <c r="R56" s="99"/>
      <c r="AK56" s="190"/>
      <c r="AL56" s="99"/>
    </row>
    <row r="57" spans="1:43" x14ac:dyDescent="0.3">
      <c r="F57" s="199"/>
      <c r="H57" s="110"/>
      <c r="R57" s="99"/>
      <c r="T57" s="97" t="str">
        <f>NAME</f>
        <v>DUKE ENERGY KENTUCKY, INC.</v>
      </c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149"/>
      <c r="AH57" s="97"/>
      <c r="AI57" s="97"/>
      <c r="AJ57" s="97"/>
      <c r="AK57" s="149"/>
      <c r="AL57" s="97"/>
      <c r="AM57" s="97"/>
      <c r="AN57" s="97"/>
      <c r="AO57" s="97"/>
      <c r="AP57" s="97"/>
      <c r="AQ57" s="149"/>
    </row>
    <row r="58" spans="1:43" x14ac:dyDescent="0.3">
      <c r="R58" s="99"/>
      <c r="T58" s="97" t="str">
        <f>CASE_NO</f>
        <v>CASE NO.   2024-00354</v>
      </c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149"/>
      <c r="AH58" s="97"/>
      <c r="AI58" s="97"/>
      <c r="AJ58" s="97"/>
      <c r="AK58" s="149"/>
      <c r="AL58" s="97"/>
      <c r="AM58" s="97"/>
      <c r="AN58" s="97"/>
      <c r="AO58" s="97"/>
      <c r="AP58" s="97"/>
      <c r="AQ58" s="149"/>
    </row>
    <row r="59" spans="1:43" x14ac:dyDescent="0.3">
      <c r="A59" s="99"/>
      <c r="H59" s="110"/>
      <c r="R59" s="99"/>
      <c r="T59" s="97" t="str">
        <f>TITLE</f>
        <v>ANNUALIZED BASE YEAR REVENUES AT PROPOSED VS. MOST CURRENT RATES</v>
      </c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149"/>
      <c r="AH59" s="97"/>
      <c r="AI59" s="97"/>
      <c r="AJ59" s="97"/>
      <c r="AK59" s="149"/>
      <c r="AL59" s="97"/>
      <c r="AM59" s="97"/>
      <c r="AN59" s="97"/>
      <c r="AO59" s="97"/>
      <c r="AP59" s="97"/>
      <c r="AQ59" s="149"/>
    </row>
    <row r="60" spans="1:43" x14ac:dyDescent="0.3">
      <c r="L60" s="99"/>
      <c r="M60" s="99"/>
      <c r="T60" s="97" t="str">
        <f>DATE</f>
        <v>FOR THE TWELVE MONTHS ENDED February 28, 2025</v>
      </c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149"/>
      <c r="AH60" s="97"/>
      <c r="AI60" s="97"/>
      <c r="AJ60" s="97"/>
      <c r="AK60" s="149"/>
      <c r="AL60" s="97"/>
      <c r="AM60" s="97"/>
      <c r="AN60" s="97"/>
      <c r="AO60" s="97"/>
      <c r="AP60" s="97"/>
      <c r="AQ60" s="149"/>
    </row>
    <row r="61" spans="1:43" x14ac:dyDescent="0.3">
      <c r="A61" s="101"/>
      <c r="B61" s="101"/>
      <c r="C61" s="101"/>
      <c r="D61" s="101"/>
      <c r="E61" s="101"/>
      <c r="F61" s="179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T61" s="97" t="str">
        <f>SERVICE</f>
        <v>(ELECTRIC SERVICE)</v>
      </c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149"/>
      <c r="AH61" s="97"/>
      <c r="AI61" s="97"/>
      <c r="AJ61" s="97"/>
      <c r="AK61" s="149"/>
      <c r="AL61" s="97"/>
      <c r="AM61" s="97"/>
      <c r="AN61" s="97"/>
      <c r="AO61" s="97"/>
      <c r="AP61" s="97"/>
      <c r="AQ61" s="149"/>
    </row>
    <row r="62" spans="1:43" x14ac:dyDescent="0.3">
      <c r="L62" s="102"/>
      <c r="M62" s="102"/>
      <c r="N62" s="102"/>
      <c r="O62" s="102"/>
      <c r="R62" s="102"/>
      <c r="T62" s="98" t="str">
        <f>DATA_PERIOD</f>
        <v>DATA: __X__ BASE PERIOD   ____FORECASTED PERIOD</v>
      </c>
      <c r="AO62" s="99" t="s">
        <v>157</v>
      </c>
      <c r="AP62" s="99"/>
    </row>
    <row r="63" spans="1:43" x14ac:dyDescent="0.3">
      <c r="L63" s="102"/>
      <c r="M63" s="102"/>
      <c r="N63" s="102"/>
      <c r="O63" s="102"/>
      <c r="R63" s="102"/>
      <c r="T63" s="98" t="str">
        <f>TYPE</f>
        <v>TYPE OF FILING: _X_ ORIGINAL   ___UPDATED  ___ REVISED</v>
      </c>
      <c r="AO63" s="116" t="str">
        <f>"PAGE 3 OF "&amp;TEXT(Page_Num_2.2,"00")</f>
        <v>PAGE 3 OF 24</v>
      </c>
      <c r="AP63" s="99"/>
    </row>
    <row r="64" spans="1:43" x14ac:dyDescent="0.3">
      <c r="A64" s="102"/>
      <c r="C64" s="102"/>
      <c r="D64" s="102"/>
      <c r="E64" s="102"/>
      <c r="F64" s="102"/>
      <c r="J64" s="102"/>
      <c r="K64" s="102"/>
      <c r="L64" s="102"/>
      <c r="M64" s="102"/>
      <c r="N64" s="102"/>
      <c r="O64" s="102"/>
      <c r="P64" s="102"/>
      <c r="Q64" s="102"/>
      <c r="R64" s="102"/>
      <c r="T64" s="99" t="s">
        <v>170</v>
      </c>
      <c r="AO64" s="99" t="s">
        <v>3</v>
      </c>
      <c r="AP64" s="99"/>
    </row>
    <row r="65" spans="1:43" x14ac:dyDescent="0.3">
      <c r="A65" s="102"/>
      <c r="C65" s="102"/>
      <c r="D65" s="102"/>
      <c r="E65" s="102"/>
      <c r="F65" s="102"/>
      <c r="J65" s="102"/>
      <c r="K65" s="102"/>
      <c r="L65" s="102"/>
      <c r="M65" s="102"/>
      <c r="N65" s="102"/>
      <c r="O65" s="102"/>
      <c r="P65" s="102"/>
      <c r="Q65" s="102"/>
      <c r="R65" s="102"/>
      <c r="T65" s="124" t="str">
        <f>TIME</f>
        <v>6 Months Actual and 6 Months Projected with Riders</v>
      </c>
      <c r="AO65" s="98" t="str">
        <f>WIT</f>
        <v>B. L. Sailers</v>
      </c>
    </row>
    <row r="66" spans="1:43" x14ac:dyDescent="0.3">
      <c r="A66" s="102"/>
      <c r="C66" s="102"/>
      <c r="D66" s="102"/>
      <c r="E66" s="102"/>
      <c r="F66" s="102"/>
      <c r="J66" s="102"/>
      <c r="K66" s="102"/>
      <c r="L66" s="102"/>
      <c r="M66" s="102"/>
      <c r="N66" s="102"/>
      <c r="O66" s="102"/>
      <c r="P66" s="102"/>
      <c r="Q66" s="102"/>
      <c r="R66" s="102"/>
      <c r="T66" s="124" t="str">
        <f>INPUT!B5</f>
        <v>6 Months Actual Ending August 31, 2024</v>
      </c>
    </row>
    <row r="67" spans="1:43" x14ac:dyDescent="0.3">
      <c r="A67" s="102"/>
      <c r="C67" s="102"/>
      <c r="D67" s="102"/>
      <c r="E67" s="102"/>
      <c r="F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T67" s="97" t="s">
        <v>130</v>
      </c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149"/>
      <c r="AH67" s="97"/>
      <c r="AI67" s="97"/>
      <c r="AJ67" s="97"/>
      <c r="AK67" s="149"/>
      <c r="AL67" s="97"/>
      <c r="AM67" s="97"/>
      <c r="AN67" s="97"/>
      <c r="AO67" s="97"/>
      <c r="AP67" s="97"/>
      <c r="AQ67" s="149"/>
    </row>
    <row r="68" spans="1:43" x14ac:dyDescent="0.3">
      <c r="C68" s="102"/>
      <c r="D68" s="102"/>
      <c r="E68" s="102"/>
      <c r="F68" s="102"/>
      <c r="H68" s="102"/>
      <c r="I68" s="102"/>
      <c r="J68" s="102"/>
      <c r="K68" s="102"/>
      <c r="L68" s="102"/>
      <c r="M68" s="102"/>
      <c r="N68" s="102"/>
      <c r="O68" s="102"/>
      <c r="P68" s="102"/>
      <c r="Q68" s="102"/>
      <c r="R68" s="102"/>
      <c r="T68" s="100"/>
      <c r="U68" s="100"/>
      <c r="V68" s="100"/>
      <c r="W68" s="100"/>
      <c r="X68" s="100"/>
      <c r="Y68" s="100"/>
      <c r="Z68" s="100"/>
      <c r="AA68" s="100"/>
      <c r="AB68" s="100"/>
      <c r="AC68" s="100"/>
      <c r="AD68" s="100"/>
      <c r="AE68" s="100"/>
      <c r="AF68" s="100"/>
      <c r="AG68" s="150"/>
      <c r="AH68" s="100"/>
      <c r="AI68" s="100"/>
      <c r="AJ68" s="100"/>
      <c r="AK68" s="150"/>
      <c r="AL68" s="100"/>
      <c r="AM68" s="100"/>
      <c r="AN68" s="100"/>
      <c r="AO68" s="100"/>
      <c r="AP68" s="100"/>
      <c r="AQ68" s="150"/>
    </row>
    <row r="69" spans="1:43" ht="18" customHeight="1" x14ac:dyDescent="0.3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AE69" s="102" t="s">
        <v>8</v>
      </c>
      <c r="AF69" s="102"/>
      <c r="AG69" s="151" t="s">
        <v>7</v>
      </c>
      <c r="AH69" s="102"/>
      <c r="AI69" s="102" t="s">
        <v>9</v>
      </c>
      <c r="AJ69" s="102"/>
      <c r="AK69" s="151" t="s">
        <v>10</v>
      </c>
      <c r="AL69" s="102"/>
      <c r="AO69" s="102" t="s">
        <v>8</v>
      </c>
      <c r="AP69" s="102"/>
      <c r="AQ69" s="151" t="s">
        <v>11</v>
      </c>
    </row>
    <row r="70" spans="1:43" x14ac:dyDescent="0.3">
      <c r="H70" s="102"/>
      <c r="I70" s="102"/>
      <c r="J70" s="102"/>
      <c r="K70" s="102"/>
      <c r="L70" s="102"/>
      <c r="M70" s="102"/>
      <c r="N70" s="102"/>
      <c r="O70" s="102"/>
      <c r="P70" s="102"/>
      <c r="Q70" s="102"/>
      <c r="R70" s="102"/>
      <c r="AC70" s="102" t="s">
        <v>14</v>
      </c>
      <c r="AD70" s="102"/>
      <c r="AE70" s="102" t="s">
        <v>12</v>
      </c>
      <c r="AF70" s="102"/>
      <c r="AG70" s="151" t="s">
        <v>13</v>
      </c>
      <c r="AH70" s="102"/>
      <c r="AI70" s="102" t="s">
        <v>15</v>
      </c>
      <c r="AJ70" s="102"/>
      <c r="AK70" s="151" t="s">
        <v>16</v>
      </c>
      <c r="AL70" s="102"/>
      <c r="AO70" s="102" t="s">
        <v>11</v>
      </c>
      <c r="AP70" s="102"/>
      <c r="AQ70" s="151" t="s">
        <v>9</v>
      </c>
    </row>
    <row r="71" spans="1:43" x14ac:dyDescent="0.3">
      <c r="C71" s="99"/>
      <c r="D71" s="99"/>
      <c r="E71" s="99"/>
      <c r="T71" s="102" t="s">
        <v>17</v>
      </c>
      <c r="V71" s="102" t="s">
        <v>18</v>
      </c>
      <c r="W71" s="102" t="s">
        <v>19</v>
      </c>
      <c r="X71" s="102"/>
      <c r="Y71" s="102" t="s">
        <v>20</v>
      </c>
      <c r="AC71" s="102" t="s">
        <v>8</v>
      </c>
      <c r="AD71" s="102"/>
      <c r="AE71" s="102" t="s">
        <v>593</v>
      </c>
      <c r="AF71" s="102"/>
      <c r="AG71" s="151" t="s">
        <v>593</v>
      </c>
      <c r="AH71" s="102"/>
      <c r="AI71" s="102" t="s">
        <v>708</v>
      </c>
      <c r="AJ71" s="102"/>
      <c r="AK71" s="151" t="s">
        <v>708</v>
      </c>
      <c r="AL71" s="102"/>
      <c r="AM71" s="102" t="s">
        <v>593</v>
      </c>
      <c r="AN71" s="102"/>
      <c r="AO71" s="102" t="s">
        <v>9</v>
      </c>
      <c r="AP71" s="102"/>
      <c r="AQ71" s="151" t="s">
        <v>21</v>
      </c>
    </row>
    <row r="72" spans="1:43" x14ac:dyDescent="0.3">
      <c r="D72" s="99"/>
      <c r="E72" s="99"/>
      <c r="T72" s="102" t="s">
        <v>22</v>
      </c>
      <c r="V72" s="102" t="s">
        <v>23</v>
      </c>
      <c r="W72" s="102" t="s">
        <v>24</v>
      </c>
      <c r="X72" s="102"/>
      <c r="Y72" s="102" t="s">
        <v>25</v>
      </c>
      <c r="AA72" s="102" t="s">
        <v>26</v>
      </c>
      <c r="AB72" s="102"/>
      <c r="AC72" s="102" t="s">
        <v>27</v>
      </c>
      <c r="AD72" s="102"/>
      <c r="AE72" s="102" t="s">
        <v>9</v>
      </c>
      <c r="AF72" s="102"/>
      <c r="AG72" s="151" t="s">
        <v>9</v>
      </c>
      <c r="AH72" s="102"/>
      <c r="AI72" s="131" t="s">
        <v>29</v>
      </c>
      <c r="AJ72" s="131"/>
      <c r="AK72" s="165" t="s">
        <v>30</v>
      </c>
      <c r="AL72" s="102"/>
      <c r="AM72" s="102" t="s">
        <v>323</v>
      </c>
      <c r="AN72" s="102"/>
      <c r="AO72" s="131" t="s">
        <v>31</v>
      </c>
      <c r="AP72" s="131"/>
      <c r="AQ72" s="165" t="s">
        <v>32</v>
      </c>
    </row>
    <row r="73" spans="1:43" x14ac:dyDescent="0.3">
      <c r="V73" s="131" t="s">
        <v>33</v>
      </c>
      <c r="W73" s="131" t="s">
        <v>34</v>
      </c>
      <c r="X73" s="131"/>
      <c r="Y73" s="131" t="s">
        <v>35</v>
      </c>
      <c r="Z73" s="134"/>
      <c r="AA73" s="131" t="s">
        <v>36</v>
      </c>
      <c r="AB73" s="131"/>
      <c r="AC73" s="131" t="s">
        <v>42</v>
      </c>
      <c r="AD73" s="131"/>
      <c r="AE73" s="131" t="s">
        <v>43</v>
      </c>
      <c r="AF73" s="131"/>
      <c r="AG73" s="165" t="s">
        <v>44</v>
      </c>
      <c r="AH73" s="131"/>
      <c r="AI73" s="131" t="s">
        <v>45</v>
      </c>
      <c r="AJ73" s="131"/>
      <c r="AK73" s="165" t="s">
        <v>46</v>
      </c>
      <c r="AL73" s="131"/>
      <c r="AM73" s="131" t="s">
        <v>40</v>
      </c>
      <c r="AN73" s="131"/>
      <c r="AO73" s="131" t="s">
        <v>47</v>
      </c>
      <c r="AP73" s="131"/>
      <c r="AQ73" s="165" t="s">
        <v>48</v>
      </c>
    </row>
    <row r="74" spans="1:43" x14ac:dyDescent="0.3">
      <c r="C74" s="99"/>
      <c r="T74" s="100"/>
      <c r="U74" s="100"/>
      <c r="V74" s="100"/>
      <c r="W74" s="100"/>
      <c r="X74" s="100"/>
      <c r="Y74" s="100"/>
      <c r="Z74" s="100"/>
      <c r="AA74" s="100"/>
      <c r="AB74" s="100"/>
      <c r="AC74" s="100"/>
      <c r="AD74" s="100"/>
      <c r="AE74" s="100"/>
      <c r="AF74" s="100"/>
      <c r="AG74" s="150"/>
      <c r="AH74" s="100"/>
      <c r="AI74" s="100"/>
      <c r="AJ74" s="100"/>
      <c r="AK74" s="150"/>
      <c r="AL74" s="100"/>
      <c r="AM74" s="100"/>
      <c r="AN74" s="100"/>
      <c r="AO74" s="100"/>
      <c r="AP74" s="100"/>
      <c r="AQ74" s="150"/>
    </row>
    <row r="75" spans="1:43" ht="17.100000000000001" customHeight="1" x14ac:dyDescent="0.3">
      <c r="C75" s="99"/>
      <c r="F75" s="172"/>
      <c r="H75" s="172"/>
      <c r="I75" s="172"/>
      <c r="J75" s="181"/>
      <c r="K75" s="181"/>
      <c r="L75" s="110"/>
      <c r="M75" s="110"/>
      <c r="N75" s="141"/>
      <c r="O75" s="141"/>
      <c r="R75" s="110"/>
      <c r="AA75" s="167" t="s">
        <v>196</v>
      </c>
      <c r="AB75" s="166"/>
      <c r="AC75" s="167" t="s">
        <v>331</v>
      </c>
      <c r="AD75" s="166"/>
      <c r="AE75" s="166" t="s">
        <v>50</v>
      </c>
      <c r="AF75" s="166"/>
      <c r="AG75" s="168" t="s">
        <v>51</v>
      </c>
      <c r="AH75" s="166"/>
      <c r="AI75" s="166" t="s">
        <v>50</v>
      </c>
      <c r="AJ75" s="166"/>
      <c r="AK75" s="168" t="s">
        <v>51</v>
      </c>
      <c r="AL75" s="166"/>
      <c r="AM75" s="166" t="s">
        <v>50</v>
      </c>
      <c r="AN75" s="166"/>
      <c r="AO75" s="166" t="s">
        <v>50</v>
      </c>
      <c r="AP75" s="166"/>
      <c r="AQ75" s="168" t="s">
        <v>51</v>
      </c>
    </row>
    <row r="76" spans="1:43" x14ac:dyDescent="0.3">
      <c r="C76" s="99"/>
      <c r="F76" s="172"/>
      <c r="H76" s="172"/>
      <c r="I76" s="172"/>
      <c r="J76" s="181"/>
      <c r="K76" s="181"/>
      <c r="L76" s="110"/>
      <c r="M76" s="110"/>
      <c r="N76" s="141"/>
      <c r="O76" s="141"/>
      <c r="R76" s="110"/>
      <c r="T76" s="98">
        <f>A20</f>
        <v>1</v>
      </c>
      <c r="V76" s="124" t="s">
        <v>91</v>
      </c>
      <c r="W76" s="124" t="s">
        <v>143</v>
      </c>
      <c r="X76" s="99"/>
      <c r="Y76" s="1"/>
      <c r="Z76" s="1"/>
      <c r="AA76" s="215"/>
      <c r="AB76" s="215"/>
      <c r="AC76" s="167" t="s">
        <v>328</v>
      </c>
      <c r="AD76" s="215"/>
      <c r="AE76" s="215"/>
      <c r="AF76" s="215"/>
      <c r="AG76" s="219"/>
      <c r="AH76" s="215"/>
      <c r="AI76" s="215"/>
      <c r="AJ76" s="215"/>
      <c r="AK76" s="219"/>
      <c r="AL76" s="215"/>
      <c r="AM76" s="215"/>
      <c r="AN76" s="215"/>
      <c r="AO76" s="215"/>
      <c r="AP76" s="215"/>
      <c r="AQ76" s="219"/>
    </row>
    <row r="77" spans="1:43" x14ac:dyDescent="0.3">
      <c r="F77" s="192"/>
      <c r="H77" s="110"/>
      <c r="I77" s="110"/>
      <c r="J77" s="217"/>
      <c r="K77" s="217"/>
      <c r="L77" s="192"/>
      <c r="M77" s="192"/>
      <c r="N77" s="192"/>
      <c r="O77" s="192"/>
      <c r="P77" s="192"/>
      <c r="Q77" s="192"/>
      <c r="R77" s="192"/>
      <c r="T77" s="98">
        <f>A21</f>
        <v>2</v>
      </c>
      <c r="V77" s="134"/>
      <c r="W77" s="124" t="s">
        <v>132</v>
      </c>
      <c r="X77" s="99"/>
      <c r="Y77" s="1"/>
      <c r="Z77" s="1"/>
      <c r="AA77" s="1"/>
      <c r="AB77" s="1"/>
      <c r="AC77" s="1"/>
      <c r="AD77" s="1"/>
      <c r="AE77" s="1"/>
      <c r="AF77" s="1"/>
      <c r="AG77" s="154"/>
      <c r="AH77" s="1"/>
      <c r="AI77" s="1"/>
      <c r="AJ77" s="1"/>
      <c r="AK77" s="154"/>
      <c r="AL77" s="1"/>
      <c r="AM77" s="1"/>
      <c r="AN77" s="1"/>
      <c r="AO77" s="1"/>
      <c r="AP77" s="1"/>
      <c r="AQ77" s="154"/>
    </row>
    <row r="78" spans="1:43" x14ac:dyDescent="0.3">
      <c r="C78" s="99"/>
      <c r="F78" s="110"/>
      <c r="H78" s="110"/>
      <c r="I78" s="110"/>
      <c r="J78" s="217"/>
      <c r="K78" s="217"/>
      <c r="L78" s="110"/>
      <c r="M78" s="110"/>
      <c r="N78" s="141"/>
      <c r="O78" s="141"/>
      <c r="P78" s="110"/>
      <c r="Q78" s="110"/>
      <c r="R78" s="110"/>
      <c r="Y78" s="1"/>
      <c r="Z78" s="1"/>
      <c r="AA78" s="1"/>
      <c r="AB78" s="1"/>
      <c r="AC78" s="1"/>
      <c r="AD78" s="1"/>
      <c r="AE78" s="1"/>
      <c r="AF78" s="1"/>
      <c r="AG78" s="154"/>
      <c r="AH78" s="1"/>
      <c r="AI78" s="1"/>
      <c r="AJ78" s="1"/>
      <c r="AK78" s="154"/>
      <c r="AL78" s="1"/>
      <c r="AM78" s="1"/>
      <c r="AN78" s="1"/>
      <c r="AO78" s="1"/>
      <c r="AP78" s="1"/>
      <c r="AQ78" s="154"/>
    </row>
    <row r="79" spans="1:43" x14ac:dyDescent="0.3">
      <c r="F79" s="192"/>
      <c r="H79" s="110"/>
      <c r="I79" s="110"/>
      <c r="J79" s="217"/>
      <c r="K79" s="217"/>
      <c r="L79" s="192"/>
      <c r="M79" s="192"/>
      <c r="N79" s="192"/>
      <c r="O79" s="192"/>
      <c r="P79" s="192"/>
      <c r="Q79" s="192"/>
      <c r="R79" s="192"/>
      <c r="T79" s="98">
        <f>A23</f>
        <v>3</v>
      </c>
      <c r="V79" s="124" t="s">
        <v>133</v>
      </c>
      <c r="Y79" s="1"/>
      <c r="Z79" s="1"/>
      <c r="AA79" s="1"/>
      <c r="AB79" s="1"/>
      <c r="AC79" s="1"/>
      <c r="AD79" s="1"/>
      <c r="AE79" s="1"/>
      <c r="AF79" s="1"/>
      <c r="AG79" s="154"/>
      <c r="AH79" s="1"/>
      <c r="AI79" s="1"/>
      <c r="AJ79" s="1"/>
      <c r="AK79" s="154"/>
      <c r="AL79" s="1"/>
      <c r="AM79" s="1"/>
      <c r="AN79" s="1"/>
      <c r="AO79" s="1"/>
      <c r="AP79" s="1"/>
      <c r="AQ79" s="154"/>
    </row>
    <row r="80" spans="1:43" x14ac:dyDescent="0.3">
      <c r="F80" s="192"/>
      <c r="H80" s="110"/>
      <c r="I80" s="110"/>
      <c r="J80" s="217"/>
      <c r="K80" s="217"/>
      <c r="L80" s="192"/>
      <c r="M80" s="192"/>
      <c r="N80" s="192"/>
      <c r="O80" s="192"/>
      <c r="P80" s="192"/>
      <c r="Q80" s="192"/>
      <c r="R80" s="192"/>
      <c r="T80" s="98">
        <f>A24</f>
        <v>4</v>
      </c>
      <c r="V80" s="116" t="s">
        <v>353</v>
      </c>
      <c r="Y80" s="106">
        <f>F24</f>
        <v>1591</v>
      </c>
      <c r="Z80" s="1"/>
      <c r="AA80" s="1"/>
      <c r="AB80" s="1"/>
      <c r="AC80" s="181">
        <f>INPUT!C63</f>
        <v>5</v>
      </c>
      <c r="AD80" s="1"/>
      <c r="AE80" s="106">
        <f>ROUND(Y80*AC80,0)</f>
        <v>7955</v>
      </c>
      <c r="AF80" s="106"/>
      <c r="AG80" s="154">
        <f>ROUND((AE80/AE$106)*100,1)</f>
        <v>0</v>
      </c>
      <c r="AH80" s="175"/>
      <c r="AI80" s="106">
        <f>L24-AE80</f>
        <v>0</v>
      </c>
      <c r="AJ80" s="106"/>
      <c r="AK80" s="154">
        <f>ROUND((AI80/AE80)*100,1)</f>
        <v>0</v>
      </c>
      <c r="AL80" s="138"/>
      <c r="AM80" s="106"/>
      <c r="AN80" s="1"/>
      <c r="AO80" s="106">
        <f>AE80+AM80</f>
        <v>7955</v>
      </c>
      <c r="AP80" s="106"/>
      <c r="AQ80" s="159">
        <f>IF(AO80=0,"0.0 ",ROUND((AI80/AO80)*100,1))</f>
        <v>0</v>
      </c>
    </row>
    <row r="81" spans="3:76" x14ac:dyDescent="0.3">
      <c r="F81" s="110"/>
      <c r="H81" s="110"/>
      <c r="I81" s="110"/>
      <c r="J81" s="217"/>
      <c r="K81" s="217"/>
      <c r="L81" s="110"/>
      <c r="M81" s="110"/>
      <c r="N81" s="141"/>
      <c r="O81" s="141"/>
      <c r="P81" s="110"/>
      <c r="Q81" s="110"/>
      <c r="R81" s="110"/>
      <c r="T81" s="98">
        <f>A25</f>
        <v>5</v>
      </c>
      <c r="V81" s="99" t="s">
        <v>134</v>
      </c>
      <c r="Y81" s="106">
        <f>F25</f>
        <v>82137</v>
      </c>
      <c r="Z81" s="1"/>
      <c r="AA81" s="147"/>
      <c r="AB81" s="147"/>
      <c r="AC81" s="181">
        <f>INPUT!C48</f>
        <v>15</v>
      </c>
      <c r="AD81" s="180"/>
      <c r="AE81" s="106">
        <f>ROUND(Y81*AC81,0)</f>
        <v>1232055</v>
      </c>
      <c r="AF81" s="106"/>
      <c r="AG81" s="154">
        <f>ROUND((AE81/AE$106)*100,1)</f>
        <v>0.9</v>
      </c>
      <c r="AH81" s="175"/>
      <c r="AI81" s="106">
        <f>L25-AE81</f>
        <v>0</v>
      </c>
      <c r="AJ81" s="106"/>
      <c r="AK81" s="154">
        <f>ROUND((AI81/AE81)*100,1)</f>
        <v>0</v>
      </c>
      <c r="AL81" s="138"/>
      <c r="AM81" s="106"/>
      <c r="AN81" s="1"/>
      <c r="AO81" s="106">
        <f>AE81+AM81</f>
        <v>1232055</v>
      </c>
      <c r="AP81" s="106"/>
      <c r="AQ81" s="159">
        <f>IF(AO81=0,"0.0 ",ROUND((AI81/AO81)*100,1))</f>
        <v>0</v>
      </c>
      <c r="BX81" s="220"/>
    </row>
    <row r="82" spans="3:76" x14ac:dyDescent="0.3">
      <c r="C82" s="99"/>
      <c r="F82" s="110"/>
      <c r="H82" s="110"/>
      <c r="I82" s="110"/>
      <c r="J82" s="217"/>
      <c r="K82" s="217"/>
      <c r="L82" s="110"/>
      <c r="M82" s="110"/>
      <c r="N82" s="141"/>
      <c r="O82" s="141"/>
      <c r="P82" s="110"/>
      <c r="Q82" s="110"/>
      <c r="R82" s="110"/>
      <c r="T82" s="98">
        <f>A26</f>
        <v>6</v>
      </c>
      <c r="V82" s="99" t="s">
        <v>135</v>
      </c>
      <c r="Y82" s="106">
        <f>F26</f>
        <v>77641</v>
      </c>
      <c r="Z82" s="1"/>
      <c r="AA82" s="147"/>
      <c r="AB82" s="147"/>
      <c r="AC82" s="181">
        <f>INPUT!C49</f>
        <v>30</v>
      </c>
      <c r="AD82" s="180"/>
      <c r="AE82" s="106">
        <f>ROUND(Y82*AC82,0)</f>
        <v>2329230</v>
      </c>
      <c r="AF82" s="106"/>
      <c r="AG82" s="156">
        <f>ROUND((AE82/AE$106)*100,1)</f>
        <v>1.7</v>
      </c>
      <c r="AH82" s="175"/>
      <c r="AI82" s="106">
        <f>L26-AE82</f>
        <v>0</v>
      </c>
      <c r="AJ82" s="106"/>
      <c r="AK82" s="156">
        <f>ROUND((AI82/AE82)*100,1)</f>
        <v>0</v>
      </c>
      <c r="AL82" s="138"/>
      <c r="AM82" s="106"/>
      <c r="AN82" s="1"/>
      <c r="AO82" s="106">
        <f>AE82+AM82</f>
        <v>2329230</v>
      </c>
      <c r="AP82" s="106"/>
      <c r="AQ82" s="200">
        <f>IF(AO82=0,"0.0 ",ROUND((AI82/AO82)*100,1))</f>
        <v>0</v>
      </c>
    </row>
    <row r="83" spans="3:76" ht="20.100000000000001" customHeight="1" x14ac:dyDescent="0.3">
      <c r="C83" s="99"/>
      <c r="F83" s="172"/>
      <c r="H83" s="172"/>
      <c r="I83" s="172"/>
      <c r="J83" s="181"/>
      <c r="K83" s="181"/>
      <c r="L83" s="110"/>
      <c r="M83" s="110"/>
      <c r="N83" s="141"/>
      <c r="O83" s="141"/>
      <c r="P83" s="110"/>
      <c r="Q83" s="110"/>
      <c r="R83" s="110"/>
      <c r="T83" s="98">
        <f>A27</f>
        <v>7</v>
      </c>
      <c r="V83" s="124" t="s">
        <v>136</v>
      </c>
      <c r="Y83" s="112">
        <f>F27</f>
        <v>159778</v>
      </c>
      <c r="Z83" s="1"/>
      <c r="AA83" s="106"/>
      <c r="AB83" s="106"/>
      <c r="AC83" s="136"/>
      <c r="AD83" s="136"/>
      <c r="AE83" s="112">
        <f>SUM(AE80:AE82)</f>
        <v>3569240</v>
      </c>
      <c r="AF83" s="106"/>
      <c r="AG83" s="158">
        <f>ROUND((AE83/AE$106)*100,1)</f>
        <v>2.6</v>
      </c>
      <c r="AH83" s="175"/>
      <c r="AI83" s="112">
        <f>SUM(AI80:AI82)</f>
        <v>0</v>
      </c>
      <c r="AJ83" s="106"/>
      <c r="AK83" s="158">
        <f>ROUND((AI83/AE83)*100,1)</f>
        <v>0</v>
      </c>
      <c r="AL83" s="138"/>
      <c r="AM83" s="112"/>
      <c r="AN83" s="106"/>
      <c r="AO83" s="112">
        <f>SUM(AO80:AO82)</f>
        <v>3569240</v>
      </c>
      <c r="AP83" s="106"/>
      <c r="AQ83" s="201">
        <f>IF(AO83=0,"0.0 ",ROUND((AI83/AO83)*100,1))</f>
        <v>0</v>
      </c>
    </row>
    <row r="84" spans="3:76" x14ac:dyDescent="0.3">
      <c r="C84" s="99"/>
      <c r="F84" s="110"/>
      <c r="H84" s="110"/>
      <c r="I84" s="110"/>
      <c r="J84" s="217"/>
      <c r="K84" s="217"/>
      <c r="L84" s="110"/>
      <c r="M84" s="110"/>
      <c r="N84" s="141"/>
      <c r="O84" s="141"/>
      <c r="P84" s="110"/>
      <c r="Q84" s="110"/>
      <c r="R84" s="110"/>
      <c r="Y84" s="106"/>
      <c r="Z84" s="1"/>
      <c r="AA84" s="106"/>
      <c r="AB84" s="106"/>
      <c r="AC84" s="136"/>
      <c r="AD84" s="136"/>
      <c r="AE84" s="106"/>
      <c r="AF84" s="106"/>
      <c r="AG84" s="154"/>
      <c r="AH84" s="175"/>
      <c r="AI84" s="106"/>
      <c r="AJ84" s="106"/>
      <c r="AK84" s="154"/>
      <c r="AL84" s="138"/>
      <c r="AM84" s="106"/>
      <c r="AN84" s="106"/>
      <c r="AO84" s="106"/>
      <c r="AP84" s="106"/>
      <c r="AQ84" s="154"/>
    </row>
    <row r="85" spans="3:76" x14ac:dyDescent="0.3">
      <c r="F85" s="110"/>
      <c r="H85" s="192"/>
      <c r="I85" s="192"/>
      <c r="J85" s="217"/>
      <c r="K85" s="217"/>
      <c r="L85" s="192"/>
      <c r="M85" s="192"/>
      <c r="N85" s="192"/>
      <c r="O85" s="192"/>
      <c r="P85" s="192"/>
      <c r="Q85" s="192"/>
      <c r="R85" s="192"/>
      <c r="T85" s="98">
        <f>A29</f>
        <v>8</v>
      </c>
      <c r="V85" s="124" t="s">
        <v>63</v>
      </c>
      <c r="Y85" s="106"/>
      <c r="Z85" s="1"/>
      <c r="AA85" s="106"/>
      <c r="AB85" s="106"/>
      <c r="AC85" s="136"/>
      <c r="AD85" s="136"/>
      <c r="AE85" s="106"/>
      <c r="AF85" s="106"/>
      <c r="AG85" s="154"/>
      <c r="AH85" s="175"/>
      <c r="AI85" s="106"/>
      <c r="AJ85" s="106"/>
      <c r="AK85" s="154"/>
      <c r="AL85" s="138"/>
      <c r="AM85" s="106"/>
      <c r="AN85" s="106"/>
      <c r="AO85" s="106"/>
      <c r="AP85" s="106"/>
      <c r="AQ85" s="154"/>
    </row>
    <row r="86" spans="3:76" x14ac:dyDescent="0.3">
      <c r="C86" s="99"/>
      <c r="F86" s="110"/>
      <c r="H86" s="110"/>
      <c r="I86" s="110"/>
      <c r="J86" s="198"/>
      <c r="K86" s="198"/>
      <c r="L86" s="110"/>
      <c r="M86" s="110"/>
      <c r="N86" s="141"/>
      <c r="O86" s="141"/>
      <c r="P86" s="110"/>
      <c r="Q86" s="110"/>
      <c r="R86" s="110"/>
      <c r="T86" s="98">
        <f>A30</f>
        <v>9</v>
      </c>
      <c r="V86" s="99" t="s">
        <v>137</v>
      </c>
      <c r="Y86" s="147"/>
      <c r="Z86" s="1"/>
      <c r="AA86" s="106">
        <f>H30</f>
        <v>1406292</v>
      </c>
      <c r="AB86" s="106"/>
      <c r="AC86" s="181">
        <f>INPUT!C55</f>
        <v>0</v>
      </c>
      <c r="AD86" s="180"/>
      <c r="AE86" s="106">
        <f>ROUND(AA86*AC86,0)</f>
        <v>0</v>
      </c>
      <c r="AF86" s="106"/>
      <c r="AG86" s="154">
        <f>ROUND((AE86/AE$106)*100,1)</f>
        <v>0</v>
      </c>
      <c r="AH86" s="175"/>
      <c r="AI86" s="106">
        <f>L30-AE86</f>
        <v>0</v>
      </c>
      <c r="AJ86" s="106"/>
      <c r="AK86" s="202">
        <v>0</v>
      </c>
      <c r="AL86" s="221"/>
      <c r="AM86" s="106"/>
      <c r="AN86" s="106"/>
      <c r="AO86" s="106">
        <f>AE86+AM86</f>
        <v>0</v>
      </c>
      <c r="AP86" s="106"/>
      <c r="AQ86" s="159" t="str">
        <f>IF(AO86=0,"0.0 ",ROUND((AI86/AO86)*100,1))</f>
        <v xml:space="preserve">0.0 </v>
      </c>
    </row>
    <row r="87" spans="3:76" x14ac:dyDescent="0.3">
      <c r="C87" s="99"/>
      <c r="F87" s="172"/>
      <c r="H87" s="172"/>
      <c r="I87" s="172"/>
      <c r="J87" s="222"/>
      <c r="K87" s="222"/>
      <c r="L87" s="110"/>
      <c r="M87" s="110"/>
      <c r="N87" s="141"/>
      <c r="O87" s="141"/>
      <c r="P87" s="172"/>
      <c r="Q87" s="172"/>
      <c r="R87" s="110"/>
      <c r="T87" s="98">
        <f>A31</f>
        <v>10</v>
      </c>
      <c r="V87" s="99" t="s">
        <v>138</v>
      </c>
      <c r="Y87" s="147"/>
      <c r="Z87" s="1"/>
      <c r="AA87" s="106">
        <f>H31</f>
        <v>2743214</v>
      </c>
      <c r="AB87" s="106"/>
      <c r="AC87" s="181">
        <f>INPUT!C56</f>
        <v>10.68</v>
      </c>
      <c r="AD87" s="180"/>
      <c r="AE87" s="106">
        <f>ROUND(AA87*AC87,0)</f>
        <v>29297526</v>
      </c>
      <c r="AF87" s="106"/>
      <c r="AG87" s="156">
        <f>ROUND((AE87/AE$106)*100,1)</f>
        <v>21.3</v>
      </c>
      <c r="AH87" s="175"/>
      <c r="AI87" s="106">
        <f>L31-AE87</f>
        <v>4608599</v>
      </c>
      <c r="AJ87" s="106"/>
      <c r="AK87" s="156">
        <f>ROUND((AI87/AE87)*100,1)</f>
        <v>15.7</v>
      </c>
      <c r="AL87" s="138"/>
      <c r="AM87" s="106"/>
      <c r="AN87" s="106"/>
      <c r="AO87" s="106">
        <f>AE87+AM87</f>
        <v>29297526</v>
      </c>
      <c r="AP87" s="106"/>
      <c r="AQ87" s="200">
        <f>IF(AO87=0,"0.0 ",ROUND((AI87/AO87)*100,1))</f>
        <v>15.7</v>
      </c>
    </row>
    <row r="88" spans="3:76" ht="20.100000000000001" customHeight="1" x14ac:dyDescent="0.3">
      <c r="C88" s="99"/>
      <c r="F88" s="172"/>
      <c r="H88" s="172"/>
      <c r="I88" s="172"/>
      <c r="J88" s="222"/>
      <c r="K88" s="222"/>
      <c r="L88" s="110"/>
      <c r="M88" s="110"/>
      <c r="N88" s="141"/>
      <c r="O88" s="141"/>
      <c r="P88" s="172"/>
      <c r="Q88" s="172"/>
      <c r="R88" s="110"/>
      <c r="T88" s="98">
        <f>A32</f>
        <v>11</v>
      </c>
      <c r="V88" s="124" t="s">
        <v>66</v>
      </c>
      <c r="Y88" s="106"/>
      <c r="Z88" s="1"/>
      <c r="AA88" s="112">
        <f>H32</f>
        <v>4149506</v>
      </c>
      <c r="AB88" s="106"/>
      <c r="AC88" s="171"/>
      <c r="AD88" s="171"/>
      <c r="AE88" s="112">
        <f>SUM(AE86:AE87)</f>
        <v>29297526</v>
      </c>
      <c r="AF88" s="106"/>
      <c r="AG88" s="158">
        <f>ROUND((AE88/AE$106)*100,1)</f>
        <v>21.3</v>
      </c>
      <c r="AH88" s="175"/>
      <c r="AI88" s="112">
        <f>SUM(AI86:AI87)</f>
        <v>4608599</v>
      </c>
      <c r="AJ88" s="106"/>
      <c r="AK88" s="158">
        <f>ROUND((AI88/AE88)*100,1)</f>
        <v>15.7</v>
      </c>
      <c r="AL88" s="138"/>
      <c r="AM88" s="112"/>
      <c r="AN88" s="106"/>
      <c r="AO88" s="112">
        <f>SUM(AO86:AO87)</f>
        <v>29297526</v>
      </c>
      <c r="AP88" s="106"/>
      <c r="AQ88" s="201">
        <f>IF(AO88=0,"0.0 ",ROUND((AI88/AO88)*100,1))</f>
        <v>15.7</v>
      </c>
      <c r="AT88" s="98">
        <f>1-AT96</f>
        <v>0.23147377696171334</v>
      </c>
    </row>
    <row r="89" spans="3:76" x14ac:dyDescent="0.3">
      <c r="C89" s="99"/>
      <c r="F89" s="172"/>
      <c r="H89" s="172"/>
      <c r="I89" s="172"/>
      <c r="J89" s="222"/>
      <c r="K89" s="222"/>
      <c r="L89" s="110"/>
      <c r="M89" s="110"/>
      <c r="N89" s="141"/>
      <c r="O89" s="141"/>
      <c r="P89" s="172"/>
      <c r="Q89" s="172"/>
      <c r="R89" s="110"/>
      <c r="V89" s="99"/>
      <c r="Y89" s="106"/>
      <c r="Z89" s="1"/>
      <c r="AA89" s="106"/>
      <c r="AB89" s="106"/>
      <c r="AC89" s="171"/>
      <c r="AD89" s="171"/>
      <c r="AE89" s="106"/>
      <c r="AF89" s="106"/>
      <c r="AG89" s="154"/>
      <c r="AH89" s="175"/>
      <c r="AI89" s="106"/>
      <c r="AJ89" s="106"/>
      <c r="AK89" s="154"/>
      <c r="AL89" s="138"/>
      <c r="AM89" s="106"/>
      <c r="AN89" s="106"/>
      <c r="AO89" s="106"/>
      <c r="AP89" s="106"/>
      <c r="AQ89" s="154"/>
    </row>
    <row r="90" spans="3:76" ht="16.2" thickBot="1" x14ac:dyDescent="0.35">
      <c r="C90" s="99"/>
      <c r="H90" s="172"/>
      <c r="I90" s="172"/>
      <c r="J90" s="222"/>
      <c r="K90" s="222"/>
      <c r="L90" s="110"/>
      <c r="M90" s="110"/>
      <c r="N90" s="141"/>
      <c r="O90" s="141"/>
      <c r="P90" s="172"/>
      <c r="Q90" s="172"/>
      <c r="R90" s="110"/>
      <c r="T90" s="98">
        <f t="shared" ref="T90:T97" si="1">A34</f>
        <v>12</v>
      </c>
      <c r="V90" s="169" t="s">
        <v>371</v>
      </c>
      <c r="Y90" s="106"/>
      <c r="Z90" s="1"/>
      <c r="AA90" s="106"/>
      <c r="AB90" s="106"/>
      <c r="AC90" s="136"/>
      <c r="AD90" s="136"/>
      <c r="AE90" s="106"/>
      <c r="AF90" s="106"/>
      <c r="AG90" s="154"/>
      <c r="AH90" s="175"/>
      <c r="AI90" s="106"/>
      <c r="AJ90" s="106"/>
      <c r="AK90" s="154"/>
      <c r="AL90" s="138"/>
      <c r="AM90" s="106"/>
      <c r="AN90" s="106"/>
      <c r="AO90" s="106"/>
      <c r="AP90" s="106"/>
      <c r="AQ90" s="154"/>
    </row>
    <row r="91" spans="3:76" x14ac:dyDescent="0.3">
      <c r="F91" s="192"/>
      <c r="H91" s="192"/>
      <c r="I91" s="192"/>
      <c r="J91" s="217"/>
      <c r="K91" s="217"/>
      <c r="L91" s="192"/>
      <c r="M91" s="192"/>
      <c r="N91" s="192"/>
      <c r="O91" s="192"/>
      <c r="P91" s="192"/>
      <c r="Q91" s="192"/>
      <c r="R91" s="192"/>
      <c r="T91" s="98">
        <f t="shared" si="1"/>
        <v>13</v>
      </c>
      <c r="V91" s="99" t="s">
        <v>139</v>
      </c>
      <c r="Y91" s="147"/>
      <c r="Z91" s="1"/>
      <c r="AA91" s="106">
        <f t="shared" ref="AA91:AA96" si="2">H35</f>
        <v>361837029</v>
      </c>
      <c r="AB91" s="106"/>
      <c r="AC91" s="189">
        <f>INPUT!C51</f>
        <v>0.114788</v>
      </c>
      <c r="AD91" s="188"/>
      <c r="AE91" s="106">
        <f>ROUND((AA91*AC91),0)-AM91</f>
        <v>41534549</v>
      </c>
      <c r="AF91" s="106"/>
      <c r="AG91" s="154">
        <f t="shared" ref="AG91:AG97" si="3">ROUND((AE91/AE$106)*100,1)</f>
        <v>30.2</v>
      </c>
      <c r="AH91" s="175"/>
      <c r="AI91" s="106">
        <f>L35-AE91</f>
        <v>6544184</v>
      </c>
      <c r="AJ91" s="106"/>
      <c r="AK91" s="154">
        <f t="shared" ref="AK91:AK97" si="4">ROUND((AI91/AE91)*100,1)</f>
        <v>15.8</v>
      </c>
      <c r="AL91" s="138"/>
      <c r="AM91" s="147"/>
      <c r="AN91" s="147"/>
      <c r="AO91" s="106">
        <f>AE91+AM91</f>
        <v>41534549</v>
      </c>
      <c r="AP91" s="106"/>
      <c r="AQ91" s="159">
        <f t="shared" ref="AQ91:AQ104" si="5">IF(AO91=0,"0.0 ",ROUND((AI91/AO91)*100,1))</f>
        <v>15.8</v>
      </c>
      <c r="AT91" s="203">
        <f>AO91/SUM($AO$91:$AO$95)</f>
        <v>0.42699388752152612</v>
      </c>
    </row>
    <row r="92" spans="3:76" x14ac:dyDescent="0.3">
      <c r="C92" s="99"/>
      <c r="F92" s="110"/>
      <c r="H92" s="110"/>
      <c r="I92" s="110"/>
      <c r="J92" s="198"/>
      <c r="K92" s="198"/>
      <c r="L92" s="110"/>
      <c r="M92" s="110"/>
      <c r="N92" s="141"/>
      <c r="O92" s="141"/>
      <c r="P92" s="110"/>
      <c r="Q92" s="110"/>
      <c r="R92" s="110"/>
      <c r="T92" s="98">
        <f t="shared" si="1"/>
        <v>14</v>
      </c>
      <c r="V92" s="99" t="s">
        <v>140</v>
      </c>
      <c r="Y92" s="147"/>
      <c r="Z92" s="1"/>
      <c r="AA92" s="106">
        <f t="shared" si="2"/>
        <v>541458973.14799953</v>
      </c>
      <c r="AB92" s="106"/>
      <c r="AC92" s="189">
        <f>INPUT!C52</f>
        <v>7.4619000000000005E-2</v>
      </c>
      <c r="AD92" s="188"/>
      <c r="AE92" s="106">
        <f>ROUND((AA92*AC92),0)-AM92</f>
        <v>40403127</v>
      </c>
      <c r="AF92" s="106"/>
      <c r="AG92" s="154">
        <f t="shared" si="3"/>
        <v>29.4</v>
      </c>
      <c r="AH92" s="175"/>
      <c r="AI92" s="106">
        <f>L36-AE92</f>
        <v>6365933</v>
      </c>
      <c r="AJ92" s="106"/>
      <c r="AK92" s="154">
        <f t="shared" si="4"/>
        <v>15.8</v>
      </c>
      <c r="AL92" s="138"/>
      <c r="AM92" s="147"/>
      <c r="AN92" s="147"/>
      <c r="AO92" s="106">
        <f>AE92+AM92</f>
        <v>40403127</v>
      </c>
      <c r="AP92" s="106"/>
      <c r="AQ92" s="159">
        <f t="shared" si="5"/>
        <v>15.8</v>
      </c>
      <c r="AT92" s="204">
        <f>AO92/SUM($AO$91:$AO$95)</f>
        <v>0.41536235931575743</v>
      </c>
    </row>
    <row r="93" spans="3:76" x14ac:dyDescent="0.3">
      <c r="F93" s="192"/>
      <c r="H93" s="192"/>
      <c r="I93" s="192"/>
      <c r="J93" s="217"/>
      <c r="K93" s="217"/>
      <c r="L93" s="192"/>
      <c r="M93" s="192"/>
      <c r="N93" s="192"/>
      <c r="O93" s="192"/>
      <c r="P93" s="192"/>
      <c r="Q93" s="192"/>
      <c r="R93" s="192"/>
      <c r="T93" s="98">
        <f t="shared" si="1"/>
        <v>15</v>
      </c>
      <c r="V93" s="99" t="s">
        <v>141</v>
      </c>
      <c r="Y93" s="147"/>
      <c r="Z93" s="1"/>
      <c r="AA93" s="106">
        <f t="shared" si="2"/>
        <v>238242353</v>
      </c>
      <c r="AB93" s="106"/>
      <c r="AC93" s="189">
        <f>INPUT!C53</f>
        <v>6.3056000000000001E-2</v>
      </c>
      <c r="AD93" s="188"/>
      <c r="AE93" s="106">
        <f>ROUND((AA93*AC93),0)-AM93</f>
        <v>15022610</v>
      </c>
      <c r="AF93" s="106"/>
      <c r="AG93" s="154">
        <f t="shared" si="3"/>
        <v>10.9</v>
      </c>
      <c r="AH93" s="175"/>
      <c r="AI93" s="106">
        <f>L37-AE93</f>
        <v>2366461</v>
      </c>
      <c r="AJ93" s="106"/>
      <c r="AK93" s="154">
        <f t="shared" si="4"/>
        <v>15.8</v>
      </c>
      <c r="AL93" s="138"/>
      <c r="AM93" s="147"/>
      <c r="AN93" s="147"/>
      <c r="AO93" s="106">
        <f>AE93+AM93</f>
        <v>15022610</v>
      </c>
      <c r="AP93" s="106"/>
      <c r="AQ93" s="159">
        <f t="shared" si="5"/>
        <v>15.8</v>
      </c>
      <c r="AT93" s="204">
        <f>AO93/SUM($AO$91:$AO$95)</f>
        <v>0.15443920300229463</v>
      </c>
    </row>
    <row r="94" spans="3:76" x14ac:dyDescent="0.3">
      <c r="C94" s="99"/>
      <c r="F94" s="110"/>
      <c r="H94" s="110"/>
      <c r="I94" s="110"/>
      <c r="J94" s="198"/>
      <c r="K94" s="198"/>
      <c r="L94" s="110"/>
      <c r="M94" s="110"/>
      <c r="N94" s="141"/>
      <c r="O94" s="141"/>
      <c r="P94" s="110"/>
      <c r="Q94" s="110"/>
      <c r="R94" s="110"/>
      <c r="T94" s="98">
        <f t="shared" si="1"/>
        <v>16</v>
      </c>
      <c r="V94" s="99" t="s">
        <v>360</v>
      </c>
      <c r="Y94" s="1"/>
      <c r="Z94" s="1"/>
      <c r="AA94" s="106">
        <f t="shared" si="2"/>
        <v>972296</v>
      </c>
      <c r="AB94" s="106"/>
      <c r="AC94" s="189">
        <f>INPUT!C58</f>
        <v>0.30729699999999999</v>
      </c>
      <c r="AD94" s="188"/>
      <c r="AE94" s="106">
        <f>ROUND((AA94*AC94),0)-AM94</f>
        <v>298784</v>
      </c>
      <c r="AF94" s="106"/>
      <c r="AG94" s="154">
        <f t="shared" si="3"/>
        <v>0.2</v>
      </c>
      <c r="AH94" s="175"/>
      <c r="AI94" s="106">
        <f>L38-AE94</f>
        <v>47075</v>
      </c>
      <c r="AJ94" s="106"/>
      <c r="AK94" s="154">
        <f t="shared" si="4"/>
        <v>15.8</v>
      </c>
      <c r="AL94" s="138"/>
      <c r="AM94" s="147"/>
      <c r="AN94" s="147"/>
      <c r="AO94" s="106">
        <f>AE94+AM94</f>
        <v>298784</v>
      </c>
      <c r="AP94" s="106"/>
      <c r="AQ94" s="159">
        <f t="shared" si="5"/>
        <v>15.8</v>
      </c>
      <c r="AT94" s="204">
        <f>AO94/SUM($AO$91:$AO$95)</f>
        <v>3.0716342120202548E-3</v>
      </c>
    </row>
    <row r="95" spans="3:76" ht="16.2" thickBot="1" x14ac:dyDescent="0.35">
      <c r="C95" s="99"/>
      <c r="F95" s="110"/>
      <c r="H95" s="110"/>
      <c r="I95" s="110"/>
      <c r="J95" s="198"/>
      <c r="K95" s="198"/>
      <c r="L95" s="110"/>
      <c r="M95" s="110"/>
      <c r="N95" s="141"/>
      <c r="O95" s="141"/>
      <c r="P95" s="110"/>
      <c r="Q95" s="110"/>
      <c r="R95" s="110"/>
      <c r="T95" s="98">
        <f t="shared" si="1"/>
        <v>17</v>
      </c>
      <c r="V95" s="99" t="s">
        <v>361</v>
      </c>
      <c r="Y95" s="1"/>
      <c r="Z95" s="1"/>
      <c r="AA95" s="106">
        <f t="shared" si="2"/>
        <v>68532</v>
      </c>
      <c r="AB95" s="106"/>
      <c r="AC95" s="189">
        <f>INPUT!C59</f>
        <v>0.18865199999999999</v>
      </c>
      <c r="AD95" s="188"/>
      <c r="AE95" s="106">
        <f>ROUND((AA95*AC95),0)-AM95</f>
        <v>12929</v>
      </c>
      <c r="AF95" s="106"/>
      <c r="AG95" s="154">
        <f t="shared" si="3"/>
        <v>0</v>
      </c>
      <c r="AH95" s="175"/>
      <c r="AI95" s="106">
        <f>L39-AE95</f>
        <v>2037</v>
      </c>
      <c r="AJ95" s="106"/>
      <c r="AK95" s="156">
        <f t="shared" si="4"/>
        <v>15.8</v>
      </c>
      <c r="AL95" s="138"/>
      <c r="AM95" s="147"/>
      <c r="AN95" s="147"/>
      <c r="AO95" s="106">
        <f>AE95+AM95</f>
        <v>12929</v>
      </c>
      <c r="AP95" s="106"/>
      <c r="AQ95" s="200">
        <f t="shared" si="5"/>
        <v>15.8</v>
      </c>
      <c r="AT95" s="205">
        <f>AO95/SUM($AO$91:$AO$95)</f>
        <v>1.3291594840155388E-4</v>
      </c>
    </row>
    <row r="96" spans="3:76" ht="20.100000000000001" customHeight="1" x14ac:dyDescent="0.3">
      <c r="F96" s="110"/>
      <c r="H96" s="110"/>
      <c r="I96" s="110"/>
      <c r="J96" s="198"/>
      <c r="K96" s="198"/>
      <c r="L96" s="110"/>
      <c r="M96" s="110"/>
      <c r="N96" s="110"/>
      <c r="O96" s="110"/>
      <c r="P96" s="110"/>
      <c r="Q96" s="110"/>
      <c r="R96" s="110"/>
      <c r="T96" s="98">
        <f t="shared" si="1"/>
        <v>18</v>
      </c>
      <c r="V96" s="124" t="s">
        <v>142</v>
      </c>
      <c r="Y96" s="106"/>
      <c r="Z96" s="1"/>
      <c r="AA96" s="112">
        <f t="shared" si="2"/>
        <v>1142579183.1479995</v>
      </c>
      <c r="AB96" s="106"/>
      <c r="AC96" s="196"/>
      <c r="AD96" s="136"/>
      <c r="AE96" s="112">
        <f>SUM(AE91:AE95)</f>
        <v>97271999</v>
      </c>
      <c r="AF96" s="106"/>
      <c r="AG96" s="158">
        <f t="shared" si="3"/>
        <v>70.7</v>
      </c>
      <c r="AH96" s="175"/>
      <c r="AI96" s="112">
        <f>SUM(AI91:AI95)</f>
        <v>15325690</v>
      </c>
      <c r="AJ96" s="106"/>
      <c r="AK96" s="158">
        <f t="shared" si="4"/>
        <v>15.8</v>
      </c>
      <c r="AL96" s="138"/>
      <c r="AM96" s="112"/>
      <c r="AN96" s="106"/>
      <c r="AO96" s="112">
        <f>SUM(AO91:AO95)</f>
        <v>97271999</v>
      </c>
      <c r="AP96" s="106"/>
      <c r="AQ96" s="201">
        <f t="shared" si="5"/>
        <v>15.8</v>
      </c>
      <c r="AT96" s="98">
        <f>AO96/(AO96+AO88)</f>
        <v>0.76852622303828666</v>
      </c>
    </row>
    <row r="97" spans="6:43" ht="20.100000000000001" customHeight="1" x14ac:dyDescent="0.3">
      <c r="F97" s="110"/>
      <c r="H97" s="110"/>
      <c r="I97" s="110"/>
      <c r="J97" s="198"/>
      <c r="K97" s="198"/>
      <c r="L97" s="110"/>
      <c r="M97" s="110"/>
      <c r="N97" s="110"/>
      <c r="O97" s="110"/>
      <c r="P97" s="110"/>
      <c r="Q97" s="110"/>
      <c r="R97" s="110"/>
      <c r="T97" s="98">
        <f t="shared" si="1"/>
        <v>19</v>
      </c>
      <c r="V97" s="124" t="s">
        <v>435</v>
      </c>
      <c r="Y97" s="117">
        <f>Y83</f>
        <v>159778</v>
      </c>
      <c r="Z97" s="1"/>
      <c r="AA97" s="112">
        <f>AA96</f>
        <v>1142579183.1479995</v>
      </c>
      <c r="AB97" s="106"/>
      <c r="AC97" s="196"/>
      <c r="AD97" s="136"/>
      <c r="AE97" s="112">
        <f>AE83+AE88+AE96</f>
        <v>130138765</v>
      </c>
      <c r="AF97" s="106"/>
      <c r="AG97" s="158">
        <f t="shared" si="3"/>
        <v>94.6</v>
      </c>
      <c r="AH97" s="175"/>
      <c r="AI97" s="112">
        <f>L41-AE97</f>
        <v>19934289</v>
      </c>
      <c r="AJ97" s="106"/>
      <c r="AK97" s="158">
        <f t="shared" si="4"/>
        <v>15.3</v>
      </c>
      <c r="AL97" s="138"/>
      <c r="AM97" s="112"/>
      <c r="AN97" s="106"/>
      <c r="AO97" s="112">
        <f>AO83+AO88+AO96</f>
        <v>130138765</v>
      </c>
      <c r="AP97" s="106"/>
      <c r="AQ97" s="158">
        <f t="shared" si="5"/>
        <v>15.3</v>
      </c>
    </row>
    <row r="98" spans="6:43" x14ac:dyDescent="0.3">
      <c r="F98" s="110"/>
      <c r="H98" s="110"/>
      <c r="I98" s="110"/>
      <c r="J98" s="198"/>
      <c r="K98" s="198"/>
      <c r="L98" s="110"/>
      <c r="M98" s="110"/>
      <c r="N98" s="110"/>
      <c r="O98" s="110"/>
      <c r="P98" s="110"/>
      <c r="Q98" s="110"/>
      <c r="R98" s="110"/>
      <c r="V98" s="99"/>
      <c r="Y98" s="106"/>
      <c r="Z98" s="1"/>
      <c r="AA98" s="106"/>
      <c r="AB98" s="106"/>
      <c r="AC98" s="196"/>
      <c r="AD98" s="136"/>
      <c r="AE98" s="106"/>
      <c r="AF98" s="106"/>
      <c r="AG98" s="154"/>
      <c r="AH98" s="175"/>
      <c r="AI98" s="106"/>
      <c r="AJ98" s="106"/>
      <c r="AK98" s="154"/>
      <c r="AL98" s="138"/>
      <c r="AM98" s="106"/>
      <c r="AN98" s="106"/>
      <c r="AO98" s="106"/>
      <c r="AP98" s="106"/>
      <c r="AQ98" s="154"/>
    </row>
    <row r="99" spans="6:43" x14ac:dyDescent="0.3">
      <c r="F99" s="110"/>
      <c r="H99" s="110"/>
      <c r="I99" s="110"/>
      <c r="J99" s="198"/>
      <c r="K99" s="198"/>
      <c r="L99" s="110"/>
      <c r="M99" s="110"/>
      <c r="N99" s="110"/>
      <c r="O99" s="110"/>
      <c r="P99" s="110"/>
      <c r="Q99" s="110"/>
      <c r="R99" s="110"/>
      <c r="T99" s="98">
        <f t="shared" ref="T99:T104" si="6">A43</f>
        <v>20</v>
      </c>
      <c r="V99" s="124" t="s">
        <v>428</v>
      </c>
      <c r="Y99" s="106"/>
      <c r="Z99" s="1"/>
      <c r="AA99" s="106"/>
      <c r="AB99" s="106"/>
      <c r="AC99" s="196"/>
      <c r="AD99" s="136"/>
      <c r="AE99" s="106"/>
      <c r="AF99" s="106"/>
      <c r="AG99" s="154"/>
      <c r="AH99" s="175"/>
      <c r="AI99" s="106"/>
      <c r="AJ99" s="106"/>
      <c r="AK99" s="154"/>
      <c r="AL99" s="138"/>
      <c r="AM99" s="106"/>
      <c r="AN99" s="106"/>
      <c r="AO99" s="106"/>
      <c r="AP99" s="106"/>
      <c r="AQ99" s="154"/>
    </row>
    <row r="100" spans="6:43" x14ac:dyDescent="0.3">
      <c r="F100" s="110"/>
      <c r="H100" s="110"/>
      <c r="I100" s="110"/>
      <c r="J100" s="198"/>
      <c r="K100" s="198"/>
      <c r="L100" s="110"/>
      <c r="M100" s="110"/>
      <c r="N100" s="110"/>
      <c r="O100" s="110"/>
      <c r="P100" s="110"/>
      <c r="Q100" s="110"/>
      <c r="R100" s="110"/>
      <c r="T100" s="98">
        <f t="shared" si="6"/>
        <v>21</v>
      </c>
      <c r="V100" s="176" t="str">
        <f>C44</f>
        <v>DEMAND SIDE MANAGEMENT RIDER (DSMR)</v>
      </c>
      <c r="Y100" s="106"/>
      <c r="Z100" s="1"/>
      <c r="AA100" s="106"/>
      <c r="AB100" s="106"/>
      <c r="AC100" s="218">
        <f>DSM_DIST</f>
        <v>3.503E-3</v>
      </c>
      <c r="AD100" s="136"/>
      <c r="AE100" s="106">
        <f>ROUND($AA$96*AC100,0)</f>
        <v>4002455</v>
      </c>
      <c r="AF100" s="106"/>
      <c r="AG100" s="154">
        <f>ROUND((AE100/AE$106)*100,1)</f>
        <v>2.9</v>
      </c>
      <c r="AH100" s="175"/>
      <c r="AI100" s="106">
        <f>L44-AE100</f>
        <v>0</v>
      </c>
      <c r="AJ100" s="106"/>
      <c r="AK100" s="154">
        <f>IFERROR(ROUND((AI100/AE100)*100,1),0)</f>
        <v>0</v>
      </c>
      <c r="AL100" s="138"/>
      <c r="AM100" s="106"/>
      <c r="AN100" s="106"/>
      <c r="AO100" s="106">
        <f>AE100+AM100</f>
        <v>4002455</v>
      </c>
      <c r="AP100" s="106"/>
      <c r="AQ100" s="159">
        <f t="shared" si="5"/>
        <v>0</v>
      </c>
    </row>
    <row r="101" spans="6:43" x14ac:dyDescent="0.3">
      <c r="F101" s="110"/>
      <c r="H101" s="110"/>
      <c r="I101" s="110"/>
      <c r="J101" s="198"/>
      <c r="K101" s="198"/>
      <c r="L101" s="110"/>
      <c r="M101" s="110"/>
      <c r="N101" s="110"/>
      <c r="O101" s="110"/>
      <c r="P101" s="110"/>
      <c r="Q101" s="110"/>
      <c r="R101" s="110"/>
      <c r="T101" s="98">
        <f t="shared" si="6"/>
        <v>22</v>
      </c>
      <c r="V101" s="176" t="str">
        <f>C45</f>
        <v>ENVIRONMENTAL SURCHARGE MECHANISM RIDER (ESM)</v>
      </c>
      <c r="Y101" s="106"/>
      <c r="Z101" s="1"/>
      <c r="AA101" s="106"/>
      <c r="AB101" s="106"/>
      <c r="AC101" s="223">
        <f>CUR_ESM_NonRes</f>
        <v>6.3863133253205971E-3</v>
      </c>
      <c r="AD101" s="136"/>
      <c r="AE101" s="106">
        <f>ROUND((AO97-(CUR_BASE_FUEL*AA97)+AO100+AO103)*AC101,0)</f>
        <v>628239</v>
      </c>
      <c r="AF101" s="106"/>
      <c r="AG101" s="154">
        <f>ROUND((AE101/AE$106)*100,1)</f>
        <v>0.5</v>
      </c>
      <c r="AH101" s="175"/>
      <c r="AI101" s="106">
        <f>L45-AE101</f>
        <v>6855</v>
      </c>
      <c r="AJ101" s="106"/>
      <c r="AK101" s="154">
        <f>IFERROR(ROUND((AI101/AE101)*100,1),0)</f>
        <v>1.1000000000000001</v>
      </c>
      <c r="AL101" s="138"/>
      <c r="AM101" s="106"/>
      <c r="AN101" s="106"/>
      <c r="AO101" s="106">
        <f>AE101+AM101</f>
        <v>628239</v>
      </c>
      <c r="AP101" s="106"/>
      <c r="AQ101" s="159">
        <f>IF(AO101=0,"0.0 ",ROUND((AI101/AO101)*100,1))</f>
        <v>1.1000000000000001</v>
      </c>
    </row>
    <row r="102" spans="6:43" x14ac:dyDescent="0.3">
      <c r="F102" s="110"/>
      <c r="H102" s="110"/>
      <c r="I102" s="110"/>
      <c r="J102" s="198"/>
      <c r="K102" s="198"/>
      <c r="L102" s="110"/>
      <c r="M102" s="110"/>
      <c r="N102" s="110"/>
      <c r="O102" s="110"/>
      <c r="P102" s="110"/>
      <c r="Q102" s="110"/>
      <c r="R102" s="110"/>
      <c r="T102" s="98">
        <f t="shared" si="6"/>
        <v>23</v>
      </c>
      <c r="V102" s="176" t="str">
        <f>C46</f>
        <v>FUEL ADJUSTMENT CLAUSE (FAC)</v>
      </c>
      <c r="Y102" s="106"/>
      <c r="Z102" s="1"/>
      <c r="AA102" s="106"/>
      <c r="AB102" s="106"/>
      <c r="AC102" s="218">
        <f>CUR_FAC</f>
        <v>3.4872127999999998E-3</v>
      </c>
      <c r="AD102" s="136"/>
      <c r="AE102" s="106"/>
      <c r="AF102" s="106"/>
      <c r="AG102" s="154"/>
      <c r="AH102" s="175"/>
      <c r="AI102" s="106"/>
      <c r="AJ102" s="106"/>
      <c r="AK102" s="154"/>
      <c r="AL102" s="138"/>
      <c r="AM102" s="106">
        <f>ROUND(AA96*CUR_FAC,0)</f>
        <v>3984417</v>
      </c>
      <c r="AN102" s="106"/>
      <c r="AO102" s="106">
        <f>AE102+AM102</f>
        <v>3984417</v>
      </c>
      <c r="AP102" s="106"/>
      <c r="AQ102" s="159">
        <f>IF(AO102=0,"0.0 ",ROUND(((R46-AO102)/AO102)*100,1))</f>
        <v>0</v>
      </c>
    </row>
    <row r="103" spans="6:43" x14ac:dyDescent="0.3">
      <c r="F103" s="110"/>
      <c r="H103" s="110"/>
      <c r="I103" s="110"/>
      <c r="J103" s="198"/>
      <c r="K103" s="198"/>
      <c r="L103" s="110"/>
      <c r="M103" s="110"/>
      <c r="N103" s="110"/>
      <c r="O103" s="110"/>
      <c r="P103" s="110"/>
      <c r="Q103" s="110"/>
      <c r="R103" s="110"/>
      <c r="T103" s="98">
        <f t="shared" si="6"/>
        <v>24</v>
      </c>
      <c r="V103" s="176" t="str">
        <f>C47</f>
        <v>PROFIT SHARING MECHANISM (PSM)</v>
      </c>
      <c r="Y103" s="106"/>
      <c r="Z103" s="1"/>
      <c r="AA103" s="106"/>
      <c r="AB103" s="106"/>
      <c r="AC103" s="218">
        <f>RS_PSM</f>
        <v>2.4750000000000002E-3</v>
      </c>
      <c r="AD103" s="136"/>
      <c r="AE103" s="117">
        <f>ROUND(AA96*AC103,0)</f>
        <v>2827883</v>
      </c>
      <c r="AF103" s="106"/>
      <c r="AG103" s="156">
        <f>ROUND((AE103/AE$106)*100,1)</f>
        <v>2.1</v>
      </c>
      <c r="AH103" s="175"/>
      <c r="AI103" s="117">
        <f>L47-AE103</f>
        <v>0</v>
      </c>
      <c r="AJ103" s="106"/>
      <c r="AK103" s="154">
        <f>IFERROR(ROUND((AI103/AE103)*100,1),0)</f>
        <v>0</v>
      </c>
      <c r="AL103" s="138"/>
      <c r="AM103" s="117"/>
      <c r="AN103" s="106"/>
      <c r="AO103" s="117">
        <f>AE103+AM103</f>
        <v>2827883</v>
      </c>
      <c r="AP103" s="106"/>
      <c r="AQ103" s="200">
        <f t="shared" si="5"/>
        <v>0</v>
      </c>
    </row>
    <row r="104" spans="6:43" ht="20.100000000000001" customHeight="1" x14ac:dyDescent="0.3">
      <c r="F104" s="110"/>
      <c r="H104" s="110"/>
      <c r="I104" s="110"/>
      <c r="J104" s="198"/>
      <c r="K104" s="198"/>
      <c r="L104" s="110"/>
      <c r="M104" s="110"/>
      <c r="N104" s="110"/>
      <c r="O104" s="110"/>
      <c r="P104" s="110"/>
      <c r="Q104" s="110"/>
      <c r="R104" s="110"/>
      <c r="T104" s="98">
        <f t="shared" si="6"/>
        <v>25</v>
      </c>
      <c r="V104" s="124" t="s">
        <v>433</v>
      </c>
      <c r="Y104" s="117"/>
      <c r="Z104" s="1"/>
      <c r="AA104" s="117"/>
      <c r="AB104" s="106"/>
      <c r="AC104" s="136"/>
      <c r="AD104" s="136"/>
      <c r="AE104" s="112">
        <f>SUM(AE100:AE103)</f>
        <v>7458577</v>
      </c>
      <c r="AF104" s="106"/>
      <c r="AG104" s="158">
        <f>ROUND((AE104/AE$106)*100,1)</f>
        <v>5.4</v>
      </c>
      <c r="AH104" s="175"/>
      <c r="AI104" s="112">
        <f>SUM(AI100:AI103)</f>
        <v>6855</v>
      </c>
      <c r="AJ104" s="106"/>
      <c r="AK104" s="158">
        <v>0</v>
      </c>
      <c r="AL104" s="138"/>
      <c r="AM104" s="112">
        <f>AM102</f>
        <v>3984417</v>
      </c>
      <c r="AN104" s="106"/>
      <c r="AO104" s="112">
        <f>SUM(AO100:AO103)</f>
        <v>11442994</v>
      </c>
      <c r="AP104" s="106"/>
      <c r="AQ104" s="201">
        <f t="shared" si="5"/>
        <v>0.1</v>
      </c>
    </row>
    <row r="105" spans="6:43" x14ac:dyDescent="0.3">
      <c r="F105" s="110"/>
      <c r="H105" s="110"/>
      <c r="I105" s="110"/>
      <c r="J105" s="198"/>
      <c r="K105" s="198"/>
      <c r="L105" s="110"/>
      <c r="M105" s="110"/>
      <c r="N105" s="110"/>
      <c r="O105" s="110"/>
      <c r="P105" s="110"/>
      <c r="Q105" s="110"/>
      <c r="R105" s="110"/>
      <c r="V105" s="99"/>
      <c r="Y105" s="106"/>
      <c r="Z105" s="1"/>
      <c r="AA105" s="106"/>
      <c r="AB105" s="106"/>
      <c r="AC105" s="136"/>
      <c r="AD105" s="136"/>
      <c r="AE105" s="106"/>
      <c r="AF105" s="106"/>
      <c r="AG105" s="154"/>
      <c r="AH105" s="175"/>
      <c r="AI105" s="106"/>
      <c r="AJ105" s="106"/>
      <c r="AK105" s="154"/>
      <c r="AL105" s="138"/>
      <c r="AM105" s="106"/>
      <c r="AN105" s="106"/>
      <c r="AO105" s="106"/>
      <c r="AP105" s="106"/>
      <c r="AQ105" s="154"/>
    </row>
    <row r="106" spans="6:43" ht="20.100000000000001" customHeight="1" thickBot="1" x14ac:dyDescent="0.35">
      <c r="T106" s="98">
        <f>A50</f>
        <v>26</v>
      </c>
      <c r="V106" s="169" t="s">
        <v>436</v>
      </c>
      <c r="Y106" s="120">
        <f>F50</f>
        <v>159778</v>
      </c>
      <c r="Z106" s="1"/>
      <c r="AA106" s="120">
        <f>H50</f>
        <v>1142579183.1479995</v>
      </c>
      <c r="AB106" s="106"/>
      <c r="AC106" s="136"/>
      <c r="AD106" s="136"/>
      <c r="AE106" s="120">
        <f>AE97+AE104</f>
        <v>137597342</v>
      </c>
      <c r="AF106" s="106"/>
      <c r="AG106" s="162">
        <v>100</v>
      </c>
      <c r="AH106" s="175"/>
      <c r="AI106" s="120">
        <f>AI97+AI104</f>
        <v>19941144</v>
      </c>
      <c r="AJ106" s="106"/>
      <c r="AK106" s="162">
        <f>ROUND((AI106/AE106)*100,1)</f>
        <v>14.5</v>
      </c>
      <c r="AL106" s="138"/>
      <c r="AM106" s="120">
        <f>AM97+AM104</f>
        <v>3984417</v>
      </c>
      <c r="AN106" s="106"/>
      <c r="AO106" s="120">
        <f>AO97+AO104</f>
        <v>141581759</v>
      </c>
      <c r="AP106" s="106"/>
      <c r="AQ106" s="206">
        <f>IF(AO106=0,"0.0 ",ROUND((AI106/AO106)*100,1))</f>
        <v>14.1</v>
      </c>
    </row>
    <row r="107" spans="6:43" ht="15.75" customHeight="1" thickTop="1" x14ac:dyDescent="0.3">
      <c r="Y107" s="106"/>
      <c r="Z107" s="1"/>
      <c r="AA107" s="106"/>
      <c r="AB107" s="106"/>
      <c r="AC107" s="136"/>
      <c r="AD107" s="136"/>
      <c r="AE107" s="106"/>
      <c r="AF107" s="106"/>
      <c r="AG107" s="154"/>
      <c r="AH107" s="106"/>
      <c r="AI107" s="1"/>
      <c r="AJ107" s="1"/>
      <c r="AK107" s="154"/>
      <c r="AL107" s="1"/>
      <c r="AM107" s="1"/>
      <c r="AN107" s="1"/>
      <c r="AO107" s="1"/>
      <c r="AP107" s="1"/>
      <c r="AQ107" s="154"/>
    </row>
    <row r="108" spans="6:43" x14ac:dyDescent="0.3">
      <c r="L108" s="110"/>
      <c r="M108" s="110"/>
      <c r="N108" s="110"/>
      <c r="O108" s="110"/>
      <c r="P108" s="110"/>
      <c r="Q108" s="110"/>
      <c r="R108" s="110"/>
      <c r="V108" s="178" t="s">
        <v>59</v>
      </c>
      <c r="Y108" s="110"/>
      <c r="AA108" s="110"/>
      <c r="AB108" s="110"/>
      <c r="AC108" s="198"/>
      <c r="AD108" s="198"/>
      <c r="AE108" s="110"/>
      <c r="AF108" s="110"/>
      <c r="AH108" s="110"/>
    </row>
    <row r="109" spans="6:43" x14ac:dyDescent="0.3">
      <c r="T109" s="99"/>
      <c r="V109" s="178" t="str">
        <f>"(2) REFLECTS FUEL COMPONENT OF "&amp;TEXT(CUR_FAC,"$0.000000;($0.000000)")&amp;"  PER KWH."</f>
        <v>(2) REFLECTS FUEL COMPONENT OF $0.003487  PER KWH.</v>
      </c>
      <c r="Y109" s="110"/>
      <c r="AA109" s="110"/>
      <c r="AB109" s="110"/>
      <c r="AC109" s="198"/>
      <c r="AD109" s="198"/>
      <c r="AE109" s="110"/>
      <c r="AF109" s="110"/>
      <c r="AH109" s="110"/>
    </row>
    <row r="110" spans="6:43" x14ac:dyDescent="0.3">
      <c r="V110" s="178" t="str">
        <f>"(3) REFLECTS FUEL COST RECOVERY INCLUDED IN BASE RATES OF "&amp;TEXT(CUR_BASE_FUEL,"$0.000000;($0.000000)")&amp;"  PER KWH."</f>
        <v>(3) REFLECTS FUEL COST RECOVERY INCLUDED IN BASE RATES OF $0.033780  PER KWH.</v>
      </c>
    </row>
    <row r="111" spans="6:43" x14ac:dyDescent="0.3">
      <c r="H111" s="99"/>
      <c r="I111" s="99"/>
      <c r="Y111" s="99"/>
    </row>
    <row r="113" spans="1:40" x14ac:dyDescent="0.3">
      <c r="L113" s="99"/>
      <c r="M113" s="99"/>
      <c r="AA113" s="99"/>
      <c r="AB113" s="99"/>
    </row>
    <row r="114" spans="1:40" x14ac:dyDescent="0.3">
      <c r="R114" s="99"/>
      <c r="AK114" s="190"/>
      <c r="AL114" s="99"/>
    </row>
    <row r="115" spans="1:40" x14ac:dyDescent="0.3">
      <c r="R115" s="99"/>
      <c r="AK115" s="190"/>
      <c r="AL115" s="99"/>
    </row>
    <row r="116" spans="1:40" x14ac:dyDescent="0.3">
      <c r="A116" s="99"/>
      <c r="R116" s="99"/>
      <c r="AK116" s="190"/>
      <c r="AL116" s="99"/>
    </row>
    <row r="117" spans="1:40" x14ac:dyDescent="0.3">
      <c r="L117" s="99"/>
      <c r="M117" s="99"/>
      <c r="AA117" s="99"/>
      <c r="AB117" s="99"/>
    </row>
    <row r="118" spans="1:40" x14ac:dyDescent="0.3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91"/>
      <c r="AH118" s="101"/>
      <c r="AI118" s="101"/>
      <c r="AJ118" s="101"/>
      <c r="AK118" s="191"/>
      <c r="AL118" s="101"/>
      <c r="AM118" s="101"/>
      <c r="AN118" s="101"/>
    </row>
    <row r="119" spans="1:40" x14ac:dyDescent="0.3">
      <c r="L119" s="102"/>
      <c r="M119" s="102"/>
      <c r="N119" s="102"/>
      <c r="O119" s="102"/>
      <c r="R119" s="102"/>
      <c r="AA119" s="102"/>
      <c r="AB119" s="102"/>
      <c r="AC119" s="102"/>
      <c r="AD119" s="102"/>
      <c r="AE119" s="102"/>
      <c r="AF119" s="102"/>
      <c r="AG119" s="151"/>
      <c r="AH119" s="102"/>
      <c r="AK119" s="151"/>
      <c r="AL119" s="102"/>
      <c r="AM119" s="102"/>
      <c r="AN119" s="102"/>
    </row>
    <row r="120" spans="1:40" x14ac:dyDescent="0.3">
      <c r="L120" s="102"/>
      <c r="M120" s="102"/>
      <c r="N120" s="102"/>
      <c r="O120" s="102"/>
      <c r="R120" s="102"/>
      <c r="Z120" s="102"/>
      <c r="AA120" s="102"/>
      <c r="AB120" s="102"/>
      <c r="AC120" s="102"/>
      <c r="AD120" s="102"/>
      <c r="AE120" s="102"/>
      <c r="AF120" s="102"/>
      <c r="AG120" s="151"/>
      <c r="AH120" s="102"/>
      <c r="AK120" s="151"/>
      <c r="AL120" s="102"/>
      <c r="AM120" s="102"/>
      <c r="AN120" s="102"/>
    </row>
    <row r="121" spans="1:40" x14ac:dyDescent="0.3">
      <c r="A121" s="102"/>
      <c r="C121" s="102"/>
      <c r="D121" s="102"/>
      <c r="E121" s="102"/>
      <c r="F121" s="102"/>
      <c r="J121" s="102"/>
      <c r="K121" s="102"/>
      <c r="L121" s="102"/>
      <c r="M121" s="102"/>
      <c r="N121" s="102"/>
      <c r="O121" s="102"/>
      <c r="P121" s="102"/>
      <c r="Q121" s="102"/>
      <c r="R121" s="102"/>
      <c r="T121" s="102"/>
      <c r="U121" s="102"/>
      <c r="V121" s="102"/>
      <c r="Z121" s="102"/>
      <c r="AA121" s="102"/>
      <c r="AB121" s="102"/>
      <c r="AC121" s="102"/>
      <c r="AD121" s="102"/>
      <c r="AE121" s="102"/>
      <c r="AF121" s="102"/>
      <c r="AG121" s="151"/>
      <c r="AH121" s="102"/>
      <c r="AI121" s="102"/>
      <c r="AJ121" s="102"/>
      <c r="AK121" s="151"/>
      <c r="AL121" s="102"/>
      <c r="AM121" s="102"/>
      <c r="AN121" s="102"/>
    </row>
    <row r="122" spans="1:40" x14ac:dyDescent="0.3">
      <c r="A122" s="102"/>
      <c r="C122" s="102"/>
      <c r="D122" s="102"/>
      <c r="E122" s="102"/>
      <c r="F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T122" s="102"/>
      <c r="U122" s="102"/>
      <c r="V122" s="102"/>
      <c r="Y122" s="102"/>
      <c r="Z122" s="102"/>
      <c r="AA122" s="102"/>
      <c r="AB122" s="102"/>
      <c r="AC122" s="102"/>
      <c r="AD122" s="102"/>
      <c r="AE122" s="102"/>
      <c r="AF122" s="102"/>
      <c r="AG122" s="151"/>
      <c r="AH122" s="102"/>
      <c r="AI122" s="102"/>
      <c r="AJ122" s="102"/>
      <c r="AK122" s="151"/>
      <c r="AL122" s="102"/>
      <c r="AM122" s="102"/>
      <c r="AN122" s="102"/>
    </row>
    <row r="123" spans="1:40" x14ac:dyDescent="0.3">
      <c r="C123" s="102"/>
      <c r="D123" s="102"/>
      <c r="E123" s="102"/>
      <c r="F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T123" s="102"/>
      <c r="U123" s="102"/>
      <c r="V123" s="102"/>
      <c r="Y123" s="102"/>
      <c r="Z123" s="102"/>
      <c r="AA123" s="102"/>
      <c r="AB123" s="102"/>
      <c r="AC123" s="102"/>
      <c r="AD123" s="102"/>
      <c r="AE123" s="102"/>
      <c r="AF123" s="102"/>
      <c r="AG123" s="151"/>
      <c r="AH123" s="102"/>
      <c r="AI123" s="102"/>
      <c r="AJ123" s="102"/>
      <c r="AK123" s="151"/>
      <c r="AL123" s="102"/>
      <c r="AM123" s="102"/>
      <c r="AN123" s="102"/>
    </row>
    <row r="124" spans="1:40" x14ac:dyDescent="0.3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91"/>
      <c r="AH124" s="101"/>
      <c r="AI124" s="101"/>
      <c r="AJ124" s="101"/>
      <c r="AK124" s="191"/>
      <c r="AL124" s="101"/>
      <c r="AM124" s="101"/>
      <c r="AN124" s="101"/>
    </row>
    <row r="125" spans="1:40" x14ac:dyDescent="0.3"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Y125" s="102"/>
      <c r="Z125" s="102"/>
      <c r="AA125" s="102"/>
      <c r="AB125" s="102"/>
      <c r="AC125" s="102"/>
      <c r="AD125" s="102"/>
      <c r="AE125" s="102"/>
      <c r="AF125" s="102"/>
      <c r="AG125" s="151"/>
      <c r="AH125" s="102"/>
      <c r="AI125" s="102"/>
      <c r="AJ125" s="102"/>
      <c r="AK125" s="151"/>
      <c r="AL125" s="102"/>
      <c r="AM125" s="102"/>
      <c r="AN125" s="102"/>
    </row>
    <row r="126" spans="1:40" x14ac:dyDescent="0.3">
      <c r="C126" s="99"/>
      <c r="D126" s="99"/>
      <c r="E126" s="99"/>
      <c r="T126" s="99"/>
      <c r="U126" s="99"/>
    </row>
    <row r="127" spans="1:40" x14ac:dyDescent="0.3">
      <c r="C127" s="99"/>
      <c r="T127" s="99"/>
    </row>
    <row r="129" spans="3:40" x14ac:dyDescent="0.3">
      <c r="C129" s="99"/>
      <c r="T129" s="99"/>
    </row>
    <row r="130" spans="3:40" x14ac:dyDescent="0.3">
      <c r="C130" s="99"/>
      <c r="F130" s="172"/>
      <c r="H130" s="172"/>
      <c r="I130" s="172"/>
      <c r="J130" s="181"/>
      <c r="K130" s="181"/>
      <c r="L130" s="110"/>
      <c r="M130" s="110"/>
      <c r="N130" s="141"/>
      <c r="O130" s="141"/>
      <c r="R130" s="110"/>
      <c r="T130" s="99"/>
      <c r="V130" s="110"/>
      <c r="Y130" s="172"/>
      <c r="Z130" s="181"/>
      <c r="AA130" s="110"/>
      <c r="AB130" s="110"/>
      <c r="AC130" s="141"/>
      <c r="AD130" s="141"/>
      <c r="AE130" s="110"/>
      <c r="AF130" s="110"/>
      <c r="AG130" s="224"/>
      <c r="AH130" s="225"/>
      <c r="AL130" s="110"/>
      <c r="AM130" s="226"/>
      <c r="AN130" s="226"/>
    </row>
    <row r="131" spans="3:40" x14ac:dyDescent="0.3">
      <c r="C131" s="99"/>
      <c r="F131" s="172"/>
      <c r="H131" s="172"/>
      <c r="I131" s="172"/>
      <c r="J131" s="181"/>
      <c r="K131" s="181"/>
      <c r="L131" s="110"/>
      <c r="M131" s="110"/>
      <c r="N131" s="141"/>
      <c r="O131" s="141"/>
      <c r="R131" s="110"/>
      <c r="T131" s="99"/>
      <c r="V131" s="110"/>
      <c r="Y131" s="172"/>
      <c r="Z131" s="181"/>
      <c r="AA131" s="110"/>
      <c r="AB131" s="110"/>
      <c r="AC131" s="141"/>
      <c r="AD131" s="141"/>
      <c r="AE131" s="110"/>
      <c r="AF131" s="110"/>
      <c r="AH131" s="207"/>
      <c r="AL131" s="110"/>
      <c r="AM131" s="141"/>
      <c r="AN131" s="141"/>
    </row>
    <row r="132" spans="3:40" x14ac:dyDescent="0.3">
      <c r="C132" s="99"/>
      <c r="F132" s="172"/>
      <c r="H132" s="172"/>
      <c r="I132" s="172"/>
      <c r="J132" s="181"/>
      <c r="K132" s="181"/>
      <c r="L132" s="110"/>
      <c r="M132" s="110"/>
      <c r="N132" s="141"/>
      <c r="O132" s="141"/>
      <c r="R132" s="110"/>
      <c r="T132" s="99"/>
      <c r="V132" s="110"/>
      <c r="Y132" s="172"/>
      <c r="Z132" s="181"/>
      <c r="AA132" s="110"/>
      <c r="AB132" s="110"/>
      <c r="AC132" s="141"/>
      <c r="AD132" s="141"/>
      <c r="AE132" s="110"/>
      <c r="AF132" s="110"/>
      <c r="AH132" s="207"/>
      <c r="AL132" s="110"/>
      <c r="AM132" s="141"/>
      <c r="AN132" s="141"/>
    </row>
    <row r="133" spans="3:40" x14ac:dyDescent="0.3">
      <c r="F133" s="192"/>
      <c r="H133" s="110"/>
      <c r="I133" s="110"/>
      <c r="J133" s="217"/>
      <c r="K133" s="217"/>
      <c r="L133" s="192"/>
      <c r="M133" s="192"/>
      <c r="N133" s="192"/>
      <c r="O133" s="192"/>
      <c r="P133" s="192"/>
      <c r="Q133" s="192"/>
      <c r="R133" s="192"/>
      <c r="V133" s="192"/>
      <c r="Y133" s="110"/>
      <c r="Z133" s="217"/>
      <c r="AA133" s="192"/>
      <c r="AB133" s="192"/>
      <c r="AC133" s="192"/>
      <c r="AD133" s="192"/>
      <c r="AE133" s="192"/>
      <c r="AF133" s="192"/>
      <c r="AI133" s="192"/>
      <c r="AJ133" s="192"/>
      <c r="AK133" s="194"/>
      <c r="AL133" s="192"/>
      <c r="AM133" s="141"/>
      <c r="AN133" s="141"/>
    </row>
    <row r="134" spans="3:40" x14ac:dyDescent="0.3">
      <c r="C134" s="99"/>
      <c r="F134" s="110"/>
      <c r="H134" s="110"/>
      <c r="I134" s="110"/>
      <c r="J134" s="217"/>
      <c r="K134" s="217"/>
      <c r="L134" s="110"/>
      <c r="M134" s="110"/>
      <c r="N134" s="141"/>
      <c r="O134" s="141"/>
      <c r="P134" s="110"/>
      <c r="Q134" s="110"/>
      <c r="R134" s="110"/>
      <c r="T134" s="99"/>
      <c r="V134" s="110"/>
      <c r="Y134" s="110"/>
      <c r="Z134" s="198"/>
      <c r="AA134" s="110"/>
      <c r="AB134" s="110"/>
      <c r="AC134" s="141"/>
      <c r="AD134" s="141"/>
      <c r="AE134" s="110"/>
      <c r="AF134" s="110"/>
      <c r="AH134" s="207"/>
      <c r="AI134" s="110"/>
      <c r="AJ134" s="110"/>
      <c r="AL134" s="110"/>
      <c r="AM134" s="141"/>
      <c r="AN134" s="141"/>
    </row>
    <row r="135" spans="3:40" x14ac:dyDescent="0.3">
      <c r="F135" s="192"/>
      <c r="H135" s="110"/>
      <c r="I135" s="110"/>
      <c r="J135" s="217"/>
      <c r="K135" s="217"/>
      <c r="L135" s="192"/>
      <c r="M135" s="192"/>
      <c r="N135" s="192"/>
      <c r="O135" s="192"/>
      <c r="P135" s="192"/>
      <c r="Q135" s="192"/>
      <c r="R135" s="192"/>
      <c r="V135" s="192"/>
      <c r="Y135" s="110"/>
      <c r="Z135" s="217"/>
      <c r="AA135" s="192"/>
      <c r="AB135" s="192"/>
      <c r="AC135" s="192"/>
      <c r="AD135" s="192"/>
      <c r="AE135" s="192"/>
      <c r="AF135" s="192"/>
      <c r="AI135" s="192"/>
      <c r="AJ135" s="192"/>
      <c r="AK135" s="194"/>
      <c r="AL135" s="192"/>
      <c r="AM135" s="141"/>
      <c r="AN135" s="141"/>
    </row>
    <row r="136" spans="3:40" x14ac:dyDescent="0.3">
      <c r="C136" s="99"/>
      <c r="F136" s="172"/>
      <c r="H136" s="172"/>
      <c r="I136" s="172"/>
      <c r="J136" s="227"/>
      <c r="K136" s="227"/>
      <c r="L136" s="110"/>
      <c r="M136" s="110"/>
      <c r="N136" s="141"/>
      <c r="O136" s="141"/>
      <c r="P136" s="110"/>
      <c r="Q136" s="110"/>
      <c r="R136" s="110"/>
      <c r="S136" s="110"/>
      <c r="T136" s="99"/>
      <c r="V136" s="172"/>
      <c r="Y136" s="172"/>
      <c r="Z136" s="227"/>
      <c r="AA136" s="110"/>
      <c r="AB136" s="110"/>
      <c r="AC136" s="141"/>
      <c r="AD136" s="141"/>
      <c r="AE136" s="110"/>
      <c r="AF136" s="110"/>
      <c r="AH136" s="141"/>
      <c r="AI136" s="110"/>
      <c r="AJ136" s="110"/>
      <c r="AL136" s="110"/>
      <c r="AM136" s="141"/>
      <c r="AN136" s="141"/>
    </row>
    <row r="137" spans="3:40" x14ac:dyDescent="0.3">
      <c r="C137" s="99"/>
      <c r="F137" s="172"/>
      <c r="H137" s="172"/>
      <c r="I137" s="172"/>
      <c r="J137" s="181"/>
      <c r="K137" s="181"/>
      <c r="L137" s="110"/>
      <c r="M137" s="110"/>
      <c r="N137" s="141"/>
      <c r="O137" s="141"/>
      <c r="P137" s="110"/>
      <c r="Q137" s="110"/>
      <c r="R137" s="110"/>
      <c r="T137" s="99"/>
      <c r="V137" s="172"/>
      <c r="Y137" s="110"/>
      <c r="Z137" s="181"/>
      <c r="AA137" s="110"/>
      <c r="AB137" s="110"/>
      <c r="AC137" s="141"/>
      <c r="AD137" s="141"/>
      <c r="AE137" s="110"/>
      <c r="AF137" s="110"/>
      <c r="AH137" s="207"/>
      <c r="AI137" s="110"/>
      <c r="AJ137" s="110"/>
      <c r="AL137" s="110"/>
      <c r="AM137" s="141"/>
      <c r="AN137" s="141"/>
    </row>
    <row r="138" spans="3:40" x14ac:dyDescent="0.3">
      <c r="C138" s="99"/>
      <c r="F138" s="172"/>
      <c r="H138" s="172"/>
      <c r="I138" s="172"/>
      <c r="J138" s="181"/>
      <c r="K138" s="181"/>
      <c r="L138" s="110"/>
      <c r="M138" s="110"/>
      <c r="N138" s="141"/>
      <c r="O138" s="141"/>
      <c r="P138" s="110"/>
      <c r="Q138" s="110"/>
      <c r="R138" s="110"/>
      <c r="T138" s="99"/>
      <c r="V138" s="172"/>
      <c r="Y138" s="110"/>
      <c r="Z138" s="181"/>
      <c r="AA138" s="110"/>
      <c r="AB138" s="110"/>
      <c r="AC138" s="141"/>
      <c r="AD138" s="141"/>
      <c r="AE138" s="110"/>
      <c r="AF138" s="110"/>
      <c r="AH138" s="207"/>
      <c r="AI138" s="110"/>
      <c r="AJ138" s="110"/>
      <c r="AL138" s="110"/>
      <c r="AM138" s="141"/>
      <c r="AN138" s="141"/>
    </row>
    <row r="139" spans="3:40" x14ac:dyDescent="0.3">
      <c r="F139" s="110"/>
      <c r="H139" s="192"/>
      <c r="I139" s="192"/>
      <c r="J139" s="217"/>
      <c r="K139" s="217"/>
      <c r="L139" s="192"/>
      <c r="M139" s="192"/>
      <c r="N139" s="192"/>
      <c r="O139" s="192"/>
      <c r="P139" s="192"/>
      <c r="Q139" s="192"/>
      <c r="R139" s="192"/>
      <c r="V139" s="110"/>
      <c r="Y139" s="192"/>
      <c r="Z139" s="217"/>
      <c r="AA139" s="192"/>
      <c r="AB139" s="192"/>
      <c r="AC139" s="192"/>
      <c r="AD139" s="192"/>
      <c r="AE139" s="192"/>
      <c r="AF139" s="192"/>
      <c r="AI139" s="192"/>
      <c r="AJ139" s="192"/>
      <c r="AK139" s="194"/>
      <c r="AL139" s="192"/>
      <c r="AM139" s="141"/>
      <c r="AN139" s="141"/>
    </row>
    <row r="140" spans="3:40" x14ac:dyDescent="0.3">
      <c r="C140" s="99"/>
      <c r="F140" s="110"/>
      <c r="H140" s="110"/>
      <c r="I140" s="110"/>
      <c r="J140" s="217"/>
      <c r="K140" s="217"/>
      <c r="L140" s="110"/>
      <c r="M140" s="110"/>
      <c r="N140" s="141"/>
      <c r="O140" s="141"/>
      <c r="P140" s="110"/>
      <c r="Q140" s="110"/>
      <c r="R140" s="110"/>
      <c r="T140" s="99"/>
      <c r="V140" s="110"/>
      <c r="Y140" s="110"/>
      <c r="Z140" s="217"/>
      <c r="AA140" s="110"/>
      <c r="AB140" s="110"/>
      <c r="AC140" s="141"/>
      <c r="AD140" s="141"/>
      <c r="AE140" s="110"/>
      <c r="AF140" s="110"/>
      <c r="AH140" s="207"/>
      <c r="AI140" s="110"/>
      <c r="AJ140" s="110"/>
      <c r="AL140" s="110"/>
      <c r="AM140" s="141"/>
      <c r="AN140" s="141"/>
    </row>
    <row r="141" spans="3:40" x14ac:dyDescent="0.3">
      <c r="F141" s="110"/>
      <c r="H141" s="192"/>
      <c r="I141" s="192"/>
      <c r="J141" s="217"/>
      <c r="K141" s="217"/>
      <c r="L141" s="192"/>
      <c r="M141" s="192"/>
      <c r="N141" s="192"/>
      <c r="O141" s="192"/>
      <c r="P141" s="192"/>
      <c r="Q141" s="192"/>
      <c r="R141" s="192"/>
      <c r="V141" s="110"/>
      <c r="Y141" s="192"/>
      <c r="Z141" s="217"/>
      <c r="AA141" s="192"/>
      <c r="AB141" s="192"/>
      <c r="AC141" s="192"/>
      <c r="AD141" s="192"/>
      <c r="AE141" s="192"/>
      <c r="AF141" s="192"/>
      <c r="AI141" s="192"/>
      <c r="AJ141" s="192"/>
      <c r="AK141" s="194"/>
      <c r="AL141" s="192"/>
      <c r="AM141" s="141"/>
      <c r="AN141" s="141"/>
    </row>
    <row r="142" spans="3:40" x14ac:dyDescent="0.3">
      <c r="C142" s="99"/>
      <c r="F142" s="110"/>
      <c r="H142" s="110"/>
      <c r="I142" s="110"/>
      <c r="J142" s="217"/>
      <c r="K142" s="217"/>
      <c r="L142" s="110"/>
      <c r="M142" s="110"/>
      <c r="N142" s="110"/>
      <c r="O142" s="110"/>
      <c r="P142" s="110"/>
      <c r="Q142" s="110"/>
      <c r="R142" s="110"/>
      <c r="T142" s="99"/>
      <c r="V142" s="110"/>
      <c r="Y142" s="110"/>
      <c r="Z142" s="217"/>
      <c r="AA142" s="110"/>
      <c r="AB142" s="110"/>
      <c r="AC142" s="110"/>
      <c r="AD142" s="110"/>
      <c r="AE142" s="110"/>
      <c r="AF142" s="110"/>
      <c r="AH142" s="207"/>
      <c r="AI142" s="110"/>
      <c r="AJ142" s="110"/>
      <c r="AL142" s="110"/>
      <c r="AM142" s="141"/>
      <c r="AN142" s="141"/>
    </row>
    <row r="143" spans="3:40" x14ac:dyDescent="0.3">
      <c r="C143" s="99"/>
      <c r="F143" s="110"/>
      <c r="H143" s="172"/>
      <c r="I143" s="172"/>
      <c r="J143" s="228"/>
      <c r="K143" s="228"/>
      <c r="L143" s="110"/>
      <c r="M143" s="110"/>
      <c r="N143" s="141"/>
      <c r="O143" s="141"/>
      <c r="P143" s="110"/>
      <c r="Q143" s="110"/>
      <c r="R143" s="110"/>
      <c r="T143" s="99"/>
      <c r="V143" s="110"/>
      <c r="Y143" s="110"/>
      <c r="Z143" s="228"/>
      <c r="AA143" s="110"/>
      <c r="AB143" s="110"/>
      <c r="AC143" s="141"/>
      <c r="AD143" s="141"/>
      <c r="AE143" s="110"/>
      <c r="AF143" s="110"/>
      <c r="AH143" s="207"/>
      <c r="AI143" s="110"/>
      <c r="AJ143" s="110"/>
      <c r="AL143" s="110"/>
      <c r="AM143" s="141"/>
      <c r="AN143" s="141"/>
    </row>
    <row r="144" spans="3:40" x14ac:dyDescent="0.3">
      <c r="C144" s="99"/>
      <c r="H144" s="172"/>
      <c r="I144" s="172"/>
      <c r="J144" s="228"/>
      <c r="K144" s="228"/>
      <c r="L144" s="110"/>
      <c r="M144" s="110"/>
      <c r="N144" s="141"/>
      <c r="O144" s="141"/>
      <c r="P144" s="110"/>
      <c r="Q144" s="110"/>
      <c r="R144" s="110"/>
      <c r="T144" s="99"/>
      <c r="Y144" s="110"/>
      <c r="Z144" s="228"/>
      <c r="AA144" s="110"/>
      <c r="AB144" s="110"/>
      <c r="AC144" s="141"/>
      <c r="AD144" s="141"/>
      <c r="AE144" s="110"/>
      <c r="AF144" s="110"/>
      <c r="AH144" s="207"/>
      <c r="AI144" s="110"/>
      <c r="AJ144" s="110"/>
      <c r="AL144" s="110"/>
      <c r="AM144" s="141"/>
      <c r="AN144" s="141"/>
    </row>
    <row r="145" spans="3:40" x14ac:dyDescent="0.3">
      <c r="F145" s="110"/>
      <c r="H145" s="110"/>
      <c r="I145" s="110"/>
      <c r="J145" s="217"/>
      <c r="K145" s="217"/>
      <c r="L145" s="192"/>
      <c r="M145" s="192"/>
      <c r="N145" s="192"/>
      <c r="O145" s="192"/>
      <c r="P145" s="192"/>
      <c r="Q145" s="192"/>
      <c r="R145" s="192"/>
      <c r="V145" s="110"/>
      <c r="Y145" s="110"/>
      <c r="Z145" s="217"/>
      <c r="AA145" s="192"/>
      <c r="AB145" s="192"/>
      <c r="AC145" s="192"/>
      <c r="AD145" s="192"/>
      <c r="AE145" s="192"/>
      <c r="AF145" s="192"/>
      <c r="AI145" s="192"/>
      <c r="AJ145" s="192"/>
      <c r="AK145" s="194"/>
      <c r="AL145" s="192"/>
      <c r="AM145" s="141"/>
      <c r="AN145" s="141"/>
    </row>
    <row r="146" spans="3:40" x14ac:dyDescent="0.3">
      <c r="C146" s="99"/>
      <c r="F146" s="110"/>
      <c r="H146" s="110"/>
      <c r="I146" s="110"/>
      <c r="J146" s="198"/>
      <c r="K146" s="198"/>
      <c r="L146" s="110"/>
      <c r="M146" s="110"/>
      <c r="N146" s="141"/>
      <c r="O146" s="141"/>
      <c r="P146" s="110"/>
      <c r="Q146" s="110"/>
      <c r="R146" s="110"/>
      <c r="T146" s="99"/>
      <c r="V146" s="110"/>
      <c r="Y146" s="110"/>
      <c r="Z146" s="198"/>
      <c r="AA146" s="110"/>
      <c r="AB146" s="110"/>
      <c r="AC146" s="141"/>
      <c r="AD146" s="141"/>
      <c r="AE146" s="110"/>
      <c r="AF146" s="110"/>
      <c r="AH146" s="207"/>
      <c r="AI146" s="110"/>
      <c r="AJ146" s="110"/>
      <c r="AL146" s="110"/>
      <c r="AM146" s="141"/>
      <c r="AN146" s="141"/>
    </row>
    <row r="147" spans="3:40" x14ac:dyDescent="0.3">
      <c r="F147" s="110"/>
      <c r="H147" s="110"/>
      <c r="I147" s="110"/>
      <c r="J147" s="217"/>
      <c r="K147" s="217"/>
      <c r="L147" s="192"/>
      <c r="M147" s="192"/>
      <c r="N147" s="192"/>
      <c r="O147" s="192"/>
      <c r="P147" s="192"/>
      <c r="Q147" s="192"/>
      <c r="R147" s="192"/>
      <c r="V147" s="110"/>
      <c r="Y147" s="110"/>
      <c r="Z147" s="217"/>
      <c r="AA147" s="192"/>
      <c r="AB147" s="192"/>
      <c r="AC147" s="192"/>
      <c r="AD147" s="192"/>
      <c r="AE147" s="192"/>
      <c r="AF147" s="192"/>
      <c r="AI147" s="192"/>
      <c r="AJ147" s="192"/>
      <c r="AK147" s="194"/>
      <c r="AL147" s="192"/>
      <c r="AM147" s="141"/>
      <c r="AN147" s="141"/>
    </row>
    <row r="148" spans="3:40" x14ac:dyDescent="0.3">
      <c r="C148" s="99"/>
      <c r="F148" s="110"/>
      <c r="H148" s="110"/>
      <c r="I148" s="110"/>
      <c r="J148" s="198"/>
      <c r="K148" s="198"/>
      <c r="L148" s="110"/>
      <c r="M148" s="110"/>
      <c r="N148" s="141"/>
      <c r="O148" s="141"/>
      <c r="P148" s="110"/>
      <c r="Q148" s="110"/>
      <c r="R148" s="110"/>
      <c r="T148" s="99"/>
      <c r="V148" s="110"/>
      <c r="Y148" s="110"/>
      <c r="Z148" s="198"/>
      <c r="AA148" s="110"/>
      <c r="AB148" s="110"/>
      <c r="AC148" s="141"/>
      <c r="AD148" s="141"/>
      <c r="AE148" s="110"/>
      <c r="AF148" s="110"/>
      <c r="AH148" s="207"/>
      <c r="AI148" s="110"/>
      <c r="AJ148" s="110"/>
      <c r="AL148" s="110"/>
      <c r="AM148" s="141"/>
      <c r="AN148" s="141"/>
    </row>
    <row r="149" spans="3:40" x14ac:dyDescent="0.3">
      <c r="C149" s="99"/>
      <c r="F149" s="110"/>
      <c r="H149" s="172"/>
      <c r="I149" s="172"/>
      <c r="J149" s="222"/>
      <c r="K149" s="222"/>
      <c r="L149" s="110"/>
      <c r="M149" s="110"/>
      <c r="N149" s="141"/>
      <c r="O149" s="141"/>
      <c r="P149" s="110"/>
      <c r="Q149" s="110"/>
      <c r="R149" s="110"/>
      <c r="T149" s="99"/>
      <c r="V149" s="172"/>
      <c r="Y149" s="110"/>
      <c r="Z149" s="222"/>
      <c r="AA149" s="110"/>
      <c r="AB149" s="110"/>
      <c r="AC149" s="141"/>
      <c r="AD149" s="141"/>
      <c r="AE149" s="110"/>
      <c r="AF149" s="110"/>
      <c r="AH149" s="207"/>
      <c r="AI149" s="110"/>
      <c r="AJ149" s="110"/>
      <c r="AL149" s="110"/>
      <c r="AM149" s="141"/>
      <c r="AN149" s="141"/>
    </row>
    <row r="150" spans="3:40" x14ac:dyDescent="0.3">
      <c r="F150" s="192"/>
      <c r="H150" s="192"/>
      <c r="I150" s="192"/>
      <c r="J150" s="217"/>
      <c r="K150" s="217"/>
      <c r="L150" s="192"/>
      <c r="M150" s="192"/>
      <c r="N150" s="192"/>
      <c r="O150" s="192"/>
      <c r="P150" s="192"/>
      <c r="Q150" s="192"/>
      <c r="R150" s="192"/>
      <c r="V150" s="192"/>
      <c r="Y150" s="192"/>
      <c r="Z150" s="217"/>
      <c r="AA150" s="192"/>
      <c r="AB150" s="192"/>
      <c r="AC150" s="192"/>
      <c r="AD150" s="192"/>
      <c r="AE150" s="192"/>
      <c r="AF150" s="192"/>
      <c r="AI150" s="192"/>
      <c r="AJ150" s="192"/>
      <c r="AK150" s="194"/>
      <c r="AL150" s="192"/>
      <c r="AM150" s="141"/>
      <c r="AN150" s="141"/>
    </row>
    <row r="151" spans="3:40" x14ac:dyDescent="0.3">
      <c r="C151" s="99"/>
      <c r="F151" s="110"/>
      <c r="H151" s="110"/>
      <c r="I151" s="110"/>
      <c r="J151" s="217"/>
      <c r="K151" s="217"/>
      <c r="L151" s="110"/>
      <c r="M151" s="110"/>
      <c r="N151" s="141"/>
      <c r="O151" s="141"/>
      <c r="P151" s="110"/>
      <c r="Q151" s="110"/>
      <c r="R151" s="110"/>
      <c r="S151" s="110"/>
      <c r="T151" s="99"/>
      <c r="V151" s="110"/>
      <c r="Y151" s="110"/>
      <c r="Z151" s="217"/>
      <c r="AA151" s="110"/>
      <c r="AB151" s="110"/>
      <c r="AC151" s="141"/>
      <c r="AD151" s="141"/>
      <c r="AE151" s="110"/>
      <c r="AF151" s="110"/>
      <c r="AH151" s="141"/>
      <c r="AI151" s="110"/>
      <c r="AJ151" s="110"/>
      <c r="AL151" s="110"/>
      <c r="AM151" s="141"/>
      <c r="AN151" s="141"/>
    </row>
    <row r="152" spans="3:40" x14ac:dyDescent="0.3">
      <c r="F152" s="192"/>
      <c r="H152" s="192"/>
      <c r="I152" s="192"/>
      <c r="J152" s="217"/>
      <c r="K152" s="217"/>
      <c r="L152" s="192"/>
      <c r="M152" s="192"/>
      <c r="N152" s="192"/>
      <c r="O152" s="192"/>
      <c r="P152" s="192"/>
      <c r="Q152" s="192"/>
      <c r="R152" s="192"/>
      <c r="S152" s="110"/>
      <c r="V152" s="192"/>
      <c r="Y152" s="192"/>
      <c r="Z152" s="217"/>
      <c r="AA152" s="192"/>
      <c r="AB152" s="192"/>
      <c r="AC152" s="192"/>
      <c r="AD152" s="192"/>
      <c r="AE152" s="192"/>
      <c r="AF152" s="192"/>
      <c r="AI152" s="192"/>
      <c r="AJ152" s="192"/>
      <c r="AK152" s="194"/>
      <c r="AL152" s="192"/>
      <c r="AM152" s="141"/>
      <c r="AN152" s="141"/>
    </row>
    <row r="153" spans="3:40" x14ac:dyDescent="0.3">
      <c r="C153" s="99"/>
      <c r="F153" s="172"/>
      <c r="H153" s="229"/>
      <c r="I153" s="229"/>
      <c r="J153" s="217"/>
      <c r="K153" s="217"/>
      <c r="L153" s="110"/>
      <c r="M153" s="110"/>
      <c r="N153" s="141"/>
      <c r="O153" s="141"/>
      <c r="P153" s="110"/>
      <c r="Q153" s="110"/>
      <c r="R153" s="110"/>
      <c r="S153" s="110"/>
      <c r="T153" s="99"/>
      <c r="V153" s="172"/>
      <c r="Y153" s="172"/>
      <c r="Z153" s="217"/>
      <c r="AA153" s="110"/>
      <c r="AB153" s="110"/>
      <c r="AC153" s="141"/>
      <c r="AD153" s="141"/>
      <c r="AE153" s="110"/>
      <c r="AF153" s="110"/>
      <c r="AI153" s="110"/>
      <c r="AJ153" s="110"/>
      <c r="AL153" s="110"/>
      <c r="AM153" s="141"/>
      <c r="AN153" s="141"/>
    </row>
    <row r="155" spans="3:40" x14ac:dyDescent="0.3">
      <c r="C155" s="99"/>
      <c r="T155" s="99"/>
    </row>
    <row r="156" spans="3:40" x14ac:dyDescent="0.3">
      <c r="C156" s="99"/>
      <c r="F156" s="172"/>
      <c r="H156" s="172"/>
      <c r="I156" s="172"/>
      <c r="J156" s="181"/>
      <c r="K156" s="181"/>
      <c r="L156" s="110"/>
      <c r="M156" s="110"/>
      <c r="N156" s="141"/>
      <c r="O156" s="141"/>
      <c r="R156" s="110"/>
      <c r="T156" s="99"/>
      <c r="V156" s="110"/>
      <c r="Y156" s="172"/>
      <c r="Z156" s="181"/>
      <c r="AA156" s="110"/>
      <c r="AB156" s="110"/>
      <c r="AC156" s="141"/>
      <c r="AD156" s="141"/>
      <c r="AE156" s="110"/>
      <c r="AF156" s="110"/>
      <c r="AG156" s="224"/>
      <c r="AH156" s="225"/>
      <c r="AL156" s="110"/>
      <c r="AM156" s="226"/>
      <c r="AN156" s="226"/>
    </row>
    <row r="157" spans="3:40" x14ac:dyDescent="0.3">
      <c r="C157" s="99"/>
      <c r="F157" s="172"/>
      <c r="H157" s="172"/>
      <c r="I157" s="172"/>
      <c r="J157" s="181"/>
      <c r="K157" s="181"/>
      <c r="L157" s="110"/>
      <c r="M157" s="110"/>
      <c r="N157" s="141"/>
      <c r="O157" s="141"/>
      <c r="R157" s="110"/>
      <c r="T157" s="99"/>
      <c r="V157" s="110"/>
      <c r="Y157" s="172"/>
      <c r="Z157" s="181"/>
      <c r="AA157" s="110"/>
      <c r="AB157" s="110"/>
      <c r="AC157" s="141"/>
      <c r="AD157" s="141"/>
      <c r="AE157" s="110"/>
      <c r="AF157" s="110"/>
      <c r="AH157" s="207"/>
      <c r="AL157" s="110"/>
      <c r="AM157" s="141"/>
      <c r="AN157" s="141"/>
    </row>
    <row r="158" spans="3:40" x14ac:dyDescent="0.3">
      <c r="C158" s="99"/>
      <c r="F158" s="172"/>
      <c r="H158" s="172"/>
      <c r="I158" s="172"/>
      <c r="J158" s="181"/>
      <c r="K158" s="181"/>
      <c r="L158" s="110"/>
      <c r="M158" s="110"/>
      <c r="N158" s="141"/>
      <c r="O158" s="141"/>
      <c r="R158" s="110"/>
      <c r="T158" s="99"/>
      <c r="V158" s="110"/>
      <c r="Y158" s="172"/>
      <c r="Z158" s="181"/>
      <c r="AA158" s="110"/>
      <c r="AB158" s="110"/>
      <c r="AC158" s="141"/>
      <c r="AD158" s="141"/>
      <c r="AE158" s="110"/>
      <c r="AF158" s="110"/>
      <c r="AH158" s="207"/>
      <c r="AL158" s="110"/>
      <c r="AM158" s="141"/>
      <c r="AN158" s="141"/>
    </row>
    <row r="159" spans="3:40" x14ac:dyDescent="0.3">
      <c r="F159" s="192"/>
      <c r="H159" s="110"/>
      <c r="I159" s="110"/>
      <c r="J159" s="217"/>
      <c r="K159" s="217"/>
      <c r="L159" s="192"/>
      <c r="M159" s="192"/>
      <c r="N159" s="192"/>
      <c r="O159" s="192"/>
      <c r="P159" s="192"/>
      <c r="Q159" s="192"/>
      <c r="R159" s="192"/>
      <c r="V159" s="192"/>
      <c r="Y159" s="110"/>
      <c r="Z159" s="217"/>
      <c r="AA159" s="192"/>
      <c r="AB159" s="192"/>
      <c r="AC159" s="192"/>
      <c r="AD159" s="192"/>
      <c r="AE159" s="192"/>
      <c r="AF159" s="192"/>
      <c r="AI159" s="192"/>
      <c r="AJ159" s="192"/>
      <c r="AK159" s="194"/>
      <c r="AL159" s="192"/>
      <c r="AM159" s="141"/>
      <c r="AN159" s="141"/>
    </row>
    <row r="160" spans="3:40" x14ac:dyDescent="0.3">
      <c r="C160" s="99"/>
      <c r="F160" s="110"/>
      <c r="H160" s="110"/>
      <c r="I160" s="110"/>
      <c r="J160" s="217"/>
      <c r="K160" s="217"/>
      <c r="L160" s="110"/>
      <c r="M160" s="110"/>
      <c r="N160" s="141"/>
      <c r="O160" s="141"/>
      <c r="P160" s="110"/>
      <c r="Q160" s="110"/>
      <c r="R160" s="110"/>
      <c r="T160" s="99"/>
      <c r="V160" s="110"/>
      <c r="Y160" s="110"/>
      <c r="Z160" s="217"/>
      <c r="AA160" s="110"/>
      <c r="AB160" s="110"/>
      <c r="AC160" s="141"/>
      <c r="AD160" s="141"/>
      <c r="AE160" s="110"/>
      <c r="AF160" s="110"/>
      <c r="AH160" s="207"/>
      <c r="AI160" s="110"/>
      <c r="AJ160" s="110"/>
      <c r="AL160" s="110"/>
      <c r="AM160" s="141"/>
      <c r="AN160" s="141"/>
    </row>
    <row r="161" spans="3:40" x14ac:dyDescent="0.3">
      <c r="F161" s="192"/>
      <c r="H161" s="110"/>
      <c r="I161" s="110"/>
      <c r="J161" s="217"/>
      <c r="K161" s="217"/>
      <c r="L161" s="192"/>
      <c r="M161" s="192"/>
      <c r="N161" s="192"/>
      <c r="O161" s="192"/>
      <c r="P161" s="192"/>
      <c r="Q161" s="192"/>
      <c r="R161" s="192"/>
      <c r="V161" s="192"/>
      <c r="Y161" s="110"/>
      <c r="Z161" s="217"/>
      <c r="AA161" s="192"/>
      <c r="AB161" s="192"/>
      <c r="AC161" s="192"/>
      <c r="AD161" s="192"/>
      <c r="AE161" s="192"/>
      <c r="AF161" s="192"/>
      <c r="AI161" s="192"/>
      <c r="AJ161" s="192"/>
      <c r="AK161" s="194"/>
      <c r="AL161" s="192"/>
      <c r="AM161" s="141"/>
      <c r="AN161" s="141"/>
    </row>
    <row r="162" spans="3:40" x14ac:dyDescent="0.3">
      <c r="C162" s="99"/>
      <c r="F162" s="172"/>
      <c r="H162" s="172"/>
      <c r="I162" s="172"/>
      <c r="J162" s="227"/>
      <c r="K162" s="227"/>
      <c r="L162" s="110"/>
      <c r="M162" s="110"/>
      <c r="N162" s="141"/>
      <c r="O162" s="141"/>
      <c r="P162" s="110"/>
      <c r="Q162" s="110"/>
      <c r="R162" s="110"/>
      <c r="S162" s="110"/>
      <c r="T162" s="99"/>
      <c r="V162" s="172"/>
      <c r="Y162" s="172"/>
      <c r="Z162" s="227"/>
      <c r="AA162" s="110"/>
      <c r="AB162" s="110"/>
      <c r="AC162" s="141"/>
      <c r="AD162" s="141"/>
      <c r="AE162" s="110"/>
      <c r="AF162" s="110"/>
      <c r="AH162" s="141"/>
      <c r="AI162" s="110"/>
      <c r="AJ162" s="110"/>
      <c r="AL162" s="110"/>
      <c r="AM162" s="141"/>
      <c r="AN162" s="141"/>
    </row>
    <row r="163" spans="3:40" x14ac:dyDescent="0.3">
      <c r="C163" s="99"/>
      <c r="F163" s="172"/>
      <c r="H163" s="172"/>
      <c r="I163" s="172"/>
      <c r="J163" s="181"/>
      <c r="K163" s="181"/>
      <c r="L163" s="110"/>
      <c r="M163" s="110"/>
      <c r="N163" s="141"/>
      <c r="O163" s="141"/>
      <c r="P163" s="110"/>
      <c r="Q163" s="110"/>
      <c r="R163" s="110"/>
      <c r="T163" s="99"/>
      <c r="V163" s="172"/>
      <c r="Y163" s="110"/>
      <c r="Z163" s="181"/>
      <c r="AA163" s="110"/>
      <c r="AB163" s="110"/>
      <c r="AC163" s="141"/>
      <c r="AD163" s="141"/>
      <c r="AE163" s="110"/>
      <c r="AF163" s="110"/>
      <c r="AH163" s="207"/>
      <c r="AI163" s="110"/>
      <c r="AJ163" s="110"/>
      <c r="AL163" s="110"/>
      <c r="AM163" s="141"/>
      <c r="AN163" s="141"/>
    </row>
    <row r="164" spans="3:40" x14ac:dyDescent="0.3">
      <c r="C164" s="99"/>
      <c r="F164" s="172"/>
      <c r="H164" s="172"/>
      <c r="I164" s="172"/>
      <c r="J164" s="181"/>
      <c r="K164" s="181"/>
      <c r="L164" s="110"/>
      <c r="M164" s="110"/>
      <c r="N164" s="141"/>
      <c r="O164" s="141"/>
      <c r="P164" s="110"/>
      <c r="Q164" s="110"/>
      <c r="R164" s="110"/>
      <c r="T164" s="99"/>
      <c r="V164" s="172"/>
      <c r="Y164" s="110"/>
      <c r="Z164" s="181"/>
      <c r="AA164" s="110"/>
      <c r="AB164" s="110"/>
      <c r="AC164" s="141"/>
      <c r="AD164" s="141"/>
      <c r="AE164" s="110"/>
      <c r="AF164" s="110"/>
      <c r="AH164" s="207"/>
      <c r="AI164" s="110"/>
      <c r="AJ164" s="110"/>
      <c r="AL164" s="110"/>
      <c r="AM164" s="141"/>
      <c r="AN164" s="141"/>
    </row>
    <row r="165" spans="3:40" x14ac:dyDescent="0.3">
      <c r="F165" s="110"/>
      <c r="H165" s="192"/>
      <c r="I165" s="192"/>
      <c r="J165" s="217"/>
      <c r="K165" s="217"/>
      <c r="L165" s="192"/>
      <c r="M165" s="192"/>
      <c r="N165" s="192"/>
      <c r="O165" s="192"/>
      <c r="P165" s="192"/>
      <c r="Q165" s="192"/>
      <c r="R165" s="192"/>
      <c r="V165" s="110"/>
      <c r="Y165" s="192"/>
      <c r="Z165" s="217"/>
      <c r="AA165" s="192"/>
      <c r="AB165" s="192"/>
      <c r="AC165" s="192"/>
      <c r="AD165" s="192"/>
      <c r="AE165" s="192"/>
      <c r="AF165" s="192"/>
      <c r="AI165" s="192"/>
      <c r="AJ165" s="192"/>
      <c r="AK165" s="194"/>
      <c r="AL165" s="192"/>
      <c r="AM165" s="141"/>
      <c r="AN165" s="141"/>
    </row>
    <row r="166" spans="3:40" x14ac:dyDescent="0.3">
      <c r="C166" s="99"/>
      <c r="F166" s="110"/>
      <c r="H166" s="110"/>
      <c r="I166" s="110"/>
      <c r="J166" s="217"/>
      <c r="K166" s="217"/>
      <c r="L166" s="110"/>
      <c r="M166" s="110"/>
      <c r="N166" s="141"/>
      <c r="O166" s="141"/>
      <c r="P166" s="110"/>
      <c r="Q166" s="110"/>
      <c r="R166" s="110"/>
      <c r="T166" s="99"/>
      <c r="V166" s="110"/>
      <c r="Y166" s="110"/>
      <c r="Z166" s="217"/>
      <c r="AA166" s="110"/>
      <c r="AB166" s="110"/>
      <c r="AC166" s="141"/>
      <c r="AD166" s="141"/>
      <c r="AE166" s="110"/>
      <c r="AF166" s="110"/>
      <c r="AH166" s="207"/>
      <c r="AI166" s="110"/>
      <c r="AJ166" s="110"/>
      <c r="AL166" s="110"/>
      <c r="AM166" s="141"/>
      <c r="AN166" s="141"/>
    </row>
    <row r="167" spans="3:40" x14ac:dyDescent="0.3">
      <c r="F167" s="110"/>
      <c r="H167" s="192"/>
      <c r="I167" s="192"/>
      <c r="J167" s="217"/>
      <c r="K167" s="217"/>
      <c r="L167" s="192"/>
      <c r="M167" s="192"/>
      <c r="N167" s="192"/>
      <c r="O167" s="192"/>
      <c r="P167" s="192"/>
      <c r="Q167" s="192"/>
      <c r="R167" s="192"/>
      <c r="V167" s="110"/>
      <c r="Y167" s="192"/>
      <c r="Z167" s="217"/>
      <c r="AA167" s="192"/>
      <c r="AB167" s="192"/>
      <c r="AC167" s="192"/>
      <c r="AD167" s="192"/>
      <c r="AE167" s="192"/>
      <c r="AF167" s="192"/>
      <c r="AI167" s="192"/>
      <c r="AJ167" s="192"/>
      <c r="AK167" s="194"/>
      <c r="AL167" s="192"/>
      <c r="AM167" s="141"/>
      <c r="AN167" s="141"/>
    </row>
    <row r="168" spans="3:40" x14ac:dyDescent="0.3">
      <c r="C168" s="99"/>
      <c r="F168" s="110"/>
      <c r="H168" s="110"/>
      <c r="I168" s="110"/>
      <c r="J168" s="217"/>
      <c r="K168" s="217"/>
      <c r="L168" s="110"/>
      <c r="M168" s="110"/>
      <c r="N168" s="110"/>
      <c r="O168" s="110"/>
      <c r="P168" s="110"/>
      <c r="Q168" s="110"/>
      <c r="R168" s="110"/>
      <c r="T168" s="99"/>
      <c r="V168" s="110"/>
      <c r="Y168" s="110"/>
      <c r="Z168" s="217"/>
      <c r="AA168" s="110"/>
      <c r="AB168" s="110"/>
      <c r="AC168" s="110"/>
      <c r="AD168" s="110"/>
      <c r="AE168" s="110"/>
      <c r="AF168" s="110"/>
      <c r="AH168" s="207"/>
      <c r="AI168" s="110"/>
      <c r="AJ168" s="110"/>
      <c r="AL168" s="110"/>
      <c r="AM168" s="141"/>
      <c r="AN168" s="141"/>
    </row>
    <row r="169" spans="3:40" x14ac:dyDescent="0.3">
      <c r="C169" s="99"/>
      <c r="F169" s="110"/>
      <c r="H169" s="172"/>
      <c r="I169" s="172"/>
      <c r="J169" s="228"/>
      <c r="K169" s="228"/>
      <c r="L169" s="110"/>
      <c r="M169" s="110"/>
      <c r="N169" s="141"/>
      <c r="O169" s="141"/>
      <c r="P169" s="110"/>
      <c r="Q169" s="110"/>
      <c r="R169" s="110"/>
      <c r="T169" s="99"/>
      <c r="V169" s="110"/>
      <c r="Y169" s="110"/>
      <c r="Z169" s="228"/>
      <c r="AA169" s="110"/>
      <c r="AB169" s="110"/>
      <c r="AC169" s="141"/>
      <c r="AD169" s="141"/>
      <c r="AE169" s="110"/>
      <c r="AF169" s="110"/>
      <c r="AH169" s="207"/>
      <c r="AI169" s="110"/>
      <c r="AJ169" s="110"/>
      <c r="AL169" s="110"/>
      <c r="AM169" s="141"/>
      <c r="AN169" s="141"/>
    </row>
    <row r="170" spans="3:40" x14ac:dyDescent="0.3">
      <c r="C170" s="99"/>
      <c r="H170" s="172"/>
      <c r="I170" s="172"/>
      <c r="J170" s="228"/>
      <c r="K170" s="228"/>
      <c r="L170" s="110"/>
      <c r="M170" s="110"/>
      <c r="N170" s="141"/>
      <c r="O170" s="141"/>
      <c r="P170" s="110"/>
      <c r="Q170" s="110"/>
      <c r="R170" s="110"/>
      <c r="T170" s="99"/>
      <c r="Y170" s="110"/>
      <c r="Z170" s="228"/>
      <c r="AA170" s="110"/>
      <c r="AB170" s="110"/>
      <c r="AC170" s="141"/>
      <c r="AD170" s="141"/>
      <c r="AE170" s="110"/>
      <c r="AF170" s="110"/>
      <c r="AH170" s="207"/>
      <c r="AI170" s="110"/>
      <c r="AJ170" s="110"/>
      <c r="AL170" s="110"/>
      <c r="AM170" s="141"/>
      <c r="AN170" s="141"/>
    </row>
    <row r="171" spans="3:40" x14ac:dyDescent="0.3">
      <c r="F171" s="110"/>
      <c r="H171" s="110"/>
      <c r="I171" s="110"/>
      <c r="J171" s="217"/>
      <c r="K171" s="217"/>
      <c r="L171" s="192"/>
      <c r="M171" s="192"/>
      <c r="N171" s="192"/>
      <c r="O171" s="192"/>
      <c r="P171" s="192"/>
      <c r="Q171" s="192"/>
      <c r="R171" s="192"/>
      <c r="V171" s="110"/>
      <c r="Y171" s="110"/>
      <c r="Z171" s="217"/>
      <c r="AA171" s="192"/>
      <c r="AB171" s="192"/>
      <c r="AC171" s="192"/>
      <c r="AD171" s="192"/>
      <c r="AE171" s="192"/>
      <c r="AF171" s="192"/>
      <c r="AI171" s="192"/>
      <c r="AJ171" s="192"/>
      <c r="AK171" s="194"/>
      <c r="AL171" s="192"/>
      <c r="AM171" s="141"/>
      <c r="AN171" s="141"/>
    </row>
    <row r="172" spans="3:40" x14ac:dyDescent="0.3">
      <c r="C172" s="99"/>
      <c r="F172" s="110"/>
      <c r="H172" s="110"/>
      <c r="I172" s="110"/>
      <c r="J172" s="198"/>
      <c r="K172" s="198"/>
      <c r="L172" s="110"/>
      <c r="M172" s="110"/>
      <c r="N172" s="141"/>
      <c r="O172" s="141"/>
      <c r="P172" s="110"/>
      <c r="Q172" s="110"/>
      <c r="R172" s="110"/>
      <c r="T172" s="99"/>
      <c r="V172" s="110"/>
      <c r="Y172" s="110"/>
      <c r="Z172" s="198"/>
      <c r="AA172" s="110"/>
      <c r="AB172" s="110"/>
      <c r="AC172" s="141"/>
      <c r="AD172" s="141"/>
      <c r="AE172" s="110"/>
      <c r="AF172" s="110"/>
      <c r="AH172" s="207"/>
      <c r="AI172" s="110"/>
      <c r="AJ172" s="110"/>
      <c r="AL172" s="110"/>
      <c r="AM172" s="141"/>
      <c r="AN172" s="141"/>
    </row>
    <row r="173" spans="3:40" x14ac:dyDescent="0.3">
      <c r="F173" s="110"/>
      <c r="H173" s="110"/>
      <c r="I173" s="110"/>
      <c r="J173" s="217"/>
      <c r="K173" s="217"/>
      <c r="L173" s="192"/>
      <c r="M173" s="192"/>
      <c r="N173" s="192"/>
      <c r="O173" s="192"/>
      <c r="P173" s="192"/>
      <c r="Q173" s="192"/>
      <c r="R173" s="192"/>
      <c r="V173" s="110"/>
      <c r="Y173" s="110"/>
      <c r="Z173" s="217"/>
      <c r="AA173" s="192"/>
      <c r="AB173" s="192"/>
      <c r="AC173" s="192"/>
      <c r="AD173" s="192"/>
      <c r="AE173" s="192"/>
      <c r="AF173" s="192"/>
      <c r="AI173" s="192"/>
      <c r="AJ173" s="192"/>
      <c r="AK173" s="194"/>
      <c r="AL173" s="192"/>
      <c r="AM173" s="141"/>
      <c r="AN173" s="141"/>
    </row>
    <row r="174" spans="3:40" x14ac:dyDescent="0.3">
      <c r="C174" s="99"/>
      <c r="F174" s="110"/>
      <c r="H174" s="110"/>
      <c r="I174" s="110"/>
      <c r="J174" s="198"/>
      <c r="K174" s="198"/>
      <c r="L174" s="110"/>
      <c r="M174" s="110"/>
      <c r="N174" s="141"/>
      <c r="O174" s="141"/>
      <c r="P174" s="110"/>
      <c r="Q174" s="110"/>
      <c r="R174" s="110"/>
      <c r="T174" s="99"/>
      <c r="V174" s="110"/>
      <c r="Y174" s="110"/>
      <c r="Z174" s="198"/>
      <c r="AA174" s="110"/>
      <c r="AB174" s="110"/>
      <c r="AC174" s="141"/>
      <c r="AD174" s="141"/>
      <c r="AE174" s="110"/>
      <c r="AF174" s="110"/>
      <c r="AH174" s="207"/>
      <c r="AI174" s="110"/>
      <c r="AJ174" s="110"/>
      <c r="AL174" s="110"/>
      <c r="AM174" s="141"/>
      <c r="AN174" s="141"/>
    </row>
    <row r="175" spans="3:40" x14ac:dyDescent="0.3">
      <c r="C175" s="99"/>
      <c r="F175" s="172"/>
      <c r="H175" s="172"/>
      <c r="I175" s="172"/>
      <c r="J175" s="222"/>
      <c r="K175" s="222"/>
      <c r="L175" s="110"/>
      <c r="M175" s="110"/>
      <c r="N175" s="141"/>
      <c r="O175" s="141"/>
      <c r="P175" s="110"/>
      <c r="Q175" s="110"/>
      <c r="R175" s="110"/>
      <c r="T175" s="99"/>
      <c r="V175" s="172"/>
      <c r="Y175" s="110"/>
      <c r="Z175" s="222"/>
      <c r="AA175" s="110"/>
      <c r="AB175" s="110"/>
      <c r="AC175" s="141"/>
      <c r="AD175" s="141"/>
      <c r="AE175" s="110"/>
      <c r="AF175" s="110"/>
      <c r="AH175" s="207"/>
      <c r="AI175" s="110"/>
      <c r="AJ175" s="110"/>
      <c r="AL175" s="110"/>
      <c r="AM175" s="141"/>
      <c r="AN175" s="141"/>
    </row>
    <row r="176" spans="3:40" x14ac:dyDescent="0.3">
      <c r="F176" s="192"/>
      <c r="H176" s="192"/>
      <c r="I176" s="192"/>
      <c r="J176" s="217"/>
      <c r="K176" s="217"/>
      <c r="L176" s="192"/>
      <c r="M176" s="192"/>
      <c r="N176" s="192"/>
      <c r="O176" s="192"/>
      <c r="P176" s="192"/>
      <c r="Q176" s="192"/>
      <c r="R176" s="192"/>
      <c r="V176" s="192"/>
      <c r="Y176" s="192"/>
      <c r="Z176" s="217"/>
      <c r="AA176" s="192"/>
      <c r="AB176" s="192"/>
      <c r="AC176" s="192"/>
      <c r="AD176" s="192"/>
      <c r="AE176" s="192"/>
      <c r="AF176" s="192"/>
      <c r="AI176" s="192"/>
      <c r="AJ176" s="192"/>
      <c r="AK176" s="194"/>
      <c r="AL176" s="192"/>
      <c r="AM176" s="141"/>
      <c r="AN176" s="141"/>
    </row>
    <row r="177" spans="1:40" x14ac:dyDescent="0.3">
      <c r="C177" s="99"/>
      <c r="F177" s="110"/>
      <c r="H177" s="110"/>
      <c r="I177" s="110"/>
      <c r="J177" s="217"/>
      <c r="K177" s="217"/>
      <c r="L177" s="110"/>
      <c r="M177" s="110"/>
      <c r="N177" s="141"/>
      <c r="O177" s="141"/>
      <c r="P177" s="110"/>
      <c r="Q177" s="110"/>
      <c r="R177" s="110"/>
      <c r="S177" s="110"/>
      <c r="T177" s="99"/>
      <c r="V177" s="110"/>
      <c r="Y177" s="110"/>
      <c r="Z177" s="217"/>
      <c r="AA177" s="110"/>
      <c r="AB177" s="110"/>
      <c r="AC177" s="141"/>
      <c r="AD177" s="141"/>
      <c r="AE177" s="110"/>
      <c r="AF177" s="110"/>
      <c r="AH177" s="141"/>
      <c r="AI177" s="110"/>
      <c r="AJ177" s="110"/>
      <c r="AL177" s="110"/>
      <c r="AM177" s="141"/>
      <c r="AN177" s="141"/>
    </row>
    <row r="178" spans="1:40" x14ac:dyDescent="0.3">
      <c r="F178" s="192"/>
      <c r="H178" s="192"/>
      <c r="I178" s="192"/>
      <c r="J178" s="217"/>
      <c r="K178" s="217"/>
      <c r="L178" s="192"/>
      <c r="M178" s="192"/>
      <c r="N178" s="192"/>
      <c r="O178" s="192"/>
      <c r="P178" s="192"/>
      <c r="Q178" s="192"/>
      <c r="R178" s="192"/>
      <c r="S178" s="110"/>
      <c r="V178" s="192"/>
      <c r="Y178" s="192"/>
      <c r="Z178" s="217"/>
      <c r="AA178" s="192"/>
      <c r="AB178" s="192"/>
      <c r="AC178" s="192"/>
      <c r="AD178" s="192"/>
      <c r="AE178" s="192"/>
      <c r="AF178" s="192"/>
      <c r="AI178" s="192"/>
      <c r="AJ178" s="192"/>
      <c r="AK178" s="194"/>
      <c r="AL178" s="192"/>
      <c r="AM178" s="141"/>
      <c r="AN178" s="141"/>
    </row>
    <row r="179" spans="1:40" x14ac:dyDescent="0.3">
      <c r="C179" s="99"/>
      <c r="T179" s="99"/>
    </row>
    <row r="180" spans="1:40" x14ac:dyDescent="0.3">
      <c r="C180" s="99"/>
      <c r="F180" s="110"/>
      <c r="H180" s="110"/>
      <c r="I180" s="110"/>
      <c r="L180" s="110"/>
      <c r="M180" s="110"/>
      <c r="N180" s="141"/>
      <c r="O180" s="141"/>
      <c r="P180" s="172"/>
      <c r="Q180" s="172"/>
      <c r="R180" s="110"/>
      <c r="T180" s="99"/>
      <c r="V180" s="110"/>
      <c r="Y180" s="110"/>
      <c r="AA180" s="110"/>
      <c r="AB180" s="110"/>
      <c r="AC180" s="141"/>
      <c r="AD180" s="141"/>
      <c r="AE180" s="110"/>
      <c r="AF180" s="110"/>
      <c r="AH180" s="141"/>
      <c r="AI180" s="172"/>
      <c r="AJ180" s="172"/>
      <c r="AL180" s="110"/>
      <c r="AM180" s="141"/>
      <c r="AN180" s="141"/>
    </row>
    <row r="181" spans="1:40" x14ac:dyDescent="0.3">
      <c r="F181" s="192"/>
      <c r="H181" s="192"/>
      <c r="I181" s="192"/>
      <c r="J181" s="217"/>
      <c r="K181" s="217"/>
      <c r="L181" s="192"/>
      <c r="M181" s="192"/>
      <c r="N181" s="192"/>
      <c r="O181" s="192"/>
      <c r="P181" s="192"/>
      <c r="Q181" s="192"/>
      <c r="R181" s="192"/>
      <c r="V181" s="192"/>
      <c r="Y181" s="192"/>
      <c r="Z181" s="217"/>
      <c r="AA181" s="192"/>
      <c r="AB181" s="192"/>
      <c r="AC181" s="192"/>
      <c r="AD181" s="192"/>
      <c r="AE181" s="192"/>
      <c r="AF181" s="192"/>
      <c r="AI181" s="192"/>
      <c r="AJ181" s="192"/>
      <c r="AK181" s="194"/>
      <c r="AL181" s="192"/>
    </row>
    <row r="183" spans="1:40" x14ac:dyDescent="0.3">
      <c r="C183" s="99"/>
      <c r="L183" s="110"/>
      <c r="M183" s="110"/>
      <c r="N183" s="110"/>
      <c r="O183" s="110"/>
      <c r="P183" s="110"/>
      <c r="Q183" s="110"/>
      <c r="R183" s="110"/>
      <c r="S183" s="110"/>
      <c r="T183" s="99"/>
      <c r="AA183" s="110"/>
      <c r="AB183" s="110"/>
      <c r="AC183" s="110"/>
      <c r="AD183" s="110"/>
      <c r="AI183" s="110"/>
      <c r="AJ183" s="110"/>
      <c r="AL183" s="110"/>
    </row>
    <row r="184" spans="1:40" x14ac:dyDescent="0.3">
      <c r="A184" s="99"/>
    </row>
    <row r="186" spans="1:40" x14ac:dyDescent="0.3">
      <c r="H186" s="99"/>
      <c r="I186" s="99"/>
      <c r="Y186" s="99"/>
    </row>
    <row r="188" spans="1:40" x14ac:dyDescent="0.3">
      <c r="L188" s="99"/>
      <c r="M188" s="99"/>
      <c r="AA188" s="99"/>
      <c r="AB188" s="99"/>
    </row>
    <row r="189" spans="1:40" x14ac:dyDescent="0.3">
      <c r="R189" s="99"/>
      <c r="AK189" s="190"/>
      <c r="AL189" s="99"/>
    </row>
    <row r="190" spans="1:40" x14ac:dyDescent="0.3">
      <c r="R190" s="99"/>
      <c r="AK190" s="190"/>
      <c r="AL190" s="99"/>
    </row>
    <row r="191" spans="1:40" x14ac:dyDescent="0.3">
      <c r="A191" s="99"/>
      <c r="R191" s="99"/>
      <c r="AK191" s="190"/>
      <c r="AL191" s="99"/>
    </row>
    <row r="192" spans="1:40" x14ac:dyDescent="0.3">
      <c r="L192" s="99"/>
      <c r="M192" s="99"/>
      <c r="AA192" s="99"/>
      <c r="AB192" s="99"/>
    </row>
    <row r="193" spans="1:40" x14ac:dyDescent="0.3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91"/>
      <c r="AH193" s="101"/>
      <c r="AI193" s="101"/>
      <c r="AJ193" s="101"/>
      <c r="AK193" s="191"/>
      <c r="AL193" s="101"/>
      <c r="AM193" s="101"/>
      <c r="AN193" s="101"/>
    </row>
    <row r="194" spans="1:40" x14ac:dyDescent="0.3">
      <c r="L194" s="102"/>
      <c r="M194" s="102"/>
      <c r="N194" s="102"/>
      <c r="O194" s="102"/>
      <c r="R194" s="102"/>
      <c r="AA194" s="102"/>
      <c r="AB194" s="102"/>
      <c r="AC194" s="102"/>
      <c r="AD194" s="102"/>
      <c r="AE194" s="102"/>
      <c r="AF194" s="102"/>
      <c r="AG194" s="151"/>
      <c r="AH194" s="102"/>
      <c r="AK194" s="151"/>
      <c r="AL194" s="102"/>
      <c r="AM194" s="102"/>
      <c r="AN194" s="102"/>
    </row>
    <row r="195" spans="1:40" x14ac:dyDescent="0.3">
      <c r="L195" s="102"/>
      <c r="M195" s="102"/>
      <c r="N195" s="102"/>
      <c r="O195" s="102"/>
      <c r="R195" s="102"/>
      <c r="Z195" s="102"/>
      <c r="AA195" s="102"/>
      <c r="AB195" s="102"/>
      <c r="AC195" s="102"/>
      <c r="AD195" s="102"/>
      <c r="AE195" s="102"/>
      <c r="AF195" s="102"/>
      <c r="AG195" s="151"/>
      <c r="AH195" s="102"/>
      <c r="AK195" s="151"/>
      <c r="AL195" s="102"/>
      <c r="AM195" s="102"/>
      <c r="AN195" s="102"/>
    </row>
    <row r="196" spans="1:40" x14ac:dyDescent="0.3">
      <c r="A196" s="102"/>
      <c r="C196" s="102"/>
      <c r="D196" s="102"/>
      <c r="E196" s="102"/>
      <c r="F196" s="102"/>
      <c r="J196" s="102"/>
      <c r="K196" s="102"/>
      <c r="L196" s="102"/>
      <c r="M196" s="102"/>
      <c r="N196" s="102"/>
      <c r="O196" s="102"/>
      <c r="P196" s="102"/>
      <c r="Q196" s="102"/>
      <c r="R196" s="102"/>
      <c r="T196" s="102"/>
      <c r="U196" s="102"/>
      <c r="V196" s="102"/>
      <c r="Z196" s="102"/>
      <c r="AA196" s="102"/>
      <c r="AB196" s="102"/>
      <c r="AC196" s="102"/>
      <c r="AD196" s="102"/>
      <c r="AE196" s="102"/>
      <c r="AF196" s="102"/>
      <c r="AG196" s="151"/>
      <c r="AH196" s="102"/>
      <c r="AI196" s="102"/>
      <c r="AJ196" s="102"/>
      <c r="AK196" s="151"/>
      <c r="AL196" s="102"/>
      <c r="AM196" s="102"/>
      <c r="AN196" s="102"/>
    </row>
    <row r="197" spans="1:40" x14ac:dyDescent="0.3">
      <c r="A197" s="102"/>
      <c r="C197" s="102"/>
      <c r="D197" s="102"/>
      <c r="E197" s="102"/>
      <c r="F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T197" s="102"/>
      <c r="U197" s="102"/>
      <c r="V197" s="102"/>
      <c r="Y197" s="102"/>
      <c r="Z197" s="102"/>
      <c r="AA197" s="102"/>
      <c r="AB197" s="102"/>
      <c r="AC197" s="102"/>
      <c r="AD197" s="102"/>
      <c r="AE197" s="102"/>
      <c r="AF197" s="102"/>
      <c r="AG197" s="151"/>
      <c r="AH197" s="102"/>
      <c r="AI197" s="102"/>
      <c r="AJ197" s="102"/>
      <c r="AK197" s="151"/>
      <c r="AL197" s="102"/>
      <c r="AM197" s="102"/>
      <c r="AN197" s="102"/>
    </row>
    <row r="198" spans="1:40" x14ac:dyDescent="0.3">
      <c r="C198" s="102"/>
      <c r="D198" s="102"/>
      <c r="E198" s="102"/>
      <c r="F198" s="102"/>
      <c r="H198" s="102"/>
      <c r="I198" s="102"/>
      <c r="J198" s="102"/>
      <c r="K198" s="102"/>
      <c r="L198" s="102"/>
      <c r="M198" s="102"/>
      <c r="N198" s="102"/>
      <c r="O198" s="102"/>
      <c r="P198" s="102"/>
      <c r="Q198" s="102"/>
      <c r="R198" s="102"/>
      <c r="T198" s="102"/>
      <c r="U198" s="102"/>
      <c r="V198" s="102"/>
      <c r="Y198" s="102"/>
      <c r="Z198" s="102"/>
      <c r="AA198" s="102"/>
      <c r="AB198" s="102"/>
      <c r="AC198" s="102"/>
      <c r="AD198" s="102"/>
      <c r="AE198" s="102"/>
      <c r="AF198" s="102"/>
      <c r="AG198" s="151"/>
      <c r="AH198" s="102"/>
      <c r="AI198" s="102"/>
      <c r="AJ198" s="102"/>
      <c r="AK198" s="151"/>
      <c r="AL198" s="102"/>
      <c r="AM198" s="102"/>
      <c r="AN198" s="102"/>
    </row>
    <row r="199" spans="1:40" x14ac:dyDescent="0.3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91"/>
      <c r="AH199" s="101"/>
      <c r="AI199" s="101"/>
      <c r="AJ199" s="101"/>
      <c r="AK199" s="191"/>
      <c r="AL199" s="101"/>
      <c r="AM199" s="101"/>
      <c r="AN199" s="101"/>
    </row>
    <row r="200" spans="1:40" x14ac:dyDescent="0.3">
      <c r="H200" s="102"/>
      <c r="I200" s="102"/>
      <c r="J200" s="102"/>
      <c r="K200" s="102"/>
      <c r="L200" s="102"/>
      <c r="M200" s="102"/>
      <c r="N200" s="102"/>
      <c r="O200" s="102"/>
      <c r="P200" s="102"/>
      <c r="Q200" s="102"/>
      <c r="R200" s="102"/>
      <c r="Y200" s="102"/>
      <c r="Z200" s="102"/>
      <c r="AA200" s="102"/>
      <c r="AB200" s="102"/>
      <c r="AC200" s="102"/>
      <c r="AD200" s="102"/>
      <c r="AE200" s="102"/>
      <c r="AF200" s="102"/>
      <c r="AG200" s="151"/>
      <c r="AH200" s="102"/>
      <c r="AI200" s="102"/>
      <c r="AJ200" s="102"/>
      <c r="AK200" s="151"/>
      <c r="AL200" s="102"/>
      <c r="AM200" s="102"/>
      <c r="AN200" s="102"/>
    </row>
    <row r="201" spans="1:40" x14ac:dyDescent="0.3">
      <c r="C201" s="99"/>
      <c r="D201" s="99"/>
      <c r="E201" s="99"/>
      <c r="T201" s="99"/>
      <c r="U201" s="99"/>
    </row>
    <row r="202" spans="1:40" x14ac:dyDescent="0.3">
      <c r="D202" s="99"/>
      <c r="E202" s="99"/>
      <c r="U202" s="99"/>
    </row>
    <row r="204" spans="1:40" x14ac:dyDescent="0.3">
      <c r="C204" s="99"/>
      <c r="F204" s="172"/>
      <c r="H204" s="172"/>
      <c r="I204" s="172"/>
      <c r="J204" s="181"/>
      <c r="K204" s="181"/>
      <c r="L204" s="110"/>
      <c r="M204" s="110"/>
      <c r="N204" s="141"/>
      <c r="O204" s="141"/>
      <c r="R204" s="110"/>
      <c r="T204" s="99"/>
      <c r="V204" s="110"/>
      <c r="Y204" s="172"/>
      <c r="Z204" s="181"/>
      <c r="AA204" s="110"/>
      <c r="AB204" s="110"/>
      <c r="AC204" s="141"/>
      <c r="AD204" s="141"/>
      <c r="AE204" s="110"/>
      <c r="AF204" s="110"/>
      <c r="AG204" s="224"/>
      <c r="AH204" s="225"/>
      <c r="AL204" s="110"/>
      <c r="AM204" s="226"/>
      <c r="AN204" s="226"/>
    </row>
    <row r="205" spans="1:40" x14ac:dyDescent="0.3">
      <c r="C205" s="99"/>
      <c r="F205" s="172"/>
      <c r="H205" s="172"/>
      <c r="I205" s="172"/>
      <c r="J205" s="181"/>
      <c r="K205" s="181"/>
      <c r="L205" s="110"/>
      <c r="M205" s="110"/>
      <c r="N205" s="141"/>
      <c r="O205" s="141"/>
      <c r="R205" s="110"/>
      <c r="T205" s="99"/>
      <c r="V205" s="110"/>
      <c r="Y205" s="172"/>
      <c r="Z205" s="181"/>
      <c r="AA205" s="110"/>
      <c r="AB205" s="110"/>
      <c r="AC205" s="141"/>
      <c r="AD205" s="141"/>
      <c r="AE205" s="110"/>
      <c r="AF205" s="110"/>
      <c r="AH205" s="207"/>
      <c r="AL205" s="110"/>
      <c r="AM205" s="141"/>
      <c r="AN205" s="141"/>
    </row>
    <row r="206" spans="1:40" x14ac:dyDescent="0.3">
      <c r="F206" s="192"/>
      <c r="H206" s="110"/>
      <c r="I206" s="110"/>
      <c r="J206" s="217"/>
      <c r="K206" s="217"/>
      <c r="L206" s="192"/>
      <c r="M206" s="192"/>
      <c r="N206" s="192"/>
      <c r="O206" s="192"/>
      <c r="P206" s="192"/>
      <c r="Q206" s="192"/>
      <c r="R206" s="192"/>
      <c r="V206" s="192"/>
      <c r="Y206" s="110"/>
      <c r="Z206" s="217"/>
      <c r="AA206" s="192"/>
      <c r="AB206" s="192"/>
      <c r="AC206" s="192"/>
      <c r="AD206" s="192"/>
      <c r="AE206" s="192"/>
      <c r="AF206" s="192"/>
      <c r="AI206" s="192"/>
      <c r="AJ206" s="192"/>
      <c r="AK206" s="194"/>
      <c r="AL206" s="192"/>
      <c r="AM206" s="141"/>
      <c r="AN206" s="141"/>
    </row>
    <row r="207" spans="1:40" x14ac:dyDescent="0.3">
      <c r="C207" s="99"/>
      <c r="F207" s="110"/>
      <c r="H207" s="110"/>
      <c r="I207" s="110"/>
      <c r="J207" s="217"/>
      <c r="K207" s="217"/>
      <c r="L207" s="110"/>
      <c r="M207" s="110"/>
      <c r="N207" s="141"/>
      <c r="O207" s="141"/>
      <c r="P207" s="110"/>
      <c r="Q207" s="110"/>
      <c r="R207" s="110"/>
      <c r="T207" s="99"/>
      <c r="V207" s="110"/>
      <c r="Y207" s="110"/>
      <c r="Z207" s="198"/>
      <c r="AA207" s="110"/>
      <c r="AB207" s="110"/>
      <c r="AC207" s="141"/>
      <c r="AD207" s="141"/>
      <c r="AE207" s="110"/>
      <c r="AF207" s="110"/>
      <c r="AH207" s="207"/>
      <c r="AI207" s="110"/>
      <c r="AJ207" s="110"/>
      <c r="AL207" s="110"/>
      <c r="AM207" s="141"/>
      <c r="AN207" s="141"/>
    </row>
    <row r="208" spans="1:40" x14ac:dyDescent="0.3">
      <c r="F208" s="192"/>
      <c r="H208" s="110"/>
      <c r="I208" s="110"/>
      <c r="J208" s="217"/>
      <c r="K208" s="217"/>
      <c r="L208" s="192"/>
      <c r="M208" s="192"/>
      <c r="N208" s="192"/>
      <c r="O208" s="192"/>
      <c r="P208" s="192"/>
      <c r="Q208" s="192"/>
      <c r="R208" s="192"/>
      <c r="V208" s="192"/>
      <c r="Y208" s="110"/>
      <c r="Z208" s="217"/>
      <c r="AA208" s="192"/>
      <c r="AB208" s="192"/>
      <c r="AC208" s="192"/>
      <c r="AD208" s="192"/>
      <c r="AE208" s="192"/>
      <c r="AF208" s="192"/>
      <c r="AI208" s="192"/>
      <c r="AJ208" s="192"/>
      <c r="AK208" s="194"/>
      <c r="AL208" s="192"/>
      <c r="AM208" s="141"/>
      <c r="AN208" s="141"/>
    </row>
    <row r="209" spans="3:40" x14ac:dyDescent="0.3">
      <c r="F209" s="110"/>
      <c r="H209" s="110"/>
      <c r="I209" s="110"/>
      <c r="J209" s="217"/>
      <c r="K209" s="217"/>
      <c r="L209" s="110"/>
      <c r="M209" s="110"/>
      <c r="N209" s="141"/>
      <c r="O209" s="141"/>
      <c r="P209" s="110"/>
      <c r="Q209" s="110"/>
      <c r="R209" s="110"/>
      <c r="V209" s="110"/>
      <c r="Y209" s="110"/>
      <c r="Z209" s="198"/>
      <c r="AA209" s="110"/>
      <c r="AB209" s="110"/>
      <c r="AC209" s="141"/>
      <c r="AD209" s="141"/>
      <c r="AE209" s="110"/>
      <c r="AF209" s="110"/>
      <c r="AH209" s="207"/>
      <c r="AI209" s="110"/>
      <c r="AJ209" s="110"/>
      <c r="AL209" s="110"/>
      <c r="AM209" s="141"/>
      <c r="AN209" s="141"/>
    </row>
    <row r="210" spans="3:40" x14ac:dyDescent="0.3">
      <c r="C210" s="99"/>
      <c r="F210" s="172"/>
      <c r="H210" s="172"/>
      <c r="I210" s="172"/>
      <c r="J210" s="181"/>
      <c r="K210" s="181"/>
      <c r="L210" s="110"/>
      <c r="M210" s="110"/>
      <c r="N210" s="141"/>
      <c r="O210" s="141"/>
      <c r="P210" s="110"/>
      <c r="Q210" s="110"/>
      <c r="R210" s="110"/>
      <c r="T210" s="99"/>
      <c r="V210" s="172"/>
      <c r="Y210" s="110"/>
      <c r="Z210" s="181"/>
      <c r="AA210" s="110"/>
      <c r="AB210" s="110"/>
      <c r="AC210" s="141"/>
      <c r="AD210" s="141"/>
      <c r="AE210" s="110"/>
      <c r="AF210" s="110"/>
      <c r="AG210" s="224"/>
      <c r="AH210" s="225"/>
      <c r="AI210" s="110"/>
      <c r="AJ210" s="110"/>
      <c r="AL210" s="110"/>
      <c r="AM210" s="226"/>
      <c r="AN210" s="226"/>
    </row>
    <row r="211" spans="3:40" x14ac:dyDescent="0.3">
      <c r="C211" s="99"/>
      <c r="F211" s="172"/>
      <c r="H211" s="172"/>
      <c r="I211" s="172"/>
      <c r="J211" s="181"/>
      <c r="K211" s="181"/>
      <c r="L211" s="110"/>
      <c r="M211" s="110"/>
      <c r="N211" s="141"/>
      <c r="O211" s="141"/>
      <c r="P211" s="110"/>
      <c r="Q211" s="110"/>
      <c r="R211" s="110"/>
      <c r="T211" s="99"/>
      <c r="V211" s="172"/>
      <c r="Y211" s="110"/>
      <c r="Z211" s="181"/>
      <c r="AA211" s="110"/>
      <c r="AB211" s="110"/>
      <c r="AC211" s="141"/>
      <c r="AD211" s="141"/>
      <c r="AE211" s="110"/>
      <c r="AF211" s="110"/>
      <c r="AH211" s="207"/>
      <c r="AI211" s="110"/>
      <c r="AJ211" s="110"/>
      <c r="AL211" s="110"/>
      <c r="AM211" s="141"/>
      <c r="AN211" s="141"/>
    </row>
    <row r="212" spans="3:40" x14ac:dyDescent="0.3">
      <c r="F212" s="110"/>
      <c r="H212" s="192"/>
      <c r="I212" s="192"/>
      <c r="J212" s="217"/>
      <c r="K212" s="217"/>
      <c r="L212" s="192"/>
      <c r="M212" s="192"/>
      <c r="N212" s="192"/>
      <c r="O212" s="192"/>
      <c r="P212" s="192"/>
      <c r="Q212" s="192"/>
      <c r="R212" s="192"/>
      <c r="V212" s="110"/>
      <c r="Y212" s="192"/>
      <c r="Z212" s="217"/>
      <c r="AA212" s="192"/>
      <c r="AB212" s="192"/>
      <c r="AC212" s="192"/>
      <c r="AD212" s="192"/>
      <c r="AE212" s="192"/>
      <c r="AF212" s="192"/>
      <c r="AI212" s="192"/>
      <c r="AJ212" s="192"/>
      <c r="AK212" s="194"/>
      <c r="AL212" s="192"/>
      <c r="AM212" s="141"/>
      <c r="AN212" s="141"/>
    </row>
    <row r="213" spans="3:40" x14ac:dyDescent="0.3">
      <c r="C213" s="99"/>
      <c r="F213" s="110"/>
      <c r="H213" s="110"/>
      <c r="I213" s="110"/>
      <c r="J213" s="217"/>
      <c r="K213" s="217"/>
      <c r="L213" s="110"/>
      <c r="M213" s="110"/>
      <c r="N213" s="141"/>
      <c r="O213" s="141"/>
      <c r="P213" s="110"/>
      <c r="Q213" s="110"/>
      <c r="R213" s="110"/>
      <c r="T213" s="99"/>
      <c r="V213" s="110"/>
      <c r="Y213" s="110"/>
      <c r="Z213" s="217"/>
      <c r="AA213" s="110"/>
      <c r="AB213" s="110"/>
      <c r="AC213" s="141"/>
      <c r="AD213" s="141"/>
      <c r="AE213" s="110"/>
      <c r="AF213" s="110"/>
      <c r="AH213" s="207"/>
      <c r="AI213" s="110"/>
      <c r="AJ213" s="110"/>
      <c r="AL213" s="110"/>
      <c r="AM213" s="141"/>
      <c r="AN213" s="141"/>
    </row>
    <row r="214" spans="3:40" x14ac:dyDescent="0.3">
      <c r="F214" s="110"/>
      <c r="H214" s="192"/>
      <c r="I214" s="192"/>
      <c r="J214" s="217"/>
      <c r="K214" s="217"/>
      <c r="L214" s="192"/>
      <c r="M214" s="192"/>
      <c r="N214" s="192"/>
      <c r="O214" s="192"/>
      <c r="P214" s="192"/>
      <c r="Q214" s="192"/>
      <c r="R214" s="192"/>
      <c r="V214" s="110"/>
      <c r="Y214" s="192"/>
      <c r="Z214" s="217"/>
      <c r="AA214" s="192"/>
      <c r="AB214" s="192"/>
      <c r="AC214" s="192"/>
      <c r="AD214" s="192"/>
      <c r="AE214" s="192"/>
      <c r="AF214" s="192"/>
      <c r="AI214" s="192"/>
      <c r="AJ214" s="192"/>
      <c r="AK214" s="194"/>
      <c r="AL214" s="192"/>
      <c r="AM214" s="141"/>
      <c r="AN214" s="141"/>
    </row>
    <row r="215" spans="3:40" x14ac:dyDescent="0.3">
      <c r="F215" s="110"/>
      <c r="H215" s="110"/>
      <c r="I215" s="110"/>
      <c r="J215" s="217"/>
      <c r="K215" s="217"/>
      <c r="L215" s="110"/>
      <c r="M215" s="110"/>
      <c r="N215" s="110"/>
      <c r="O215" s="110"/>
      <c r="P215" s="110"/>
      <c r="Q215" s="110"/>
      <c r="R215" s="110"/>
      <c r="V215" s="110"/>
      <c r="Y215" s="110"/>
      <c r="Z215" s="217"/>
      <c r="AA215" s="110"/>
      <c r="AB215" s="110"/>
      <c r="AC215" s="110"/>
      <c r="AD215" s="110"/>
      <c r="AE215" s="110"/>
      <c r="AF215" s="110"/>
      <c r="AH215" s="207"/>
      <c r="AI215" s="110"/>
      <c r="AJ215" s="110"/>
      <c r="AL215" s="110"/>
      <c r="AM215" s="141"/>
      <c r="AN215" s="141"/>
    </row>
    <row r="216" spans="3:40" x14ac:dyDescent="0.3">
      <c r="C216" s="99"/>
      <c r="F216" s="172"/>
      <c r="H216" s="172"/>
      <c r="I216" s="172"/>
      <c r="J216" s="222"/>
      <c r="K216" s="222"/>
      <c r="L216" s="110"/>
      <c r="M216" s="110"/>
      <c r="N216" s="141"/>
      <c r="O216" s="141"/>
      <c r="P216" s="172"/>
      <c r="Q216" s="172"/>
      <c r="R216" s="110"/>
      <c r="T216" s="99"/>
      <c r="V216" s="172"/>
      <c r="Y216" s="172"/>
      <c r="Z216" s="227"/>
      <c r="AA216" s="110"/>
      <c r="AB216" s="110"/>
      <c r="AC216" s="141"/>
      <c r="AD216" s="141"/>
      <c r="AE216" s="110"/>
      <c r="AF216" s="110"/>
      <c r="AH216" s="207"/>
      <c r="AI216" s="172"/>
      <c r="AJ216" s="172"/>
      <c r="AL216" s="110"/>
      <c r="AM216" s="141"/>
      <c r="AN216" s="141"/>
    </row>
    <row r="217" spans="3:40" x14ac:dyDescent="0.3">
      <c r="C217" s="99"/>
      <c r="F217" s="172"/>
      <c r="H217" s="172"/>
      <c r="I217" s="172"/>
      <c r="J217" s="222"/>
      <c r="K217" s="222"/>
      <c r="L217" s="110"/>
      <c r="M217" s="110"/>
      <c r="N217" s="141"/>
      <c r="O217" s="141"/>
      <c r="P217" s="172"/>
      <c r="Q217" s="172"/>
      <c r="R217" s="110"/>
      <c r="T217" s="99"/>
      <c r="V217" s="172"/>
      <c r="Y217" s="110"/>
      <c r="Z217" s="216"/>
      <c r="AA217" s="110"/>
      <c r="AB217" s="110"/>
      <c r="AC217" s="141"/>
      <c r="AD217" s="141"/>
      <c r="AE217" s="110"/>
      <c r="AF217" s="110"/>
      <c r="AH217" s="207"/>
      <c r="AI217" s="172"/>
      <c r="AJ217" s="172"/>
      <c r="AL217" s="110"/>
      <c r="AM217" s="141"/>
      <c r="AN217" s="141"/>
    </row>
    <row r="218" spans="3:40" x14ac:dyDescent="0.3">
      <c r="C218" s="99"/>
      <c r="F218" s="172"/>
      <c r="H218" s="172"/>
      <c r="I218" s="172"/>
      <c r="J218" s="222"/>
      <c r="K218" s="222"/>
      <c r="L218" s="110"/>
      <c r="M218" s="110"/>
      <c r="N218" s="141"/>
      <c r="O218" s="141"/>
      <c r="P218" s="172"/>
      <c r="Q218" s="172"/>
      <c r="R218" s="110"/>
      <c r="T218" s="99"/>
      <c r="V218" s="172"/>
      <c r="Y218" s="110"/>
      <c r="Z218" s="216"/>
      <c r="AA218" s="110"/>
      <c r="AB218" s="110"/>
      <c r="AC218" s="141"/>
      <c r="AD218" s="141"/>
      <c r="AE218" s="110"/>
      <c r="AF218" s="110"/>
      <c r="AH218" s="207"/>
      <c r="AI218" s="172"/>
      <c r="AJ218" s="172"/>
      <c r="AL218" s="110"/>
      <c r="AM218" s="141"/>
      <c r="AN218" s="141"/>
    </row>
    <row r="219" spans="3:40" x14ac:dyDescent="0.3">
      <c r="F219" s="192"/>
      <c r="H219" s="192"/>
      <c r="I219" s="192"/>
      <c r="J219" s="217"/>
      <c r="K219" s="217"/>
      <c r="L219" s="192"/>
      <c r="M219" s="192"/>
      <c r="N219" s="192"/>
      <c r="O219" s="192"/>
      <c r="P219" s="192"/>
      <c r="Q219" s="192"/>
      <c r="R219" s="192"/>
      <c r="V219" s="192"/>
      <c r="Y219" s="192"/>
      <c r="Z219" s="217"/>
      <c r="AA219" s="192"/>
      <c r="AB219" s="192"/>
      <c r="AC219" s="192"/>
      <c r="AD219" s="192"/>
      <c r="AE219" s="192"/>
      <c r="AF219" s="192"/>
      <c r="AI219" s="192"/>
      <c r="AJ219" s="192"/>
      <c r="AK219" s="194"/>
      <c r="AL219" s="192"/>
      <c r="AM219" s="141"/>
      <c r="AN219" s="141"/>
    </row>
    <row r="220" spans="3:40" x14ac:dyDescent="0.3">
      <c r="C220" s="99"/>
      <c r="F220" s="110"/>
      <c r="H220" s="110"/>
      <c r="I220" s="110"/>
      <c r="J220" s="198"/>
      <c r="K220" s="198"/>
      <c r="L220" s="110"/>
      <c r="M220" s="110"/>
      <c r="N220" s="141"/>
      <c r="O220" s="141"/>
      <c r="P220" s="110"/>
      <c r="Q220" s="110"/>
      <c r="R220" s="110"/>
      <c r="T220" s="99"/>
      <c r="V220" s="110"/>
      <c r="Y220" s="110"/>
      <c r="Z220" s="198"/>
      <c r="AA220" s="110"/>
      <c r="AB220" s="110"/>
      <c r="AC220" s="141"/>
      <c r="AD220" s="141"/>
      <c r="AE220" s="110"/>
      <c r="AF220" s="110"/>
      <c r="AH220" s="207"/>
      <c r="AI220" s="110"/>
      <c r="AJ220" s="110"/>
      <c r="AL220" s="110"/>
      <c r="AM220" s="141"/>
      <c r="AN220" s="141"/>
    </row>
    <row r="221" spans="3:40" x14ac:dyDescent="0.3">
      <c r="F221" s="192"/>
      <c r="H221" s="192"/>
      <c r="I221" s="192"/>
      <c r="J221" s="217"/>
      <c r="K221" s="217"/>
      <c r="L221" s="192"/>
      <c r="M221" s="192"/>
      <c r="N221" s="192"/>
      <c r="O221" s="192"/>
      <c r="P221" s="192"/>
      <c r="Q221" s="192"/>
      <c r="R221" s="192"/>
      <c r="V221" s="192"/>
      <c r="Y221" s="192"/>
      <c r="Z221" s="217"/>
      <c r="AA221" s="192"/>
      <c r="AB221" s="192"/>
      <c r="AC221" s="192"/>
      <c r="AD221" s="192"/>
      <c r="AE221" s="192"/>
      <c r="AF221" s="192"/>
      <c r="AI221" s="192"/>
      <c r="AJ221" s="192"/>
      <c r="AK221" s="194"/>
      <c r="AL221" s="192"/>
      <c r="AM221" s="141"/>
      <c r="AN221" s="141"/>
    </row>
    <row r="222" spans="3:40" x14ac:dyDescent="0.3">
      <c r="C222" s="99"/>
      <c r="F222" s="110"/>
      <c r="H222" s="110"/>
      <c r="I222" s="110"/>
      <c r="J222" s="198"/>
      <c r="K222" s="198"/>
      <c r="L222" s="110"/>
      <c r="M222" s="110"/>
      <c r="N222" s="141"/>
      <c r="O222" s="141"/>
      <c r="P222" s="110"/>
      <c r="Q222" s="110"/>
      <c r="R222" s="110"/>
      <c r="T222" s="99"/>
      <c r="V222" s="110"/>
      <c r="Y222" s="110"/>
      <c r="Z222" s="198"/>
      <c r="AA222" s="110"/>
      <c r="AB222" s="110"/>
      <c r="AC222" s="141"/>
      <c r="AD222" s="141"/>
      <c r="AE222" s="110"/>
      <c r="AF222" s="110"/>
      <c r="AH222" s="207"/>
      <c r="AI222" s="110"/>
      <c r="AJ222" s="110"/>
      <c r="AL222" s="110"/>
      <c r="AM222" s="141"/>
      <c r="AN222" s="141"/>
    </row>
    <row r="223" spans="3:40" x14ac:dyDescent="0.3">
      <c r="C223" s="99"/>
      <c r="F223" s="110"/>
      <c r="H223" s="110"/>
      <c r="I223" s="110"/>
      <c r="J223" s="198"/>
      <c r="K223" s="198"/>
      <c r="L223" s="110"/>
      <c r="M223" s="110"/>
      <c r="N223" s="141"/>
      <c r="O223" s="141"/>
      <c r="P223" s="110"/>
      <c r="Q223" s="110"/>
      <c r="R223" s="110"/>
      <c r="T223" s="99"/>
      <c r="V223" s="110"/>
      <c r="Y223" s="110"/>
      <c r="Z223" s="198"/>
      <c r="AA223" s="110"/>
      <c r="AB223" s="110"/>
      <c r="AC223" s="141"/>
      <c r="AD223" s="141"/>
      <c r="AE223" s="110"/>
      <c r="AF223" s="110"/>
      <c r="AH223" s="207"/>
      <c r="AI223" s="110"/>
      <c r="AJ223" s="110"/>
      <c r="AL223" s="110"/>
      <c r="AM223" s="141"/>
      <c r="AN223" s="141"/>
    </row>
    <row r="224" spans="3:40" x14ac:dyDescent="0.3">
      <c r="F224" s="192"/>
      <c r="H224" s="192"/>
      <c r="I224" s="192"/>
      <c r="J224" s="217"/>
      <c r="K224" s="217"/>
      <c r="L224" s="192"/>
      <c r="M224" s="192"/>
      <c r="N224" s="192"/>
      <c r="O224" s="192"/>
      <c r="P224" s="192"/>
      <c r="Q224" s="192"/>
      <c r="R224" s="192"/>
      <c r="V224" s="192"/>
      <c r="Y224" s="192"/>
      <c r="Z224" s="217"/>
      <c r="AA224" s="192"/>
      <c r="AB224" s="192"/>
      <c r="AC224" s="192"/>
      <c r="AD224" s="192"/>
      <c r="AE224" s="192"/>
      <c r="AF224" s="192"/>
      <c r="AI224" s="192"/>
      <c r="AJ224" s="192"/>
      <c r="AK224" s="194"/>
      <c r="AL224" s="192"/>
      <c r="AM224" s="110"/>
      <c r="AN224" s="110"/>
    </row>
    <row r="225" spans="1:40" x14ac:dyDescent="0.3">
      <c r="F225" s="110"/>
      <c r="H225" s="110"/>
      <c r="I225" s="110"/>
      <c r="J225" s="198"/>
      <c r="K225" s="198"/>
      <c r="L225" s="110"/>
      <c r="M225" s="110"/>
      <c r="N225" s="110"/>
      <c r="O225" s="110"/>
      <c r="P225" s="110"/>
      <c r="Q225" s="110"/>
      <c r="R225" s="110"/>
      <c r="V225" s="110"/>
      <c r="Y225" s="110"/>
      <c r="Z225" s="198"/>
      <c r="AA225" s="110"/>
      <c r="AB225" s="110"/>
      <c r="AC225" s="110"/>
      <c r="AD225" s="110"/>
    </row>
    <row r="226" spans="1:40" x14ac:dyDescent="0.3">
      <c r="C226" s="99"/>
      <c r="F226" s="110"/>
      <c r="H226" s="110"/>
      <c r="I226" s="110"/>
      <c r="J226" s="198"/>
      <c r="K226" s="198"/>
      <c r="L226" s="110"/>
      <c r="M226" s="110"/>
      <c r="N226" s="110"/>
      <c r="O226" s="110"/>
      <c r="P226" s="110"/>
      <c r="Q226" s="110"/>
      <c r="R226" s="110"/>
      <c r="T226" s="99"/>
      <c r="V226" s="110"/>
      <c r="Y226" s="110"/>
      <c r="Z226" s="198"/>
      <c r="AA226" s="110"/>
      <c r="AB226" s="110"/>
      <c r="AC226" s="110"/>
      <c r="AD226" s="110"/>
    </row>
    <row r="227" spans="1:40" x14ac:dyDescent="0.3">
      <c r="A227" s="99"/>
    </row>
    <row r="229" spans="1:40" x14ac:dyDescent="0.3">
      <c r="H229" s="99"/>
      <c r="I229" s="99"/>
      <c r="Y229" s="99"/>
    </row>
    <row r="231" spans="1:40" x14ac:dyDescent="0.3">
      <c r="L231" s="99"/>
      <c r="M231" s="99"/>
      <c r="AA231" s="99"/>
      <c r="AB231" s="99"/>
    </row>
    <row r="232" spans="1:40" x14ac:dyDescent="0.3">
      <c r="R232" s="99"/>
      <c r="AK232" s="190"/>
      <c r="AL232" s="99"/>
    </row>
    <row r="233" spans="1:40" x14ac:dyDescent="0.3">
      <c r="R233" s="99"/>
      <c r="AK233" s="190"/>
      <c r="AL233" s="99"/>
    </row>
    <row r="234" spans="1:40" x14ac:dyDescent="0.3">
      <c r="A234" s="99"/>
      <c r="R234" s="99"/>
      <c r="AK234" s="190"/>
      <c r="AL234" s="99"/>
    </row>
    <row r="235" spans="1:40" x14ac:dyDescent="0.3">
      <c r="L235" s="99"/>
      <c r="M235" s="99"/>
      <c r="AA235" s="99"/>
      <c r="AB235" s="99"/>
    </row>
    <row r="236" spans="1:40" x14ac:dyDescent="0.3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91"/>
      <c r="AH236" s="101"/>
      <c r="AI236" s="101"/>
      <c r="AJ236" s="101"/>
      <c r="AK236" s="191"/>
      <c r="AL236" s="101"/>
      <c r="AM236" s="101"/>
      <c r="AN236" s="101"/>
    </row>
    <row r="237" spans="1:40" x14ac:dyDescent="0.3">
      <c r="L237" s="102"/>
      <c r="M237" s="102"/>
      <c r="N237" s="102"/>
      <c r="O237" s="102"/>
      <c r="R237" s="102"/>
      <c r="AA237" s="102"/>
      <c r="AB237" s="102"/>
      <c r="AC237" s="102"/>
      <c r="AD237" s="102"/>
      <c r="AE237" s="102"/>
      <c r="AF237" s="102"/>
      <c r="AG237" s="151"/>
      <c r="AH237" s="102"/>
      <c r="AK237" s="151"/>
      <c r="AL237" s="102"/>
      <c r="AM237" s="102"/>
      <c r="AN237" s="102"/>
    </row>
    <row r="238" spans="1:40" x14ac:dyDescent="0.3">
      <c r="L238" s="102"/>
      <c r="M238" s="102"/>
      <c r="N238" s="102"/>
      <c r="O238" s="102"/>
      <c r="R238" s="102"/>
      <c r="Z238" s="102"/>
      <c r="AA238" s="102"/>
      <c r="AB238" s="102"/>
      <c r="AC238" s="102"/>
      <c r="AD238" s="102"/>
      <c r="AE238" s="102"/>
      <c r="AF238" s="102"/>
      <c r="AG238" s="151"/>
      <c r="AH238" s="102"/>
      <c r="AK238" s="151"/>
      <c r="AL238" s="102"/>
      <c r="AM238" s="102"/>
      <c r="AN238" s="102"/>
    </row>
    <row r="239" spans="1:40" x14ac:dyDescent="0.3">
      <c r="A239" s="102"/>
      <c r="C239" s="102"/>
      <c r="D239" s="102"/>
      <c r="E239" s="102"/>
      <c r="F239" s="102"/>
      <c r="J239" s="102"/>
      <c r="K239" s="102"/>
      <c r="L239" s="102"/>
      <c r="M239" s="102"/>
      <c r="N239" s="102"/>
      <c r="O239" s="102"/>
      <c r="P239" s="102"/>
      <c r="Q239" s="102"/>
      <c r="R239" s="102"/>
      <c r="T239" s="102"/>
      <c r="U239" s="102"/>
      <c r="V239" s="102"/>
      <c r="Z239" s="102"/>
      <c r="AA239" s="102"/>
      <c r="AB239" s="102"/>
      <c r="AC239" s="102"/>
      <c r="AD239" s="102"/>
      <c r="AE239" s="102"/>
      <c r="AF239" s="102"/>
      <c r="AG239" s="151"/>
      <c r="AH239" s="102"/>
      <c r="AI239" s="102"/>
      <c r="AJ239" s="102"/>
      <c r="AK239" s="151"/>
      <c r="AL239" s="102"/>
      <c r="AM239" s="102"/>
      <c r="AN239" s="102"/>
    </row>
    <row r="240" spans="1:40" x14ac:dyDescent="0.3">
      <c r="A240" s="102"/>
      <c r="C240" s="102"/>
      <c r="D240" s="102"/>
      <c r="E240" s="102"/>
      <c r="F240" s="102"/>
      <c r="H240" s="102"/>
      <c r="I240" s="102"/>
      <c r="J240" s="102"/>
      <c r="K240" s="102"/>
      <c r="L240" s="102"/>
      <c r="M240" s="102"/>
      <c r="N240" s="102"/>
      <c r="O240" s="102"/>
      <c r="P240" s="102"/>
      <c r="Q240" s="102"/>
      <c r="R240" s="102"/>
      <c r="T240" s="102"/>
      <c r="U240" s="102"/>
      <c r="V240" s="102"/>
      <c r="Y240" s="102"/>
      <c r="Z240" s="102"/>
      <c r="AA240" s="102"/>
      <c r="AB240" s="102"/>
      <c r="AC240" s="102"/>
      <c r="AD240" s="102"/>
      <c r="AE240" s="102"/>
      <c r="AF240" s="102"/>
      <c r="AG240" s="151"/>
      <c r="AH240" s="102"/>
      <c r="AI240" s="102"/>
      <c r="AJ240" s="102"/>
      <c r="AK240" s="151"/>
      <c r="AL240" s="102"/>
      <c r="AM240" s="102"/>
      <c r="AN240" s="102"/>
    </row>
    <row r="241" spans="1:40" x14ac:dyDescent="0.3">
      <c r="C241" s="102"/>
      <c r="D241" s="102"/>
      <c r="E241" s="102"/>
      <c r="F241" s="102"/>
      <c r="H241" s="102"/>
      <c r="I241" s="102"/>
      <c r="J241" s="102"/>
      <c r="K241" s="102"/>
      <c r="L241" s="102"/>
      <c r="M241" s="102"/>
      <c r="N241" s="102"/>
      <c r="O241" s="102"/>
      <c r="P241" s="102"/>
      <c r="Q241" s="102"/>
      <c r="R241" s="102"/>
      <c r="T241" s="102"/>
      <c r="U241" s="102"/>
      <c r="V241" s="102"/>
      <c r="Y241" s="102"/>
      <c r="Z241" s="102"/>
      <c r="AA241" s="102"/>
      <c r="AB241" s="102"/>
      <c r="AC241" s="102"/>
      <c r="AD241" s="102"/>
      <c r="AE241" s="102"/>
      <c r="AF241" s="102"/>
      <c r="AG241" s="151"/>
      <c r="AH241" s="102"/>
      <c r="AI241" s="102"/>
      <c r="AJ241" s="102"/>
      <c r="AK241" s="151"/>
      <c r="AL241" s="102"/>
      <c r="AM241" s="102"/>
      <c r="AN241" s="102"/>
    </row>
    <row r="242" spans="1:40" x14ac:dyDescent="0.3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91"/>
      <c r="AH242" s="101"/>
      <c r="AI242" s="101"/>
      <c r="AJ242" s="101"/>
      <c r="AK242" s="191"/>
      <c r="AL242" s="101"/>
      <c r="AM242" s="101"/>
      <c r="AN242" s="101"/>
    </row>
    <row r="243" spans="1:40" x14ac:dyDescent="0.3">
      <c r="H243" s="102"/>
      <c r="I243" s="102"/>
      <c r="J243" s="102"/>
      <c r="K243" s="102"/>
      <c r="L243" s="102"/>
      <c r="M243" s="102"/>
      <c r="N243" s="102"/>
      <c r="O243" s="102"/>
      <c r="P243" s="102"/>
      <c r="Q243" s="102"/>
      <c r="R243" s="102"/>
      <c r="Y243" s="102"/>
      <c r="Z243" s="102"/>
      <c r="AA243" s="102"/>
      <c r="AB243" s="102"/>
      <c r="AC243" s="102"/>
      <c r="AD243" s="102"/>
      <c r="AE243" s="102"/>
      <c r="AF243" s="102"/>
      <c r="AG243" s="151"/>
      <c r="AH243" s="102"/>
      <c r="AI243" s="102"/>
      <c r="AJ243" s="102"/>
      <c r="AK243" s="151"/>
      <c r="AL243" s="102"/>
      <c r="AM243" s="102"/>
      <c r="AN243" s="102"/>
    </row>
    <row r="244" spans="1:40" x14ac:dyDescent="0.3">
      <c r="C244" s="99"/>
      <c r="D244" s="99"/>
      <c r="E244" s="99"/>
      <c r="T244" s="99"/>
      <c r="U244" s="99"/>
    </row>
    <row r="246" spans="1:40" x14ac:dyDescent="0.3">
      <c r="C246" s="99"/>
      <c r="F246" s="172"/>
      <c r="H246" s="220"/>
      <c r="I246" s="220"/>
      <c r="J246" s="181"/>
      <c r="K246" s="181"/>
      <c r="L246" s="110"/>
      <c r="M246" s="110"/>
      <c r="R246" s="110"/>
      <c r="T246" s="99"/>
      <c r="V246" s="110"/>
      <c r="Z246" s="181"/>
      <c r="AA246" s="110"/>
      <c r="AB246" s="110"/>
      <c r="AE246" s="110"/>
      <c r="AF246" s="110"/>
      <c r="AG246" s="224"/>
      <c r="AH246" s="225"/>
      <c r="AI246" s="110"/>
      <c r="AJ246" s="110"/>
      <c r="AL246" s="110"/>
      <c r="AM246" s="226"/>
      <c r="AN246" s="226"/>
    </row>
    <row r="247" spans="1:40" x14ac:dyDescent="0.3">
      <c r="F247" s="172"/>
      <c r="H247" s="220"/>
      <c r="I247" s="220"/>
      <c r="J247" s="220"/>
      <c r="K247" s="220"/>
      <c r="R247" s="110"/>
      <c r="V247" s="110"/>
      <c r="Z247" s="220"/>
    </row>
    <row r="248" spans="1:40" x14ac:dyDescent="0.3">
      <c r="C248" s="99"/>
      <c r="F248" s="172"/>
      <c r="H248" s="172"/>
      <c r="I248" s="172"/>
      <c r="J248" s="222"/>
      <c r="K248" s="222"/>
      <c r="L248" s="110"/>
      <c r="M248" s="110"/>
      <c r="N248" s="141"/>
      <c r="O248" s="141"/>
      <c r="P248" s="172"/>
      <c r="Q248" s="172"/>
      <c r="R248" s="110"/>
      <c r="T248" s="99"/>
      <c r="V248" s="110"/>
      <c r="Y248" s="110"/>
      <c r="Z248" s="216"/>
      <c r="AA248" s="110"/>
      <c r="AB248" s="110"/>
      <c r="AC248" s="141"/>
      <c r="AD248" s="141"/>
      <c r="AE248" s="110"/>
      <c r="AF248" s="110"/>
      <c r="AH248" s="207"/>
      <c r="AI248" s="172"/>
      <c r="AJ248" s="172"/>
      <c r="AL248" s="110"/>
      <c r="AM248" s="141"/>
      <c r="AN248" s="141"/>
    </row>
    <row r="249" spans="1:40" x14ac:dyDescent="0.3">
      <c r="F249" s="192"/>
      <c r="H249" s="192"/>
      <c r="I249" s="192"/>
      <c r="J249" s="217"/>
      <c r="K249" s="217"/>
      <c r="L249" s="192"/>
      <c r="M249" s="192"/>
      <c r="N249" s="192"/>
      <c r="O249" s="192"/>
      <c r="P249" s="192"/>
      <c r="Q249" s="192"/>
      <c r="R249" s="192"/>
      <c r="V249" s="192"/>
      <c r="Y249" s="192"/>
      <c r="Z249" s="217"/>
      <c r="AA249" s="192"/>
      <c r="AB249" s="192"/>
      <c r="AC249" s="192"/>
      <c r="AD249" s="192"/>
      <c r="AE249" s="192"/>
      <c r="AF249" s="192"/>
      <c r="AI249" s="192"/>
      <c r="AJ249" s="192"/>
      <c r="AK249" s="194"/>
      <c r="AL249" s="192"/>
    </row>
    <row r="250" spans="1:40" x14ac:dyDescent="0.3">
      <c r="D250" s="99"/>
      <c r="E250" s="99"/>
      <c r="F250" s="110"/>
      <c r="H250" s="110"/>
      <c r="I250" s="110"/>
      <c r="J250" s="198"/>
      <c r="K250" s="198"/>
      <c r="L250" s="110"/>
      <c r="M250" s="110"/>
      <c r="N250" s="141"/>
      <c r="O250" s="141"/>
      <c r="P250" s="110"/>
      <c r="Q250" s="110"/>
      <c r="R250" s="110"/>
      <c r="U250" s="99"/>
      <c r="V250" s="110"/>
      <c r="Y250" s="110"/>
      <c r="Z250" s="198"/>
      <c r="AA250" s="110"/>
      <c r="AB250" s="110"/>
      <c r="AC250" s="141"/>
      <c r="AD250" s="141"/>
      <c r="AE250" s="110"/>
      <c r="AF250" s="110"/>
      <c r="AH250" s="207"/>
      <c r="AI250" s="110"/>
      <c r="AJ250" s="110"/>
      <c r="AL250" s="110"/>
      <c r="AM250" s="141"/>
      <c r="AN250" s="141"/>
    </row>
    <row r="251" spans="1:40" x14ac:dyDescent="0.3">
      <c r="F251" s="192"/>
      <c r="H251" s="192"/>
      <c r="I251" s="192"/>
      <c r="J251" s="217"/>
      <c r="K251" s="217"/>
      <c r="L251" s="192"/>
      <c r="M251" s="192"/>
      <c r="N251" s="192"/>
      <c r="O251" s="192"/>
      <c r="P251" s="192"/>
      <c r="Q251" s="192"/>
      <c r="R251" s="192"/>
      <c r="V251" s="192"/>
      <c r="Y251" s="192"/>
      <c r="Z251" s="217"/>
      <c r="AA251" s="192"/>
      <c r="AB251" s="192"/>
      <c r="AC251" s="192"/>
      <c r="AD251" s="192"/>
      <c r="AE251" s="192"/>
      <c r="AF251" s="192"/>
      <c r="AI251" s="192"/>
      <c r="AJ251" s="192"/>
      <c r="AK251" s="194"/>
      <c r="AL251" s="192"/>
    </row>
    <row r="252" spans="1:40" x14ac:dyDescent="0.3">
      <c r="R252" s="110"/>
    </row>
    <row r="253" spans="1:40" x14ac:dyDescent="0.3">
      <c r="R253" s="110"/>
    </row>
    <row r="254" spans="1:40" x14ac:dyDescent="0.3">
      <c r="R254" s="110"/>
    </row>
    <row r="255" spans="1:40" x14ac:dyDescent="0.3">
      <c r="C255" s="99"/>
      <c r="D255" s="99"/>
      <c r="E255" s="99"/>
      <c r="H255" s="110"/>
      <c r="I255" s="110"/>
      <c r="J255" s="198"/>
      <c r="K255" s="198"/>
      <c r="L255" s="110"/>
      <c r="M255" s="110"/>
      <c r="N255" s="141"/>
      <c r="O255" s="141"/>
      <c r="P255" s="110"/>
      <c r="Q255" s="110"/>
      <c r="R255" s="110"/>
      <c r="T255" s="99"/>
      <c r="U255" s="99"/>
      <c r="Y255" s="110"/>
      <c r="Z255" s="198"/>
      <c r="AA255" s="110"/>
      <c r="AB255" s="110"/>
      <c r="AC255" s="141"/>
      <c r="AD255" s="141"/>
    </row>
    <row r="256" spans="1:40" x14ac:dyDescent="0.3">
      <c r="H256" s="110"/>
      <c r="I256" s="110"/>
      <c r="J256" s="198"/>
      <c r="K256" s="198"/>
      <c r="L256" s="110"/>
      <c r="M256" s="110"/>
      <c r="N256" s="141"/>
      <c r="O256" s="141"/>
      <c r="P256" s="110"/>
      <c r="Q256" s="110"/>
      <c r="R256" s="110"/>
      <c r="Y256" s="110"/>
      <c r="Z256" s="198"/>
      <c r="AA256" s="110"/>
      <c r="AB256" s="110"/>
      <c r="AC256" s="141"/>
      <c r="AD256" s="141"/>
    </row>
    <row r="257" spans="1:40" x14ac:dyDescent="0.3">
      <c r="C257" s="99"/>
      <c r="F257" s="172"/>
      <c r="H257" s="172"/>
      <c r="I257" s="172"/>
      <c r="J257" s="208"/>
      <c r="K257" s="208"/>
      <c r="L257" s="172"/>
      <c r="M257" s="172"/>
      <c r="N257" s="141"/>
      <c r="O257" s="141"/>
      <c r="P257" s="110"/>
      <c r="Q257" s="110"/>
      <c r="R257" s="110"/>
      <c r="T257" s="99"/>
      <c r="V257" s="110"/>
      <c r="Y257" s="110"/>
      <c r="Z257" s="208"/>
      <c r="AA257" s="110"/>
      <c r="AB257" s="110"/>
      <c r="AC257" s="141"/>
      <c r="AD257" s="141"/>
      <c r="AE257" s="110"/>
      <c r="AF257" s="110"/>
      <c r="AH257" s="207"/>
      <c r="AI257" s="110"/>
      <c r="AJ257" s="110"/>
      <c r="AL257" s="110"/>
      <c r="AM257" s="141"/>
      <c r="AN257" s="141"/>
    </row>
    <row r="258" spans="1:40" x14ac:dyDescent="0.3">
      <c r="F258" s="172"/>
      <c r="H258" s="220"/>
      <c r="I258" s="220"/>
      <c r="J258" s="220"/>
      <c r="K258" s="220"/>
      <c r="R258" s="110"/>
      <c r="V258" s="110"/>
      <c r="Z258" s="220"/>
    </row>
    <row r="259" spans="1:40" x14ac:dyDescent="0.3">
      <c r="C259" s="99"/>
      <c r="F259" s="172"/>
      <c r="H259" s="172"/>
      <c r="I259" s="172"/>
      <c r="J259" s="181"/>
      <c r="K259" s="181"/>
      <c r="L259" s="110"/>
      <c r="M259" s="110"/>
      <c r="N259" s="141"/>
      <c r="O259" s="141"/>
      <c r="P259" s="110"/>
      <c r="Q259" s="110"/>
      <c r="R259" s="110"/>
      <c r="T259" s="99"/>
      <c r="V259" s="110"/>
      <c r="Y259" s="110"/>
      <c r="Z259" s="181"/>
      <c r="AA259" s="110"/>
      <c r="AB259" s="110"/>
      <c r="AC259" s="141"/>
      <c r="AD259" s="141"/>
      <c r="AE259" s="110"/>
      <c r="AF259" s="110"/>
      <c r="AH259" s="207"/>
      <c r="AI259" s="110"/>
      <c r="AJ259" s="110"/>
      <c r="AL259" s="110"/>
      <c r="AM259" s="141"/>
      <c r="AN259" s="141"/>
    </row>
    <row r="260" spans="1:40" x14ac:dyDescent="0.3">
      <c r="F260" s="172"/>
      <c r="H260" s="220"/>
      <c r="I260" s="220"/>
      <c r="J260" s="220"/>
      <c r="K260" s="220"/>
      <c r="R260" s="110"/>
      <c r="V260" s="110"/>
      <c r="Z260" s="220"/>
    </row>
    <row r="261" spans="1:40" x14ac:dyDescent="0.3">
      <c r="C261" s="99"/>
      <c r="F261" s="172"/>
      <c r="H261" s="172"/>
      <c r="I261" s="172"/>
      <c r="J261" s="222"/>
      <c r="K261" s="222"/>
      <c r="L261" s="110"/>
      <c r="M261" s="110"/>
      <c r="N261" s="141"/>
      <c r="O261" s="141"/>
      <c r="P261" s="110"/>
      <c r="Q261" s="110"/>
      <c r="R261" s="110"/>
      <c r="T261" s="99"/>
      <c r="V261" s="110"/>
      <c r="Y261" s="110"/>
      <c r="Z261" s="216"/>
      <c r="AA261" s="110"/>
      <c r="AB261" s="110"/>
      <c r="AC261" s="141"/>
      <c r="AD261" s="141"/>
      <c r="AE261" s="110"/>
      <c r="AF261" s="110"/>
      <c r="AH261" s="207"/>
      <c r="AI261" s="110"/>
      <c r="AJ261" s="110"/>
      <c r="AL261" s="110"/>
      <c r="AM261" s="141"/>
      <c r="AN261" s="141"/>
    </row>
    <row r="262" spans="1:40" x14ac:dyDescent="0.3">
      <c r="F262" s="192"/>
      <c r="H262" s="192"/>
      <c r="I262" s="192"/>
      <c r="J262" s="217"/>
      <c r="K262" s="217"/>
      <c r="L262" s="192"/>
      <c r="M262" s="192"/>
      <c r="N262" s="192"/>
      <c r="O262" s="192"/>
      <c r="P262" s="192"/>
      <c r="Q262" s="192"/>
      <c r="R262" s="192"/>
      <c r="S262" s="110"/>
      <c r="V262" s="192"/>
      <c r="Y262" s="192"/>
      <c r="Z262" s="217"/>
      <c r="AA262" s="192"/>
      <c r="AB262" s="192"/>
      <c r="AC262" s="192"/>
      <c r="AD262" s="192"/>
      <c r="AE262" s="192"/>
      <c r="AF262" s="192"/>
      <c r="AI262" s="192"/>
      <c r="AJ262" s="192"/>
      <c r="AK262" s="194"/>
      <c r="AL262" s="192"/>
    </row>
    <row r="263" spans="1:40" x14ac:dyDescent="0.3">
      <c r="D263" s="99"/>
      <c r="E263" s="99"/>
      <c r="F263" s="110"/>
      <c r="H263" s="110"/>
      <c r="I263" s="110"/>
      <c r="J263" s="198"/>
      <c r="K263" s="198"/>
      <c r="L263" s="110"/>
      <c r="M263" s="110"/>
      <c r="N263" s="141"/>
      <c r="O263" s="141"/>
      <c r="P263" s="172"/>
      <c r="Q263" s="172"/>
      <c r="R263" s="110"/>
      <c r="S263" s="110"/>
      <c r="U263" s="99"/>
      <c r="V263" s="110"/>
      <c r="Y263" s="110"/>
      <c r="Z263" s="198"/>
      <c r="AA263" s="110"/>
      <c r="AB263" s="110"/>
      <c r="AC263" s="141"/>
      <c r="AD263" s="141"/>
      <c r="AE263" s="110"/>
      <c r="AF263" s="110"/>
      <c r="AH263" s="207"/>
      <c r="AI263" s="172"/>
      <c r="AJ263" s="172"/>
      <c r="AL263" s="110"/>
      <c r="AM263" s="141"/>
      <c r="AN263" s="141"/>
    </row>
    <row r="264" spans="1:40" x14ac:dyDescent="0.3">
      <c r="F264" s="192"/>
      <c r="H264" s="192"/>
      <c r="I264" s="192"/>
      <c r="J264" s="217"/>
      <c r="K264" s="217"/>
      <c r="L264" s="192"/>
      <c r="M264" s="192"/>
      <c r="N264" s="192"/>
      <c r="O264" s="192"/>
      <c r="P264" s="192"/>
      <c r="Q264" s="192"/>
      <c r="R264" s="192"/>
      <c r="S264" s="110"/>
      <c r="V264" s="192"/>
      <c r="Y264" s="192"/>
      <c r="Z264" s="217"/>
      <c r="AA264" s="192"/>
      <c r="AB264" s="192"/>
      <c r="AC264" s="192"/>
      <c r="AD264" s="192"/>
      <c r="AE264" s="192"/>
      <c r="AF264" s="192"/>
      <c r="AI264" s="192"/>
      <c r="AJ264" s="192"/>
      <c r="AK264" s="194"/>
      <c r="AL264" s="192"/>
    </row>
    <row r="265" spans="1:40" x14ac:dyDescent="0.3">
      <c r="R265" s="110"/>
    </row>
    <row r="266" spans="1:40" x14ac:dyDescent="0.3">
      <c r="F266" s="110"/>
      <c r="H266" s="110"/>
      <c r="I266" s="110"/>
      <c r="J266" s="198"/>
      <c r="K266" s="198"/>
      <c r="L266" s="110"/>
      <c r="M266" s="110"/>
      <c r="N266" s="110"/>
      <c r="O266" s="110"/>
      <c r="P266" s="110"/>
      <c r="Q266" s="110"/>
      <c r="R266" s="110"/>
      <c r="V266" s="110"/>
      <c r="Y266" s="110"/>
      <c r="Z266" s="198"/>
      <c r="AA266" s="110"/>
      <c r="AB266" s="110"/>
      <c r="AC266" s="110"/>
      <c r="AD266" s="110"/>
    </row>
    <row r="267" spans="1:40" x14ac:dyDescent="0.3">
      <c r="C267" s="99"/>
      <c r="F267" s="110"/>
      <c r="H267" s="110"/>
      <c r="I267" s="110"/>
      <c r="J267" s="198"/>
      <c r="K267" s="198"/>
      <c r="L267" s="110"/>
      <c r="M267" s="110"/>
      <c r="N267" s="110"/>
      <c r="O267" s="110"/>
      <c r="P267" s="110"/>
      <c r="Q267" s="110"/>
      <c r="R267" s="110"/>
      <c r="T267" s="99"/>
      <c r="V267" s="110"/>
      <c r="Y267" s="110"/>
      <c r="Z267" s="198"/>
      <c r="AA267" s="110"/>
      <c r="AB267" s="110"/>
      <c r="AC267" s="110"/>
      <c r="AD267" s="110"/>
    </row>
    <row r="268" spans="1:40" x14ac:dyDescent="0.3">
      <c r="C268" s="99"/>
      <c r="T268" s="99"/>
    </row>
    <row r="269" spans="1:40" x14ac:dyDescent="0.3">
      <c r="A269" s="99"/>
    </row>
    <row r="272" spans="1:40" x14ac:dyDescent="0.3">
      <c r="H272" s="99"/>
      <c r="I272" s="99"/>
      <c r="Y272" s="99"/>
    </row>
    <row r="274" spans="1:40" x14ac:dyDescent="0.3">
      <c r="L274" s="99"/>
      <c r="M274" s="99"/>
      <c r="AA274" s="99"/>
      <c r="AB274" s="99"/>
    </row>
    <row r="275" spans="1:40" x14ac:dyDescent="0.3">
      <c r="R275" s="99"/>
      <c r="AK275" s="190"/>
      <c r="AL275" s="99"/>
    </row>
    <row r="276" spans="1:40" x14ac:dyDescent="0.3">
      <c r="R276" s="99"/>
      <c r="AK276" s="190"/>
      <c r="AL276" s="99"/>
    </row>
    <row r="277" spans="1:40" x14ac:dyDescent="0.3">
      <c r="A277" s="99"/>
      <c r="R277" s="99"/>
      <c r="AK277" s="190"/>
      <c r="AL277" s="99"/>
    </row>
    <row r="278" spans="1:40" x14ac:dyDescent="0.3">
      <c r="L278" s="99"/>
      <c r="M278" s="99"/>
      <c r="AA278" s="99"/>
      <c r="AB278" s="99"/>
    </row>
    <row r="279" spans="1:40" x14ac:dyDescent="0.3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91"/>
      <c r="AH279" s="101"/>
      <c r="AI279" s="101"/>
      <c r="AJ279" s="101"/>
      <c r="AK279" s="191"/>
      <c r="AL279" s="101"/>
      <c r="AM279" s="101"/>
      <c r="AN279" s="101"/>
    </row>
    <row r="280" spans="1:40" x14ac:dyDescent="0.3">
      <c r="L280" s="102"/>
      <c r="M280" s="102"/>
      <c r="N280" s="102"/>
      <c r="O280" s="102"/>
      <c r="R280" s="102"/>
      <c r="AA280" s="102"/>
      <c r="AB280" s="102"/>
      <c r="AC280" s="102"/>
      <c r="AD280" s="102"/>
      <c r="AE280" s="102"/>
      <c r="AF280" s="102"/>
      <c r="AG280" s="151"/>
      <c r="AH280" s="102"/>
      <c r="AK280" s="151"/>
      <c r="AL280" s="102"/>
      <c r="AM280" s="102"/>
      <c r="AN280" s="102"/>
    </row>
    <row r="281" spans="1:40" x14ac:dyDescent="0.3">
      <c r="L281" s="102"/>
      <c r="M281" s="102"/>
      <c r="N281" s="102"/>
      <c r="O281" s="102"/>
      <c r="R281" s="102"/>
      <c r="Z281" s="102"/>
      <c r="AA281" s="102"/>
      <c r="AB281" s="102"/>
      <c r="AC281" s="102"/>
      <c r="AD281" s="102"/>
      <c r="AE281" s="102"/>
      <c r="AF281" s="102"/>
      <c r="AG281" s="151"/>
      <c r="AH281" s="102"/>
      <c r="AK281" s="151"/>
      <c r="AL281" s="102"/>
      <c r="AM281" s="102"/>
      <c r="AN281" s="102"/>
    </row>
    <row r="282" spans="1:40" x14ac:dyDescent="0.3">
      <c r="A282" s="102"/>
      <c r="C282" s="102"/>
      <c r="D282" s="102"/>
      <c r="E282" s="102"/>
      <c r="F282" s="102"/>
      <c r="J282" s="102"/>
      <c r="K282" s="102"/>
      <c r="L282" s="102"/>
      <c r="M282" s="102"/>
      <c r="N282" s="102"/>
      <c r="O282" s="102"/>
      <c r="P282" s="102"/>
      <c r="Q282" s="102"/>
      <c r="R282" s="102"/>
      <c r="T282" s="102"/>
      <c r="U282" s="102"/>
      <c r="V282" s="102"/>
      <c r="Z282" s="102"/>
      <c r="AA282" s="102"/>
      <c r="AB282" s="102"/>
      <c r="AC282" s="102"/>
      <c r="AD282" s="102"/>
      <c r="AE282" s="102"/>
      <c r="AF282" s="102"/>
      <c r="AG282" s="151"/>
      <c r="AH282" s="102"/>
      <c r="AI282" s="102"/>
      <c r="AJ282" s="102"/>
      <c r="AK282" s="151"/>
      <c r="AL282" s="102"/>
      <c r="AM282" s="102"/>
      <c r="AN282" s="102"/>
    </row>
    <row r="283" spans="1:40" x14ac:dyDescent="0.3">
      <c r="A283" s="102"/>
      <c r="C283" s="102"/>
      <c r="D283" s="102"/>
      <c r="E283" s="102"/>
      <c r="F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T283" s="102"/>
      <c r="U283" s="102"/>
      <c r="V283" s="102"/>
      <c r="Y283" s="102"/>
      <c r="Z283" s="102"/>
      <c r="AA283" s="102"/>
      <c r="AB283" s="102"/>
      <c r="AC283" s="102"/>
      <c r="AD283" s="102"/>
      <c r="AE283" s="102"/>
      <c r="AF283" s="102"/>
      <c r="AG283" s="151"/>
      <c r="AH283" s="102"/>
      <c r="AI283" s="102"/>
      <c r="AJ283" s="102"/>
      <c r="AK283" s="151"/>
      <c r="AL283" s="102"/>
      <c r="AM283" s="102"/>
      <c r="AN283" s="102"/>
    </row>
    <row r="284" spans="1:40" x14ac:dyDescent="0.3">
      <c r="C284" s="102"/>
      <c r="D284" s="102"/>
      <c r="E284" s="102"/>
      <c r="F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T284" s="102"/>
      <c r="U284" s="102"/>
      <c r="V284" s="102"/>
      <c r="Y284" s="102"/>
      <c r="Z284" s="102"/>
      <c r="AA284" s="102"/>
      <c r="AB284" s="102"/>
      <c r="AC284" s="102"/>
      <c r="AD284" s="102"/>
      <c r="AE284" s="102"/>
      <c r="AF284" s="102"/>
      <c r="AG284" s="151"/>
      <c r="AH284" s="102"/>
      <c r="AI284" s="102"/>
      <c r="AJ284" s="102"/>
      <c r="AK284" s="151"/>
      <c r="AL284" s="102"/>
      <c r="AM284" s="102"/>
      <c r="AN284" s="102"/>
    </row>
    <row r="285" spans="1:40" x14ac:dyDescent="0.3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91"/>
      <c r="AH285" s="101"/>
      <c r="AI285" s="101"/>
      <c r="AJ285" s="101"/>
      <c r="AK285" s="191"/>
      <c r="AL285" s="101"/>
      <c r="AM285" s="101"/>
      <c r="AN285" s="101"/>
    </row>
    <row r="286" spans="1:40" x14ac:dyDescent="0.3"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Y286" s="102"/>
      <c r="Z286" s="102"/>
      <c r="AA286" s="102"/>
      <c r="AB286" s="102"/>
      <c r="AC286" s="102"/>
      <c r="AD286" s="102"/>
      <c r="AE286" s="102"/>
      <c r="AF286" s="102"/>
      <c r="AG286" s="151"/>
      <c r="AH286" s="102"/>
      <c r="AI286" s="102"/>
      <c r="AJ286" s="102"/>
      <c r="AK286" s="151"/>
      <c r="AL286" s="102"/>
      <c r="AM286" s="102"/>
      <c r="AN286" s="102"/>
    </row>
    <row r="287" spans="1:40" x14ac:dyDescent="0.3">
      <c r="C287" s="99"/>
      <c r="D287" s="99"/>
      <c r="E287" s="99"/>
      <c r="T287" s="99"/>
      <c r="U287" s="99"/>
    </row>
    <row r="288" spans="1:40" x14ac:dyDescent="0.3">
      <c r="D288" s="99"/>
      <c r="E288" s="99"/>
      <c r="U288" s="99"/>
    </row>
    <row r="290" spans="3:40" x14ac:dyDescent="0.3">
      <c r="C290" s="99"/>
      <c r="F290" s="110"/>
      <c r="J290" s="209"/>
      <c r="K290" s="209"/>
      <c r="L290" s="110"/>
      <c r="M290" s="110"/>
      <c r="R290" s="110"/>
      <c r="T290" s="99"/>
      <c r="V290" s="110"/>
      <c r="Z290" s="209"/>
      <c r="AA290" s="110"/>
      <c r="AB290" s="110"/>
      <c r="AL290" s="110"/>
    </row>
    <row r="291" spans="3:40" x14ac:dyDescent="0.3">
      <c r="F291" s="110"/>
      <c r="R291" s="110"/>
      <c r="V291" s="110"/>
      <c r="AL291" s="110"/>
    </row>
    <row r="292" spans="3:40" x14ac:dyDescent="0.3">
      <c r="C292" s="99"/>
      <c r="F292" s="172"/>
      <c r="H292" s="172"/>
      <c r="I292" s="172"/>
      <c r="J292" s="181"/>
      <c r="K292" s="181"/>
      <c r="L292" s="110"/>
      <c r="M292" s="110"/>
      <c r="N292" s="141"/>
      <c r="O292" s="141"/>
      <c r="P292" s="110"/>
      <c r="Q292" s="110"/>
      <c r="R292" s="110"/>
      <c r="T292" s="99"/>
      <c r="V292" s="110"/>
      <c r="Y292" s="110"/>
      <c r="Z292" s="181"/>
      <c r="AA292" s="110"/>
      <c r="AB292" s="110"/>
      <c r="AC292" s="141"/>
      <c r="AD292" s="141"/>
      <c r="AE292" s="110"/>
      <c r="AF292" s="110"/>
      <c r="AH292" s="207"/>
      <c r="AI292" s="110"/>
      <c r="AJ292" s="110"/>
      <c r="AL292" s="110"/>
      <c r="AM292" s="141"/>
      <c r="AN292" s="141"/>
    </row>
    <row r="293" spans="3:40" x14ac:dyDescent="0.3">
      <c r="C293" s="99"/>
      <c r="F293" s="172"/>
      <c r="H293" s="220"/>
      <c r="I293" s="220"/>
      <c r="J293" s="181"/>
      <c r="K293" s="181"/>
      <c r="L293" s="110"/>
      <c r="M293" s="110"/>
      <c r="N293" s="141"/>
      <c r="O293" s="141"/>
      <c r="P293" s="110"/>
      <c r="Q293" s="110"/>
      <c r="R293" s="110"/>
      <c r="T293" s="99"/>
      <c r="V293" s="110"/>
      <c r="Y293" s="110"/>
      <c r="Z293" s="181"/>
      <c r="AA293" s="110"/>
      <c r="AB293" s="110"/>
      <c r="AC293" s="141"/>
      <c r="AD293" s="141"/>
      <c r="AE293" s="110"/>
      <c r="AF293" s="110"/>
      <c r="AH293" s="207"/>
      <c r="AI293" s="110"/>
      <c r="AJ293" s="110"/>
      <c r="AL293" s="110"/>
      <c r="AM293" s="141"/>
      <c r="AN293" s="141"/>
    </row>
    <row r="294" spans="3:40" x14ac:dyDescent="0.3">
      <c r="F294" s="192"/>
      <c r="H294" s="110"/>
      <c r="I294" s="110"/>
      <c r="J294" s="217"/>
      <c r="K294" s="217"/>
      <c r="L294" s="192"/>
      <c r="M294" s="192"/>
      <c r="N294" s="192"/>
      <c r="O294" s="192"/>
      <c r="P294" s="192"/>
      <c r="Q294" s="192"/>
      <c r="R294" s="192"/>
      <c r="V294" s="192"/>
      <c r="Y294" s="110"/>
      <c r="Z294" s="217"/>
      <c r="AA294" s="192"/>
      <c r="AB294" s="192"/>
      <c r="AC294" s="192"/>
      <c r="AD294" s="192"/>
      <c r="AE294" s="192"/>
      <c r="AF294" s="192"/>
      <c r="AI294" s="192"/>
      <c r="AJ294" s="192"/>
      <c r="AK294" s="194"/>
      <c r="AL294" s="192"/>
    </row>
    <row r="295" spans="3:40" x14ac:dyDescent="0.3">
      <c r="C295" s="99"/>
      <c r="F295" s="110"/>
      <c r="H295" s="110"/>
      <c r="I295" s="110"/>
      <c r="J295" s="198"/>
      <c r="K295" s="198"/>
      <c r="L295" s="110"/>
      <c r="M295" s="110"/>
      <c r="N295" s="141"/>
      <c r="O295" s="141"/>
      <c r="P295" s="110"/>
      <c r="Q295" s="110"/>
      <c r="R295" s="110"/>
      <c r="T295" s="99"/>
      <c r="V295" s="110"/>
      <c r="Y295" s="110"/>
      <c r="Z295" s="198"/>
      <c r="AA295" s="110"/>
      <c r="AB295" s="110"/>
      <c r="AC295" s="141"/>
      <c r="AD295" s="141"/>
      <c r="AE295" s="110"/>
      <c r="AF295" s="110"/>
      <c r="AH295" s="207"/>
      <c r="AI295" s="110"/>
      <c r="AJ295" s="110"/>
      <c r="AL295" s="110"/>
      <c r="AM295" s="141"/>
      <c r="AN295" s="141"/>
    </row>
    <row r="296" spans="3:40" x14ac:dyDescent="0.3">
      <c r="F296" s="192"/>
      <c r="H296" s="110"/>
      <c r="I296" s="110"/>
      <c r="J296" s="217"/>
      <c r="K296" s="217"/>
      <c r="L296" s="192"/>
      <c r="M296" s="192"/>
      <c r="N296" s="192"/>
      <c r="O296" s="192"/>
      <c r="P296" s="192"/>
      <c r="Q296" s="192"/>
      <c r="R296" s="192"/>
      <c r="V296" s="192"/>
      <c r="Y296" s="110"/>
      <c r="Z296" s="217"/>
      <c r="AA296" s="192"/>
      <c r="AB296" s="192"/>
      <c r="AC296" s="192"/>
      <c r="AD296" s="192"/>
      <c r="AE296" s="192"/>
      <c r="AF296" s="192"/>
      <c r="AI296" s="192"/>
      <c r="AJ296" s="192"/>
      <c r="AK296" s="194"/>
      <c r="AL296" s="192"/>
    </row>
    <row r="297" spans="3:40" x14ac:dyDescent="0.3">
      <c r="F297" s="110"/>
      <c r="R297" s="110"/>
      <c r="V297" s="110"/>
      <c r="AL297" s="110"/>
    </row>
    <row r="298" spans="3:40" x14ac:dyDescent="0.3">
      <c r="C298" s="99"/>
      <c r="F298" s="110"/>
      <c r="R298" s="110"/>
      <c r="T298" s="99"/>
      <c r="V298" s="110"/>
      <c r="AL298" s="110"/>
    </row>
    <row r="299" spans="3:40" x14ac:dyDescent="0.3">
      <c r="F299" s="110"/>
      <c r="R299" s="110"/>
      <c r="V299" s="110"/>
      <c r="AL299" s="110"/>
    </row>
    <row r="300" spans="3:40" x14ac:dyDescent="0.3">
      <c r="C300" s="99"/>
      <c r="F300" s="110"/>
      <c r="H300" s="172"/>
      <c r="I300" s="172"/>
      <c r="J300" s="222"/>
      <c r="K300" s="222"/>
      <c r="L300" s="110"/>
      <c r="M300" s="110"/>
      <c r="N300" s="141"/>
      <c r="O300" s="141"/>
      <c r="P300" s="172"/>
      <c r="Q300" s="172"/>
      <c r="R300" s="110"/>
      <c r="T300" s="99"/>
      <c r="V300" s="110"/>
      <c r="Y300" s="110"/>
      <c r="Z300" s="216"/>
      <c r="AA300" s="110"/>
      <c r="AB300" s="110"/>
      <c r="AC300" s="141"/>
      <c r="AD300" s="141"/>
      <c r="AE300" s="110"/>
      <c r="AF300" s="110"/>
      <c r="AH300" s="207"/>
      <c r="AI300" s="172"/>
      <c r="AJ300" s="172"/>
      <c r="AL300" s="110"/>
      <c r="AM300" s="141"/>
      <c r="AN300" s="141"/>
    </row>
    <row r="301" spans="3:40" x14ac:dyDescent="0.3">
      <c r="F301" s="192"/>
      <c r="H301" s="192"/>
      <c r="I301" s="192"/>
      <c r="J301" s="217"/>
      <c r="K301" s="217"/>
      <c r="L301" s="192"/>
      <c r="M301" s="192"/>
      <c r="N301" s="192"/>
      <c r="O301" s="192"/>
      <c r="P301" s="192"/>
      <c r="Q301" s="192"/>
      <c r="R301" s="192"/>
      <c r="V301" s="192"/>
      <c r="Y301" s="192"/>
      <c r="Z301" s="217"/>
      <c r="AA301" s="192"/>
      <c r="AB301" s="192"/>
      <c r="AC301" s="192"/>
      <c r="AD301" s="192"/>
      <c r="AE301" s="192"/>
      <c r="AF301" s="192"/>
      <c r="AI301" s="192"/>
      <c r="AJ301" s="192"/>
      <c r="AK301" s="194"/>
      <c r="AL301" s="192"/>
    </row>
    <row r="303" spans="3:40" x14ac:dyDescent="0.3">
      <c r="C303" s="99"/>
      <c r="F303" s="110"/>
      <c r="H303" s="110"/>
      <c r="I303" s="110"/>
      <c r="J303" s="209"/>
      <c r="K303" s="209"/>
      <c r="L303" s="110"/>
      <c r="M303" s="110"/>
      <c r="N303" s="141"/>
      <c r="O303" s="141"/>
      <c r="P303" s="110"/>
      <c r="Q303" s="110"/>
      <c r="R303" s="110"/>
      <c r="T303" s="99"/>
      <c r="V303" s="110"/>
      <c r="Y303" s="110"/>
      <c r="Z303" s="209"/>
      <c r="AA303" s="110"/>
      <c r="AB303" s="110"/>
      <c r="AC303" s="141"/>
      <c r="AD303" s="141"/>
      <c r="AE303" s="110"/>
      <c r="AF303" s="110"/>
      <c r="AH303" s="207"/>
      <c r="AI303" s="110"/>
      <c r="AJ303" s="110"/>
      <c r="AL303" s="110"/>
      <c r="AM303" s="141"/>
      <c r="AN303" s="141"/>
    </row>
    <row r="304" spans="3:40" x14ac:dyDescent="0.3">
      <c r="F304" s="192"/>
      <c r="H304" s="192"/>
      <c r="I304" s="192"/>
      <c r="J304" s="217"/>
      <c r="K304" s="217"/>
      <c r="L304" s="192"/>
      <c r="M304" s="192"/>
      <c r="N304" s="192"/>
      <c r="O304" s="192"/>
      <c r="P304" s="192"/>
      <c r="Q304" s="192"/>
      <c r="R304" s="192"/>
      <c r="V304" s="192"/>
      <c r="Y304" s="192"/>
      <c r="Z304" s="217"/>
      <c r="AA304" s="192"/>
      <c r="AB304" s="192"/>
      <c r="AC304" s="192"/>
      <c r="AD304" s="192"/>
      <c r="AE304" s="192"/>
      <c r="AF304" s="192"/>
      <c r="AI304" s="192"/>
      <c r="AJ304" s="192"/>
      <c r="AK304" s="194"/>
      <c r="AL304" s="192"/>
    </row>
    <row r="305" spans="1:40" x14ac:dyDescent="0.3">
      <c r="R305" s="110"/>
      <c r="AH305" s="110"/>
    </row>
    <row r="306" spans="1:40" x14ac:dyDescent="0.3">
      <c r="F306" s="110"/>
      <c r="H306" s="110"/>
      <c r="I306" s="110"/>
      <c r="J306" s="198"/>
      <c r="K306" s="198"/>
      <c r="L306" s="110"/>
      <c r="M306" s="110"/>
      <c r="N306" s="110"/>
      <c r="O306" s="110"/>
      <c r="P306" s="110"/>
      <c r="Q306" s="110"/>
      <c r="R306" s="110"/>
      <c r="V306" s="110"/>
      <c r="Y306" s="110"/>
      <c r="Z306" s="198"/>
      <c r="AA306" s="110"/>
      <c r="AB306" s="110"/>
      <c r="AC306" s="110"/>
      <c r="AD306" s="110"/>
      <c r="AE306" s="110"/>
      <c r="AF306" s="110"/>
      <c r="AH306" s="110"/>
    </row>
    <row r="307" spans="1:40" x14ac:dyDescent="0.3">
      <c r="C307" s="99"/>
      <c r="F307" s="110"/>
      <c r="H307" s="110"/>
      <c r="I307" s="110"/>
      <c r="J307" s="198"/>
      <c r="K307" s="198"/>
      <c r="L307" s="110"/>
      <c r="M307" s="110"/>
      <c r="N307" s="110"/>
      <c r="O307" s="110"/>
      <c r="P307" s="110"/>
      <c r="Q307" s="110"/>
      <c r="R307" s="110"/>
      <c r="T307" s="99"/>
      <c r="V307" s="110"/>
      <c r="Y307" s="110"/>
      <c r="Z307" s="198"/>
      <c r="AA307" s="110"/>
      <c r="AB307" s="110"/>
      <c r="AC307" s="110"/>
      <c r="AD307" s="110"/>
      <c r="AE307" s="110"/>
      <c r="AF307" s="110"/>
      <c r="AH307" s="110"/>
    </row>
    <row r="308" spans="1:40" x14ac:dyDescent="0.3">
      <c r="A308" s="99"/>
    </row>
    <row r="311" spans="1:40" x14ac:dyDescent="0.3">
      <c r="H311" s="99"/>
      <c r="I311" s="99"/>
      <c r="Y311" s="99"/>
    </row>
    <row r="313" spans="1:40" x14ac:dyDescent="0.3">
      <c r="L313" s="99"/>
      <c r="M313" s="99"/>
      <c r="AA313" s="99"/>
      <c r="AB313" s="99"/>
    </row>
    <row r="314" spans="1:40" x14ac:dyDescent="0.3">
      <c r="R314" s="99"/>
      <c r="AK314" s="190"/>
      <c r="AL314" s="99"/>
    </row>
    <row r="315" spans="1:40" x14ac:dyDescent="0.3">
      <c r="R315" s="99"/>
      <c r="AK315" s="190"/>
      <c r="AL315" s="99"/>
    </row>
    <row r="316" spans="1:40" x14ac:dyDescent="0.3">
      <c r="A316" s="99"/>
      <c r="R316" s="99"/>
      <c r="AK316" s="190"/>
      <c r="AL316" s="99"/>
    </row>
    <row r="317" spans="1:40" x14ac:dyDescent="0.3">
      <c r="L317" s="99"/>
      <c r="M317" s="99"/>
      <c r="AA317" s="99"/>
      <c r="AB317" s="99"/>
    </row>
    <row r="318" spans="1:40" x14ac:dyDescent="0.3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91"/>
      <c r="AH318" s="101"/>
      <c r="AI318" s="101"/>
      <c r="AJ318" s="101"/>
      <c r="AK318" s="191"/>
      <c r="AL318" s="101"/>
      <c r="AM318" s="101"/>
      <c r="AN318" s="101"/>
    </row>
    <row r="319" spans="1:40" x14ac:dyDescent="0.3">
      <c r="L319" s="102"/>
      <c r="M319" s="102"/>
      <c r="N319" s="102"/>
      <c r="O319" s="102"/>
      <c r="R319" s="102"/>
      <c r="AA319" s="102"/>
      <c r="AB319" s="102"/>
      <c r="AC319" s="102"/>
      <c r="AD319" s="102"/>
      <c r="AE319" s="102"/>
      <c r="AF319" s="102"/>
      <c r="AG319" s="151"/>
      <c r="AH319" s="102"/>
      <c r="AK319" s="151"/>
      <c r="AL319" s="102"/>
      <c r="AM319" s="102"/>
      <c r="AN319" s="102"/>
    </row>
    <row r="320" spans="1:40" x14ac:dyDescent="0.3">
      <c r="L320" s="102"/>
      <c r="M320" s="102"/>
      <c r="N320" s="102"/>
      <c r="O320" s="102"/>
      <c r="R320" s="102"/>
      <c r="Z320" s="102"/>
      <c r="AA320" s="102"/>
      <c r="AB320" s="102"/>
      <c r="AC320" s="102"/>
      <c r="AD320" s="102"/>
      <c r="AE320" s="102"/>
      <c r="AF320" s="102"/>
      <c r="AG320" s="151"/>
      <c r="AH320" s="102"/>
      <c r="AK320" s="151"/>
      <c r="AL320" s="102"/>
      <c r="AM320" s="102"/>
      <c r="AN320" s="102"/>
    </row>
    <row r="321" spans="1:40" x14ac:dyDescent="0.3">
      <c r="A321" s="102"/>
      <c r="C321" s="102"/>
      <c r="D321" s="102"/>
      <c r="E321" s="102"/>
      <c r="F321" s="102"/>
      <c r="J321" s="102"/>
      <c r="K321" s="102"/>
      <c r="L321" s="102"/>
      <c r="M321" s="102"/>
      <c r="N321" s="102"/>
      <c r="O321" s="102"/>
      <c r="P321" s="102"/>
      <c r="Q321" s="102"/>
      <c r="R321" s="102"/>
      <c r="T321" s="102"/>
      <c r="U321" s="102"/>
      <c r="V321" s="102"/>
      <c r="Z321" s="102"/>
      <c r="AA321" s="102"/>
      <c r="AB321" s="102"/>
      <c r="AC321" s="102"/>
      <c r="AD321" s="102"/>
      <c r="AE321" s="102"/>
      <c r="AF321" s="102"/>
      <c r="AG321" s="151"/>
      <c r="AH321" s="102"/>
      <c r="AI321" s="102"/>
      <c r="AJ321" s="102"/>
      <c r="AK321" s="151"/>
      <c r="AL321" s="102"/>
      <c r="AM321" s="102"/>
      <c r="AN321" s="102"/>
    </row>
    <row r="322" spans="1:40" x14ac:dyDescent="0.3">
      <c r="A322" s="102"/>
      <c r="C322" s="102"/>
      <c r="D322" s="102"/>
      <c r="E322" s="102"/>
      <c r="F322" s="102"/>
      <c r="H322" s="102"/>
      <c r="I322" s="102"/>
      <c r="J322" s="102"/>
      <c r="K322" s="102"/>
      <c r="L322" s="102"/>
      <c r="M322" s="102"/>
      <c r="N322" s="102"/>
      <c r="O322" s="102"/>
      <c r="P322" s="102"/>
      <c r="Q322" s="102"/>
      <c r="R322" s="102"/>
      <c r="T322" s="102"/>
      <c r="U322" s="102"/>
      <c r="V322" s="102"/>
      <c r="Y322" s="102"/>
      <c r="Z322" s="102"/>
      <c r="AA322" s="102"/>
      <c r="AB322" s="102"/>
      <c r="AC322" s="102"/>
      <c r="AD322" s="102"/>
      <c r="AE322" s="102"/>
      <c r="AF322" s="102"/>
      <c r="AG322" s="151"/>
      <c r="AH322" s="102"/>
      <c r="AI322" s="102"/>
      <c r="AJ322" s="102"/>
      <c r="AK322" s="151"/>
      <c r="AL322" s="102"/>
      <c r="AM322" s="102"/>
      <c r="AN322" s="102"/>
    </row>
    <row r="323" spans="1:40" x14ac:dyDescent="0.3">
      <c r="C323" s="102"/>
      <c r="D323" s="102"/>
      <c r="E323" s="102"/>
      <c r="F323" s="102"/>
      <c r="H323" s="102"/>
      <c r="I323" s="102"/>
      <c r="J323" s="102"/>
      <c r="K323" s="102"/>
      <c r="L323" s="102"/>
      <c r="M323" s="102"/>
      <c r="N323" s="102"/>
      <c r="O323" s="102"/>
      <c r="P323" s="102"/>
      <c r="Q323" s="102"/>
      <c r="R323" s="102"/>
      <c r="T323" s="102"/>
      <c r="U323" s="102"/>
      <c r="V323" s="102"/>
      <c r="Y323" s="102"/>
      <c r="Z323" s="102"/>
      <c r="AA323" s="102"/>
      <c r="AB323" s="102"/>
      <c r="AC323" s="102"/>
      <c r="AD323" s="102"/>
      <c r="AE323" s="102"/>
      <c r="AF323" s="102"/>
      <c r="AG323" s="151"/>
      <c r="AH323" s="102"/>
      <c r="AI323" s="102"/>
      <c r="AJ323" s="102"/>
      <c r="AK323" s="151"/>
      <c r="AL323" s="102"/>
      <c r="AM323" s="102"/>
      <c r="AN323" s="102"/>
    </row>
    <row r="324" spans="1:40" x14ac:dyDescent="0.3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T324" s="101"/>
      <c r="U324" s="101"/>
      <c r="V324" s="101"/>
      <c r="W324" s="101"/>
      <c r="X324" s="101"/>
      <c r="Y324" s="101"/>
      <c r="Z324" s="101"/>
      <c r="AA324" s="101"/>
      <c r="AB324" s="101"/>
      <c r="AC324" s="101"/>
      <c r="AD324" s="101"/>
      <c r="AE324" s="101"/>
      <c r="AF324" s="101"/>
      <c r="AG324" s="191"/>
      <c r="AH324" s="101"/>
      <c r="AI324" s="101"/>
      <c r="AJ324" s="101"/>
      <c r="AK324" s="191"/>
      <c r="AL324" s="101"/>
      <c r="AM324" s="101"/>
      <c r="AN324" s="101"/>
    </row>
    <row r="325" spans="1:40" x14ac:dyDescent="0.3">
      <c r="H325" s="102"/>
      <c r="I325" s="102"/>
      <c r="J325" s="102"/>
      <c r="K325" s="102"/>
      <c r="L325" s="102"/>
      <c r="M325" s="102"/>
      <c r="N325" s="102"/>
      <c r="O325" s="102"/>
      <c r="P325" s="102"/>
      <c r="Q325" s="102"/>
      <c r="R325" s="102"/>
      <c r="Y325" s="102"/>
      <c r="Z325" s="102"/>
      <c r="AA325" s="102"/>
      <c r="AB325" s="102"/>
      <c r="AC325" s="102"/>
      <c r="AD325" s="102"/>
      <c r="AE325" s="102"/>
      <c r="AF325" s="102"/>
      <c r="AG325" s="151"/>
      <c r="AH325" s="102"/>
      <c r="AI325" s="102"/>
      <c r="AJ325" s="102"/>
      <c r="AK325" s="151"/>
      <c r="AL325" s="102"/>
      <c r="AM325" s="102"/>
      <c r="AN325" s="102"/>
    </row>
    <row r="326" spans="1:40" x14ac:dyDescent="0.3">
      <c r="C326" s="99"/>
      <c r="D326" s="99"/>
      <c r="E326" s="99"/>
      <c r="T326" s="99"/>
      <c r="U326" s="99"/>
    </row>
    <row r="327" spans="1:40" x14ac:dyDescent="0.3">
      <c r="C327" s="99"/>
      <c r="T327" s="99"/>
    </row>
    <row r="329" spans="1:40" x14ac:dyDescent="0.3">
      <c r="C329" s="99"/>
      <c r="F329" s="172"/>
      <c r="H329" s="172"/>
      <c r="I329" s="172"/>
      <c r="J329" s="181"/>
      <c r="K329" s="181"/>
      <c r="L329" s="110"/>
      <c r="M329" s="110"/>
      <c r="N329" s="141"/>
      <c r="O329" s="141"/>
      <c r="R329" s="110"/>
      <c r="T329" s="99"/>
      <c r="V329" s="110"/>
      <c r="Y329" s="172"/>
      <c r="Z329" s="181"/>
      <c r="AA329" s="110"/>
      <c r="AB329" s="110"/>
      <c r="AC329" s="141"/>
      <c r="AD329" s="141"/>
      <c r="AE329" s="110"/>
      <c r="AF329" s="110"/>
      <c r="AH329" s="207"/>
      <c r="AL329" s="110"/>
      <c r="AM329" s="141"/>
      <c r="AN329" s="141"/>
    </row>
    <row r="330" spans="1:40" x14ac:dyDescent="0.3">
      <c r="F330" s="192"/>
      <c r="H330" s="110"/>
      <c r="I330" s="110"/>
      <c r="J330" s="217"/>
      <c r="K330" s="217"/>
      <c r="L330" s="192"/>
      <c r="M330" s="192"/>
      <c r="N330" s="192"/>
      <c r="O330" s="192"/>
      <c r="P330" s="192"/>
      <c r="Q330" s="192"/>
      <c r="R330" s="192"/>
      <c r="V330" s="192"/>
      <c r="Y330" s="110"/>
      <c r="Z330" s="217"/>
      <c r="AA330" s="192"/>
      <c r="AB330" s="192"/>
      <c r="AC330" s="192"/>
      <c r="AD330" s="192"/>
      <c r="AE330" s="192"/>
      <c r="AF330" s="192"/>
      <c r="AI330" s="192"/>
      <c r="AJ330" s="192"/>
      <c r="AK330" s="194"/>
      <c r="AL330" s="192"/>
      <c r="AM330" s="141"/>
      <c r="AN330" s="141"/>
    </row>
    <row r="331" spans="1:40" x14ac:dyDescent="0.3">
      <c r="C331" s="99"/>
      <c r="F331" s="172"/>
      <c r="H331" s="172"/>
      <c r="I331" s="172"/>
      <c r="J331" s="227"/>
      <c r="K331" s="227"/>
      <c r="L331" s="110"/>
      <c r="M331" s="110"/>
      <c r="N331" s="141"/>
      <c r="O331" s="141"/>
      <c r="P331" s="110"/>
      <c r="Q331" s="110"/>
      <c r="R331" s="110"/>
      <c r="S331" s="110"/>
      <c r="T331" s="99"/>
      <c r="V331" s="172"/>
      <c r="Y331" s="172"/>
      <c r="Z331" s="227"/>
      <c r="AA331" s="110"/>
      <c r="AB331" s="110"/>
      <c r="AC331" s="141"/>
      <c r="AD331" s="141"/>
      <c r="AE331" s="110"/>
      <c r="AF331" s="110"/>
      <c r="AH331" s="141"/>
      <c r="AI331" s="110"/>
      <c r="AJ331" s="110"/>
      <c r="AL331" s="110"/>
      <c r="AM331" s="141"/>
      <c r="AN331" s="141"/>
    </row>
    <row r="332" spans="1:40" x14ac:dyDescent="0.3">
      <c r="C332" s="99"/>
      <c r="F332" s="172"/>
      <c r="H332" s="172"/>
      <c r="I332" s="172"/>
      <c r="J332" s="181"/>
      <c r="K332" s="181"/>
      <c r="L332" s="110"/>
      <c r="M332" s="110"/>
      <c r="N332" s="141"/>
      <c r="O332" s="141"/>
      <c r="P332" s="110"/>
      <c r="Q332" s="110"/>
      <c r="R332" s="110"/>
      <c r="T332" s="99"/>
      <c r="V332" s="172"/>
      <c r="Y332" s="110"/>
      <c r="Z332" s="181"/>
      <c r="AA332" s="110"/>
      <c r="AB332" s="110"/>
      <c r="AC332" s="141"/>
      <c r="AD332" s="141"/>
      <c r="AE332" s="110"/>
      <c r="AF332" s="110"/>
      <c r="AH332" s="207"/>
      <c r="AI332" s="110"/>
      <c r="AJ332" s="110"/>
      <c r="AL332" s="110"/>
      <c r="AM332" s="141"/>
      <c r="AN332" s="141"/>
    </row>
    <row r="333" spans="1:40" x14ac:dyDescent="0.3">
      <c r="C333" s="99"/>
      <c r="F333" s="172"/>
      <c r="H333" s="172"/>
      <c r="I333" s="172"/>
      <c r="J333" s="181"/>
      <c r="K333" s="181"/>
      <c r="L333" s="110"/>
      <c r="M333" s="110"/>
      <c r="N333" s="141"/>
      <c r="O333" s="141"/>
      <c r="P333" s="110"/>
      <c r="Q333" s="110"/>
      <c r="R333" s="110"/>
      <c r="T333" s="99"/>
      <c r="V333" s="172"/>
      <c r="Y333" s="110"/>
      <c r="Z333" s="181"/>
      <c r="AA333" s="110"/>
      <c r="AB333" s="110"/>
      <c r="AC333" s="141"/>
      <c r="AD333" s="141"/>
      <c r="AE333" s="110"/>
      <c r="AF333" s="110"/>
      <c r="AH333" s="207"/>
      <c r="AI333" s="110"/>
      <c r="AJ333" s="110"/>
      <c r="AL333" s="110"/>
      <c r="AM333" s="141"/>
      <c r="AN333" s="141"/>
    </row>
    <row r="334" spans="1:40" x14ac:dyDescent="0.3">
      <c r="F334" s="192"/>
      <c r="H334" s="192"/>
      <c r="I334" s="192"/>
      <c r="J334" s="217"/>
      <c r="K334" s="217"/>
      <c r="L334" s="192"/>
      <c r="M334" s="192"/>
      <c r="N334" s="192"/>
      <c r="O334" s="192"/>
      <c r="P334" s="192"/>
      <c r="Q334" s="192"/>
      <c r="R334" s="192"/>
      <c r="V334" s="192"/>
      <c r="Y334" s="192"/>
      <c r="Z334" s="217"/>
      <c r="AA334" s="192"/>
      <c r="AB334" s="192"/>
      <c r="AC334" s="192"/>
      <c r="AD334" s="192"/>
      <c r="AE334" s="192"/>
      <c r="AF334" s="192"/>
      <c r="AI334" s="192"/>
      <c r="AJ334" s="192"/>
      <c r="AK334" s="194"/>
      <c r="AL334" s="192"/>
      <c r="AM334" s="141"/>
      <c r="AN334" s="141"/>
    </row>
    <row r="335" spans="1:40" x14ac:dyDescent="0.3">
      <c r="C335" s="99"/>
      <c r="F335" s="110"/>
      <c r="H335" s="110"/>
      <c r="I335" s="110"/>
      <c r="J335" s="198"/>
      <c r="K335" s="198"/>
      <c r="L335" s="110"/>
      <c r="M335" s="110"/>
      <c r="N335" s="141"/>
      <c r="O335" s="141"/>
      <c r="P335" s="110"/>
      <c r="Q335" s="110"/>
      <c r="R335" s="110"/>
      <c r="T335" s="99"/>
      <c r="V335" s="110"/>
      <c r="Y335" s="110"/>
      <c r="Z335" s="198"/>
      <c r="AA335" s="110"/>
      <c r="AB335" s="110"/>
      <c r="AC335" s="141"/>
      <c r="AD335" s="141"/>
      <c r="AE335" s="110"/>
      <c r="AF335" s="110"/>
      <c r="AH335" s="207"/>
      <c r="AI335" s="110"/>
      <c r="AJ335" s="110"/>
      <c r="AL335" s="110"/>
      <c r="AM335" s="141"/>
      <c r="AN335" s="141"/>
    </row>
    <row r="336" spans="1:40" x14ac:dyDescent="0.3">
      <c r="F336" s="192"/>
      <c r="H336" s="192"/>
      <c r="I336" s="192"/>
      <c r="J336" s="217"/>
      <c r="K336" s="217"/>
      <c r="L336" s="192"/>
      <c r="M336" s="192"/>
      <c r="N336" s="192"/>
      <c r="O336" s="192"/>
      <c r="P336" s="192"/>
      <c r="Q336" s="192"/>
      <c r="R336" s="192"/>
      <c r="V336" s="192"/>
      <c r="Y336" s="192"/>
      <c r="Z336" s="217"/>
      <c r="AA336" s="192"/>
      <c r="AB336" s="192"/>
      <c r="AC336" s="192"/>
      <c r="AD336" s="192"/>
      <c r="AE336" s="192"/>
      <c r="AF336" s="192"/>
      <c r="AI336" s="192"/>
      <c r="AJ336" s="192"/>
      <c r="AK336" s="194"/>
      <c r="AL336" s="192"/>
      <c r="AM336" s="141"/>
      <c r="AN336" s="141"/>
    </row>
    <row r="337" spans="3:40" x14ac:dyDescent="0.3">
      <c r="C337" s="99"/>
      <c r="F337" s="110"/>
      <c r="H337" s="110"/>
      <c r="I337" s="110"/>
      <c r="J337" s="198"/>
      <c r="K337" s="198"/>
      <c r="L337" s="110"/>
      <c r="M337" s="110"/>
      <c r="N337" s="141"/>
      <c r="O337" s="141"/>
      <c r="P337" s="110"/>
      <c r="Q337" s="110"/>
      <c r="R337" s="110"/>
      <c r="T337" s="99"/>
      <c r="V337" s="110"/>
      <c r="Y337" s="110"/>
      <c r="Z337" s="198"/>
      <c r="AA337" s="110"/>
      <c r="AB337" s="110"/>
      <c r="AC337" s="141"/>
      <c r="AD337" s="141"/>
      <c r="AE337" s="110"/>
      <c r="AF337" s="110"/>
      <c r="AH337" s="207"/>
      <c r="AI337" s="110"/>
      <c r="AJ337" s="110"/>
      <c r="AL337" s="110"/>
      <c r="AM337" s="141"/>
      <c r="AN337" s="141"/>
    </row>
    <row r="338" spans="3:40" x14ac:dyDescent="0.3">
      <c r="C338" s="99"/>
      <c r="F338" s="110"/>
      <c r="H338" s="172"/>
      <c r="I338" s="172"/>
      <c r="J338" s="222"/>
      <c r="K338" s="222"/>
      <c r="L338" s="110"/>
      <c r="M338" s="110"/>
      <c r="N338" s="141"/>
      <c r="O338" s="141"/>
      <c r="P338" s="110"/>
      <c r="Q338" s="110"/>
      <c r="R338" s="110"/>
      <c r="T338" s="99"/>
      <c r="V338" s="110"/>
      <c r="Y338" s="110"/>
      <c r="Z338" s="216"/>
      <c r="AA338" s="110"/>
      <c r="AB338" s="110"/>
      <c r="AC338" s="141"/>
      <c r="AD338" s="141"/>
      <c r="AE338" s="110"/>
      <c r="AF338" s="110"/>
      <c r="AH338" s="207"/>
      <c r="AI338" s="110"/>
      <c r="AJ338" s="110"/>
      <c r="AL338" s="110"/>
      <c r="AM338" s="141"/>
      <c r="AN338" s="141"/>
    </row>
    <row r="339" spans="3:40" x14ac:dyDescent="0.3">
      <c r="F339" s="192"/>
      <c r="H339" s="192"/>
      <c r="I339" s="192"/>
      <c r="J339" s="217"/>
      <c r="K339" s="217"/>
      <c r="L339" s="192"/>
      <c r="M339" s="192"/>
      <c r="N339" s="192"/>
      <c r="O339" s="192"/>
      <c r="P339" s="192"/>
      <c r="Q339" s="192"/>
      <c r="R339" s="192"/>
      <c r="V339" s="192"/>
      <c r="Y339" s="192"/>
      <c r="Z339" s="217"/>
      <c r="AA339" s="192"/>
      <c r="AB339" s="192"/>
      <c r="AC339" s="192"/>
      <c r="AD339" s="192"/>
      <c r="AE339" s="192"/>
      <c r="AF339" s="192"/>
      <c r="AI339" s="192"/>
      <c r="AJ339" s="192"/>
      <c r="AK339" s="194"/>
      <c r="AL339" s="192"/>
      <c r="AM339" s="141"/>
      <c r="AN339" s="141"/>
    </row>
    <row r="341" spans="3:40" x14ac:dyDescent="0.3">
      <c r="C341" s="99"/>
      <c r="F341" s="110"/>
      <c r="H341" s="110"/>
      <c r="I341" s="110"/>
      <c r="J341" s="217"/>
      <c r="K341" s="217"/>
      <c r="L341" s="110"/>
      <c r="M341" s="110"/>
      <c r="N341" s="141"/>
      <c r="O341" s="141"/>
      <c r="P341" s="110"/>
      <c r="Q341" s="110"/>
      <c r="R341" s="110"/>
      <c r="S341" s="110"/>
      <c r="T341" s="99"/>
      <c r="V341" s="110"/>
      <c r="Y341" s="110"/>
      <c r="Z341" s="217"/>
      <c r="AA341" s="110"/>
      <c r="AB341" s="110"/>
      <c r="AC341" s="141"/>
      <c r="AD341" s="141"/>
      <c r="AE341" s="110"/>
      <c r="AF341" s="110"/>
      <c r="AH341" s="141"/>
      <c r="AI341" s="110"/>
      <c r="AJ341" s="110"/>
      <c r="AL341" s="110"/>
      <c r="AM341" s="141"/>
      <c r="AN341" s="141"/>
    </row>
    <row r="342" spans="3:40" x14ac:dyDescent="0.3">
      <c r="F342" s="192"/>
      <c r="H342" s="192"/>
      <c r="I342" s="192"/>
      <c r="J342" s="217"/>
      <c r="K342" s="217"/>
      <c r="L342" s="192"/>
      <c r="M342" s="192"/>
      <c r="N342" s="192"/>
      <c r="O342" s="192"/>
      <c r="P342" s="192"/>
      <c r="Q342" s="192"/>
      <c r="R342" s="192"/>
      <c r="S342" s="110"/>
      <c r="V342" s="192"/>
      <c r="Y342" s="192"/>
      <c r="Z342" s="217"/>
      <c r="AA342" s="192"/>
      <c r="AB342" s="192"/>
      <c r="AC342" s="192"/>
      <c r="AD342" s="192"/>
      <c r="AE342" s="192"/>
      <c r="AF342" s="192"/>
      <c r="AI342" s="192"/>
      <c r="AJ342" s="192"/>
      <c r="AK342" s="194"/>
      <c r="AL342" s="192"/>
      <c r="AM342" s="141"/>
      <c r="AN342" s="141"/>
    </row>
    <row r="343" spans="3:40" x14ac:dyDescent="0.3">
      <c r="C343" s="99"/>
      <c r="F343" s="172"/>
      <c r="H343" s="172"/>
      <c r="I343" s="172"/>
      <c r="J343" s="217"/>
      <c r="K343" s="217"/>
      <c r="L343" s="110"/>
      <c r="M343" s="110"/>
      <c r="N343" s="141"/>
      <c r="O343" s="141"/>
      <c r="P343" s="110"/>
      <c r="Q343" s="110"/>
      <c r="R343" s="110"/>
      <c r="S343" s="110"/>
      <c r="T343" s="99"/>
      <c r="V343" s="172"/>
      <c r="Y343" s="172"/>
      <c r="Z343" s="217"/>
      <c r="AA343" s="110"/>
      <c r="AB343" s="110"/>
      <c r="AC343" s="141"/>
      <c r="AD343" s="141"/>
      <c r="AE343" s="110"/>
      <c r="AF343" s="110"/>
      <c r="AI343" s="110"/>
      <c r="AJ343" s="110"/>
      <c r="AL343" s="110"/>
      <c r="AM343" s="141"/>
      <c r="AN343" s="141"/>
    </row>
    <row r="345" spans="3:40" x14ac:dyDescent="0.3">
      <c r="C345" s="99"/>
      <c r="F345" s="172"/>
      <c r="H345" s="172"/>
      <c r="I345" s="172"/>
      <c r="J345" s="181"/>
      <c r="K345" s="181"/>
      <c r="L345" s="110"/>
      <c r="M345" s="110"/>
      <c r="N345" s="141"/>
      <c r="O345" s="141"/>
      <c r="R345" s="110"/>
      <c r="T345" s="99"/>
      <c r="V345" s="110"/>
      <c r="Y345" s="172"/>
      <c r="Z345" s="181"/>
      <c r="AA345" s="110"/>
      <c r="AB345" s="110"/>
      <c r="AC345" s="141"/>
      <c r="AD345" s="141"/>
      <c r="AE345" s="110"/>
      <c r="AF345" s="110"/>
      <c r="AH345" s="207"/>
      <c r="AL345" s="110"/>
      <c r="AM345" s="141"/>
      <c r="AN345" s="141"/>
    </row>
    <row r="346" spans="3:40" x14ac:dyDescent="0.3">
      <c r="F346" s="192"/>
      <c r="H346" s="110"/>
      <c r="I346" s="110"/>
      <c r="J346" s="217"/>
      <c r="K346" s="217"/>
      <c r="L346" s="192"/>
      <c r="M346" s="192"/>
      <c r="N346" s="192"/>
      <c r="O346" s="192"/>
      <c r="P346" s="192"/>
      <c r="Q346" s="192"/>
      <c r="R346" s="192"/>
      <c r="V346" s="192"/>
      <c r="Y346" s="110"/>
      <c r="Z346" s="217"/>
      <c r="AA346" s="192"/>
      <c r="AB346" s="192"/>
      <c r="AC346" s="192"/>
      <c r="AD346" s="192"/>
      <c r="AE346" s="192"/>
      <c r="AF346" s="192"/>
      <c r="AI346" s="192"/>
      <c r="AJ346" s="192"/>
      <c r="AK346" s="194"/>
      <c r="AL346" s="192"/>
      <c r="AM346" s="141"/>
      <c r="AN346" s="141"/>
    </row>
    <row r="347" spans="3:40" x14ac:dyDescent="0.3">
      <c r="C347" s="99"/>
      <c r="F347" s="172"/>
      <c r="H347" s="172"/>
      <c r="I347" s="172"/>
      <c r="J347" s="227"/>
      <c r="K347" s="227"/>
      <c r="L347" s="110"/>
      <c r="M347" s="110"/>
      <c r="N347" s="141"/>
      <c r="O347" s="141"/>
      <c r="P347" s="110"/>
      <c r="Q347" s="110"/>
      <c r="R347" s="110"/>
      <c r="S347" s="110"/>
      <c r="T347" s="99"/>
      <c r="V347" s="172"/>
      <c r="Y347" s="172"/>
      <c r="Z347" s="227"/>
      <c r="AA347" s="110"/>
      <c r="AB347" s="110"/>
      <c r="AC347" s="141"/>
      <c r="AD347" s="141"/>
      <c r="AE347" s="110"/>
      <c r="AF347" s="110"/>
      <c r="AH347" s="141"/>
      <c r="AI347" s="110"/>
      <c r="AJ347" s="110"/>
      <c r="AL347" s="110"/>
      <c r="AM347" s="141"/>
      <c r="AN347" s="141"/>
    </row>
    <row r="348" spans="3:40" x14ac:dyDescent="0.3">
      <c r="C348" s="99"/>
      <c r="F348" s="172"/>
      <c r="H348" s="172"/>
      <c r="I348" s="172"/>
      <c r="J348" s="181"/>
      <c r="K348" s="181"/>
      <c r="L348" s="110"/>
      <c r="M348" s="110"/>
      <c r="N348" s="141"/>
      <c r="O348" s="141"/>
      <c r="P348" s="110"/>
      <c r="Q348" s="110"/>
      <c r="R348" s="110"/>
      <c r="T348" s="99"/>
      <c r="V348" s="172"/>
      <c r="Y348" s="110"/>
      <c r="Z348" s="181"/>
      <c r="AA348" s="110"/>
      <c r="AB348" s="110"/>
      <c r="AC348" s="141"/>
      <c r="AD348" s="141"/>
      <c r="AE348" s="110"/>
      <c r="AF348" s="110"/>
      <c r="AH348" s="207"/>
      <c r="AI348" s="110"/>
      <c r="AJ348" s="110"/>
      <c r="AL348" s="110"/>
      <c r="AM348" s="141"/>
      <c r="AN348" s="141"/>
    </row>
    <row r="349" spans="3:40" x14ac:dyDescent="0.3">
      <c r="C349" s="99"/>
      <c r="F349" s="172"/>
      <c r="H349" s="172"/>
      <c r="I349" s="172"/>
      <c r="J349" s="181"/>
      <c r="K349" s="181"/>
      <c r="L349" s="110"/>
      <c r="M349" s="110"/>
      <c r="N349" s="141"/>
      <c r="O349" s="141"/>
      <c r="P349" s="110"/>
      <c r="Q349" s="110"/>
      <c r="R349" s="110"/>
      <c r="T349" s="99"/>
      <c r="V349" s="172"/>
      <c r="Y349" s="110"/>
      <c r="Z349" s="181"/>
      <c r="AA349" s="110"/>
      <c r="AB349" s="110"/>
      <c r="AC349" s="141"/>
      <c r="AD349" s="141"/>
      <c r="AE349" s="110"/>
      <c r="AF349" s="110"/>
      <c r="AH349" s="207"/>
      <c r="AI349" s="110"/>
      <c r="AJ349" s="110"/>
      <c r="AL349" s="110"/>
      <c r="AM349" s="141"/>
      <c r="AN349" s="141"/>
    </row>
    <row r="350" spans="3:40" x14ac:dyDescent="0.3">
      <c r="F350" s="192"/>
      <c r="H350" s="192"/>
      <c r="I350" s="192"/>
      <c r="J350" s="217"/>
      <c r="K350" s="217"/>
      <c r="L350" s="192"/>
      <c r="M350" s="192"/>
      <c r="N350" s="192"/>
      <c r="O350" s="192"/>
      <c r="P350" s="192"/>
      <c r="Q350" s="192"/>
      <c r="R350" s="192"/>
      <c r="V350" s="192"/>
      <c r="Y350" s="192"/>
      <c r="Z350" s="217"/>
      <c r="AA350" s="192"/>
      <c r="AB350" s="192"/>
      <c r="AC350" s="192"/>
      <c r="AD350" s="192"/>
      <c r="AE350" s="192"/>
      <c r="AF350" s="192"/>
      <c r="AI350" s="192"/>
      <c r="AJ350" s="192"/>
      <c r="AK350" s="194"/>
      <c r="AL350" s="192"/>
      <c r="AM350" s="141"/>
      <c r="AN350" s="141"/>
    </row>
    <row r="351" spans="3:40" x14ac:dyDescent="0.3">
      <c r="C351" s="99"/>
      <c r="F351" s="110"/>
      <c r="H351" s="110"/>
      <c r="I351" s="110"/>
      <c r="J351" s="198"/>
      <c r="K351" s="198"/>
      <c r="L351" s="110"/>
      <c r="M351" s="110"/>
      <c r="N351" s="141"/>
      <c r="O351" s="141"/>
      <c r="P351" s="110"/>
      <c r="Q351" s="110"/>
      <c r="R351" s="110"/>
      <c r="T351" s="99"/>
      <c r="V351" s="110"/>
      <c r="Y351" s="110"/>
      <c r="Z351" s="198"/>
      <c r="AA351" s="110"/>
      <c r="AB351" s="110"/>
      <c r="AC351" s="141"/>
      <c r="AD351" s="141"/>
      <c r="AE351" s="110"/>
      <c r="AF351" s="110"/>
      <c r="AH351" s="207"/>
      <c r="AI351" s="110"/>
      <c r="AJ351" s="110"/>
      <c r="AL351" s="110"/>
      <c r="AM351" s="141"/>
      <c r="AN351" s="141"/>
    </row>
    <row r="352" spans="3:40" x14ac:dyDescent="0.3">
      <c r="F352" s="192"/>
      <c r="H352" s="192"/>
      <c r="I352" s="192"/>
      <c r="J352" s="217"/>
      <c r="K352" s="217"/>
      <c r="L352" s="192"/>
      <c r="M352" s="192"/>
      <c r="N352" s="192"/>
      <c r="O352" s="192"/>
      <c r="P352" s="192"/>
      <c r="Q352" s="192"/>
      <c r="R352" s="192"/>
      <c r="V352" s="192"/>
      <c r="Y352" s="192"/>
      <c r="Z352" s="217"/>
      <c r="AA352" s="192"/>
      <c r="AB352" s="192"/>
      <c r="AC352" s="192"/>
      <c r="AD352" s="192"/>
      <c r="AE352" s="192"/>
      <c r="AF352" s="192"/>
      <c r="AI352" s="192"/>
      <c r="AJ352" s="192"/>
      <c r="AK352" s="194"/>
      <c r="AL352" s="192"/>
      <c r="AM352" s="141"/>
      <c r="AN352" s="141"/>
    </row>
    <row r="353" spans="1:40" x14ac:dyDescent="0.3">
      <c r="C353" s="99"/>
      <c r="F353" s="110"/>
      <c r="H353" s="110"/>
      <c r="I353" s="110"/>
      <c r="J353" s="198"/>
      <c r="K353" s="198"/>
      <c r="L353" s="110"/>
      <c r="M353" s="110"/>
      <c r="N353" s="141"/>
      <c r="O353" s="141"/>
      <c r="P353" s="110"/>
      <c r="Q353" s="110"/>
      <c r="R353" s="110"/>
      <c r="T353" s="99"/>
      <c r="V353" s="110"/>
      <c r="Y353" s="110"/>
      <c r="Z353" s="198"/>
      <c r="AA353" s="110"/>
      <c r="AB353" s="110"/>
      <c r="AC353" s="141"/>
      <c r="AD353" s="141"/>
      <c r="AE353" s="110"/>
      <c r="AF353" s="110"/>
      <c r="AH353" s="207"/>
      <c r="AI353" s="110"/>
      <c r="AJ353" s="110"/>
      <c r="AL353" s="110"/>
      <c r="AM353" s="141"/>
      <c r="AN353" s="141"/>
    </row>
    <row r="354" spans="1:40" x14ac:dyDescent="0.3">
      <c r="C354" s="99"/>
      <c r="F354" s="110"/>
      <c r="H354" s="172"/>
      <c r="I354" s="172"/>
      <c r="J354" s="222"/>
      <c r="K354" s="222"/>
      <c r="L354" s="110"/>
      <c r="M354" s="110"/>
      <c r="N354" s="141"/>
      <c r="O354" s="141"/>
      <c r="P354" s="110"/>
      <c r="Q354" s="110"/>
      <c r="R354" s="110"/>
      <c r="T354" s="99"/>
      <c r="V354" s="110"/>
      <c r="Y354" s="110"/>
      <c r="Z354" s="216"/>
      <c r="AA354" s="110"/>
      <c r="AB354" s="110"/>
      <c r="AC354" s="141"/>
      <c r="AD354" s="141"/>
      <c r="AE354" s="110"/>
      <c r="AF354" s="110"/>
      <c r="AH354" s="207"/>
      <c r="AI354" s="110"/>
      <c r="AJ354" s="110"/>
      <c r="AL354" s="110"/>
      <c r="AM354" s="141"/>
      <c r="AN354" s="141"/>
    </row>
    <row r="355" spans="1:40" x14ac:dyDescent="0.3">
      <c r="F355" s="192"/>
      <c r="H355" s="192"/>
      <c r="I355" s="192"/>
      <c r="J355" s="217"/>
      <c r="K355" s="217"/>
      <c r="L355" s="192"/>
      <c r="M355" s="192"/>
      <c r="N355" s="192"/>
      <c r="O355" s="192"/>
      <c r="P355" s="192"/>
      <c r="Q355" s="192"/>
      <c r="R355" s="192"/>
      <c r="V355" s="192"/>
      <c r="Y355" s="192"/>
      <c r="Z355" s="217"/>
      <c r="AA355" s="192"/>
      <c r="AB355" s="192"/>
      <c r="AC355" s="192"/>
      <c r="AD355" s="192"/>
      <c r="AE355" s="192"/>
      <c r="AF355" s="192"/>
      <c r="AI355" s="192"/>
      <c r="AJ355" s="192"/>
      <c r="AK355" s="194"/>
      <c r="AL355" s="192"/>
      <c r="AM355" s="141"/>
      <c r="AN355" s="141"/>
    </row>
    <row r="357" spans="1:40" x14ac:dyDescent="0.3">
      <c r="C357" s="99"/>
      <c r="F357" s="110"/>
      <c r="H357" s="110"/>
      <c r="I357" s="110"/>
      <c r="J357" s="217"/>
      <c r="K357" s="217"/>
      <c r="L357" s="110"/>
      <c r="M357" s="110"/>
      <c r="N357" s="141"/>
      <c r="O357" s="141"/>
      <c r="P357" s="110"/>
      <c r="Q357" s="110"/>
      <c r="R357" s="110"/>
      <c r="S357" s="110"/>
      <c r="T357" s="99"/>
      <c r="V357" s="110"/>
      <c r="Y357" s="110"/>
      <c r="Z357" s="217"/>
      <c r="AA357" s="110"/>
      <c r="AB357" s="110"/>
      <c r="AC357" s="141"/>
      <c r="AD357" s="141"/>
      <c r="AE357" s="110"/>
      <c r="AF357" s="110"/>
      <c r="AH357" s="141"/>
      <c r="AI357" s="110"/>
      <c r="AJ357" s="110"/>
      <c r="AL357" s="110"/>
      <c r="AM357" s="141"/>
      <c r="AN357" s="141"/>
    </row>
    <row r="358" spans="1:40" x14ac:dyDescent="0.3">
      <c r="F358" s="192"/>
      <c r="H358" s="192"/>
      <c r="I358" s="192"/>
      <c r="J358" s="217"/>
      <c r="K358" s="217"/>
      <c r="L358" s="192"/>
      <c r="M358" s="192"/>
      <c r="N358" s="192"/>
      <c r="O358" s="192"/>
      <c r="P358" s="192"/>
      <c r="Q358" s="192"/>
      <c r="R358" s="192"/>
      <c r="S358" s="110"/>
      <c r="V358" s="192"/>
      <c r="Y358" s="192"/>
      <c r="Z358" s="217"/>
      <c r="AA358" s="192"/>
      <c r="AB358" s="192"/>
      <c r="AC358" s="192"/>
      <c r="AD358" s="192"/>
      <c r="AE358" s="192"/>
      <c r="AF358" s="192"/>
      <c r="AI358" s="192"/>
      <c r="AJ358" s="192"/>
      <c r="AK358" s="194"/>
      <c r="AL358" s="192"/>
      <c r="AM358" s="141"/>
      <c r="AN358" s="141"/>
    </row>
    <row r="359" spans="1:40" x14ac:dyDescent="0.3">
      <c r="C359" s="99"/>
      <c r="T359" s="99"/>
    </row>
    <row r="360" spans="1:40" x14ac:dyDescent="0.3">
      <c r="C360" s="99"/>
      <c r="F360" s="110"/>
      <c r="H360" s="110"/>
      <c r="I360" s="110"/>
      <c r="L360" s="110"/>
      <c r="M360" s="110"/>
      <c r="N360" s="141"/>
      <c r="O360" s="141"/>
      <c r="P360" s="172"/>
      <c r="Q360" s="172"/>
      <c r="R360" s="110"/>
      <c r="T360" s="99"/>
      <c r="V360" s="110"/>
      <c r="Y360" s="110"/>
      <c r="AA360" s="110"/>
      <c r="AB360" s="110"/>
      <c r="AC360" s="141"/>
      <c r="AD360" s="141"/>
      <c r="AE360" s="110"/>
      <c r="AF360" s="110"/>
      <c r="AH360" s="141"/>
      <c r="AI360" s="172"/>
      <c r="AJ360" s="172"/>
      <c r="AL360" s="110"/>
      <c r="AM360" s="141"/>
      <c r="AN360" s="141"/>
    </row>
    <row r="361" spans="1:40" x14ac:dyDescent="0.3">
      <c r="F361" s="192"/>
      <c r="H361" s="192"/>
      <c r="I361" s="192"/>
      <c r="J361" s="217"/>
      <c r="K361" s="217"/>
      <c r="L361" s="192"/>
      <c r="M361" s="192"/>
      <c r="N361" s="192"/>
      <c r="O361" s="192"/>
      <c r="P361" s="192"/>
      <c r="Q361" s="192"/>
      <c r="R361" s="192"/>
      <c r="V361" s="192"/>
      <c r="Y361" s="192"/>
      <c r="Z361" s="217"/>
      <c r="AA361" s="192"/>
      <c r="AB361" s="192"/>
      <c r="AC361" s="192"/>
      <c r="AD361" s="192"/>
      <c r="AE361" s="192"/>
      <c r="AF361" s="192"/>
      <c r="AI361" s="192"/>
      <c r="AJ361" s="192"/>
      <c r="AK361" s="194"/>
      <c r="AL361" s="192"/>
    </row>
    <row r="363" spans="1:40" x14ac:dyDescent="0.3">
      <c r="C363" s="99"/>
      <c r="L363" s="110"/>
      <c r="M363" s="110"/>
      <c r="N363" s="110"/>
      <c r="O363" s="110"/>
      <c r="P363" s="110"/>
      <c r="Q363" s="110"/>
      <c r="R363" s="110"/>
      <c r="S363" s="110"/>
      <c r="T363" s="99"/>
      <c r="AA363" s="110"/>
      <c r="AB363" s="110"/>
      <c r="AC363" s="110"/>
      <c r="AD363" s="110"/>
      <c r="AI363" s="110"/>
      <c r="AJ363" s="110"/>
      <c r="AL363" s="110"/>
    </row>
    <row r="364" spans="1:40" x14ac:dyDescent="0.3">
      <c r="A364" s="99"/>
    </row>
    <row r="366" spans="1:40" x14ac:dyDescent="0.3">
      <c r="H366" s="99"/>
      <c r="I366" s="99"/>
      <c r="Y366" s="99"/>
    </row>
    <row r="368" spans="1:40" x14ac:dyDescent="0.3">
      <c r="L368" s="99"/>
      <c r="M368" s="99"/>
      <c r="AA368" s="99"/>
      <c r="AB368" s="99"/>
    </row>
    <row r="369" spans="1:40" x14ac:dyDescent="0.3">
      <c r="R369" s="99"/>
      <c r="AK369" s="190"/>
      <c r="AL369" s="99"/>
    </row>
    <row r="370" spans="1:40" x14ac:dyDescent="0.3">
      <c r="R370" s="99"/>
      <c r="AK370" s="190"/>
      <c r="AL370" s="99"/>
    </row>
    <row r="371" spans="1:40" x14ac:dyDescent="0.3">
      <c r="A371" s="99"/>
      <c r="R371" s="99"/>
      <c r="AK371" s="190"/>
      <c r="AL371" s="99"/>
    </row>
    <row r="372" spans="1:40" x14ac:dyDescent="0.3">
      <c r="L372" s="99"/>
      <c r="M372" s="99"/>
      <c r="AA372" s="99"/>
      <c r="AB372" s="99"/>
    </row>
    <row r="373" spans="1:40" x14ac:dyDescent="0.3">
      <c r="A373" s="101"/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/>
      <c r="AD373" s="101"/>
      <c r="AE373" s="101"/>
      <c r="AF373" s="101"/>
      <c r="AG373" s="191"/>
      <c r="AH373" s="101"/>
      <c r="AI373" s="101"/>
      <c r="AJ373" s="101"/>
      <c r="AK373" s="191"/>
      <c r="AL373" s="101"/>
      <c r="AM373" s="101"/>
      <c r="AN373" s="101"/>
    </row>
    <row r="374" spans="1:40" x14ac:dyDescent="0.3">
      <c r="L374" s="102"/>
      <c r="M374" s="102"/>
      <c r="N374" s="102"/>
      <c r="O374" s="102"/>
      <c r="R374" s="102"/>
      <c r="AA374" s="102"/>
      <c r="AB374" s="102"/>
      <c r="AC374" s="102"/>
      <c r="AD374" s="102"/>
      <c r="AE374" s="102"/>
      <c r="AF374" s="102"/>
      <c r="AG374" s="151"/>
      <c r="AH374" s="102"/>
      <c r="AK374" s="151"/>
      <c r="AL374" s="102"/>
      <c r="AM374" s="102"/>
      <c r="AN374" s="102"/>
    </row>
    <row r="375" spans="1:40" x14ac:dyDescent="0.3">
      <c r="L375" s="102"/>
      <c r="M375" s="102"/>
      <c r="N375" s="102"/>
      <c r="O375" s="102"/>
      <c r="R375" s="102"/>
      <c r="Z375" s="102"/>
      <c r="AA375" s="102"/>
      <c r="AB375" s="102"/>
      <c r="AC375" s="102"/>
      <c r="AD375" s="102"/>
      <c r="AE375" s="102"/>
      <c r="AF375" s="102"/>
      <c r="AG375" s="151"/>
      <c r="AH375" s="102"/>
      <c r="AK375" s="151"/>
      <c r="AL375" s="102"/>
      <c r="AM375" s="102"/>
      <c r="AN375" s="102"/>
    </row>
    <row r="376" spans="1:40" x14ac:dyDescent="0.3">
      <c r="A376" s="102"/>
      <c r="C376" s="102"/>
      <c r="D376" s="102"/>
      <c r="E376" s="102"/>
      <c r="F376" s="102"/>
      <c r="J376" s="102"/>
      <c r="K376" s="102"/>
      <c r="L376" s="102"/>
      <c r="M376" s="102"/>
      <c r="N376" s="102"/>
      <c r="O376" s="102"/>
      <c r="P376" s="102"/>
      <c r="Q376" s="102"/>
      <c r="R376" s="102"/>
      <c r="T376" s="102"/>
      <c r="U376" s="102"/>
      <c r="V376" s="102"/>
      <c r="Z376" s="102"/>
      <c r="AA376" s="102"/>
      <c r="AB376" s="102"/>
      <c r="AC376" s="102"/>
      <c r="AD376" s="102"/>
      <c r="AE376" s="102"/>
      <c r="AF376" s="102"/>
      <c r="AG376" s="151"/>
      <c r="AH376" s="102"/>
      <c r="AI376" s="102"/>
      <c r="AJ376" s="102"/>
      <c r="AK376" s="151"/>
      <c r="AL376" s="102"/>
      <c r="AM376" s="102"/>
      <c r="AN376" s="102"/>
    </row>
    <row r="377" spans="1:40" x14ac:dyDescent="0.3">
      <c r="A377" s="102"/>
      <c r="C377" s="102"/>
      <c r="D377" s="102"/>
      <c r="E377" s="102"/>
      <c r="F377" s="102"/>
      <c r="H377" s="102"/>
      <c r="I377" s="102"/>
      <c r="J377" s="102"/>
      <c r="K377" s="102"/>
      <c r="L377" s="102"/>
      <c r="M377" s="102"/>
      <c r="N377" s="102"/>
      <c r="O377" s="102"/>
      <c r="P377" s="102"/>
      <c r="Q377" s="102"/>
      <c r="R377" s="102"/>
      <c r="T377" s="102"/>
      <c r="U377" s="102"/>
      <c r="V377" s="102"/>
      <c r="Y377" s="102"/>
      <c r="Z377" s="102"/>
      <c r="AA377" s="102"/>
      <c r="AB377" s="102"/>
      <c r="AC377" s="102"/>
      <c r="AD377" s="102"/>
      <c r="AE377" s="102"/>
      <c r="AF377" s="102"/>
      <c r="AG377" s="151"/>
      <c r="AH377" s="102"/>
      <c r="AI377" s="102"/>
      <c r="AJ377" s="102"/>
      <c r="AK377" s="151"/>
      <c r="AL377" s="102"/>
      <c r="AM377" s="102"/>
      <c r="AN377" s="102"/>
    </row>
    <row r="378" spans="1:40" x14ac:dyDescent="0.3">
      <c r="C378" s="102"/>
      <c r="D378" s="102"/>
      <c r="E378" s="102"/>
      <c r="F378" s="102"/>
      <c r="H378" s="102"/>
      <c r="I378" s="102"/>
      <c r="J378" s="102"/>
      <c r="K378" s="102"/>
      <c r="L378" s="102"/>
      <c r="M378" s="102"/>
      <c r="N378" s="102"/>
      <c r="O378" s="102"/>
      <c r="P378" s="102"/>
      <c r="Q378" s="102"/>
      <c r="R378" s="102"/>
      <c r="T378" s="102"/>
      <c r="U378" s="102"/>
      <c r="V378" s="102"/>
      <c r="Y378" s="102"/>
      <c r="Z378" s="102"/>
      <c r="AA378" s="102"/>
      <c r="AB378" s="102"/>
      <c r="AC378" s="102"/>
      <c r="AD378" s="102"/>
      <c r="AE378" s="102"/>
      <c r="AF378" s="102"/>
      <c r="AG378" s="151"/>
      <c r="AH378" s="102"/>
      <c r="AI378" s="102"/>
      <c r="AJ378" s="102"/>
      <c r="AK378" s="151"/>
      <c r="AL378" s="102"/>
      <c r="AM378" s="102"/>
      <c r="AN378" s="102"/>
    </row>
    <row r="379" spans="1:40" x14ac:dyDescent="0.3">
      <c r="A379" s="101"/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/>
      <c r="AD379" s="101"/>
      <c r="AE379" s="101"/>
      <c r="AF379" s="101"/>
      <c r="AG379" s="191"/>
      <c r="AH379" s="101"/>
      <c r="AI379" s="101"/>
      <c r="AJ379" s="101"/>
      <c r="AK379" s="191"/>
      <c r="AL379" s="101"/>
      <c r="AM379" s="101"/>
      <c r="AN379" s="101"/>
    </row>
    <row r="380" spans="1:40" x14ac:dyDescent="0.3">
      <c r="H380" s="102"/>
      <c r="I380" s="102"/>
      <c r="J380" s="102"/>
      <c r="K380" s="102"/>
      <c r="L380" s="102"/>
      <c r="M380" s="102"/>
      <c r="N380" s="102"/>
      <c r="O380" s="102"/>
      <c r="P380" s="102"/>
      <c r="Q380" s="102"/>
      <c r="R380" s="102"/>
      <c r="Y380" s="102"/>
      <c r="Z380" s="102"/>
      <c r="AA380" s="102"/>
      <c r="AB380" s="102"/>
      <c r="AC380" s="102"/>
      <c r="AD380" s="102"/>
      <c r="AE380" s="102"/>
      <c r="AF380" s="102"/>
      <c r="AG380" s="151"/>
      <c r="AH380" s="102"/>
      <c r="AI380" s="102"/>
      <c r="AJ380" s="102"/>
      <c r="AK380" s="151"/>
      <c r="AL380" s="102"/>
      <c r="AM380" s="102"/>
      <c r="AN380" s="102"/>
    </row>
    <row r="381" spans="1:40" x14ac:dyDescent="0.3">
      <c r="C381" s="99"/>
      <c r="D381" s="99"/>
      <c r="E381" s="99"/>
      <c r="T381" s="99"/>
      <c r="U381" s="99"/>
    </row>
    <row r="382" spans="1:40" x14ac:dyDescent="0.3">
      <c r="D382" s="99"/>
      <c r="E382" s="99"/>
      <c r="U382" s="99"/>
    </row>
    <row r="384" spans="1:40" x14ac:dyDescent="0.3">
      <c r="C384" s="99"/>
      <c r="T384" s="99"/>
    </row>
    <row r="385" spans="3:40" x14ac:dyDescent="0.3">
      <c r="C385" s="99"/>
      <c r="F385" s="172"/>
      <c r="H385" s="172"/>
      <c r="I385" s="172"/>
      <c r="J385" s="228"/>
      <c r="K385" s="228"/>
      <c r="L385" s="110"/>
      <c r="M385" s="110"/>
      <c r="N385" s="141"/>
      <c r="O385" s="141"/>
      <c r="P385" s="110"/>
      <c r="Q385" s="110"/>
      <c r="R385" s="110"/>
      <c r="T385" s="99"/>
      <c r="V385" s="172"/>
      <c r="W385" s="110"/>
      <c r="X385" s="110"/>
      <c r="Y385" s="172"/>
      <c r="Z385" s="228"/>
      <c r="AA385" s="110"/>
      <c r="AB385" s="110"/>
      <c r="AC385" s="141"/>
      <c r="AD385" s="141"/>
      <c r="AE385" s="110"/>
      <c r="AF385" s="110"/>
      <c r="AH385" s="207"/>
      <c r="AI385" s="110"/>
      <c r="AJ385" s="110"/>
      <c r="AL385" s="110"/>
      <c r="AM385" s="141"/>
      <c r="AN385" s="141"/>
    </row>
    <row r="386" spans="3:40" x14ac:dyDescent="0.3">
      <c r="C386" s="99"/>
      <c r="F386" s="110"/>
      <c r="H386" s="110"/>
      <c r="I386" s="110"/>
      <c r="J386" s="217"/>
      <c r="K386" s="217"/>
      <c r="L386" s="110"/>
      <c r="M386" s="110"/>
      <c r="N386" s="141"/>
      <c r="O386" s="141"/>
      <c r="P386" s="110"/>
      <c r="Q386" s="110"/>
      <c r="R386" s="110"/>
      <c r="T386" s="99"/>
      <c r="V386" s="172"/>
      <c r="W386" s="110"/>
      <c r="X386" s="110"/>
      <c r="Y386" s="172"/>
      <c r="Z386" s="217"/>
      <c r="AA386" s="110"/>
      <c r="AB386" s="110"/>
      <c r="AC386" s="141"/>
      <c r="AD386" s="141"/>
      <c r="AE386" s="110"/>
      <c r="AF386" s="110"/>
      <c r="AH386" s="207"/>
      <c r="AI386" s="110"/>
      <c r="AJ386" s="110"/>
      <c r="AL386" s="110"/>
      <c r="AM386" s="141"/>
      <c r="AN386" s="141"/>
    </row>
    <row r="387" spans="3:40" x14ac:dyDescent="0.3">
      <c r="C387" s="99"/>
      <c r="F387" s="172"/>
      <c r="H387" s="172"/>
      <c r="I387" s="172"/>
      <c r="J387" s="228"/>
      <c r="K387" s="228"/>
      <c r="L387" s="110"/>
      <c r="M387" s="110"/>
      <c r="N387" s="141"/>
      <c r="O387" s="141"/>
      <c r="P387" s="110"/>
      <c r="Q387" s="110"/>
      <c r="R387" s="110"/>
      <c r="T387" s="99"/>
      <c r="V387" s="172"/>
      <c r="W387" s="110"/>
      <c r="X387" s="110"/>
      <c r="Y387" s="172"/>
      <c r="Z387" s="228"/>
      <c r="AA387" s="110"/>
      <c r="AB387" s="110"/>
      <c r="AC387" s="141"/>
      <c r="AD387" s="141"/>
      <c r="AE387" s="110"/>
      <c r="AF387" s="110"/>
      <c r="AH387" s="207"/>
      <c r="AI387" s="110"/>
      <c r="AJ387" s="110"/>
      <c r="AL387" s="110"/>
      <c r="AM387" s="141"/>
      <c r="AN387" s="141"/>
    </row>
    <row r="388" spans="3:40" x14ac:dyDescent="0.3">
      <c r="C388" s="99"/>
      <c r="F388" s="172"/>
      <c r="H388" s="172"/>
      <c r="I388" s="172"/>
      <c r="J388" s="228"/>
      <c r="K388" s="228"/>
      <c r="L388" s="110"/>
      <c r="M388" s="110"/>
      <c r="N388" s="141"/>
      <c r="O388" s="141"/>
      <c r="P388" s="110"/>
      <c r="Q388" s="110"/>
      <c r="R388" s="110"/>
      <c r="T388" s="99"/>
      <c r="V388" s="172"/>
      <c r="W388" s="110"/>
      <c r="X388" s="110"/>
      <c r="Y388" s="172"/>
      <c r="Z388" s="228"/>
      <c r="AA388" s="110"/>
      <c r="AB388" s="110"/>
      <c r="AC388" s="141"/>
      <c r="AD388" s="141"/>
      <c r="AE388" s="110"/>
      <c r="AF388" s="110"/>
      <c r="AH388" s="207"/>
      <c r="AI388" s="110"/>
      <c r="AJ388" s="110"/>
      <c r="AL388" s="110"/>
      <c r="AM388" s="141"/>
      <c r="AN388" s="141"/>
    </row>
    <row r="389" spans="3:40" x14ac:dyDescent="0.3">
      <c r="C389" s="99"/>
      <c r="F389" s="172"/>
      <c r="H389" s="172"/>
      <c r="I389" s="172"/>
      <c r="J389" s="228"/>
      <c r="K389" s="228"/>
      <c r="L389" s="110"/>
      <c r="M389" s="110"/>
      <c r="N389" s="141"/>
      <c r="O389" s="141"/>
      <c r="P389" s="110"/>
      <c r="Q389" s="110"/>
      <c r="R389" s="110"/>
      <c r="T389" s="99"/>
      <c r="V389" s="172"/>
      <c r="W389" s="110"/>
      <c r="X389" s="110"/>
      <c r="Y389" s="172"/>
      <c r="Z389" s="228"/>
      <c r="AA389" s="110"/>
      <c r="AB389" s="110"/>
      <c r="AC389" s="141"/>
      <c r="AD389" s="141"/>
      <c r="AE389" s="110"/>
      <c r="AF389" s="110"/>
      <c r="AH389" s="207"/>
      <c r="AI389" s="110"/>
      <c r="AJ389" s="110"/>
      <c r="AL389" s="110"/>
      <c r="AM389" s="141"/>
      <c r="AN389" s="141"/>
    </row>
    <row r="390" spans="3:40" x14ac:dyDescent="0.3">
      <c r="C390" s="99"/>
      <c r="F390" s="110"/>
      <c r="H390" s="110"/>
      <c r="I390" s="110"/>
      <c r="J390" s="228"/>
      <c r="K390" s="228"/>
      <c r="L390" s="110"/>
      <c r="M390" s="110"/>
      <c r="N390" s="141"/>
      <c r="O390" s="141"/>
      <c r="P390" s="110"/>
      <c r="Q390" s="110"/>
      <c r="R390" s="110"/>
      <c r="T390" s="99"/>
      <c r="V390" s="172"/>
      <c r="W390" s="110"/>
      <c r="X390" s="110"/>
      <c r="Y390" s="172"/>
      <c r="Z390" s="228"/>
      <c r="AA390" s="110"/>
      <c r="AB390" s="110"/>
      <c r="AC390" s="141"/>
      <c r="AD390" s="141"/>
      <c r="AE390" s="110"/>
      <c r="AF390" s="110"/>
      <c r="AH390" s="207"/>
      <c r="AI390" s="110"/>
      <c r="AJ390" s="110"/>
      <c r="AL390" s="110"/>
      <c r="AM390" s="141"/>
      <c r="AN390" s="141"/>
    </row>
    <row r="391" spans="3:40" x14ac:dyDescent="0.3">
      <c r="C391" s="99"/>
      <c r="F391" s="110"/>
      <c r="H391" s="110"/>
      <c r="I391" s="110"/>
      <c r="J391" s="228"/>
      <c r="K391" s="228"/>
      <c r="L391" s="110"/>
      <c r="M391" s="110"/>
      <c r="N391" s="141"/>
      <c r="O391" s="141"/>
      <c r="P391" s="110"/>
      <c r="Q391" s="110"/>
      <c r="R391" s="110"/>
      <c r="T391" s="99"/>
      <c r="V391" s="172"/>
      <c r="W391" s="110"/>
      <c r="X391" s="110"/>
      <c r="Y391" s="172"/>
      <c r="Z391" s="228"/>
      <c r="AA391" s="110"/>
      <c r="AB391" s="110"/>
      <c r="AC391" s="141"/>
      <c r="AD391" s="141"/>
      <c r="AE391" s="110"/>
      <c r="AF391" s="110"/>
      <c r="AH391" s="207"/>
      <c r="AI391" s="110"/>
      <c r="AJ391" s="110"/>
      <c r="AL391" s="110"/>
      <c r="AM391" s="141"/>
      <c r="AN391" s="141"/>
    </row>
    <row r="392" spans="3:40" x14ac:dyDescent="0.3">
      <c r="F392" s="210"/>
      <c r="H392" s="230"/>
      <c r="I392" s="230"/>
      <c r="J392" s="228"/>
      <c r="K392" s="228"/>
      <c r="L392" s="210"/>
      <c r="M392" s="210"/>
      <c r="N392" s="192"/>
      <c r="O392" s="192"/>
      <c r="P392" s="210"/>
      <c r="Q392" s="210"/>
      <c r="R392" s="210"/>
      <c r="V392" s="210"/>
      <c r="W392" s="110"/>
      <c r="X392" s="110"/>
      <c r="Y392" s="210"/>
      <c r="Z392" s="228"/>
      <c r="AA392" s="210"/>
      <c r="AB392" s="210"/>
      <c r="AC392" s="211"/>
      <c r="AD392" s="211"/>
      <c r="AE392" s="210"/>
      <c r="AF392" s="210"/>
      <c r="AH392" s="207"/>
      <c r="AI392" s="210"/>
      <c r="AJ392" s="210"/>
      <c r="AK392" s="191"/>
      <c r="AL392" s="210"/>
      <c r="AM392" s="141"/>
      <c r="AN392" s="141"/>
    </row>
    <row r="393" spans="3:40" x14ac:dyDescent="0.3">
      <c r="C393" s="99"/>
      <c r="F393" s="110"/>
      <c r="H393" s="110"/>
      <c r="I393" s="110"/>
      <c r="J393" s="228"/>
      <c r="K393" s="228"/>
      <c r="L393" s="110"/>
      <c r="M393" s="110"/>
      <c r="N393" s="207"/>
      <c r="O393" s="207"/>
      <c r="P393" s="110"/>
      <c r="Q393" s="110"/>
      <c r="R393" s="110"/>
      <c r="T393" s="102"/>
      <c r="V393" s="110"/>
      <c r="W393" s="110"/>
      <c r="X393" s="110"/>
      <c r="Y393" s="110"/>
      <c r="Z393" s="228"/>
      <c r="AA393" s="110"/>
      <c r="AB393" s="110"/>
      <c r="AC393" s="207"/>
      <c r="AD393" s="207"/>
      <c r="AE393" s="110"/>
      <c r="AF393" s="110"/>
      <c r="AH393" s="207"/>
      <c r="AI393" s="110"/>
      <c r="AJ393" s="110"/>
      <c r="AL393" s="110"/>
      <c r="AM393" s="141"/>
      <c r="AN393" s="141"/>
    </row>
    <row r="394" spans="3:40" x14ac:dyDescent="0.3">
      <c r="F394" s="101"/>
      <c r="H394" s="101"/>
      <c r="I394" s="101"/>
      <c r="L394" s="101"/>
      <c r="M394" s="101"/>
      <c r="N394" s="211"/>
      <c r="O394" s="211"/>
      <c r="P394" s="210"/>
      <c r="Q394" s="210"/>
      <c r="R394" s="210"/>
      <c r="V394" s="210"/>
      <c r="Y394" s="210"/>
      <c r="Z394" s="217"/>
      <c r="AA394" s="210"/>
      <c r="AB394" s="210"/>
      <c r="AC394" s="210"/>
      <c r="AD394" s="210"/>
      <c r="AE394" s="210"/>
      <c r="AF394" s="210"/>
      <c r="AI394" s="210"/>
      <c r="AJ394" s="210"/>
      <c r="AK394" s="191"/>
      <c r="AL394" s="210"/>
      <c r="AM394" s="211"/>
      <c r="AN394" s="211"/>
    </row>
    <row r="399" spans="3:40" x14ac:dyDescent="0.3">
      <c r="N399" s="110"/>
      <c r="O399" s="110"/>
      <c r="P399" s="110"/>
      <c r="Q399" s="110"/>
      <c r="R399" s="110"/>
      <c r="V399" s="110"/>
      <c r="Y399" s="110"/>
      <c r="Z399" s="198"/>
      <c r="AA399" s="110"/>
      <c r="AB399" s="110"/>
      <c r="AC399" s="141"/>
      <c r="AD399" s="141"/>
      <c r="AE399" s="110"/>
      <c r="AF399" s="110"/>
      <c r="AH399" s="207"/>
      <c r="AI399" s="110"/>
      <c r="AJ399" s="110"/>
      <c r="AL399" s="110"/>
      <c r="AM399" s="141"/>
      <c r="AN399" s="141"/>
    </row>
    <row r="400" spans="3:40" x14ac:dyDescent="0.3">
      <c r="C400" s="99"/>
      <c r="D400" s="99"/>
      <c r="E400" s="99"/>
      <c r="J400" s="163"/>
      <c r="K400" s="163"/>
      <c r="T400" s="99"/>
      <c r="U400" s="99"/>
      <c r="Z400" s="163"/>
      <c r="AE400" s="110"/>
      <c r="AF400" s="110"/>
      <c r="AI400" s="110"/>
      <c r="AJ400" s="110"/>
      <c r="AL400" s="110"/>
      <c r="AM400" s="141"/>
      <c r="AN400" s="141"/>
    </row>
    <row r="401" spans="1:40" x14ac:dyDescent="0.3">
      <c r="D401" s="99"/>
      <c r="E401" s="99"/>
      <c r="F401" s="110"/>
      <c r="H401" s="110"/>
      <c r="I401" s="110"/>
      <c r="J401" s="228"/>
      <c r="K401" s="228"/>
      <c r="L401" s="110"/>
      <c r="M401" s="110"/>
      <c r="N401" s="141"/>
      <c r="O401" s="141"/>
      <c r="P401" s="110"/>
      <c r="Q401" s="110"/>
      <c r="R401" s="110"/>
      <c r="U401" s="99"/>
      <c r="V401" s="110"/>
      <c r="Y401" s="110"/>
      <c r="Z401" s="228"/>
      <c r="AA401" s="110"/>
      <c r="AB401" s="110"/>
      <c r="AC401" s="141"/>
      <c r="AD401" s="141"/>
      <c r="AE401" s="110"/>
      <c r="AF401" s="110"/>
      <c r="AH401" s="207"/>
      <c r="AI401" s="110"/>
      <c r="AJ401" s="110"/>
      <c r="AL401" s="110"/>
      <c r="AM401" s="141"/>
      <c r="AN401" s="141"/>
    </row>
    <row r="402" spans="1:40" x14ac:dyDescent="0.3">
      <c r="F402" s="110"/>
      <c r="H402" s="110"/>
      <c r="I402" s="110"/>
      <c r="J402" s="217"/>
      <c r="K402" s="217"/>
      <c r="L402" s="110"/>
      <c r="M402" s="110"/>
      <c r="N402" s="110"/>
      <c r="O402" s="110"/>
      <c r="P402" s="110"/>
      <c r="Q402" s="110"/>
      <c r="R402" s="110"/>
      <c r="V402" s="110"/>
      <c r="Y402" s="110"/>
      <c r="Z402" s="217"/>
      <c r="AA402" s="110"/>
      <c r="AB402" s="110"/>
      <c r="AC402" s="110"/>
      <c r="AD402" s="110"/>
      <c r="AE402" s="110"/>
      <c r="AF402" s="110"/>
      <c r="AH402" s="207"/>
      <c r="AI402" s="172"/>
      <c r="AJ402" s="172"/>
      <c r="AL402" s="110"/>
      <c r="AM402" s="141"/>
      <c r="AN402" s="141"/>
    </row>
    <row r="403" spans="1:40" x14ac:dyDescent="0.3">
      <c r="C403" s="99"/>
      <c r="F403" s="172"/>
      <c r="H403" s="172"/>
      <c r="I403" s="172"/>
      <c r="J403" s="216"/>
      <c r="K403" s="216"/>
      <c r="L403" s="110"/>
      <c r="M403" s="110"/>
      <c r="N403" s="141"/>
      <c r="O403" s="141"/>
      <c r="P403" s="110"/>
      <c r="Q403" s="110"/>
      <c r="R403" s="110"/>
      <c r="T403" s="99"/>
      <c r="V403" s="172"/>
      <c r="Y403" s="172"/>
      <c r="Z403" s="216"/>
      <c r="AA403" s="110"/>
      <c r="AB403" s="110"/>
      <c r="AC403" s="141"/>
      <c r="AD403" s="141"/>
      <c r="AE403" s="110"/>
      <c r="AF403" s="110"/>
      <c r="AH403" s="207"/>
      <c r="AI403" s="110"/>
      <c r="AJ403" s="110"/>
      <c r="AL403" s="110"/>
      <c r="AM403" s="141"/>
      <c r="AN403" s="141"/>
    </row>
    <row r="404" spans="1:40" x14ac:dyDescent="0.3">
      <c r="F404" s="101"/>
      <c r="H404" s="101"/>
      <c r="I404" s="101"/>
      <c r="L404" s="101"/>
      <c r="M404" s="101"/>
      <c r="N404" s="101"/>
      <c r="O404" s="101"/>
      <c r="P404" s="101"/>
      <c r="Q404" s="101"/>
      <c r="R404" s="101"/>
      <c r="V404" s="101"/>
      <c r="Y404" s="101"/>
      <c r="AA404" s="101"/>
      <c r="AB404" s="101"/>
      <c r="AC404" s="101"/>
      <c r="AD404" s="101"/>
      <c r="AE404" s="101"/>
      <c r="AF404" s="101"/>
      <c r="AG404" s="191"/>
      <c r="AH404" s="101"/>
      <c r="AI404" s="101"/>
      <c r="AJ404" s="101"/>
      <c r="AK404" s="191"/>
      <c r="AL404" s="101"/>
      <c r="AM404" s="101"/>
      <c r="AN404" s="101"/>
    </row>
    <row r="405" spans="1:40" x14ac:dyDescent="0.3">
      <c r="C405" s="102"/>
      <c r="F405" s="172"/>
      <c r="H405" s="172"/>
      <c r="I405" s="172"/>
      <c r="J405" s="181"/>
      <c r="K405" s="181"/>
      <c r="L405" s="172"/>
      <c r="M405" s="172"/>
      <c r="N405" s="141"/>
      <c r="O405" s="141"/>
      <c r="P405" s="172"/>
      <c r="Q405" s="172"/>
      <c r="R405" s="172"/>
      <c r="T405" s="102"/>
      <c r="V405" s="110"/>
      <c r="Y405" s="110"/>
      <c r="Z405" s="198"/>
      <c r="AA405" s="110"/>
      <c r="AB405" s="110"/>
      <c r="AC405" s="141"/>
      <c r="AD405" s="141"/>
      <c r="AH405" s="207"/>
      <c r="AI405" s="110"/>
      <c r="AJ405" s="110"/>
      <c r="AL405" s="110"/>
      <c r="AM405" s="141"/>
      <c r="AN405" s="141"/>
    </row>
    <row r="406" spans="1:40" x14ac:dyDescent="0.3">
      <c r="F406" s="210"/>
      <c r="H406" s="210"/>
      <c r="I406" s="210"/>
      <c r="J406" s="217"/>
      <c r="K406" s="217"/>
      <c r="L406" s="210"/>
      <c r="M406" s="210"/>
      <c r="N406" s="210"/>
      <c r="O406" s="210"/>
      <c r="P406" s="210"/>
      <c r="Q406" s="210"/>
      <c r="R406" s="210"/>
      <c r="V406" s="101"/>
      <c r="Y406" s="101"/>
      <c r="AA406" s="101"/>
      <c r="AB406" s="101"/>
      <c r="AC406" s="101"/>
      <c r="AD406" s="101"/>
      <c r="AE406" s="101"/>
      <c r="AF406" s="101"/>
      <c r="AG406" s="191"/>
      <c r="AH406" s="101"/>
      <c r="AI406" s="101"/>
      <c r="AJ406" s="101"/>
      <c r="AK406" s="191"/>
      <c r="AL406" s="101"/>
      <c r="AM406" s="101"/>
      <c r="AN406" s="101"/>
    </row>
    <row r="407" spans="1:40" x14ac:dyDescent="0.3">
      <c r="F407" s="172"/>
      <c r="H407" s="172"/>
      <c r="I407" s="172"/>
      <c r="J407" s="227"/>
      <c r="K407" s="227"/>
      <c r="L407" s="110"/>
      <c r="M407" s="110"/>
      <c r="N407" s="141"/>
      <c r="O407" s="141"/>
      <c r="P407" s="110"/>
      <c r="Q407" s="110"/>
      <c r="R407" s="110"/>
    </row>
    <row r="408" spans="1:40" x14ac:dyDescent="0.3">
      <c r="A408" s="99"/>
      <c r="F408" s="172"/>
      <c r="H408" s="172"/>
      <c r="I408" s="172"/>
      <c r="J408" s="181"/>
      <c r="K408" s="181"/>
      <c r="L408" s="110"/>
      <c r="M408" s="110"/>
      <c r="N408" s="141"/>
      <c r="O408" s="141"/>
      <c r="P408" s="110"/>
      <c r="Q408" s="110"/>
      <c r="R408" s="110"/>
    </row>
    <row r="409" spans="1:40" x14ac:dyDescent="0.3">
      <c r="F409" s="172"/>
      <c r="H409" s="172"/>
      <c r="I409" s="172"/>
      <c r="J409" s="181"/>
      <c r="K409" s="181"/>
      <c r="L409" s="110"/>
      <c r="M409" s="110"/>
      <c r="N409" s="141"/>
      <c r="O409" s="141"/>
      <c r="P409" s="110"/>
      <c r="Q409" s="110"/>
      <c r="R409" s="110"/>
    </row>
    <row r="410" spans="1:40" x14ac:dyDescent="0.3">
      <c r="A410" s="99"/>
    </row>
    <row r="413" spans="1:40" x14ac:dyDescent="0.3">
      <c r="H413" s="99"/>
      <c r="I413" s="99"/>
      <c r="Y413" s="99"/>
    </row>
    <row r="415" spans="1:40" x14ac:dyDescent="0.3">
      <c r="L415" s="99"/>
      <c r="M415" s="99"/>
      <c r="AA415" s="99"/>
      <c r="AB415" s="99"/>
    </row>
    <row r="416" spans="1:40" x14ac:dyDescent="0.3">
      <c r="R416" s="99"/>
      <c r="AK416" s="190"/>
      <c r="AL416" s="99"/>
    </row>
    <row r="417" spans="1:40" x14ac:dyDescent="0.3">
      <c r="R417" s="99"/>
      <c r="AK417" s="190"/>
      <c r="AL417" s="99"/>
    </row>
    <row r="418" spans="1:40" x14ac:dyDescent="0.3">
      <c r="A418" s="99"/>
      <c r="R418" s="99"/>
      <c r="AK418" s="190"/>
      <c r="AL418" s="99"/>
    </row>
    <row r="419" spans="1:40" x14ac:dyDescent="0.3">
      <c r="L419" s="99"/>
      <c r="M419" s="99"/>
      <c r="AA419" s="99"/>
      <c r="AB419" s="99"/>
    </row>
    <row r="420" spans="1:40" x14ac:dyDescent="0.3">
      <c r="A420" s="101"/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T420" s="101"/>
      <c r="U420" s="101"/>
      <c r="V420" s="101"/>
      <c r="W420" s="101"/>
      <c r="X420" s="101"/>
      <c r="Y420" s="101"/>
      <c r="Z420" s="101"/>
      <c r="AA420" s="101"/>
      <c r="AB420" s="101"/>
      <c r="AC420" s="101"/>
      <c r="AD420" s="101"/>
      <c r="AE420" s="101"/>
      <c r="AF420" s="101"/>
      <c r="AG420" s="191"/>
      <c r="AH420" s="101"/>
      <c r="AI420" s="101"/>
      <c r="AJ420" s="101"/>
      <c r="AK420" s="191"/>
      <c r="AL420" s="101"/>
      <c r="AM420" s="101"/>
      <c r="AN420" s="101"/>
    </row>
    <row r="421" spans="1:40" x14ac:dyDescent="0.3">
      <c r="L421" s="102"/>
      <c r="M421" s="102"/>
      <c r="N421" s="102"/>
      <c r="O421" s="102"/>
      <c r="R421" s="102"/>
      <c r="AA421" s="102"/>
      <c r="AB421" s="102"/>
      <c r="AC421" s="102"/>
      <c r="AD421" s="102"/>
      <c r="AE421" s="102"/>
      <c r="AF421" s="102"/>
      <c r="AG421" s="151"/>
      <c r="AH421" s="102"/>
      <c r="AK421" s="151"/>
      <c r="AL421" s="102"/>
      <c r="AM421" s="102"/>
      <c r="AN421" s="102"/>
    </row>
    <row r="422" spans="1:40" x14ac:dyDescent="0.3">
      <c r="L422" s="102"/>
      <c r="M422" s="102"/>
      <c r="N422" s="102"/>
      <c r="O422" s="102"/>
      <c r="R422" s="102"/>
      <c r="Z422" s="102"/>
      <c r="AA422" s="102"/>
      <c r="AB422" s="102"/>
      <c r="AC422" s="102"/>
      <c r="AD422" s="102"/>
      <c r="AE422" s="102"/>
      <c r="AF422" s="102"/>
      <c r="AG422" s="151"/>
      <c r="AH422" s="102"/>
      <c r="AK422" s="151"/>
      <c r="AL422" s="102"/>
      <c r="AM422" s="102"/>
      <c r="AN422" s="102"/>
    </row>
    <row r="423" spans="1:40" x14ac:dyDescent="0.3">
      <c r="A423" s="102"/>
      <c r="C423" s="102"/>
      <c r="D423" s="102"/>
      <c r="E423" s="102"/>
      <c r="F423" s="102"/>
      <c r="J423" s="102"/>
      <c r="K423" s="102"/>
      <c r="L423" s="102"/>
      <c r="M423" s="102"/>
      <c r="N423" s="102"/>
      <c r="O423" s="102"/>
      <c r="P423" s="102"/>
      <c r="Q423" s="102"/>
      <c r="R423" s="102"/>
      <c r="T423" s="102"/>
      <c r="U423" s="102"/>
      <c r="V423" s="102"/>
      <c r="Z423" s="102"/>
      <c r="AA423" s="102"/>
      <c r="AB423" s="102"/>
      <c r="AC423" s="102"/>
      <c r="AD423" s="102"/>
      <c r="AE423" s="102"/>
      <c r="AF423" s="102"/>
      <c r="AG423" s="151"/>
      <c r="AH423" s="102"/>
      <c r="AI423" s="102"/>
      <c r="AJ423" s="102"/>
      <c r="AK423" s="151"/>
      <c r="AL423" s="102"/>
      <c r="AM423" s="102"/>
      <c r="AN423" s="102"/>
    </row>
    <row r="424" spans="1:40" x14ac:dyDescent="0.3">
      <c r="A424" s="102"/>
      <c r="C424" s="102"/>
      <c r="D424" s="102"/>
      <c r="E424" s="102"/>
      <c r="F424" s="102"/>
      <c r="H424" s="102"/>
      <c r="I424" s="102"/>
      <c r="J424" s="102"/>
      <c r="K424" s="102"/>
      <c r="L424" s="102"/>
      <c r="M424" s="102"/>
      <c r="N424" s="102"/>
      <c r="O424" s="102"/>
      <c r="P424" s="102"/>
      <c r="Q424" s="102"/>
      <c r="R424" s="102"/>
      <c r="T424" s="102"/>
      <c r="U424" s="102"/>
      <c r="V424" s="102"/>
      <c r="Y424" s="102"/>
      <c r="Z424" s="102"/>
      <c r="AA424" s="102"/>
      <c r="AB424" s="102"/>
      <c r="AC424" s="102"/>
      <c r="AD424" s="102"/>
      <c r="AE424" s="102"/>
      <c r="AF424" s="102"/>
      <c r="AG424" s="151"/>
      <c r="AH424" s="102"/>
      <c r="AI424" s="102"/>
      <c r="AJ424" s="102"/>
      <c r="AK424" s="151"/>
      <c r="AL424" s="102"/>
      <c r="AM424" s="102"/>
      <c r="AN424" s="102"/>
    </row>
    <row r="425" spans="1:40" x14ac:dyDescent="0.3">
      <c r="C425" s="102"/>
      <c r="D425" s="102"/>
      <c r="E425" s="102"/>
      <c r="F425" s="102"/>
      <c r="H425" s="102"/>
      <c r="I425" s="102"/>
      <c r="J425" s="102"/>
      <c r="K425" s="102"/>
      <c r="L425" s="102"/>
      <c r="M425" s="102"/>
      <c r="N425" s="102"/>
      <c r="O425" s="102"/>
      <c r="P425" s="102"/>
      <c r="Q425" s="102"/>
      <c r="R425" s="102"/>
      <c r="T425" s="102"/>
      <c r="U425" s="102"/>
      <c r="V425" s="102"/>
      <c r="Y425" s="102"/>
      <c r="Z425" s="102"/>
      <c r="AA425" s="102"/>
      <c r="AB425" s="102"/>
      <c r="AC425" s="102"/>
      <c r="AD425" s="102"/>
      <c r="AE425" s="102"/>
      <c r="AF425" s="102"/>
      <c r="AG425" s="151"/>
      <c r="AH425" s="102"/>
      <c r="AI425" s="102"/>
      <c r="AJ425" s="102"/>
      <c r="AK425" s="151"/>
      <c r="AL425" s="102"/>
      <c r="AM425" s="102"/>
      <c r="AN425" s="102"/>
    </row>
    <row r="426" spans="1:40" x14ac:dyDescent="0.3">
      <c r="A426" s="101"/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T426" s="101"/>
      <c r="U426" s="101"/>
      <c r="V426" s="101"/>
      <c r="W426" s="101"/>
      <c r="X426" s="101"/>
      <c r="Y426" s="101"/>
      <c r="Z426" s="101"/>
      <c r="AA426" s="101"/>
      <c r="AB426" s="101"/>
      <c r="AC426" s="101"/>
      <c r="AD426" s="101"/>
      <c r="AE426" s="101"/>
      <c r="AF426" s="101"/>
      <c r="AG426" s="191"/>
      <c r="AH426" s="101"/>
      <c r="AI426" s="101"/>
      <c r="AJ426" s="101"/>
      <c r="AK426" s="191"/>
      <c r="AL426" s="101"/>
      <c r="AM426" s="101"/>
      <c r="AN426" s="101"/>
    </row>
    <row r="427" spans="1:40" x14ac:dyDescent="0.3">
      <c r="H427" s="102"/>
      <c r="I427" s="102"/>
      <c r="J427" s="102"/>
      <c r="K427" s="102"/>
      <c r="L427" s="102"/>
      <c r="M427" s="102"/>
      <c r="N427" s="102"/>
      <c r="O427" s="102"/>
      <c r="P427" s="102"/>
      <c r="Q427" s="102"/>
      <c r="R427" s="102"/>
      <c r="Y427" s="102"/>
      <c r="Z427" s="102"/>
      <c r="AA427" s="102"/>
      <c r="AB427" s="102"/>
      <c r="AC427" s="102"/>
      <c r="AD427" s="102"/>
      <c r="AE427" s="102"/>
      <c r="AF427" s="102"/>
      <c r="AG427" s="151"/>
      <c r="AH427" s="102"/>
      <c r="AI427" s="102"/>
      <c r="AJ427" s="102"/>
      <c r="AK427" s="151"/>
      <c r="AL427" s="102"/>
      <c r="AM427" s="102"/>
      <c r="AN427" s="102"/>
    </row>
    <row r="428" spans="1:40" x14ac:dyDescent="0.3">
      <c r="C428" s="99"/>
      <c r="D428" s="99"/>
      <c r="E428" s="99"/>
      <c r="T428" s="99"/>
      <c r="U428" s="99"/>
    </row>
    <row r="430" spans="1:40" x14ac:dyDescent="0.3">
      <c r="C430" s="99"/>
      <c r="T430" s="99"/>
    </row>
    <row r="431" spans="1:40" x14ac:dyDescent="0.3">
      <c r="C431" s="99"/>
      <c r="F431" s="172"/>
      <c r="H431" s="172"/>
      <c r="I431" s="172"/>
      <c r="J431" s="217"/>
      <c r="K431" s="217"/>
      <c r="L431" s="110"/>
      <c r="M431" s="110"/>
      <c r="N431" s="141"/>
      <c r="O431" s="141"/>
      <c r="P431" s="110"/>
      <c r="Q431" s="110"/>
      <c r="R431" s="110"/>
      <c r="T431" s="99"/>
      <c r="V431" s="172"/>
      <c r="Y431" s="172"/>
      <c r="Z431" s="217"/>
      <c r="AA431" s="110"/>
      <c r="AB431" s="110"/>
      <c r="AC431" s="141"/>
      <c r="AD431" s="141"/>
      <c r="AE431" s="110"/>
      <c r="AF431" s="110"/>
      <c r="AH431" s="207"/>
      <c r="AI431" s="110"/>
      <c r="AJ431" s="110"/>
      <c r="AL431" s="110"/>
      <c r="AM431" s="141"/>
      <c r="AN431" s="141"/>
    </row>
    <row r="432" spans="1:40" x14ac:dyDescent="0.3">
      <c r="C432" s="99"/>
      <c r="T432" s="99"/>
    </row>
    <row r="433" spans="3:40" x14ac:dyDescent="0.3">
      <c r="C433" s="99"/>
      <c r="F433" s="172"/>
      <c r="H433" s="172"/>
      <c r="I433" s="172"/>
      <c r="J433" s="228"/>
      <c r="K433" s="228"/>
      <c r="L433" s="110"/>
      <c r="M433" s="110"/>
      <c r="N433" s="141"/>
      <c r="O433" s="141"/>
      <c r="P433" s="110"/>
      <c r="Q433" s="110"/>
      <c r="R433" s="110"/>
      <c r="T433" s="99"/>
      <c r="V433" s="110"/>
      <c r="Y433" s="110"/>
      <c r="Z433" s="228"/>
      <c r="AA433" s="110"/>
      <c r="AB433" s="110"/>
      <c r="AC433" s="141"/>
      <c r="AD433" s="141"/>
      <c r="AE433" s="110"/>
      <c r="AF433" s="110"/>
      <c r="AH433" s="207"/>
      <c r="AI433" s="110"/>
      <c r="AJ433" s="110"/>
      <c r="AL433" s="110"/>
      <c r="AM433" s="141"/>
      <c r="AN433" s="141"/>
    </row>
    <row r="434" spans="3:40" x14ac:dyDescent="0.3">
      <c r="C434" s="99"/>
      <c r="F434" s="172"/>
      <c r="H434" s="172"/>
      <c r="I434" s="172"/>
      <c r="J434" s="228"/>
      <c r="K434" s="228"/>
      <c r="L434" s="110"/>
      <c r="M434" s="110"/>
      <c r="N434" s="141"/>
      <c r="O434" s="141"/>
      <c r="P434" s="110"/>
      <c r="Q434" s="110"/>
      <c r="R434" s="110"/>
      <c r="T434" s="99"/>
      <c r="V434" s="110"/>
      <c r="Y434" s="110"/>
      <c r="Z434" s="228"/>
      <c r="AA434" s="110"/>
      <c r="AB434" s="110"/>
      <c r="AC434" s="141"/>
      <c r="AD434" s="141"/>
      <c r="AE434" s="110"/>
      <c r="AF434" s="110"/>
      <c r="AH434" s="207"/>
      <c r="AI434" s="110"/>
      <c r="AJ434" s="110"/>
      <c r="AL434" s="110"/>
      <c r="AM434" s="141"/>
      <c r="AN434" s="141"/>
    </row>
    <row r="435" spans="3:40" x14ac:dyDescent="0.3">
      <c r="C435" s="99"/>
      <c r="F435" s="172"/>
      <c r="H435" s="172"/>
      <c r="I435" s="172"/>
      <c r="J435" s="228"/>
      <c r="K435" s="228"/>
      <c r="L435" s="110"/>
      <c r="M435" s="110"/>
      <c r="N435" s="141"/>
      <c r="O435" s="141"/>
      <c r="P435" s="110"/>
      <c r="Q435" s="110"/>
      <c r="R435" s="110"/>
      <c r="T435" s="99"/>
      <c r="V435" s="110"/>
      <c r="Y435" s="110"/>
      <c r="Z435" s="228"/>
      <c r="AA435" s="110"/>
      <c r="AB435" s="110"/>
      <c r="AC435" s="141"/>
      <c r="AD435" s="141"/>
      <c r="AE435" s="110"/>
      <c r="AF435" s="110"/>
      <c r="AH435" s="207"/>
      <c r="AI435" s="110"/>
      <c r="AJ435" s="110"/>
      <c r="AL435" s="110"/>
      <c r="AM435" s="141"/>
      <c r="AN435" s="141"/>
    </row>
    <row r="436" spans="3:40" x14ac:dyDescent="0.3">
      <c r="C436" s="99"/>
      <c r="F436" s="172"/>
      <c r="H436" s="172"/>
      <c r="I436" s="172"/>
      <c r="J436" s="228"/>
      <c r="K436" s="228"/>
      <c r="L436" s="110"/>
      <c r="M436" s="110"/>
      <c r="N436" s="141"/>
      <c r="O436" s="141"/>
      <c r="P436" s="110"/>
      <c r="Q436" s="110"/>
      <c r="R436" s="110"/>
      <c r="T436" s="99"/>
      <c r="V436" s="110"/>
      <c r="Y436" s="110"/>
      <c r="Z436" s="228"/>
      <c r="AA436" s="110"/>
      <c r="AB436" s="110"/>
      <c r="AC436" s="141"/>
      <c r="AD436" s="141"/>
      <c r="AE436" s="110"/>
      <c r="AF436" s="110"/>
      <c r="AH436" s="207"/>
      <c r="AI436" s="110"/>
      <c r="AJ436" s="110"/>
      <c r="AL436" s="110"/>
      <c r="AM436" s="141"/>
      <c r="AN436" s="141"/>
    </row>
    <row r="437" spans="3:40" x14ac:dyDescent="0.3">
      <c r="C437" s="99"/>
      <c r="J437" s="163"/>
      <c r="K437" s="163"/>
      <c r="T437" s="99"/>
      <c r="Z437" s="163"/>
    </row>
    <row r="438" spans="3:40" x14ac:dyDescent="0.3">
      <c r="C438" s="99"/>
      <c r="F438" s="172"/>
      <c r="H438" s="172"/>
      <c r="I438" s="172"/>
      <c r="J438" s="228"/>
      <c r="K438" s="228"/>
      <c r="L438" s="110"/>
      <c r="M438" s="110"/>
      <c r="N438" s="141"/>
      <c r="O438" s="141"/>
      <c r="P438" s="110"/>
      <c r="Q438" s="110"/>
      <c r="R438" s="110"/>
      <c r="T438" s="99"/>
      <c r="V438" s="110"/>
      <c r="Y438" s="110"/>
      <c r="Z438" s="228"/>
      <c r="AA438" s="110"/>
      <c r="AB438" s="110"/>
      <c r="AC438" s="141"/>
      <c r="AD438" s="141"/>
      <c r="AE438" s="110"/>
      <c r="AF438" s="110"/>
      <c r="AH438" s="207"/>
      <c r="AI438" s="110"/>
      <c r="AJ438" s="110"/>
      <c r="AL438" s="110"/>
      <c r="AM438" s="141"/>
      <c r="AN438" s="141"/>
    </row>
    <row r="439" spans="3:40" x14ac:dyDescent="0.3">
      <c r="C439" s="99"/>
      <c r="F439" s="172"/>
      <c r="H439" s="172"/>
      <c r="I439" s="172"/>
      <c r="J439" s="228"/>
      <c r="K439" s="228"/>
      <c r="L439" s="110"/>
      <c r="M439" s="110"/>
      <c r="N439" s="141"/>
      <c r="O439" s="141"/>
      <c r="P439" s="110"/>
      <c r="Q439" s="110"/>
      <c r="R439" s="110"/>
      <c r="T439" s="99"/>
      <c r="V439" s="110"/>
      <c r="Y439" s="110"/>
      <c r="Z439" s="228"/>
      <c r="AA439" s="110"/>
      <c r="AB439" s="110"/>
      <c r="AC439" s="141"/>
      <c r="AD439" s="141"/>
      <c r="AE439" s="110"/>
      <c r="AF439" s="110"/>
      <c r="AH439" s="207"/>
      <c r="AI439" s="110"/>
      <c r="AJ439" s="110"/>
      <c r="AL439" s="110"/>
      <c r="AM439" s="141"/>
      <c r="AN439" s="141"/>
    </row>
    <row r="440" spans="3:40" x14ac:dyDescent="0.3">
      <c r="C440" s="99"/>
      <c r="F440" s="172"/>
      <c r="H440" s="172"/>
      <c r="I440" s="172"/>
      <c r="J440" s="228"/>
      <c r="K440" s="228"/>
      <c r="L440" s="110"/>
      <c r="M440" s="110"/>
      <c r="N440" s="141"/>
      <c r="O440" s="141"/>
      <c r="P440" s="110"/>
      <c r="Q440" s="110"/>
      <c r="R440" s="110"/>
      <c r="T440" s="99"/>
      <c r="V440" s="110"/>
      <c r="Y440" s="110"/>
      <c r="Z440" s="228"/>
      <c r="AA440" s="110"/>
      <c r="AB440" s="110"/>
      <c r="AC440" s="141"/>
      <c r="AD440" s="141"/>
      <c r="AE440" s="110"/>
      <c r="AF440" s="110"/>
      <c r="AH440" s="207"/>
      <c r="AI440" s="110"/>
      <c r="AJ440" s="110"/>
      <c r="AL440" s="110"/>
      <c r="AM440" s="141"/>
      <c r="AN440" s="141"/>
    </row>
    <row r="441" spans="3:40" x14ac:dyDescent="0.3">
      <c r="C441" s="99"/>
      <c r="J441" s="163"/>
      <c r="K441" s="163"/>
      <c r="T441" s="99"/>
      <c r="Z441" s="163"/>
    </row>
    <row r="442" spans="3:40" x14ac:dyDescent="0.3">
      <c r="C442" s="99"/>
      <c r="F442" s="172"/>
      <c r="H442" s="172"/>
      <c r="I442" s="172"/>
      <c r="J442" s="228"/>
      <c r="K442" s="228"/>
      <c r="L442" s="110"/>
      <c r="M442" s="110"/>
      <c r="N442" s="141"/>
      <c r="O442" s="141"/>
      <c r="P442" s="110"/>
      <c r="Q442" s="110"/>
      <c r="R442" s="110"/>
      <c r="T442" s="99"/>
      <c r="V442" s="110"/>
      <c r="Y442" s="110"/>
      <c r="Z442" s="228"/>
      <c r="AA442" s="110"/>
      <c r="AB442" s="110"/>
      <c r="AC442" s="141"/>
      <c r="AD442" s="141"/>
      <c r="AE442" s="110"/>
      <c r="AF442" s="110"/>
      <c r="AH442" s="207"/>
      <c r="AI442" s="110"/>
      <c r="AJ442" s="110"/>
      <c r="AL442" s="110"/>
      <c r="AM442" s="141"/>
      <c r="AN442" s="141"/>
    </row>
    <row r="443" spans="3:40" x14ac:dyDescent="0.3">
      <c r="C443" s="99"/>
      <c r="F443" s="172"/>
      <c r="H443" s="172"/>
      <c r="I443" s="172"/>
      <c r="J443" s="228"/>
      <c r="K443" s="228"/>
      <c r="L443" s="110"/>
      <c r="M443" s="110"/>
      <c r="N443" s="141"/>
      <c r="O443" s="141"/>
      <c r="P443" s="110"/>
      <c r="Q443" s="110"/>
      <c r="R443" s="110"/>
      <c r="T443" s="99"/>
      <c r="V443" s="110"/>
      <c r="Y443" s="110"/>
      <c r="Z443" s="228"/>
      <c r="AA443" s="110"/>
      <c r="AB443" s="110"/>
      <c r="AC443" s="141"/>
      <c r="AD443" s="141"/>
      <c r="AE443" s="110"/>
      <c r="AF443" s="110"/>
      <c r="AH443" s="207"/>
      <c r="AI443" s="110"/>
      <c r="AJ443" s="110"/>
      <c r="AL443" s="110"/>
      <c r="AM443" s="141"/>
      <c r="AN443" s="141"/>
    </row>
    <row r="444" spans="3:40" x14ac:dyDescent="0.3">
      <c r="C444" s="99"/>
      <c r="J444" s="163"/>
      <c r="K444" s="163"/>
      <c r="T444" s="99"/>
      <c r="Z444" s="163"/>
    </row>
    <row r="445" spans="3:40" x14ac:dyDescent="0.3">
      <c r="C445" s="99"/>
      <c r="F445" s="172"/>
      <c r="H445" s="172"/>
      <c r="I445" s="172"/>
      <c r="J445" s="228"/>
      <c r="K445" s="228"/>
      <c r="L445" s="110"/>
      <c r="M445" s="110"/>
      <c r="N445" s="141"/>
      <c r="O445" s="141"/>
      <c r="P445" s="110"/>
      <c r="Q445" s="110"/>
      <c r="R445" s="110"/>
      <c r="T445" s="99"/>
      <c r="V445" s="110"/>
      <c r="Y445" s="110"/>
      <c r="Z445" s="228"/>
      <c r="AA445" s="110"/>
      <c r="AB445" s="110"/>
      <c r="AC445" s="141"/>
      <c r="AD445" s="141"/>
      <c r="AE445" s="110"/>
      <c r="AF445" s="110"/>
      <c r="AH445" s="207"/>
      <c r="AI445" s="110"/>
      <c r="AJ445" s="110"/>
      <c r="AL445" s="110"/>
      <c r="AM445" s="141"/>
      <c r="AN445" s="141"/>
    </row>
    <row r="446" spans="3:40" x14ac:dyDescent="0.3">
      <c r="C446" s="99"/>
      <c r="F446" s="172"/>
      <c r="H446" s="172"/>
      <c r="I446" s="172"/>
      <c r="J446" s="228"/>
      <c r="K446" s="228"/>
      <c r="L446" s="110"/>
      <c r="M446" s="110"/>
      <c r="N446" s="141"/>
      <c r="O446" s="141"/>
      <c r="P446" s="110"/>
      <c r="Q446" s="110"/>
      <c r="R446" s="110"/>
      <c r="T446" s="99"/>
      <c r="V446" s="110"/>
      <c r="Y446" s="110"/>
      <c r="Z446" s="228"/>
      <c r="AA446" s="110"/>
      <c r="AB446" s="110"/>
      <c r="AC446" s="141"/>
      <c r="AD446" s="141"/>
      <c r="AE446" s="110"/>
      <c r="AF446" s="110"/>
      <c r="AH446" s="207"/>
      <c r="AI446" s="110"/>
      <c r="AJ446" s="110"/>
      <c r="AL446" s="110"/>
      <c r="AM446" s="141"/>
      <c r="AN446" s="141"/>
    </row>
    <row r="447" spans="3:40" x14ac:dyDescent="0.3">
      <c r="C447" s="99"/>
      <c r="F447" s="172"/>
      <c r="H447" s="172"/>
      <c r="I447" s="172"/>
      <c r="J447" s="228"/>
      <c r="K447" s="228"/>
      <c r="L447" s="110"/>
      <c r="M447" s="110"/>
      <c r="N447" s="141"/>
      <c r="O447" s="141"/>
      <c r="P447" s="110"/>
      <c r="Q447" s="110"/>
      <c r="R447" s="110"/>
      <c r="T447" s="99"/>
      <c r="V447" s="110"/>
      <c r="Y447" s="110"/>
      <c r="Z447" s="228"/>
      <c r="AA447" s="110"/>
      <c r="AB447" s="110"/>
      <c r="AC447" s="141"/>
      <c r="AD447" s="141"/>
      <c r="AE447" s="110"/>
      <c r="AF447" s="110"/>
      <c r="AH447" s="207"/>
      <c r="AI447" s="110"/>
      <c r="AJ447" s="110"/>
      <c r="AL447" s="110"/>
      <c r="AM447" s="141"/>
      <c r="AN447" s="141"/>
    </row>
    <row r="448" spans="3:40" x14ac:dyDescent="0.3">
      <c r="F448" s="192"/>
      <c r="H448" s="192"/>
      <c r="I448" s="192"/>
      <c r="J448" s="228"/>
      <c r="K448" s="228"/>
      <c r="L448" s="192"/>
      <c r="M448" s="192"/>
      <c r="N448" s="192"/>
      <c r="O448" s="192"/>
      <c r="P448" s="192"/>
      <c r="Q448" s="192"/>
      <c r="R448" s="192"/>
      <c r="V448" s="192"/>
      <c r="Y448" s="192"/>
      <c r="Z448" s="228"/>
      <c r="AA448" s="192"/>
      <c r="AB448" s="192"/>
      <c r="AC448" s="192"/>
      <c r="AD448" s="192"/>
      <c r="AE448" s="192"/>
      <c r="AF448" s="192"/>
      <c r="AI448" s="192"/>
      <c r="AJ448" s="192"/>
      <c r="AK448" s="194"/>
      <c r="AL448" s="192"/>
    </row>
    <row r="449" spans="3:40" x14ac:dyDescent="0.3">
      <c r="C449" s="102"/>
      <c r="F449" s="110"/>
      <c r="H449" s="110"/>
      <c r="I449" s="110"/>
      <c r="J449" s="163"/>
      <c r="K449" s="163"/>
      <c r="L449" s="110"/>
      <c r="M449" s="110"/>
      <c r="N449" s="207"/>
      <c r="O449" s="207"/>
      <c r="P449" s="110"/>
      <c r="Q449" s="110"/>
      <c r="R449" s="110"/>
      <c r="T449" s="102"/>
      <c r="V449" s="110"/>
      <c r="Y449" s="110"/>
      <c r="Z449" s="163"/>
      <c r="AA449" s="110"/>
      <c r="AB449" s="110"/>
      <c r="AC449" s="110"/>
      <c r="AD449" s="110"/>
      <c r="AE449" s="110"/>
      <c r="AF449" s="110"/>
      <c r="AH449" s="207"/>
      <c r="AI449" s="110"/>
      <c r="AJ449" s="110"/>
      <c r="AL449" s="110"/>
      <c r="AM449" s="141"/>
      <c r="AN449" s="141"/>
    </row>
    <row r="450" spans="3:40" x14ac:dyDescent="0.3">
      <c r="F450" s="192"/>
      <c r="H450" s="192"/>
      <c r="I450" s="192"/>
      <c r="J450" s="228"/>
      <c r="K450" s="228"/>
      <c r="L450" s="192"/>
      <c r="M450" s="192"/>
      <c r="N450" s="192"/>
      <c r="O450" s="192"/>
      <c r="P450" s="192"/>
      <c r="Q450" s="192"/>
      <c r="R450" s="192"/>
      <c r="V450" s="192"/>
      <c r="Y450" s="192"/>
      <c r="Z450" s="228"/>
      <c r="AA450" s="192"/>
      <c r="AB450" s="192"/>
      <c r="AC450" s="192"/>
      <c r="AD450" s="192"/>
      <c r="AE450" s="192"/>
      <c r="AF450" s="192"/>
      <c r="AI450" s="192"/>
      <c r="AJ450" s="192"/>
      <c r="AK450" s="194"/>
      <c r="AL450" s="192"/>
    </row>
    <row r="451" spans="3:40" x14ac:dyDescent="0.3">
      <c r="C451" s="99"/>
      <c r="J451" s="163"/>
      <c r="K451" s="163"/>
      <c r="T451" s="99"/>
      <c r="Z451" s="163"/>
    </row>
    <row r="452" spans="3:40" x14ac:dyDescent="0.3">
      <c r="C452" s="99"/>
      <c r="J452" s="163"/>
      <c r="K452" s="163"/>
      <c r="T452" s="99"/>
      <c r="Z452" s="163"/>
    </row>
    <row r="453" spans="3:40" x14ac:dyDescent="0.3">
      <c r="C453" s="99"/>
      <c r="F453" s="172"/>
      <c r="H453" s="172"/>
      <c r="I453" s="172"/>
      <c r="J453" s="228"/>
      <c r="K453" s="228"/>
      <c r="L453" s="110"/>
      <c r="M453" s="110"/>
      <c r="N453" s="141"/>
      <c r="O453" s="141"/>
      <c r="P453" s="110"/>
      <c r="Q453" s="110"/>
      <c r="R453" s="110"/>
      <c r="T453" s="99"/>
      <c r="V453" s="110"/>
      <c r="Y453" s="110"/>
      <c r="Z453" s="228"/>
      <c r="AA453" s="110"/>
      <c r="AB453" s="110"/>
      <c r="AC453" s="141"/>
      <c r="AD453" s="141"/>
      <c r="AE453" s="110"/>
      <c r="AF453" s="110"/>
      <c r="AH453" s="207"/>
      <c r="AI453" s="110"/>
      <c r="AJ453" s="110"/>
      <c r="AL453" s="110"/>
      <c r="AM453" s="141"/>
      <c r="AN453" s="141"/>
    </row>
    <row r="454" spans="3:40" x14ac:dyDescent="0.3">
      <c r="C454" s="99"/>
      <c r="F454" s="172"/>
      <c r="H454" s="172"/>
      <c r="I454" s="172"/>
      <c r="J454" s="228"/>
      <c r="K454" s="228"/>
      <c r="L454" s="110"/>
      <c r="M454" s="110"/>
      <c r="N454" s="141"/>
      <c r="O454" s="141"/>
      <c r="P454" s="110"/>
      <c r="Q454" s="110"/>
      <c r="R454" s="110"/>
      <c r="T454" s="99"/>
      <c r="V454" s="110"/>
      <c r="Y454" s="110"/>
      <c r="Z454" s="228"/>
      <c r="AA454" s="110"/>
      <c r="AB454" s="110"/>
      <c r="AC454" s="141"/>
      <c r="AD454" s="141"/>
      <c r="AE454" s="110"/>
      <c r="AF454" s="110"/>
      <c r="AH454" s="207"/>
      <c r="AI454" s="110"/>
      <c r="AJ454" s="110"/>
      <c r="AL454" s="110"/>
      <c r="AM454" s="141"/>
      <c r="AN454" s="141"/>
    </row>
    <row r="455" spans="3:40" x14ac:dyDescent="0.3">
      <c r="C455" s="99"/>
      <c r="F455" s="172"/>
      <c r="H455" s="172"/>
      <c r="I455" s="172"/>
      <c r="J455" s="228"/>
      <c r="K455" s="228"/>
      <c r="L455" s="110"/>
      <c r="M455" s="110"/>
      <c r="N455" s="141"/>
      <c r="O455" s="141"/>
      <c r="P455" s="110"/>
      <c r="Q455" s="110"/>
      <c r="R455" s="110"/>
      <c r="T455" s="99"/>
      <c r="V455" s="110"/>
      <c r="Y455" s="110"/>
      <c r="Z455" s="228"/>
      <c r="AA455" s="110"/>
      <c r="AB455" s="110"/>
      <c r="AC455" s="141"/>
      <c r="AD455" s="141"/>
      <c r="AE455" s="110"/>
      <c r="AF455" s="110"/>
      <c r="AH455" s="207"/>
      <c r="AI455" s="110"/>
      <c r="AJ455" s="110"/>
      <c r="AL455" s="110"/>
      <c r="AM455" s="141"/>
      <c r="AN455" s="141"/>
    </row>
    <row r="456" spans="3:40" x14ac:dyDescent="0.3">
      <c r="C456" s="99"/>
      <c r="F456" s="172"/>
      <c r="H456" s="172"/>
      <c r="I456" s="172"/>
      <c r="J456" s="228"/>
      <c r="K456" s="228"/>
      <c r="L456" s="110"/>
      <c r="M456" s="110"/>
      <c r="N456" s="141"/>
      <c r="O456" s="141"/>
      <c r="P456" s="110"/>
      <c r="Q456" s="110"/>
      <c r="R456" s="110"/>
      <c r="T456" s="99"/>
      <c r="V456" s="110"/>
      <c r="Y456" s="110"/>
      <c r="Z456" s="228"/>
      <c r="AA456" s="110"/>
      <c r="AB456" s="110"/>
      <c r="AC456" s="141"/>
      <c r="AD456" s="141"/>
      <c r="AE456" s="110"/>
      <c r="AF456" s="110"/>
      <c r="AH456" s="207"/>
      <c r="AI456" s="110"/>
      <c r="AJ456" s="110"/>
      <c r="AL456" s="110"/>
      <c r="AM456" s="141"/>
      <c r="AN456" s="141"/>
    </row>
    <row r="457" spans="3:40" x14ac:dyDescent="0.3">
      <c r="C457" s="99"/>
      <c r="F457" s="172"/>
      <c r="H457" s="172"/>
      <c r="I457" s="172"/>
      <c r="J457" s="228"/>
      <c r="K457" s="228"/>
      <c r="L457" s="110"/>
      <c r="M457" s="110"/>
      <c r="N457" s="141"/>
      <c r="O457" s="141"/>
      <c r="P457" s="110"/>
      <c r="Q457" s="110"/>
      <c r="R457" s="110"/>
      <c r="T457" s="99"/>
      <c r="V457" s="110"/>
      <c r="Y457" s="110"/>
      <c r="Z457" s="228"/>
      <c r="AA457" s="110"/>
      <c r="AB457" s="110"/>
      <c r="AC457" s="141"/>
      <c r="AD457" s="141"/>
      <c r="AE457" s="110"/>
      <c r="AF457" s="110"/>
      <c r="AH457" s="207"/>
      <c r="AI457" s="110"/>
      <c r="AJ457" s="110"/>
      <c r="AL457" s="110"/>
      <c r="AM457" s="141"/>
      <c r="AN457" s="141"/>
    </row>
    <row r="458" spans="3:40" x14ac:dyDescent="0.3">
      <c r="C458" s="99"/>
      <c r="F458" s="172"/>
      <c r="H458" s="172"/>
      <c r="I458" s="172"/>
      <c r="J458" s="228"/>
      <c r="K458" s="228"/>
      <c r="L458" s="110"/>
      <c r="M458" s="110"/>
      <c r="N458" s="141"/>
      <c r="O458" s="141"/>
      <c r="P458" s="110"/>
      <c r="Q458" s="110"/>
      <c r="R458" s="110"/>
      <c r="T458" s="99"/>
      <c r="V458" s="110"/>
      <c r="Y458" s="110"/>
      <c r="Z458" s="228"/>
      <c r="AA458" s="110"/>
      <c r="AB458" s="110"/>
      <c r="AC458" s="141"/>
      <c r="AD458" s="141"/>
      <c r="AE458" s="110"/>
      <c r="AF458" s="110"/>
      <c r="AH458" s="207"/>
      <c r="AI458" s="110"/>
      <c r="AJ458" s="110"/>
      <c r="AL458" s="110"/>
      <c r="AM458" s="141"/>
      <c r="AN458" s="141"/>
    </row>
    <row r="459" spans="3:40" x14ac:dyDescent="0.3">
      <c r="C459" s="99"/>
      <c r="F459" s="172"/>
      <c r="H459" s="172"/>
      <c r="I459" s="172"/>
      <c r="J459" s="228"/>
      <c r="K459" s="228"/>
      <c r="L459" s="110"/>
      <c r="M459" s="110"/>
      <c r="N459" s="141"/>
      <c r="O459" s="141"/>
      <c r="P459" s="110"/>
      <c r="Q459" s="110"/>
      <c r="R459" s="110"/>
      <c r="T459" s="99"/>
      <c r="V459" s="110"/>
      <c r="Y459" s="110"/>
      <c r="Z459" s="228"/>
      <c r="AA459" s="110"/>
      <c r="AB459" s="110"/>
      <c r="AC459" s="141"/>
      <c r="AD459" s="141"/>
      <c r="AE459" s="110"/>
      <c r="AF459" s="110"/>
      <c r="AH459" s="207"/>
      <c r="AI459" s="110"/>
      <c r="AJ459" s="110"/>
      <c r="AL459" s="110"/>
      <c r="AM459" s="141"/>
      <c r="AN459" s="141"/>
    </row>
    <row r="460" spans="3:40" x14ac:dyDescent="0.3">
      <c r="C460" s="99"/>
      <c r="J460" s="163"/>
      <c r="K460" s="163"/>
      <c r="T460" s="99"/>
      <c r="Z460" s="163"/>
    </row>
    <row r="461" spans="3:40" x14ac:dyDescent="0.3">
      <c r="C461" s="99"/>
      <c r="F461" s="172"/>
      <c r="H461" s="172"/>
      <c r="I461" s="172"/>
      <c r="J461" s="228"/>
      <c r="K461" s="228"/>
      <c r="L461" s="110"/>
      <c r="M461" s="110"/>
      <c r="N461" s="141"/>
      <c r="O461" s="141"/>
      <c r="P461" s="110"/>
      <c r="Q461" s="110"/>
      <c r="R461" s="110"/>
      <c r="T461" s="99"/>
      <c r="V461" s="110"/>
      <c r="Y461" s="110"/>
      <c r="Z461" s="228"/>
      <c r="AA461" s="110"/>
      <c r="AB461" s="110"/>
      <c r="AC461" s="141"/>
      <c r="AD461" s="141"/>
      <c r="AE461" s="110"/>
      <c r="AF461" s="110"/>
      <c r="AH461" s="207"/>
      <c r="AI461" s="110"/>
      <c r="AJ461" s="110"/>
      <c r="AL461" s="110"/>
      <c r="AM461" s="141"/>
      <c r="AN461" s="141"/>
    </row>
    <row r="462" spans="3:40" x14ac:dyDescent="0.3">
      <c r="C462" s="99"/>
      <c r="F462" s="172"/>
      <c r="H462" s="172"/>
      <c r="I462" s="172"/>
      <c r="J462" s="228"/>
      <c r="K462" s="228"/>
      <c r="L462" s="110"/>
      <c r="M462" s="110"/>
      <c r="N462" s="141"/>
      <c r="O462" s="141"/>
      <c r="P462" s="110"/>
      <c r="Q462" s="110"/>
      <c r="R462" s="110"/>
      <c r="T462" s="99"/>
      <c r="V462" s="110"/>
      <c r="Y462" s="110"/>
      <c r="Z462" s="228"/>
      <c r="AA462" s="110"/>
      <c r="AB462" s="110"/>
      <c r="AC462" s="141"/>
      <c r="AD462" s="141"/>
      <c r="AE462" s="110"/>
      <c r="AF462" s="110"/>
      <c r="AH462" s="207"/>
      <c r="AI462" s="110"/>
      <c r="AJ462" s="110"/>
      <c r="AL462" s="110"/>
      <c r="AM462" s="141"/>
      <c r="AN462" s="141"/>
    </row>
    <row r="463" spans="3:40" x14ac:dyDescent="0.3">
      <c r="C463" s="99"/>
      <c r="F463" s="172"/>
      <c r="H463" s="172"/>
      <c r="I463" s="172"/>
      <c r="J463" s="228"/>
      <c r="K463" s="228"/>
      <c r="L463" s="110"/>
      <c r="M463" s="110"/>
      <c r="N463" s="141"/>
      <c r="O463" s="141"/>
      <c r="P463" s="110"/>
      <c r="Q463" s="110"/>
      <c r="R463" s="110"/>
      <c r="T463" s="99"/>
      <c r="V463" s="110"/>
      <c r="Y463" s="110"/>
      <c r="Z463" s="228"/>
      <c r="AA463" s="110"/>
      <c r="AB463" s="110"/>
      <c r="AC463" s="141"/>
      <c r="AD463" s="141"/>
      <c r="AE463" s="110"/>
      <c r="AF463" s="110"/>
      <c r="AH463" s="207"/>
      <c r="AI463" s="110"/>
      <c r="AJ463" s="110"/>
      <c r="AL463" s="110"/>
      <c r="AM463" s="141"/>
      <c r="AN463" s="141"/>
    </row>
    <row r="464" spans="3:40" x14ac:dyDescent="0.3">
      <c r="C464" s="99"/>
      <c r="F464" s="172"/>
      <c r="H464" s="172"/>
      <c r="I464" s="172"/>
      <c r="J464" s="228"/>
      <c r="K464" s="228"/>
      <c r="L464" s="110"/>
      <c r="M464" s="110"/>
      <c r="N464" s="141"/>
      <c r="O464" s="141"/>
      <c r="P464" s="110"/>
      <c r="Q464" s="110"/>
      <c r="R464" s="110"/>
      <c r="T464" s="99"/>
      <c r="V464" s="110"/>
      <c r="Y464" s="110"/>
      <c r="Z464" s="228"/>
      <c r="AA464" s="110"/>
      <c r="AB464" s="110"/>
      <c r="AC464" s="141"/>
      <c r="AD464" s="141"/>
      <c r="AE464" s="110"/>
      <c r="AF464" s="110"/>
      <c r="AH464" s="207"/>
      <c r="AI464" s="110"/>
      <c r="AJ464" s="110"/>
      <c r="AL464" s="110"/>
      <c r="AM464" s="141"/>
      <c r="AN464" s="141"/>
    </row>
    <row r="465" spans="3:40" x14ac:dyDescent="0.3">
      <c r="C465" s="99"/>
      <c r="J465" s="163"/>
      <c r="K465" s="163"/>
      <c r="T465" s="99"/>
      <c r="Z465" s="163"/>
    </row>
    <row r="466" spans="3:40" x14ac:dyDescent="0.3">
      <c r="C466" s="99"/>
      <c r="F466" s="172"/>
      <c r="H466" s="172"/>
      <c r="I466" s="172"/>
      <c r="J466" s="228"/>
      <c r="K466" s="228"/>
      <c r="L466" s="110"/>
      <c r="M466" s="110"/>
      <c r="N466" s="141"/>
      <c r="O466" s="141"/>
      <c r="P466" s="110"/>
      <c r="Q466" s="110"/>
      <c r="R466" s="110"/>
      <c r="T466" s="99"/>
      <c r="V466" s="110"/>
      <c r="Y466" s="110"/>
      <c r="Z466" s="228"/>
      <c r="AA466" s="110"/>
      <c r="AB466" s="110"/>
      <c r="AC466" s="141"/>
      <c r="AD466" s="141"/>
      <c r="AE466" s="110"/>
      <c r="AF466" s="110"/>
      <c r="AH466" s="207"/>
      <c r="AI466" s="110"/>
      <c r="AJ466" s="110"/>
      <c r="AL466" s="110"/>
      <c r="AM466" s="141"/>
      <c r="AN466" s="141"/>
    </row>
    <row r="467" spans="3:40" x14ac:dyDescent="0.3">
      <c r="C467" s="99"/>
      <c r="F467" s="172"/>
      <c r="H467" s="172"/>
      <c r="I467" s="172"/>
      <c r="J467" s="228"/>
      <c r="K467" s="228"/>
      <c r="L467" s="110"/>
      <c r="M467" s="110"/>
      <c r="N467" s="141"/>
      <c r="O467" s="141"/>
      <c r="P467" s="110"/>
      <c r="Q467" s="110"/>
      <c r="R467" s="110"/>
      <c r="T467" s="99"/>
      <c r="V467" s="110"/>
      <c r="Y467" s="110"/>
      <c r="Z467" s="228"/>
      <c r="AA467" s="110"/>
      <c r="AB467" s="110"/>
      <c r="AC467" s="141"/>
      <c r="AD467" s="141"/>
      <c r="AE467" s="110"/>
      <c r="AF467" s="110"/>
      <c r="AH467" s="207"/>
      <c r="AI467" s="110"/>
      <c r="AJ467" s="110"/>
      <c r="AL467" s="110"/>
      <c r="AM467" s="141"/>
      <c r="AN467" s="141"/>
    </row>
    <row r="468" spans="3:40" x14ac:dyDescent="0.3">
      <c r="C468" s="99"/>
      <c r="F468" s="172"/>
      <c r="H468" s="172"/>
      <c r="I468" s="172"/>
      <c r="J468" s="228"/>
      <c r="K468" s="228"/>
      <c r="L468" s="110"/>
      <c r="M468" s="110"/>
      <c r="N468" s="141"/>
      <c r="O468" s="141"/>
      <c r="P468" s="110"/>
      <c r="Q468" s="110"/>
      <c r="R468" s="110"/>
      <c r="T468" s="99"/>
      <c r="V468" s="110"/>
      <c r="Y468" s="110"/>
      <c r="Z468" s="228"/>
      <c r="AA468" s="110"/>
      <c r="AB468" s="110"/>
      <c r="AC468" s="141"/>
      <c r="AD468" s="141"/>
      <c r="AE468" s="110"/>
      <c r="AF468" s="110"/>
      <c r="AH468" s="207"/>
      <c r="AI468" s="110"/>
      <c r="AJ468" s="110"/>
      <c r="AL468" s="110"/>
      <c r="AM468" s="141"/>
      <c r="AN468" s="141"/>
    </row>
    <row r="469" spans="3:40" x14ac:dyDescent="0.3">
      <c r="C469" s="99"/>
      <c r="F469" s="172"/>
      <c r="H469" s="172"/>
      <c r="I469" s="172"/>
      <c r="J469" s="228"/>
      <c r="K469" s="228"/>
      <c r="L469" s="110"/>
      <c r="M469" s="110"/>
      <c r="N469" s="141"/>
      <c r="O469" s="141"/>
      <c r="P469" s="110"/>
      <c r="Q469" s="110"/>
      <c r="R469" s="110"/>
      <c r="T469" s="99"/>
      <c r="V469" s="110"/>
      <c r="Y469" s="110"/>
      <c r="Z469" s="228"/>
      <c r="AA469" s="110"/>
      <c r="AB469" s="110"/>
      <c r="AC469" s="141"/>
      <c r="AD469" s="141"/>
      <c r="AE469" s="110"/>
      <c r="AF469" s="110"/>
      <c r="AH469" s="207"/>
      <c r="AI469" s="110"/>
      <c r="AJ469" s="110"/>
      <c r="AL469" s="110"/>
      <c r="AM469" s="141"/>
      <c r="AN469" s="141"/>
    </row>
    <row r="470" spans="3:40" x14ac:dyDescent="0.3">
      <c r="C470" s="99"/>
      <c r="F470" s="172"/>
      <c r="H470" s="172"/>
      <c r="I470" s="172"/>
      <c r="J470" s="228"/>
      <c r="K470" s="228"/>
      <c r="L470" s="110"/>
      <c r="M470" s="110"/>
      <c r="N470" s="141"/>
      <c r="O470" s="141"/>
      <c r="P470" s="110"/>
      <c r="Q470" s="110"/>
      <c r="R470" s="110"/>
      <c r="T470" s="99"/>
      <c r="V470" s="110"/>
      <c r="Y470" s="110"/>
      <c r="Z470" s="228"/>
      <c r="AA470" s="110"/>
      <c r="AB470" s="110"/>
      <c r="AC470" s="141"/>
      <c r="AD470" s="141"/>
      <c r="AE470" s="110"/>
      <c r="AF470" s="110"/>
      <c r="AH470" s="207"/>
      <c r="AI470" s="110"/>
      <c r="AJ470" s="110"/>
      <c r="AL470" s="110"/>
      <c r="AM470" s="141"/>
      <c r="AN470" s="141"/>
    </row>
    <row r="471" spans="3:40" x14ac:dyDescent="0.3">
      <c r="F471" s="192"/>
      <c r="H471" s="192"/>
      <c r="I471" s="192"/>
      <c r="J471" s="217"/>
      <c r="K471" s="217"/>
      <c r="L471" s="192"/>
      <c r="M471" s="192"/>
      <c r="N471" s="192"/>
      <c r="O471" s="192"/>
      <c r="P471" s="192"/>
      <c r="Q471" s="192"/>
      <c r="R471" s="192"/>
      <c r="V471" s="192"/>
      <c r="Y471" s="192"/>
      <c r="Z471" s="228"/>
      <c r="AA471" s="192"/>
      <c r="AB471" s="192"/>
      <c r="AC471" s="192"/>
      <c r="AD471" s="192"/>
      <c r="AE471" s="192"/>
      <c r="AF471" s="192"/>
      <c r="AI471" s="192"/>
      <c r="AJ471" s="192"/>
      <c r="AK471" s="194"/>
      <c r="AL471" s="192"/>
    </row>
    <row r="472" spans="3:40" x14ac:dyDescent="0.3">
      <c r="C472" s="99"/>
      <c r="F472" s="110"/>
      <c r="H472" s="110"/>
      <c r="I472" s="110"/>
      <c r="L472" s="110"/>
      <c r="M472" s="110"/>
      <c r="N472" s="207"/>
      <c r="O472" s="207"/>
      <c r="P472" s="110"/>
      <c r="Q472" s="110"/>
      <c r="R472" s="110"/>
      <c r="T472" s="99"/>
      <c r="V472" s="110"/>
      <c r="Y472" s="110"/>
      <c r="AA472" s="110"/>
      <c r="AB472" s="110"/>
      <c r="AC472" s="141"/>
      <c r="AD472" s="141"/>
      <c r="AE472" s="110"/>
      <c r="AF472" s="110"/>
      <c r="AH472" s="207"/>
      <c r="AI472" s="110"/>
      <c r="AJ472" s="110"/>
      <c r="AL472" s="110"/>
      <c r="AM472" s="141"/>
      <c r="AN472" s="141"/>
    </row>
    <row r="473" spans="3:40" x14ac:dyDescent="0.3">
      <c r="F473" s="192"/>
      <c r="H473" s="192"/>
      <c r="I473" s="192"/>
      <c r="J473" s="217"/>
      <c r="K473" s="217"/>
      <c r="L473" s="192"/>
      <c r="M473" s="192"/>
      <c r="N473" s="192"/>
      <c r="O473" s="192"/>
      <c r="P473" s="192"/>
      <c r="Q473" s="192"/>
      <c r="R473" s="192"/>
      <c r="V473" s="192"/>
      <c r="Y473" s="192"/>
      <c r="Z473" s="217"/>
      <c r="AA473" s="192"/>
      <c r="AB473" s="192"/>
      <c r="AC473" s="192"/>
      <c r="AD473" s="192"/>
      <c r="AE473" s="192"/>
      <c r="AF473" s="192"/>
      <c r="AI473" s="192"/>
      <c r="AJ473" s="192"/>
      <c r="AK473" s="194"/>
      <c r="AL473" s="192"/>
    </row>
    <row r="474" spans="3:40" x14ac:dyDescent="0.3">
      <c r="C474" s="99"/>
      <c r="T474" s="99"/>
    </row>
    <row r="475" spans="3:40" x14ac:dyDescent="0.3">
      <c r="C475" s="99"/>
      <c r="F475" s="172"/>
      <c r="H475" s="172"/>
      <c r="I475" s="172"/>
      <c r="J475" s="181"/>
      <c r="K475" s="181"/>
      <c r="L475" s="110"/>
      <c r="M475" s="110"/>
      <c r="N475" s="141"/>
      <c r="O475" s="141"/>
      <c r="P475" s="110"/>
      <c r="Q475" s="110"/>
      <c r="R475" s="110"/>
      <c r="T475" s="99"/>
      <c r="V475" s="110"/>
      <c r="Y475" s="110"/>
      <c r="Z475" s="181"/>
      <c r="AA475" s="110"/>
      <c r="AB475" s="110"/>
      <c r="AC475" s="141"/>
      <c r="AD475" s="141"/>
      <c r="AE475" s="110"/>
      <c r="AF475" s="110"/>
      <c r="AH475" s="207"/>
      <c r="AI475" s="110"/>
      <c r="AJ475" s="110"/>
      <c r="AL475" s="110"/>
      <c r="AM475" s="141"/>
      <c r="AN475" s="141"/>
    </row>
    <row r="476" spans="3:40" x14ac:dyDescent="0.3">
      <c r="C476" s="99"/>
      <c r="F476" s="172"/>
      <c r="H476" s="172"/>
      <c r="I476" s="172"/>
      <c r="J476" s="181"/>
      <c r="K476" s="181"/>
      <c r="L476" s="110"/>
      <c r="M476" s="110"/>
      <c r="N476" s="141"/>
      <c r="O476" s="141"/>
      <c r="P476" s="110"/>
      <c r="Q476" s="110"/>
      <c r="R476" s="110"/>
      <c r="T476" s="99"/>
      <c r="V476" s="110"/>
      <c r="Y476" s="110"/>
      <c r="Z476" s="181"/>
      <c r="AA476" s="110"/>
      <c r="AB476" s="110"/>
      <c r="AC476" s="141"/>
      <c r="AD476" s="141"/>
      <c r="AE476" s="110"/>
      <c r="AF476" s="110"/>
      <c r="AH476" s="207"/>
      <c r="AI476" s="110"/>
      <c r="AJ476" s="110"/>
      <c r="AL476" s="110"/>
      <c r="AM476" s="141"/>
      <c r="AN476" s="141"/>
    </row>
    <row r="477" spans="3:40" x14ac:dyDescent="0.3">
      <c r="F477" s="192"/>
      <c r="H477" s="110"/>
      <c r="I477" s="110"/>
      <c r="J477" s="217"/>
      <c r="K477" s="217"/>
      <c r="L477" s="192"/>
      <c r="M477" s="192"/>
      <c r="N477" s="192"/>
      <c r="O477" s="192"/>
      <c r="P477" s="192"/>
      <c r="Q477" s="192"/>
      <c r="R477" s="192"/>
      <c r="V477" s="192"/>
      <c r="Y477" s="110"/>
      <c r="Z477" s="217"/>
      <c r="AA477" s="192"/>
      <c r="AB477" s="192"/>
      <c r="AC477" s="192"/>
      <c r="AD477" s="192"/>
      <c r="AE477" s="192"/>
      <c r="AF477" s="192"/>
      <c r="AI477" s="192"/>
      <c r="AJ477" s="192"/>
      <c r="AK477" s="194"/>
      <c r="AL477" s="192"/>
    </row>
    <row r="478" spans="3:40" x14ac:dyDescent="0.3">
      <c r="F478" s="110"/>
      <c r="H478" s="110"/>
      <c r="I478" s="110"/>
      <c r="J478" s="217"/>
      <c r="K478" s="217"/>
      <c r="L478" s="110"/>
      <c r="M478" s="110"/>
      <c r="N478" s="110"/>
      <c r="O478" s="110"/>
      <c r="P478" s="110"/>
      <c r="Q478" s="110"/>
      <c r="R478" s="110"/>
      <c r="V478" s="110"/>
      <c r="Y478" s="110"/>
      <c r="Z478" s="217"/>
      <c r="AA478" s="110"/>
      <c r="AB478" s="110"/>
      <c r="AC478" s="110"/>
      <c r="AD478" s="110"/>
      <c r="AE478" s="110"/>
      <c r="AF478" s="110"/>
      <c r="AI478" s="110"/>
      <c r="AJ478" s="110"/>
      <c r="AL478" s="110"/>
    </row>
    <row r="479" spans="3:40" x14ac:dyDescent="0.3">
      <c r="C479" s="99"/>
      <c r="F479" s="110"/>
      <c r="H479" s="110"/>
      <c r="I479" s="110"/>
      <c r="L479" s="110"/>
      <c r="M479" s="110"/>
      <c r="N479" s="141"/>
      <c r="O479" s="141"/>
      <c r="P479" s="110"/>
      <c r="Q479" s="110"/>
      <c r="R479" s="110"/>
      <c r="T479" s="99"/>
      <c r="V479" s="110"/>
      <c r="Y479" s="110"/>
      <c r="AA479" s="110"/>
      <c r="AB479" s="110"/>
      <c r="AC479" s="141"/>
      <c r="AD479" s="141"/>
      <c r="AE479" s="110"/>
      <c r="AF479" s="110"/>
      <c r="AH479" s="207"/>
      <c r="AI479" s="172"/>
      <c r="AJ479" s="172"/>
      <c r="AL479" s="110"/>
      <c r="AM479" s="141"/>
      <c r="AN479" s="141"/>
    </row>
    <row r="480" spans="3:40" x14ac:dyDescent="0.3">
      <c r="F480" s="192"/>
      <c r="H480" s="192"/>
      <c r="I480" s="192"/>
      <c r="J480" s="217"/>
      <c r="K480" s="217"/>
      <c r="L480" s="192"/>
      <c r="M480" s="192"/>
      <c r="N480" s="192"/>
      <c r="O480" s="192"/>
      <c r="P480" s="192"/>
      <c r="Q480" s="192"/>
      <c r="R480" s="192"/>
      <c r="V480" s="192"/>
      <c r="Y480" s="192"/>
      <c r="Z480" s="217"/>
      <c r="AA480" s="192"/>
      <c r="AB480" s="192"/>
      <c r="AC480" s="192"/>
      <c r="AD480" s="192"/>
      <c r="AE480" s="192"/>
      <c r="AF480" s="192"/>
      <c r="AI480" s="192"/>
      <c r="AJ480" s="192"/>
      <c r="AK480" s="194"/>
      <c r="AL480" s="192"/>
    </row>
    <row r="482" spans="1:28" x14ac:dyDescent="0.3">
      <c r="A482" s="99"/>
      <c r="T482" s="99"/>
    </row>
    <row r="483" spans="1:28" x14ac:dyDescent="0.3">
      <c r="A483" s="99"/>
      <c r="T483" s="99"/>
    </row>
    <row r="484" spans="1:28" x14ac:dyDescent="0.3">
      <c r="A484" s="99"/>
      <c r="T484" s="99"/>
    </row>
    <row r="485" spans="1:28" x14ac:dyDescent="0.3">
      <c r="A485" s="99"/>
      <c r="T485" s="99"/>
    </row>
    <row r="486" spans="1:28" x14ac:dyDescent="0.3">
      <c r="A486" s="99"/>
      <c r="T486" s="99"/>
    </row>
    <row r="487" spans="1:28" x14ac:dyDescent="0.3">
      <c r="A487" s="99"/>
      <c r="T487" s="99"/>
    </row>
    <row r="488" spans="1:28" x14ac:dyDescent="0.3">
      <c r="A488" s="99"/>
      <c r="T488" s="99"/>
    </row>
    <row r="489" spans="1:28" x14ac:dyDescent="0.3">
      <c r="A489" s="99"/>
      <c r="T489" s="99"/>
    </row>
    <row r="490" spans="1:28" x14ac:dyDescent="0.3">
      <c r="A490" s="99"/>
      <c r="T490" s="99"/>
    </row>
    <row r="492" spans="1:28" x14ac:dyDescent="0.3">
      <c r="A492" s="99"/>
    </row>
    <row r="494" spans="1:28" x14ac:dyDescent="0.3">
      <c r="H494" s="99"/>
      <c r="I494" s="99"/>
      <c r="Y494" s="99"/>
    </row>
    <row r="496" spans="1:28" x14ac:dyDescent="0.3">
      <c r="L496" s="99"/>
      <c r="M496" s="99"/>
      <c r="AA496" s="99"/>
      <c r="AB496" s="99"/>
    </row>
    <row r="497" spans="1:40" x14ac:dyDescent="0.3">
      <c r="R497" s="99"/>
      <c r="AK497" s="190"/>
      <c r="AL497" s="99"/>
    </row>
    <row r="498" spans="1:40" x14ac:dyDescent="0.3">
      <c r="R498" s="99"/>
      <c r="AK498" s="190"/>
      <c r="AL498" s="99"/>
    </row>
    <row r="499" spans="1:40" x14ac:dyDescent="0.3">
      <c r="A499" s="99"/>
      <c r="R499" s="99"/>
      <c r="AK499" s="190"/>
      <c r="AL499" s="99"/>
    </row>
    <row r="500" spans="1:40" x14ac:dyDescent="0.3">
      <c r="L500" s="99"/>
      <c r="M500" s="99"/>
      <c r="AA500" s="99"/>
      <c r="AB500" s="99"/>
    </row>
    <row r="501" spans="1:40" x14ac:dyDescent="0.3">
      <c r="A501" s="101"/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91"/>
      <c r="AH501" s="101"/>
      <c r="AI501" s="101"/>
      <c r="AJ501" s="101"/>
      <c r="AK501" s="191"/>
      <c r="AL501" s="101"/>
      <c r="AM501" s="101"/>
      <c r="AN501" s="101"/>
    </row>
    <row r="502" spans="1:40" x14ac:dyDescent="0.3">
      <c r="L502" s="102"/>
      <c r="M502" s="102"/>
      <c r="N502" s="102"/>
      <c r="O502" s="102"/>
      <c r="R502" s="102"/>
      <c r="AA502" s="102"/>
      <c r="AB502" s="102"/>
      <c r="AC502" s="102"/>
      <c r="AD502" s="102"/>
      <c r="AE502" s="102"/>
      <c r="AF502" s="102"/>
      <c r="AG502" s="151"/>
      <c r="AH502" s="102"/>
      <c r="AK502" s="151"/>
      <c r="AL502" s="102"/>
      <c r="AM502" s="102"/>
      <c r="AN502" s="102"/>
    </row>
    <row r="503" spans="1:40" x14ac:dyDescent="0.3">
      <c r="L503" s="102"/>
      <c r="M503" s="102"/>
      <c r="N503" s="102"/>
      <c r="O503" s="102"/>
      <c r="R503" s="102"/>
      <c r="Z503" s="102"/>
      <c r="AA503" s="102"/>
      <c r="AB503" s="102"/>
      <c r="AC503" s="102"/>
      <c r="AD503" s="102"/>
      <c r="AE503" s="102"/>
      <c r="AF503" s="102"/>
      <c r="AG503" s="151"/>
      <c r="AH503" s="102"/>
      <c r="AK503" s="151"/>
      <c r="AL503" s="102"/>
      <c r="AM503" s="102"/>
      <c r="AN503" s="102"/>
    </row>
    <row r="504" spans="1:40" x14ac:dyDescent="0.3">
      <c r="A504" s="102"/>
      <c r="C504" s="102"/>
      <c r="D504" s="102"/>
      <c r="E504" s="102"/>
      <c r="F504" s="102"/>
      <c r="J504" s="102"/>
      <c r="K504" s="102"/>
      <c r="L504" s="102"/>
      <c r="M504" s="102"/>
      <c r="N504" s="102"/>
      <c r="O504" s="102"/>
      <c r="P504" s="102"/>
      <c r="Q504" s="102"/>
      <c r="R504" s="102"/>
      <c r="T504" s="102"/>
      <c r="U504" s="102"/>
      <c r="V504" s="102"/>
      <c r="Z504" s="102"/>
      <c r="AA504" s="102"/>
      <c r="AB504" s="102"/>
      <c r="AC504" s="102"/>
      <c r="AD504" s="102"/>
      <c r="AE504" s="102"/>
      <c r="AF504" s="102"/>
      <c r="AG504" s="151"/>
      <c r="AH504" s="102"/>
      <c r="AI504" s="102"/>
      <c r="AJ504" s="102"/>
      <c r="AK504" s="151"/>
      <c r="AL504" s="102"/>
      <c r="AM504" s="102"/>
      <c r="AN504" s="102"/>
    </row>
    <row r="505" spans="1:40" x14ac:dyDescent="0.3">
      <c r="A505" s="102"/>
      <c r="C505" s="102"/>
      <c r="D505" s="102"/>
      <c r="E505" s="102"/>
      <c r="F505" s="102"/>
      <c r="H505" s="102"/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T505" s="102"/>
      <c r="U505" s="102"/>
      <c r="V505" s="102"/>
      <c r="Y505" s="102"/>
      <c r="Z505" s="102"/>
      <c r="AA505" s="102"/>
      <c r="AB505" s="102"/>
      <c r="AC505" s="102"/>
      <c r="AD505" s="102"/>
      <c r="AE505" s="102"/>
      <c r="AF505" s="102"/>
      <c r="AG505" s="151"/>
      <c r="AH505" s="102"/>
      <c r="AI505" s="102"/>
      <c r="AJ505" s="102"/>
      <c r="AK505" s="151"/>
      <c r="AL505" s="102"/>
      <c r="AM505" s="102"/>
      <c r="AN505" s="102"/>
    </row>
    <row r="506" spans="1:40" x14ac:dyDescent="0.3">
      <c r="C506" s="102"/>
      <c r="D506" s="102"/>
      <c r="E506" s="102"/>
      <c r="F506" s="102"/>
      <c r="H506" s="102"/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T506" s="102"/>
      <c r="U506" s="102"/>
      <c r="V506" s="102"/>
      <c r="Y506" s="102"/>
      <c r="Z506" s="102"/>
      <c r="AA506" s="102"/>
      <c r="AB506" s="102"/>
      <c r="AC506" s="102"/>
      <c r="AD506" s="102"/>
      <c r="AE506" s="102"/>
      <c r="AF506" s="102"/>
      <c r="AG506" s="151"/>
      <c r="AH506" s="102"/>
      <c r="AI506" s="102"/>
      <c r="AJ506" s="102"/>
      <c r="AK506" s="151"/>
      <c r="AL506" s="102"/>
      <c r="AM506" s="102"/>
      <c r="AN506" s="102"/>
    </row>
    <row r="507" spans="1:40" x14ac:dyDescent="0.3">
      <c r="A507" s="101"/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T507" s="101"/>
      <c r="U507" s="101"/>
      <c r="V507" s="101"/>
      <c r="W507" s="101"/>
      <c r="X507" s="101"/>
      <c r="Y507" s="101"/>
      <c r="Z507" s="101"/>
      <c r="AA507" s="101"/>
      <c r="AB507" s="101"/>
      <c r="AC507" s="101"/>
      <c r="AD507" s="101"/>
      <c r="AE507" s="101"/>
      <c r="AF507" s="101"/>
      <c r="AG507" s="191"/>
      <c r="AH507" s="101"/>
      <c r="AI507" s="101"/>
      <c r="AJ507" s="101"/>
      <c r="AK507" s="191"/>
      <c r="AL507" s="101"/>
      <c r="AM507" s="101"/>
      <c r="AN507" s="101"/>
    </row>
    <row r="508" spans="1:40" x14ac:dyDescent="0.3">
      <c r="H508" s="102"/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Y508" s="102"/>
      <c r="Z508" s="102"/>
      <c r="AA508" s="102"/>
      <c r="AB508" s="102"/>
      <c r="AC508" s="102"/>
      <c r="AD508" s="102"/>
      <c r="AE508" s="102"/>
      <c r="AF508" s="102"/>
      <c r="AG508" s="151"/>
      <c r="AH508" s="102"/>
      <c r="AI508" s="102"/>
      <c r="AJ508" s="102"/>
      <c r="AK508" s="151"/>
      <c r="AL508" s="102"/>
      <c r="AM508" s="102"/>
      <c r="AN508" s="102"/>
    </row>
    <row r="509" spans="1:40" x14ac:dyDescent="0.3">
      <c r="C509" s="99"/>
      <c r="D509" s="99"/>
      <c r="E509" s="99"/>
      <c r="T509" s="99"/>
      <c r="U509" s="99"/>
    </row>
    <row r="510" spans="1:40" x14ac:dyDescent="0.3">
      <c r="D510" s="99"/>
      <c r="E510" s="99"/>
      <c r="U510" s="99"/>
    </row>
    <row r="512" spans="1:40" x14ac:dyDescent="0.3">
      <c r="C512" s="99"/>
      <c r="F512" s="110"/>
      <c r="J512" s="209"/>
      <c r="K512" s="209"/>
      <c r="L512" s="110"/>
      <c r="M512" s="110"/>
      <c r="R512" s="110"/>
      <c r="T512" s="99"/>
      <c r="V512" s="110"/>
      <c r="Z512" s="209"/>
      <c r="AA512" s="110"/>
      <c r="AB512" s="110"/>
      <c r="AH512" s="110"/>
      <c r="AL512" s="110"/>
    </row>
    <row r="513" spans="3:40" x14ac:dyDescent="0.3">
      <c r="C513" s="99"/>
      <c r="F513" s="110"/>
      <c r="R513" s="110"/>
      <c r="T513" s="99"/>
      <c r="V513" s="110"/>
      <c r="AH513" s="110"/>
      <c r="AL513" s="110"/>
    </row>
    <row r="514" spans="3:40" x14ac:dyDescent="0.3">
      <c r="AI514" s="110"/>
      <c r="AJ514" s="110"/>
      <c r="AL514" s="110"/>
      <c r="AM514" s="141"/>
      <c r="AN514" s="141"/>
    </row>
    <row r="515" spans="3:40" x14ac:dyDescent="0.3">
      <c r="C515" s="99"/>
      <c r="F515" s="172"/>
      <c r="H515" s="172"/>
      <c r="I515" s="172"/>
      <c r="J515" s="227"/>
      <c r="K515" s="227"/>
      <c r="L515" s="110"/>
      <c r="M515" s="110"/>
      <c r="N515" s="141"/>
      <c r="O515" s="141"/>
      <c r="P515" s="110"/>
      <c r="Q515" s="110"/>
      <c r="R515" s="110"/>
      <c r="T515" s="99"/>
      <c r="V515" s="110"/>
      <c r="Y515" s="110"/>
      <c r="Z515" s="227"/>
      <c r="AA515" s="110"/>
      <c r="AB515" s="110"/>
      <c r="AC515" s="141"/>
      <c r="AD515" s="141"/>
      <c r="AE515" s="110"/>
      <c r="AF515" s="110"/>
      <c r="AH515" s="207"/>
      <c r="AI515" s="110"/>
      <c r="AJ515" s="110"/>
      <c r="AL515" s="110"/>
      <c r="AM515" s="141"/>
      <c r="AN515" s="141"/>
    </row>
    <row r="516" spans="3:40" x14ac:dyDescent="0.3">
      <c r="F516" s="110"/>
      <c r="H516" s="110"/>
      <c r="I516" s="110"/>
      <c r="J516" s="198"/>
      <c r="K516" s="198"/>
      <c r="L516" s="110"/>
      <c r="M516" s="110"/>
      <c r="P516" s="110"/>
      <c r="Q516" s="110"/>
      <c r="R516" s="110"/>
      <c r="V516" s="110"/>
      <c r="Y516" s="110"/>
      <c r="Z516" s="198"/>
      <c r="AA516" s="110"/>
      <c r="AB516" s="110"/>
      <c r="AI516" s="110"/>
      <c r="AJ516" s="110"/>
      <c r="AL516" s="110"/>
      <c r="AM516" s="141"/>
      <c r="AN516" s="141"/>
    </row>
    <row r="517" spans="3:40" x14ac:dyDescent="0.3">
      <c r="F517" s="110"/>
      <c r="R517" s="110"/>
      <c r="V517" s="110"/>
      <c r="AL517" s="110"/>
      <c r="AM517" s="141"/>
      <c r="AN517" s="141"/>
    </row>
    <row r="518" spans="3:40" x14ac:dyDescent="0.3">
      <c r="C518" s="99"/>
      <c r="F518" s="110"/>
      <c r="J518" s="209"/>
      <c r="K518" s="209"/>
      <c r="L518" s="110"/>
      <c r="M518" s="110"/>
      <c r="N518" s="141"/>
      <c r="O518" s="141"/>
      <c r="R518" s="110"/>
      <c r="T518" s="99"/>
      <c r="V518" s="110"/>
      <c r="Z518" s="209"/>
      <c r="AA518" s="110"/>
      <c r="AB518" s="110"/>
      <c r="AC518" s="141"/>
      <c r="AD518" s="141"/>
      <c r="AL518" s="110"/>
      <c r="AM518" s="141"/>
      <c r="AN518" s="141"/>
    </row>
    <row r="519" spans="3:40" x14ac:dyDescent="0.3">
      <c r="C519" s="99"/>
      <c r="F519" s="110"/>
      <c r="H519" s="110"/>
      <c r="I519" s="110"/>
      <c r="J519" s="209"/>
      <c r="K519" s="209"/>
      <c r="L519" s="110"/>
      <c r="M519" s="110"/>
      <c r="N519" s="141"/>
      <c r="O519" s="141"/>
      <c r="P519" s="110"/>
      <c r="Q519" s="110"/>
      <c r="R519" s="110"/>
      <c r="T519" s="99"/>
      <c r="V519" s="110"/>
      <c r="Y519" s="110"/>
      <c r="Z519" s="209"/>
      <c r="AA519" s="110"/>
      <c r="AB519" s="110"/>
      <c r="AC519" s="141"/>
      <c r="AD519" s="141"/>
      <c r="AI519" s="110"/>
      <c r="AJ519" s="110"/>
      <c r="AL519" s="110"/>
      <c r="AM519" s="141"/>
      <c r="AN519" s="141"/>
    </row>
    <row r="520" spans="3:40" x14ac:dyDescent="0.3">
      <c r="C520" s="99"/>
      <c r="T520" s="99"/>
      <c r="AM520" s="141"/>
      <c r="AN520" s="141"/>
    </row>
    <row r="521" spans="3:40" x14ac:dyDescent="0.3">
      <c r="C521" s="99"/>
      <c r="T521" s="99"/>
      <c r="AM521" s="141"/>
      <c r="AN521" s="141"/>
    </row>
    <row r="522" spans="3:40" x14ac:dyDescent="0.3">
      <c r="AM522" s="141"/>
      <c r="AN522" s="141"/>
    </row>
    <row r="523" spans="3:40" x14ac:dyDescent="0.3">
      <c r="C523" s="99"/>
      <c r="F523" s="172"/>
      <c r="H523" s="172"/>
      <c r="I523" s="172"/>
      <c r="J523" s="227"/>
      <c r="K523" s="227"/>
      <c r="L523" s="110"/>
      <c r="M523" s="110"/>
      <c r="N523" s="141"/>
      <c r="O523" s="141"/>
      <c r="P523" s="110"/>
      <c r="Q523" s="110"/>
      <c r="R523" s="110"/>
      <c r="T523" s="99"/>
      <c r="V523" s="110"/>
      <c r="Y523" s="110"/>
      <c r="Z523" s="227"/>
      <c r="AA523" s="110"/>
      <c r="AB523" s="110"/>
      <c r="AC523" s="141"/>
      <c r="AD523" s="141"/>
      <c r="AE523" s="110"/>
      <c r="AF523" s="110"/>
      <c r="AH523" s="207"/>
      <c r="AI523" s="110"/>
      <c r="AJ523" s="110"/>
      <c r="AL523" s="110"/>
      <c r="AM523" s="141"/>
      <c r="AN523" s="141"/>
    </row>
    <row r="524" spans="3:40" x14ac:dyDescent="0.3">
      <c r="F524" s="192"/>
      <c r="H524" s="192"/>
      <c r="I524" s="192"/>
      <c r="J524" s="217"/>
      <c r="K524" s="217"/>
      <c r="L524" s="192"/>
      <c r="M524" s="192"/>
      <c r="N524" s="192"/>
      <c r="O524" s="192"/>
      <c r="P524" s="192"/>
      <c r="Q524" s="192"/>
      <c r="R524" s="192"/>
      <c r="V524" s="192"/>
      <c r="Y524" s="192"/>
      <c r="Z524" s="217"/>
      <c r="AA524" s="192"/>
      <c r="AB524" s="192"/>
      <c r="AC524" s="192"/>
      <c r="AD524" s="192"/>
      <c r="AE524" s="192"/>
      <c r="AF524" s="192"/>
      <c r="AI524" s="192"/>
      <c r="AJ524" s="192"/>
      <c r="AK524" s="194"/>
      <c r="AL524" s="192"/>
      <c r="AM524" s="141"/>
      <c r="AN524" s="141"/>
    </row>
    <row r="525" spans="3:40" x14ac:dyDescent="0.3">
      <c r="H525" s="110"/>
      <c r="I525" s="110"/>
      <c r="Y525" s="110"/>
      <c r="AM525" s="141"/>
      <c r="AN525" s="141"/>
    </row>
    <row r="526" spans="3:40" x14ac:dyDescent="0.3">
      <c r="C526" s="99"/>
      <c r="F526" s="110"/>
      <c r="H526" s="110"/>
      <c r="I526" s="110"/>
      <c r="L526" s="110"/>
      <c r="M526" s="110"/>
      <c r="N526" s="141"/>
      <c r="O526" s="141"/>
      <c r="P526" s="172"/>
      <c r="Q526" s="172"/>
      <c r="R526" s="110"/>
      <c r="T526" s="99"/>
      <c r="V526" s="110"/>
      <c r="Y526" s="110"/>
      <c r="AA526" s="110"/>
      <c r="AB526" s="110"/>
      <c r="AC526" s="141"/>
      <c r="AD526" s="141"/>
      <c r="AE526" s="110"/>
      <c r="AF526" s="110"/>
      <c r="AH526" s="207"/>
      <c r="AI526" s="172"/>
      <c r="AJ526" s="172"/>
      <c r="AL526" s="110"/>
      <c r="AM526" s="141"/>
      <c r="AN526" s="141"/>
    </row>
    <row r="527" spans="3:40" x14ac:dyDescent="0.3">
      <c r="F527" s="192"/>
      <c r="H527" s="192"/>
      <c r="I527" s="192"/>
      <c r="J527" s="217"/>
      <c r="K527" s="217"/>
      <c r="L527" s="192"/>
      <c r="M527" s="192"/>
      <c r="N527" s="192"/>
      <c r="O527" s="192"/>
      <c r="P527" s="192"/>
      <c r="Q527" s="192"/>
      <c r="R527" s="192"/>
      <c r="V527" s="192"/>
      <c r="Y527" s="192"/>
      <c r="Z527" s="217"/>
      <c r="AA527" s="192"/>
      <c r="AB527" s="192"/>
      <c r="AC527" s="192"/>
      <c r="AD527" s="192"/>
      <c r="AE527" s="192"/>
      <c r="AF527" s="192"/>
      <c r="AI527" s="192"/>
      <c r="AJ527" s="192"/>
      <c r="AK527" s="194"/>
      <c r="AL527" s="192"/>
      <c r="AM527" s="141"/>
      <c r="AN527" s="141"/>
    </row>
    <row r="529" spans="1:40" x14ac:dyDescent="0.3">
      <c r="F529" s="110"/>
      <c r="H529" s="110"/>
      <c r="I529" s="110"/>
      <c r="J529" s="198"/>
      <c r="K529" s="198"/>
      <c r="L529" s="110"/>
      <c r="M529" s="110"/>
      <c r="N529" s="110"/>
      <c r="O529" s="110"/>
      <c r="P529" s="110"/>
      <c r="Q529" s="110"/>
      <c r="R529" s="110"/>
      <c r="V529" s="110"/>
      <c r="Y529" s="110"/>
      <c r="Z529" s="198"/>
      <c r="AA529" s="110"/>
      <c r="AB529" s="110"/>
      <c r="AC529" s="110"/>
      <c r="AD529" s="110"/>
      <c r="AE529" s="110"/>
      <c r="AF529" s="110"/>
      <c r="AH529" s="110"/>
      <c r="AI529" s="110"/>
      <c r="AJ529" s="110"/>
      <c r="AL529" s="110"/>
    </row>
    <row r="530" spans="1:40" x14ac:dyDescent="0.3">
      <c r="A530" s="99"/>
    </row>
    <row r="532" spans="1:40" x14ac:dyDescent="0.3">
      <c r="H532" s="99"/>
      <c r="I532" s="99"/>
      <c r="Y532" s="99"/>
    </row>
    <row r="534" spans="1:40" x14ac:dyDescent="0.3">
      <c r="L534" s="99"/>
      <c r="M534" s="99"/>
      <c r="AA534" s="99"/>
      <c r="AB534" s="99"/>
    </row>
    <row r="535" spans="1:40" x14ac:dyDescent="0.3">
      <c r="R535" s="99"/>
      <c r="AK535" s="190"/>
      <c r="AL535" s="99"/>
    </row>
    <row r="536" spans="1:40" x14ac:dyDescent="0.3">
      <c r="R536" s="99"/>
      <c r="AK536" s="190"/>
      <c r="AL536" s="99"/>
    </row>
    <row r="537" spans="1:40" x14ac:dyDescent="0.3">
      <c r="A537" s="99"/>
      <c r="R537" s="99"/>
      <c r="AK537" s="190"/>
      <c r="AL537" s="99"/>
    </row>
    <row r="538" spans="1:40" x14ac:dyDescent="0.3">
      <c r="L538" s="99"/>
      <c r="M538" s="99"/>
      <c r="AA538" s="99"/>
      <c r="AB538" s="99"/>
    </row>
    <row r="539" spans="1:40" x14ac:dyDescent="0.3">
      <c r="A539" s="101"/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T539" s="101"/>
      <c r="U539" s="101"/>
      <c r="V539" s="101"/>
      <c r="W539" s="101"/>
      <c r="X539" s="101"/>
      <c r="Y539" s="101"/>
      <c r="Z539" s="101"/>
      <c r="AA539" s="101"/>
      <c r="AB539" s="101"/>
      <c r="AC539" s="101"/>
      <c r="AD539" s="101"/>
      <c r="AE539" s="101"/>
      <c r="AF539" s="101"/>
      <c r="AG539" s="191"/>
      <c r="AH539" s="101"/>
      <c r="AI539" s="101"/>
      <c r="AJ539" s="101"/>
      <c r="AK539" s="191"/>
      <c r="AL539" s="101"/>
      <c r="AM539" s="101"/>
      <c r="AN539" s="101"/>
    </row>
    <row r="540" spans="1:40" x14ac:dyDescent="0.3">
      <c r="L540" s="102"/>
      <c r="M540" s="102"/>
      <c r="N540" s="102"/>
      <c r="O540" s="102"/>
      <c r="R540" s="102"/>
      <c r="AA540" s="102"/>
      <c r="AB540" s="102"/>
      <c r="AC540" s="102"/>
      <c r="AD540" s="102"/>
      <c r="AE540" s="102"/>
      <c r="AF540" s="102"/>
      <c r="AG540" s="151"/>
      <c r="AH540" s="102"/>
      <c r="AK540" s="151"/>
      <c r="AL540" s="102"/>
      <c r="AM540" s="102"/>
      <c r="AN540" s="102"/>
    </row>
    <row r="541" spans="1:40" x14ac:dyDescent="0.3">
      <c r="L541" s="102"/>
      <c r="M541" s="102"/>
      <c r="N541" s="102"/>
      <c r="O541" s="102"/>
      <c r="R541" s="102"/>
      <c r="Z541" s="102"/>
      <c r="AA541" s="102"/>
      <c r="AB541" s="102"/>
      <c r="AC541" s="102"/>
      <c r="AD541" s="102"/>
      <c r="AE541" s="102"/>
      <c r="AF541" s="102"/>
      <c r="AG541" s="151"/>
      <c r="AH541" s="102"/>
      <c r="AK541" s="151"/>
      <c r="AL541" s="102"/>
      <c r="AM541" s="102"/>
      <c r="AN541" s="102"/>
    </row>
    <row r="542" spans="1:40" x14ac:dyDescent="0.3">
      <c r="A542" s="102"/>
      <c r="C542" s="102"/>
      <c r="D542" s="102"/>
      <c r="E542" s="102"/>
      <c r="F542" s="102"/>
      <c r="J542" s="102"/>
      <c r="K542" s="102"/>
      <c r="L542" s="102"/>
      <c r="M542" s="102"/>
      <c r="N542" s="102"/>
      <c r="O542" s="102"/>
      <c r="P542" s="102"/>
      <c r="Q542" s="102"/>
      <c r="R542" s="102"/>
      <c r="T542" s="102"/>
      <c r="U542" s="102"/>
      <c r="V542" s="102"/>
      <c r="Z542" s="102"/>
      <c r="AA542" s="102"/>
      <c r="AB542" s="102"/>
      <c r="AC542" s="102"/>
      <c r="AD542" s="102"/>
      <c r="AE542" s="102"/>
      <c r="AF542" s="102"/>
      <c r="AG542" s="151"/>
      <c r="AH542" s="102"/>
      <c r="AI542" s="102"/>
      <c r="AJ542" s="102"/>
      <c r="AK542" s="151"/>
      <c r="AL542" s="102"/>
      <c r="AM542" s="102"/>
      <c r="AN542" s="102"/>
    </row>
    <row r="543" spans="1:40" x14ac:dyDescent="0.3">
      <c r="A543" s="102"/>
      <c r="C543" s="102"/>
      <c r="D543" s="102"/>
      <c r="E543" s="102"/>
      <c r="F543" s="102"/>
      <c r="H543" s="102"/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T543" s="102"/>
      <c r="U543" s="102"/>
      <c r="V543" s="102"/>
      <c r="Y543" s="102"/>
      <c r="Z543" s="102"/>
      <c r="AA543" s="102"/>
      <c r="AB543" s="102"/>
      <c r="AC543" s="102"/>
      <c r="AD543" s="102"/>
      <c r="AE543" s="102"/>
      <c r="AF543" s="102"/>
      <c r="AG543" s="151"/>
      <c r="AH543" s="102"/>
      <c r="AI543" s="102"/>
      <c r="AJ543" s="102"/>
      <c r="AK543" s="151"/>
      <c r="AL543" s="102"/>
      <c r="AM543" s="102"/>
      <c r="AN543" s="102"/>
    </row>
    <row r="544" spans="1:40" x14ac:dyDescent="0.3">
      <c r="C544" s="102"/>
      <c r="D544" s="102"/>
      <c r="E544" s="102"/>
      <c r="F544" s="102"/>
      <c r="H544" s="102"/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T544" s="102"/>
      <c r="U544" s="102"/>
      <c r="V544" s="102"/>
      <c r="Y544" s="102"/>
      <c r="Z544" s="102"/>
      <c r="AA544" s="102"/>
      <c r="AB544" s="102"/>
      <c r="AC544" s="102"/>
      <c r="AD544" s="102"/>
      <c r="AE544" s="102"/>
      <c r="AF544" s="102"/>
      <c r="AG544" s="151"/>
      <c r="AH544" s="102"/>
      <c r="AI544" s="102"/>
      <c r="AJ544" s="102"/>
      <c r="AK544" s="151"/>
      <c r="AL544" s="102"/>
      <c r="AM544" s="102"/>
      <c r="AN544" s="102"/>
    </row>
    <row r="545" spans="1:40" x14ac:dyDescent="0.3">
      <c r="A545" s="10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T545" s="101"/>
      <c r="U545" s="101"/>
      <c r="V545" s="101"/>
      <c r="W545" s="101"/>
      <c r="X545" s="101"/>
      <c r="Y545" s="101"/>
      <c r="Z545" s="101"/>
      <c r="AA545" s="101"/>
      <c r="AB545" s="101"/>
      <c r="AC545" s="101"/>
      <c r="AD545" s="101"/>
      <c r="AE545" s="101"/>
      <c r="AF545" s="101"/>
      <c r="AG545" s="191"/>
      <c r="AH545" s="101"/>
      <c r="AI545" s="101"/>
      <c r="AJ545" s="101"/>
      <c r="AK545" s="191"/>
      <c r="AL545" s="101"/>
      <c r="AM545" s="101"/>
      <c r="AN545" s="101"/>
    </row>
    <row r="546" spans="1:40" x14ac:dyDescent="0.3">
      <c r="H546" s="102"/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Y546" s="102"/>
      <c r="Z546" s="102"/>
      <c r="AA546" s="102"/>
      <c r="AB546" s="102"/>
      <c r="AC546" s="102"/>
      <c r="AD546" s="102"/>
      <c r="AE546" s="102"/>
      <c r="AF546" s="102"/>
      <c r="AG546" s="151"/>
      <c r="AH546" s="102"/>
      <c r="AI546" s="102"/>
      <c r="AJ546" s="102"/>
      <c r="AK546" s="151"/>
      <c r="AL546" s="102"/>
      <c r="AM546" s="102"/>
      <c r="AN546" s="102"/>
    </row>
    <row r="547" spans="1:40" x14ac:dyDescent="0.3">
      <c r="C547" s="99"/>
      <c r="D547" s="99"/>
      <c r="E547" s="99"/>
      <c r="T547" s="99"/>
      <c r="U547" s="99"/>
      <c r="V547" s="110"/>
      <c r="W547" s="110"/>
      <c r="X547" s="110"/>
      <c r="Y547" s="110"/>
      <c r="Z547" s="227"/>
    </row>
    <row r="549" spans="1:40" x14ac:dyDescent="0.3">
      <c r="C549" s="99"/>
      <c r="T549" s="99"/>
      <c r="V549" s="110"/>
      <c r="W549" s="110"/>
      <c r="X549" s="110"/>
      <c r="Y549" s="110"/>
      <c r="Z549" s="227"/>
    </row>
    <row r="550" spans="1:40" x14ac:dyDescent="0.3">
      <c r="C550" s="99"/>
      <c r="F550" s="172"/>
      <c r="H550" s="172"/>
      <c r="I550" s="172"/>
      <c r="J550" s="228"/>
      <c r="K550" s="228"/>
      <c r="L550" s="110"/>
      <c r="M550" s="110"/>
      <c r="N550" s="141"/>
      <c r="O550" s="141"/>
      <c r="P550" s="110"/>
      <c r="Q550" s="110"/>
      <c r="R550" s="110"/>
      <c r="T550" s="99"/>
      <c r="V550" s="110"/>
      <c r="W550" s="110"/>
      <c r="X550" s="110"/>
      <c r="Y550" s="110"/>
      <c r="Z550" s="228"/>
      <c r="AA550" s="110"/>
      <c r="AB550" s="110"/>
      <c r="AC550" s="141"/>
      <c r="AD550" s="141"/>
      <c r="AE550" s="110"/>
      <c r="AF550" s="110"/>
      <c r="AH550" s="207"/>
      <c r="AI550" s="110"/>
      <c r="AJ550" s="110"/>
      <c r="AL550" s="110"/>
      <c r="AM550" s="141"/>
      <c r="AN550" s="141"/>
    </row>
    <row r="551" spans="1:40" x14ac:dyDescent="0.3">
      <c r="C551" s="99"/>
      <c r="F551" s="172"/>
      <c r="H551" s="172"/>
      <c r="I551" s="172"/>
      <c r="J551" s="228"/>
      <c r="K551" s="228"/>
      <c r="L551" s="110"/>
      <c r="M551" s="110"/>
      <c r="N551" s="141"/>
      <c r="O551" s="141"/>
      <c r="P551" s="110"/>
      <c r="Q551" s="110"/>
      <c r="R551" s="110"/>
      <c r="T551" s="99"/>
      <c r="V551" s="110"/>
      <c r="W551" s="110"/>
      <c r="X551" s="110"/>
      <c r="Y551" s="110"/>
      <c r="Z551" s="228"/>
      <c r="AA551" s="110"/>
      <c r="AB551" s="110"/>
      <c r="AC551" s="141"/>
      <c r="AD551" s="141"/>
      <c r="AE551" s="110"/>
      <c r="AF551" s="110"/>
      <c r="AH551" s="207"/>
      <c r="AI551" s="110"/>
      <c r="AJ551" s="110"/>
      <c r="AL551" s="110"/>
      <c r="AM551" s="141"/>
      <c r="AN551" s="141"/>
    </row>
    <row r="552" spans="1:40" x14ac:dyDescent="0.3">
      <c r="C552" s="99"/>
      <c r="F552" s="172"/>
      <c r="H552" s="172"/>
      <c r="I552" s="172"/>
      <c r="J552" s="228"/>
      <c r="K552" s="228"/>
      <c r="L552" s="110"/>
      <c r="M552" s="110"/>
      <c r="N552" s="141"/>
      <c r="O552" s="141"/>
      <c r="P552" s="110"/>
      <c r="Q552" s="110"/>
      <c r="R552" s="110"/>
      <c r="T552" s="99"/>
      <c r="V552" s="110"/>
      <c r="W552" s="110"/>
      <c r="X552" s="110"/>
      <c r="Y552" s="110"/>
      <c r="Z552" s="228"/>
      <c r="AA552" s="110"/>
      <c r="AB552" s="110"/>
      <c r="AC552" s="141"/>
      <c r="AD552" s="141"/>
      <c r="AE552" s="110"/>
      <c r="AF552" s="110"/>
      <c r="AH552" s="207"/>
      <c r="AI552" s="110"/>
      <c r="AJ552" s="110"/>
      <c r="AL552" s="110"/>
      <c r="AM552" s="141"/>
      <c r="AN552" s="141"/>
    </row>
    <row r="553" spans="1:40" x14ac:dyDescent="0.3">
      <c r="C553" s="99"/>
      <c r="F553" s="172"/>
      <c r="H553" s="172"/>
      <c r="I553" s="172"/>
      <c r="J553" s="228"/>
      <c r="K553" s="228"/>
      <c r="L553" s="110"/>
      <c r="M553" s="110"/>
      <c r="N553" s="141"/>
      <c r="O553" s="141"/>
      <c r="P553" s="110"/>
      <c r="Q553" s="110"/>
      <c r="R553" s="110"/>
      <c r="T553" s="99"/>
      <c r="V553" s="110"/>
      <c r="W553" s="110"/>
      <c r="X553" s="110"/>
      <c r="Y553" s="110"/>
      <c r="Z553" s="228"/>
      <c r="AA553" s="110"/>
      <c r="AB553" s="110"/>
      <c r="AC553" s="141"/>
      <c r="AD553" s="141"/>
      <c r="AE553" s="110"/>
      <c r="AF553" s="110"/>
      <c r="AH553" s="207"/>
      <c r="AI553" s="110"/>
      <c r="AJ553" s="110"/>
      <c r="AL553" s="110"/>
      <c r="AM553" s="141"/>
      <c r="AN553" s="141"/>
    </row>
    <row r="554" spans="1:40" x14ac:dyDescent="0.3">
      <c r="J554" s="163"/>
      <c r="K554" s="163"/>
      <c r="V554" s="110"/>
      <c r="W554" s="110"/>
      <c r="X554" s="110"/>
      <c r="Y554" s="110"/>
      <c r="Z554" s="228"/>
    </row>
    <row r="555" spans="1:40" x14ac:dyDescent="0.3">
      <c r="C555" s="99"/>
      <c r="F555" s="172"/>
      <c r="H555" s="172"/>
      <c r="I555" s="172"/>
      <c r="J555" s="228"/>
      <c r="K555" s="228"/>
      <c r="L555" s="110"/>
      <c r="M555" s="110"/>
      <c r="N555" s="141"/>
      <c r="O555" s="141"/>
      <c r="P555" s="110"/>
      <c r="Q555" s="110"/>
      <c r="R555" s="110"/>
      <c r="T555" s="99"/>
      <c r="V555" s="110"/>
      <c r="W555" s="110"/>
      <c r="X555" s="110"/>
      <c r="Y555" s="110"/>
      <c r="Z555" s="228"/>
      <c r="AA555" s="110"/>
      <c r="AB555" s="110"/>
      <c r="AC555" s="141"/>
      <c r="AD555" s="141"/>
      <c r="AE555" s="110"/>
      <c r="AF555" s="110"/>
      <c r="AH555" s="207"/>
      <c r="AI555" s="110"/>
      <c r="AJ555" s="110"/>
      <c r="AL555" s="110"/>
      <c r="AM555" s="207"/>
      <c r="AN555" s="207"/>
    </row>
    <row r="556" spans="1:40" x14ac:dyDescent="0.3">
      <c r="C556" s="99"/>
      <c r="J556" s="163"/>
      <c r="K556" s="163"/>
      <c r="T556" s="99"/>
      <c r="V556" s="110"/>
      <c r="W556" s="110"/>
      <c r="X556" s="110"/>
      <c r="Y556" s="110"/>
      <c r="Z556" s="228"/>
    </row>
    <row r="557" spans="1:40" x14ac:dyDescent="0.3">
      <c r="C557" s="99"/>
      <c r="F557" s="172"/>
      <c r="H557" s="172"/>
      <c r="I557" s="172"/>
      <c r="J557" s="228"/>
      <c r="K557" s="228"/>
      <c r="L557" s="110"/>
      <c r="M557" s="110"/>
      <c r="N557" s="141"/>
      <c r="O557" s="141"/>
      <c r="P557" s="110"/>
      <c r="Q557" s="110"/>
      <c r="R557" s="110"/>
      <c r="T557" s="99"/>
      <c r="V557" s="110"/>
      <c r="W557" s="110"/>
      <c r="X557" s="110"/>
      <c r="Y557" s="110"/>
      <c r="Z557" s="228"/>
      <c r="AA557" s="110"/>
      <c r="AB557" s="110"/>
      <c r="AC557" s="141"/>
      <c r="AD557" s="141"/>
      <c r="AE557" s="110"/>
      <c r="AF557" s="110"/>
      <c r="AH557" s="207"/>
      <c r="AI557" s="110"/>
      <c r="AJ557" s="110"/>
      <c r="AL557" s="110"/>
      <c r="AM557" s="207"/>
      <c r="AN557" s="207"/>
    </row>
    <row r="558" spans="1:40" x14ac:dyDescent="0.3">
      <c r="J558" s="163"/>
      <c r="K558" s="163"/>
      <c r="Z558" s="163"/>
    </row>
    <row r="559" spans="1:40" x14ac:dyDescent="0.3">
      <c r="C559" s="99"/>
      <c r="J559" s="163"/>
      <c r="K559" s="163"/>
      <c r="T559" s="99"/>
      <c r="V559" s="110"/>
      <c r="W559" s="110"/>
      <c r="X559" s="110"/>
      <c r="Y559" s="110"/>
      <c r="Z559" s="228"/>
    </row>
    <row r="560" spans="1:40" x14ac:dyDescent="0.3">
      <c r="C560" s="99"/>
      <c r="F560" s="172"/>
      <c r="H560" s="172"/>
      <c r="I560" s="172"/>
      <c r="J560" s="228"/>
      <c r="K560" s="228"/>
      <c r="L560" s="110"/>
      <c r="M560" s="110"/>
      <c r="N560" s="141"/>
      <c r="O560" s="141"/>
      <c r="P560" s="110"/>
      <c r="Q560" s="110"/>
      <c r="R560" s="110"/>
      <c r="T560" s="99"/>
      <c r="V560" s="110"/>
      <c r="W560" s="110"/>
      <c r="X560" s="110"/>
      <c r="Y560" s="110"/>
      <c r="Z560" s="228"/>
      <c r="AA560" s="110"/>
      <c r="AB560" s="110"/>
      <c r="AC560" s="141"/>
      <c r="AD560" s="141"/>
      <c r="AE560" s="110"/>
      <c r="AF560" s="110"/>
      <c r="AH560" s="207"/>
      <c r="AI560" s="110"/>
      <c r="AJ560" s="110"/>
      <c r="AL560" s="110"/>
      <c r="AM560" s="207"/>
      <c r="AN560" s="207"/>
    </row>
    <row r="561" spans="1:40" x14ac:dyDescent="0.3">
      <c r="C561" s="99"/>
      <c r="F561" s="172"/>
      <c r="H561" s="172"/>
      <c r="I561" s="172"/>
      <c r="J561" s="228"/>
      <c r="K561" s="228"/>
      <c r="L561" s="110"/>
      <c r="M561" s="110"/>
      <c r="N561" s="141"/>
      <c r="O561" s="141"/>
      <c r="P561" s="110"/>
      <c r="Q561" s="110"/>
      <c r="R561" s="110"/>
      <c r="T561" s="99"/>
      <c r="V561" s="110"/>
      <c r="W561" s="110"/>
      <c r="X561" s="110"/>
      <c r="Y561" s="110"/>
      <c r="Z561" s="228"/>
      <c r="AA561" s="110"/>
      <c r="AB561" s="110"/>
      <c r="AC561" s="141"/>
      <c r="AD561" s="141"/>
      <c r="AE561" s="110"/>
      <c r="AF561" s="110"/>
      <c r="AH561" s="207"/>
      <c r="AI561" s="110"/>
      <c r="AJ561" s="110"/>
      <c r="AL561" s="110"/>
      <c r="AM561" s="207"/>
      <c r="AN561" s="207"/>
    </row>
    <row r="562" spans="1:40" x14ac:dyDescent="0.3">
      <c r="F562" s="192"/>
      <c r="H562" s="192"/>
      <c r="I562" s="192"/>
      <c r="J562" s="228"/>
      <c r="K562" s="228"/>
      <c r="L562" s="192"/>
      <c r="M562" s="192"/>
      <c r="N562" s="192"/>
      <c r="O562" s="192"/>
      <c r="P562" s="192"/>
      <c r="Q562" s="192"/>
      <c r="R562" s="192"/>
      <c r="V562" s="192"/>
      <c r="Y562" s="192"/>
      <c r="Z562" s="217"/>
      <c r="AA562" s="192"/>
      <c r="AB562" s="192"/>
      <c r="AC562" s="192"/>
      <c r="AD562" s="192"/>
      <c r="AE562" s="192"/>
      <c r="AF562" s="192"/>
      <c r="AI562" s="192"/>
      <c r="AJ562" s="192"/>
      <c r="AK562" s="194"/>
      <c r="AL562" s="192"/>
    </row>
    <row r="563" spans="1:40" x14ac:dyDescent="0.3">
      <c r="C563" s="99"/>
      <c r="F563" s="110"/>
      <c r="H563" s="110"/>
      <c r="I563" s="110"/>
      <c r="L563" s="110"/>
      <c r="M563" s="110"/>
      <c r="N563" s="141"/>
      <c r="O563" s="141"/>
      <c r="P563" s="172"/>
      <c r="Q563" s="172"/>
      <c r="R563" s="110"/>
      <c r="T563" s="99"/>
      <c r="V563" s="110"/>
      <c r="W563" s="110"/>
      <c r="X563" s="110"/>
      <c r="Y563" s="110"/>
      <c r="Z563" s="227"/>
      <c r="AA563" s="110"/>
      <c r="AB563" s="110"/>
      <c r="AC563" s="141"/>
      <c r="AD563" s="141"/>
      <c r="AE563" s="110"/>
      <c r="AF563" s="110"/>
      <c r="AH563" s="207"/>
      <c r="AI563" s="172"/>
      <c r="AJ563" s="172"/>
      <c r="AL563" s="110"/>
      <c r="AM563" s="207"/>
      <c r="AN563" s="207"/>
    </row>
    <row r="564" spans="1:40" x14ac:dyDescent="0.3">
      <c r="F564" s="192"/>
      <c r="H564" s="192"/>
      <c r="I564" s="192"/>
      <c r="J564" s="217"/>
      <c r="K564" s="217"/>
      <c r="L564" s="192"/>
      <c r="M564" s="192"/>
      <c r="N564" s="192"/>
      <c r="O564" s="192"/>
      <c r="P564" s="192"/>
      <c r="Q564" s="192"/>
      <c r="R564" s="192"/>
      <c r="V564" s="192"/>
      <c r="Y564" s="192"/>
      <c r="Z564" s="217"/>
      <c r="AA564" s="192"/>
      <c r="AB564" s="192"/>
      <c r="AC564" s="192"/>
      <c r="AD564" s="192"/>
      <c r="AE564" s="192"/>
      <c r="AF564" s="192"/>
      <c r="AI564" s="192"/>
      <c r="AJ564" s="192"/>
      <c r="AK564" s="194"/>
      <c r="AL564" s="192"/>
    </row>
    <row r="567" spans="1:40" x14ac:dyDescent="0.3">
      <c r="A567" s="99"/>
    </row>
    <row r="569" spans="1:40" x14ac:dyDescent="0.3">
      <c r="H569" s="99"/>
      <c r="I569" s="99"/>
      <c r="Y569" s="99"/>
    </row>
    <row r="571" spans="1:40" x14ac:dyDescent="0.3">
      <c r="L571" s="99"/>
      <c r="M571" s="99"/>
      <c r="AA571" s="99"/>
      <c r="AB571" s="99"/>
    </row>
    <row r="572" spans="1:40" x14ac:dyDescent="0.3">
      <c r="R572" s="99"/>
      <c r="AK572" s="190"/>
      <c r="AL572" s="99"/>
    </row>
    <row r="573" spans="1:40" x14ac:dyDescent="0.3">
      <c r="R573" s="99"/>
      <c r="AK573" s="190"/>
      <c r="AL573" s="99"/>
    </row>
    <row r="574" spans="1:40" x14ac:dyDescent="0.3">
      <c r="A574" s="99"/>
      <c r="R574" s="99"/>
      <c r="AK574" s="190"/>
      <c r="AL574" s="99"/>
    </row>
    <row r="575" spans="1:40" x14ac:dyDescent="0.3">
      <c r="L575" s="99"/>
      <c r="M575" s="99"/>
      <c r="AA575" s="99"/>
      <c r="AB575" s="99"/>
    </row>
    <row r="576" spans="1:40" x14ac:dyDescent="0.3">
      <c r="A576" s="101"/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91"/>
      <c r="AH576" s="101"/>
      <c r="AI576" s="101"/>
      <c r="AJ576" s="101"/>
      <c r="AK576" s="191"/>
      <c r="AL576" s="101"/>
      <c r="AM576" s="101"/>
      <c r="AN576" s="101"/>
    </row>
    <row r="577" spans="1:40" x14ac:dyDescent="0.3">
      <c r="L577" s="102"/>
      <c r="M577" s="102"/>
      <c r="N577" s="102"/>
      <c r="O577" s="102"/>
      <c r="R577" s="102"/>
      <c r="AA577" s="102"/>
      <c r="AB577" s="102"/>
      <c r="AC577" s="102"/>
      <c r="AD577" s="102"/>
      <c r="AE577" s="102"/>
      <c r="AF577" s="102"/>
      <c r="AG577" s="151"/>
      <c r="AH577" s="102"/>
      <c r="AK577" s="151"/>
      <c r="AL577" s="102"/>
      <c r="AM577" s="102"/>
      <c r="AN577" s="102"/>
    </row>
    <row r="578" spans="1:40" x14ac:dyDescent="0.3">
      <c r="L578" s="102"/>
      <c r="M578" s="102"/>
      <c r="N578" s="102"/>
      <c r="O578" s="102"/>
      <c r="R578" s="102"/>
      <c r="Z578" s="102"/>
      <c r="AA578" s="102"/>
      <c r="AB578" s="102"/>
      <c r="AC578" s="102"/>
      <c r="AD578" s="102"/>
      <c r="AE578" s="102"/>
      <c r="AF578" s="102"/>
      <c r="AG578" s="151"/>
      <c r="AH578" s="102"/>
      <c r="AK578" s="151"/>
      <c r="AL578" s="102"/>
      <c r="AM578" s="102"/>
      <c r="AN578" s="102"/>
    </row>
    <row r="579" spans="1:40" x14ac:dyDescent="0.3">
      <c r="A579" s="102"/>
      <c r="C579" s="102"/>
      <c r="D579" s="102"/>
      <c r="E579" s="102"/>
      <c r="F579" s="102"/>
      <c r="J579" s="102"/>
      <c r="K579" s="102"/>
      <c r="L579" s="102"/>
      <c r="M579" s="102"/>
      <c r="N579" s="102"/>
      <c r="O579" s="102"/>
      <c r="P579" s="102"/>
      <c r="Q579" s="102"/>
      <c r="R579" s="102"/>
      <c r="T579" s="102"/>
      <c r="U579" s="102"/>
      <c r="V579" s="102"/>
      <c r="Z579" s="102"/>
      <c r="AA579" s="102"/>
      <c r="AB579" s="102"/>
      <c r="AC579" s="102"/>
      <c r="AD579" s="102"/>
      <c r="AE579" s="102"/>
      <c r="AF579" s="102"/>
      <c r="AG579" s="151"/>
      <c r="AH579" s="102"/>
      <c r="AI579" s="102"/>
      <c r="AJ579" s="102"/>
      <c r="AK579" s="151"/>
      <c r="AL579" s="102"/>
      <c r="AM579" s="102"/>
      <c r="AN579" s="102"/>
    </row>
    <row r="580" spans="1:40" x14ac:dyDescent="0.3">
      <c r="A580" s="102"/>
      <c r="C580" s="102"/>
      <c r="D580" s="102"/>
      <c r="E580" s="102"/>
      <c r="F580" s="102"/>
      <c r="H580" s="102"/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T580" s="102"/>
      <c r="U580" s="102"/>
      <c r="V580" s="102"/>
      <c r="Y580" s="102"/>
      <c r="Z580" s="102"/>
      <c r="AA580" s="102"/>
      <c r="AB580" s="102"/>
      <c r="AC580" s="102"/>
      <c r="AD580" s="102"/>
      <c r="AE580" s="102"/>
      <c r="AF580" s="102"/>
      <c r="AG580" s="151"/>
      <c r="AH580" s="102"/>
      <c r="AI580" s="102"/>
      <c r="AJ580" s="102"/>
      <c r="AK580" s="151"/>
      <c r="AL580" s="102"/>
      <c r="AM580" s="102"/>
      <c r="AN580" s="102"/>
    </row>
    <row r="581" spans="1:40" x14ac:dyDescent="0.3">
      <c r="C581" s="102"/>
      <c r="D581" s="102"/>
      <c r="E581" s="102"/>
      <c r="F581" s="102"/>
      <c r="H581" s="102"/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T581" s="102"/>
      <c r="U581" s="102"/>
      <c r="V581" s="102"/>
      <c r="Y581" s="102"/>
      <c r="Z581" s="102"/>
      <c r="AA581" s="102"/>
      <c r="AB581" s="102"/>
      <c r="AC581" s="102"/>
      <c r="AD581" s="102"/>
      <c r="AE581" s="102"/>
      <c r="AF581" s="102"/>
      <c r="AG581" s="151"/>
      <c r="AH581" s="102"/>
      <c r="AI581" s="102"/>
      <c r="AJ581" s="102"/>
      <c r="AK581" s="151"/>
      <c r="AL581" s="102"/>
      <c r="AM581" s="102"/>
      <c r="AN581" s="102"/>
    </row>
    <row r="582" spans="1:40" x14ac:dyDescent="0.3">
      <c r="A582" s="101"/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T582" s="101"/>
      <c r="U582" s="101"/>
      <c r="V582" s="101"/>
      <c r="W582" s="101"/>
      <c r="X582" s="101"/>
      <c r="Y582" s="101"/>
      <c r="Z582" s="101"/>
      <c r="AA582" s="101"/>
      <c r="AB582" s="101"/>
      <c r="AC582" s="101"/>
      <c r="AD582" s="101"/>
      <c r="AE582" s="101"/>
      <c r="AF582" s="101"/>
      <c r="AG582" s="191"/>
      <c r="AH582" s="101"/>
      <c r="AI582" s="101"/>
      <c r="AJ582" s="101"/>
      <c r="AK582" s="191"/>
      <c r="AL582" s="101"/>
      <c r="AM582" s="101"/>
      <c r="AN582" s="101"/>
    </row>
    <row r="583" spans="1:40" x14ac:dyDescent="0.3">
      <c r="H583" s="102"/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Y583" s="102"/>
      <c r="Z583" s="102"/>
      <c r="AA583" s="102"/>
      <c r="AB583" s="102"/>
      <c r="AC583" s="102"/>
      <c r="AD583" s="102"/>
      <c r="AE583" s="102"/>
      <c r="AF583" s="102"/>
      <c r="AG583" s="151"/>
      <c r="AH583" s="102"/>
      <c r="AI583" s="102"/>
      <c r="AJ583" s="102"/>
      <c r="AK583" s="151"/>
      <c r="AL583" s="102"/>
      <c r="AM583" s="102"/>
      <c r="AN583" s="102"/>
    </row>
    <row r="584" spans="1:40" x14ac:dyDescent="0.3">
      <c r="C584" s="99"/>
      <c r="D584" s="99"/>
      <c r="E584" s="99"/>
      <c r="T584" s="99"/>
      <c r="U584" s="99"/>
    </row>
    <row r="586" spans="1:40" x14ac:dyDescent="0.3">
      <c r="C586" s="99"/>
      <c r="T586" s="99"/>
    </row>
    <row r="587" spans="1:40" x14ac:dyDescent="0.3">
      <c r="C587" s="99"/>
      <c r="T587" s="99"/>
    </row>
    <row r="588" spans="1:40" x14ac:dyDescent="0.3">
      <c r="C588" s="99"/>
      <c r="F588" s="172"/>
      <c r="H588" s="172"/>
      <c r="I588" s="172"/>
      <c r="J588" s="228"/>
      <c r="K588" s="228"/>
      <c r="L588" s="110"/>
      <c r="M588" s="110"/>
      <c r="N588" s="141"/>
      <c r="O588" s="141"/>
      <c r="P588" s="110"/>
      <c r="Q588" s="110"/>
      <c r="R588" s="110"/>
      <c r="T588" s="99"/>
      <c r="V588" s="110"/>
      <c r="W588" s="110"/>
      <c r="X588" s="110"/>
      <c r="Y588" s="110"/>
      <c r="Z588" s="228"/>
      <c r="AA588" s="110"/>
      <c r="AB588" s="110"/>
      <c r="AC588" s="141"/>
      <c r="AD588" s="141"/>
      <c r="AE588" s="110"/>
      <c r="AF588" s="110"/>
      <c r="AH588" s="207"/>
      <c r="AI588" s="110"/>
      <c r="AJ588" s="110"/>
      <c r="AL588" s="110"/>
      <c r="AM588" s="207"/>
      <c r="AN588" s="207"/>
    </row>
    <row r="589" spans="1:40" x14ac:dyDescent="0.3">
      <c r="C589" s="99"/>
      <c r="F589" s="110"/>
      <c r="H589" s="110"/>
      <c r="I589" s="110"/>
      <c r="J589" s="163"/>
      <c r="K589" s="163"/>
      <c r="L589" s="110"/>
      <c r="M589" s="110"/>
      <c r="N589" s="141"/>
      <c r="O589" s="141"/>
      <c r="P589" s="110"/>
      <c r="Q589" s="110"/>
      <c r="R589" s="110"/>
      <c r="T589" s="99"/>
      <c r="V589" s="110"/>
      <c r="W589" s="110"/>
      <c r="X589" s="110"/>
      <c r="Y589" s="110"/>
      <c r="Z589" s="163"/>
      <c r="AA589" s="110"/>
      <c r="AB589" s="110"/>
      <c r="AC589" s="141"/>
      <c r="AD589" s="141"/>
      <c r="AE589" s="110"/>
      <c r="AF589" s="110"/>
      <c r="AH589" s="207"/>
      <c r="AI589" s="110"/>
      <c r="AJ589" s="110"/>
      <c r="AL589" s="110"/>
      <c r="AM589" s="207"/>
      <c r="AN589" s="207"/>
    </row>
    <row r="590" spans="1:40" x14ac:dyDescent="0.3">
      <c r="C590" s="99"/>
      <c r="F590" s="110"/>
      <c r="H590" s="110"/>
      <c r="I590" s="110"/>
      <c r="J590" s="163"/>
      <c r="K590" s="163"/>
      <c r="L590" s="110"/>
      <c r="M590" s="110"/>
      <c r="N590" s="141"/>
      <c r="O590" s="141"/>
      <c r="P590" s="110"/>
      <c r="Q590" s="110"/>
      <c r="R590" s="110"/>
      <c r="T590" s="99"/>
      <c r="V590" s="110"/>
      <c r="W590" s="110"/>
      <c r="X590" s="110"/>
      <c r="Y590" s="110"/>
      <c r="Z590" s="163"/>
      <c r="AA590" s="110"/>
      <c r="AB590" s="110"/>
      <c r="AC590" s="141"/>
      <c r="AD590" s="141"/>
      <c r="AE590" s="110"/>
      <c r="AF590" s="110"/>
      <c r="AH590" s="207"/>
      <c r="AI590" s="110"/>
      <c r="AJ590" s="110"/>
      <c r="AL590" s="110"/>
      <c r="AM590" s="207"/>
      <c r="AN590" s="207"/>
    </row>
    <row r="591" spans="1:40" x14ac:dyDescent="0.3">
      <c r="C591" s="99"/>
      <c r="F591" s="110"/>
      <c r="H591" s="110"/>
      <c r="I591" s="110"/>
      <c r="J591" s="163"/>
      <c r="K591" s="163"/>
      <c r="T591" s="99"/>
      <c r="V591" s="110"/>
      <c r="Z591" s="163"/>
    </row>
    <row r="592" spans="1:40" x14ac:dyDescent="0.3">
      <c r="C592" s="99"/>
      <c r="F592" s="172"/>
      <c r="H592" s="172"/>
      <c r="I592" s="172"/>
      <c r="J592" s="228"/>
      <c r="K592" s="228"/>
      <c r="L592" s="110"/>
      <c r="M592" s="110"/>
      <c r="N592" s="141"/>
      <c r="O592" s="141"/>
      <c r="P592" s="110"/>
      <c r="Q592" s="110"/>
      <c r="R592" s="110"/>
      <c r="T592" s="99"/>
      <c r="V592" s="110"/>
      <c r="W592" s="110"/>
      <c r="X592" s="110"/>
      <c r="Y592" s="110"/>
      <c r="Z592" s="228"/>
      <c r="AA592" s="110"/>
      <c r="AB592" s="110"/>
      <c r="AC592" s="141"/>
      <c r="AD592" s="141"/>
      <c r="AE592" s="110"/>
      <c r="AF592" s="110"/>
      <c r="AH592" s="207"/>
      <c r="AI592" s="110"/>
      <c r="AJ592" s="110"/>
      <c r="AL592" s="110"/>
      <c r="AM592" s="207"/>
      <c r="AN592" s="207"/>
    </row>
    <row r="593" spans="3:40" x14ac:dyDescent="0.3">
      <c r="C593" s="99"/>
      <c r="F593" s="110"/>
      <c r="H593" s="110"/>
      <c r="I593" s="110"/>
      <c r="J593" s="163"/>
      <c r="K593" s="163"/>
      <c r="T593" s="99"/>
      <c r="V593" s="110"/>
      <c r="W593" s="110"/>
      <c r="X593" s="110"/>
      <c r="Y593" s="110"/>
      <c r="Z593" s="163"/>
      <c r="AC593" s="141"/>
      <c r="AD593" s="141"/>
      <c r="AE593" s="110"/>
      <c r="AF593" s="110"/>
      <c r="AH593" s="207"/>
      <c r="AI593" s="110"/>
      <c r="AJ593" s="110"/>
      <c r="AL593" s="110"/>
      <c r="AM593" s="207"/>
      <c r="AN593" s="207"/>
    </row>
    <row r="594" spans="3:40" x14ac:dyDescent="0.3">
      <c r="C594" s="99"/>
      <c r="F594" s="172"/>
      <c r="H594" s="172"/>
      <c r="I594" s="172"/>
      <c r="J594" s="228"/>
      <c r="K594" s="228"/>
      <c r="L594" s="110"/>
      <c r="M594" s="110"/>
      <c r="N594" s="141"/>
      <c r="O594" s="141"/>
      <c r="P594" s="110"/>
      <c r="Q594" s="110"/>
      <c r="R594" s="110"/>
      <c r="T594" s="99"/>
      <c r="V594" s="110"/>
      <c r="W594" s="110"/>
      <c r="X594" s="110"/>
      <c r="Y594" s="110"/>
      <c r="Z594" s="228"/>
      <c r="AA594" s="110"/>
      <c r="AB594" s="110"/>
      <c r="AC594" s="141"/>
      <c r="AD594" s="141"/>
      <c r="AE594" s="110"/>
      <c r="AF594" s="110"/>
      <c r="AH594" s="207"/>
      <c r="AI594" s="110"/>
      <c r="AJ594" s="110"/>
      <c r="AL594" s="110"/>
      <c r="AM594" s="207"/>
      <c r="AN594" s="207"/>
    </row>
    <row r="595" spans="3:40" x14ac:dyDescent="0.3">
      <c r="C595" s="99"/>
      <c r="F595" s="110"/>
      <c r="H595" s="110"/>
      <c r="I595" s="110"/>
      <c r="J595" s="163"/>
      <c r="K595" s="163"/>
      <c r="L595" s="110"/>
      <c r="M595" s="110"/>
      <c r="N595" s="141"/>
      <c r="O595" s="141"/>
      <c r="P595" s="110"/>
      <c r="Q595" s="110"/>
      <c r="R595" s="110"/>
      <c r="T595" s="99"/>
      <c r="V595" s="110"/>
      <c r="W595" s="110"/>
      <c r="X595" s="110"/>
      <c r="Y595" s="110"/>
      <c r="Z595" s="163"/>
      <c r="AA595" s="110"/>
      <c r="AB595" s="110"/>
      <c r="AC595" s="141"/>
      <c r="AD595" s="141"/>
      <c r="AE595" s="110"/>
      <c r="AF595" s="110"/>
      <c r="AH595" s="207"/>
      <c r="AI595" s="110"/>
      <c r="AJ595" s="110"/>
      <c r="AL595" s="110"/>
      <c r="AM595" s="207"/>
      <c r="AN595" s="207"/>
    </row>
    <row r="596" spans="3:40" x14ac:dyDescent="0.3">
      <c r="F596" s="110"/>
      <c r="H596" s="110"/>
      <c r="I596" s="110"/>
      <c r="J596" s="163"/>
      <c r="K596" s="163"/>
      <c r="Z596" s="163"/>
    </row>
    <row r="597" spans="3:40" x14ac:dyDescent="0.3">
      <c r="C597" s="99"/>
      <c r="F597" s="110"/>
      <c r="H597" s="172"/>
      <c r="I597" s="172"/>
      <c r="J597" s="228"/>
      <c r="K597" s="228"/>
      <c r="L597" s="110"/>
      <c r="M597" s="110"/>
      <c r="N597" s="141"/>
      <c r="O597" s="141"/>
      <c r="P597" s="110"/>
      <c r="Q597" s="110"/>
      <c r="R597" s="110"/>
      <c r="T597" s="99"/>
      <c r="V597" s="110"/>
      <c r="W597" s="110"/>
      <c r="X597" s="110"/>
      <c r="Y597" s="110"/>
      <c r="Z597" s="228"/>
      <c r="AA597" s="110"/>
      <c r="AB597" s="110"/>
      <c r="AC597" s="141"/>
      <c r="AD597" s="141"/>
      <c r="AE597" s="110"/>
      <c r="AF597" s="110"/>
      <c r="AH597" s="207"/>
      <c r="AI597" s="110"/>
      <c r="AJ597" s="110"/>
      <c r="AL597" s="110"/>
      <c r="AM597" s="207"/>
      <c r="AN597" s="207"/>
    </row>
    <row r="598" spans="3:40" x14ac:dyDescent="0.3">
      <c r="F598" s="192"/>
      <c r="H598" s="192"/>
      <c r="I598" s="192"/>
      <c r="J598" s="228"/>
      <c r="K598" s="228"/>
      <c r="L598" s="192"/>
      <c r="M598" s="192"/>
      <c r="N598" s="192"/>
      <c r="O598" s="192"/>
      <c r="P598" s="192"/>
      <c r="Q598" s="192"/>
      <c r="R598" s="192"/>
      <c r="V598" s="192"/>
      <c r="Y598" s="192"/>
      <c r="Z598" s="228"/>
      <c r="AA598" s="192"/>
      <c r="AB598" s="192"/>
      <c r="AC598" s="192"/>
      <c r="AD598" s="192"/>
      <c r="AE598" s="192"/>
      <c r="AF598" s="192"/>
      <c r="AI598" s="192"/>
      <c r="AJ598" s="192"/>
      <c r="AK598" s="194"/>
      <c r="AL598" s="192"/>
    </row>
    <row r="599" spans="3:40" x14ac:dyDescent="0.3">
      <c r="C599" s="99"/>
      <c r="F599" s="110"/>
      <c r="H599" s="110"/>
      <c r="I599" s="110"/>
      <c r="J599" s="163"/>
      <c r="K599" s="163"/>
      <c r="L599" s="110"/>
      <c r="M599" s="110"/>
      <c r="P599" s="110"/>
      <c r="Q599" s="110"/>
      <c r="R599" s="110"/>
      <c r="T599" s="99"/>
      <c r="V599" s="110"/>
      <c r="Y599" s="110"/>
      <c r="Z599" s="163"/>
      <c r="AA599" s="110"/>
      <c r="AB599" s="110"/>
      <c r="AC599" s="207"/>
      <c r="AD599" s="207"/>
      <c r="AE599" s="110"/>
      <c r="AF599" s="110"/>
      <c r="AH599" s="207"/>
      <c r="AI599" s="110"/>
      <c r="AJ599" s="110"/>
      <c r="AL599" s="110"/>
      <c r="AM599" s="207"/>
      <c r="AN599" s="207"/>
    </row>
    <row r="600" spans="3:40" x14ac:dyDescent="0.3">
      <c r="F600" s="192"/>
      <c r="H600" s="192"/>
      <c r="I600" s="192"/>
      <c r="J600" s="228"/>
      <c r="K600" s="228"/>
      <c r="L600" s="192"/>
      <c r="M600" s="192"/>
      <c r="N600" s="192"/>
      <c r="O600" s="192"/>
      <c r="P600" s="192"/>
      <c r="Q600" s="192"/>
      <c r="R600" s="192"/>
      <c r="V600" s="192"/>
      <c r="Y600" s="192"/>
      <c r="Z600" s="228"/>
      <c r="AA600" s="192"/>
      <c r="AB600" s="192"/>
      <c r="AC600" s="192"/>
      <c r="AD600" s="192"/>
      <c r="AE600" s="192"/>
      <c r="AF600" s="192"/>
      <c r="AI600" s="192"/>
      <c r="AJ600" s="192"/>
      <c r="AK600" s="194"/>
      <c r="AL600" s="192"/>
    </row>
    <row r="601" spans="3:40" x14ac:dyDescent="0.3">
      <c r="J601" s="163"/>
      <c r="K601" s="163"/>
      <c r="Z601" s="163"/>
    </row>
    <row r="602" spans="3:40" x14ac:dyDescent="0.3">
      <c r="C602" s="99"/>
      <c r="J602" s="163"/>
      <c r="K602" s="163"/>
      <c r="T602" s="99"/>
      <c r="Z602" s="163"/>
    </row>
    <row r="603" spans="3:40" x14ac:dyDescent="0.3">
      <c r="C603" s="99"/>
      <c r="J603" s="163"/>
      <c r="K603" s="163"/>
      <c r="T603" s="99"/>
      <c r="Z603" s="163"/>
    </row>
    <row r="604" spans="3:40" x14ac:dyDescent="0.3">
      <c r="C604" s="99"/>
      <c r="F604" s="172"/>
      <c r="H604" s="172"/>
      <c r="I604" s="172"/>
      <c r="J604" s="228"/>
      <c r="K604" s="228"/>
      <c r="L604" s="110"/>
      <c r="M604" s="110"/>
      <c r="N604" s="141"/>
      <c r="O604" s="141"/>
      <c r="P604" s="110"/>
      <c r="Q604" s="110"/>
      <c r="R604" s="110"/>
      <c r="T604" s="99"/>
      <c r="V604" s="110"/>
      <c r="W604" s="110"/>
      <c r="X604" s="110"/>
      <c r="Y604" s="110"/>
      <c r="Z604" s="228"/>
      <c r="AA604" s="110"/>
      <c r="AB604" s="110"/>
      <c r="AC604" s="141"/>
      <c r="AD604" s="141"/>
      <c r="AE604" s="110"/>
      <c r="AF604" s="110"/>
      <c r="AH604" s="207"/>
      <c r="AI604" s="110"/>
      <c r="AJ604" s="110"/>
      <c r="AL604" s="110"/>
      <c r="AM604" s="207"/>
      <c r="AN604" s="207"/>
    </row>
    <row r="605" spans="3:40" x14ac:dyDescent="0.3">
      <c r="C605" s="99"/>
      <c r="J605" s="163"/>
      <c r="K605" s="163"/>
      <c r="T605" s="99"/>
      <c r="Z605" s="163"/>
    </row>
    <row r="606" spans="3:40" x14ac:dyDescent="0.3">
      <c r="C606" s="99"/>
      <c r="F606" s="172"/>
      <c r="H606" s="172"/>
      <c r="I606" s="172"/>
      <c r="J606" s="228"/>
      <c r="K606" s="228"/>
      <c r="L606" s="110"/>
      <c r="M606" s="110"/>
      <c r="N606" s="141"/>
      <c r="O606" s="141"/>
      <c r="P606" s="110"/>
      <c r="Q606" s="110"/>
      <c r="R606" s="110"/>
      <c r="T606" s="99"/>
      <c r="V606" s="110"/>
      <c r="W606" s="110"/>
      <c r="X606" s="110"/>
      <c r="Y606" s="110"/>
      <c r="Z606" s="228"/>
      <c r="AA606" s="110"/>
      <c r="AB606" s="110"/>
      <c r="AC606" s="141"/>
      <c r="AD606" s="141"/>
      <c r="AE606" s="110"/>
      <c r="AF606" s="110"/>
      <c r="AH606" s="207"/>
      <c r="AI606" s="110"/>
      <c r="AJ606" s="110"/>
      <c r="AL606" s="110"/>
      <c r="AM606" s="207"/>
      <c r="AN606" s="207"/>
    </row>
    <row r="607" spans="3:40" x14ac:dyDescent="0.3">
      <c r="F607" s="192"/>
      <c r="H607" s="192"/>
      <c r="I607" s="192"/>
      <c r="J607" s="228"/>
      <c r="K607" s="228"/>
      <c r="L607" s="192"/>
      <c r="M607" s="192"/>
      <c r="N607" s="192"/>
      <c r="O607" s="192"/>
      <c r="P607" s="192"/>
      <c r="Q607" s="192"/>
      <c r="R607" s="192"/>
      <c r="V607" s="192"/>
      <c r="Y607" s="192"/>
      <c r="Z607" s="228"/>
      <c r="AA607" s="192"/>
      <c r="AB607" s="192"/>
      <c r="AC607" s="192"/>
      <c r="AD607" s="192"/>
      <c r="AE607" s="192"/>
      <c r="AF607" s="192"/>
      <c r="AI607" s="192"/>
      <c r="AJ607" s="192"/>
      <c r="AK607" s="194"/>
      <c r="AL607" s="192"/>
    </row>
    <row r="608" spans="3:40" x14ac:dyDescent="0.3">
      <c r="C608" s="99"/>
      <c r="F608" s="110"/>
      <c r="H608" s="110"/>
      <c r="I608" s="110"/>
      <c r="J608" s="163"/>
      <c r="K608" s="163"/>
      <c r="L608" s="110"/>
      <c r="M608" s="110"/>
      <c r="N608" s="207"/>
      <c r="O608" s="207"/>
      <c r="P608" s="110"/>
      <c r="Q608" s="110"/>
      <c r="R608" s="110"/>
      <c r="T608" s="99"/>
      <c r="V608" s="110"/>
      <c r="Y608" s="110"/>
      <c r="Z608" s="163"/>
      <c r="AA608" s="110"/>
      <c r="AB608" s="110"/>
      <c r="AC608" s="207"/>
      <c r="AD608" s="207"/>
      <c r="AE608" s="110"/>
      <c r="AF608" s="110"/>
      <c r="AH608" s="207"/>
      <c r="AI608" s="110"/>
      <c r="AJ608" s="110"/>
      <c r="AL608" s="110"/>
      <c r="AM608" s="207"/>
      <c r="AN608" s="207"/>
    </row>
    <row r="609" spans="1:40" x14ac:dyDescent="0.3">
      <c r="F609" s="192"/>
      <c r="H609" s="192"/>
      <c r="I609" s="192"/>
      <c r="J609" s="228"/>
      <c r="K609" s="228"/>
      <c r="L609" s="192"/>
      <c r="M609" s="192"/>
      <c r="N609" s="192"/>
      <c r="O609" s="192"/>
      <c r="P609" s="192"/>
      <c r="Q609" s="192"/>
      <c r="R609" s="192"/>
      <c r="V609" s="192"/>
      <c r="Y609" s="192"/>
      <c r="Z609" s="217"/>
      <c r="AA609" s="192"/>
      <c r="AB609" s="192"/>
      <c r="AC609" s="192"/>
      <c r="AD609" s="192"/>
      <c r="AE609" s="192"/>
      <c r="AF609" s="192"/>
      <c r="AI609" s="192"/>
      <c r="AJ609" s="192"/>
      <c r="AK609" s="194"/>
      <c r="AL609" s="192"/>
    </row>
    <row r="610" spans="1:40" x14ac:dyDescent="0.3">
      <c r="J610" s="163"/>
      <c r="K610" s="163"/>
    </row>
    <row r="611" spans="1:40" x14ac:dyDescent="0.3">
      <c r="C611" s="99"/>
      <c r="F611" s="110"/>
      <c r="H611" s="110"/>
      <c r="I611" s="110"/>
      <c r="J611" s="163"/>
      <c r="K611" s="163"/>
      <c r="L611" s="110"/>
      <c r="M611" s="110"/>
      <c r="N611" s="141"/>
      <c r="O611" s="141"/>
      <c r="P611" s="172"/>
      <c r="Q611" s="172"/>
      <c r="R611" s="110"/>
      <c r="T611" s="99"/>
      <c r="V611" s="110"/>
      <c r="Y611" s="110"/>
      <c r="AA611" s="110"/>
      <c r="AB611" s="110"/>
      <c r="AC611" s="207"/>
      <c r="AD611" s="207"/>
      <c r="AE611" s="110"/>
      <c r="AF611" s="110"/>
      <c r="AH611" s="207"/>
      <c r="AI611" s="172"/>
      <c r="AJ611" s="172"/>
      <c r="AL611" s="110"/>
      <c r="AM611" s="207"/>
      <c r="AN611" s="207"/>
    </row>
    <row r="612" spans="1:40" x14ac:dyDescent="0.3">
      <c r="F612" s="192"/>
      <c r="H612" s="192"/>
      <c r="I612" s="192"/>
      <c r="J612" s="228"/>
      <c r="K612" s="228"/>
      <c r="L612" s="192"/>
      <c r="M612" s="192"/>
      <c r="N612" s="192"/>
      <c r="O612" s="192"/>
      <c r="P612" s="192"/>
      <c r="Q612" s="192"/>
      <c r="R612" s="192"/>
      <c r="V612" s="192"/>
      <c r="Y612" s="192"/>
      <c r="Z612" s="217"/>
      <c r="AA612" s="192"/>
      <c r="AB612" s="192"/>
      <c r="AC612" s="192"/>
      <c r="AD612" s="192"/>
      <c r="AE612" s="192"/>
      <c r="AF612" s="192"/>
      <c r="AI612" s="192"/>
      <c r="AJ612" s="192"/>
      <c r="AK612" s="194"/>
      <c r="AL612" s="192"/>
    </row>
    <row r="615" spans="1:40" x14ac:dyDescent="0.3">
      <c r="A615" s="99"/>
    </row>
    <row r="617" spans="1:40" x14ac:dyDescent="0.3">
      <c r="H617" s="99"/>
      <c r="I617" s="99"/>
      <c r="Y617" s="99"/>
    </row>
    <row r="619" spans="1:40" x14ac:dyDescent="0.3">
      <c r="L619" s="99"/>
      <c r="M619" s="99"/>
      <c r="AA619" s="99"/>
      <c r="AB619" s="99"/>
    </row>
    <row r="620" spans="1:40" x14ac:dyDescent="0.3">
      <c r="R620" s="99"/>
      <c r="AK620" s="190"/>
      <c r="AL620" s="99"/>
    </row>
    <row r="621" spans="1:40" x14ac:dyDescent="0.3">
      <c r="R621" s="99"/>
      <c r="AK621" s="190"/>
      <c r="AL621" s="99"/>
    </row>
    <row r="622" spans="1:40" x14ac:dyDescent="0.3">
      <c r="A622" s="99"/>
      <c r="R622" s="99"/>
      <c r="AK622" s="190"/>
      <c r="AL622" s="99"/>
    </row>
    <row r="623" spans="1:40" x14ac:dyDescent="0.3">
      <c r="L623" s="99"/>
      <c r="M623" s="99"/>
      <c r="AA623" s="99"/>
      <c r="AB623" s="99"/>
    </row>
    <row r="624" spans="1:40" x14ac:dyDescent="0.3">
      <c r="A624" s="101"/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T624" s="101"/>
      <c r="U624" s="101"/>
      <c r="V624" s="101"/>
      <c r="W624" s="101"/>
      <c r="X624" s="101"/>
      <c r="Y624" s="101"/>
      <c r="Z624" s="101"/>
      <c r="AA624" s="101"/>
      <c r="AB624" s="101"/>
      <c r="AC624" s="101"/>
      <c r="AD624" s="101"/>
      <c r="AE624" s="101"/>
      <c r="AF624" s="101"/>
      <c r="AG624" s="191"/>
      <c r="AH624" s="101"/>
      <c r="AI624" s="101"/>
      <c r="AJ624" s="101"/>
      <c r="AK624" s="191"/>
      <c r="AL624" s="101"/>
      <c r="AM624" s="101"/>
      <c r="AN624" s="101"/>
    </row>
    <row r="625" spans="1:40" x14ac:dyDescent="0.3">
      <c r="L625" s="102"/>
      <c r="M625" s="102"/>
      <c r="N625" s="102"/>
      <c r="O625" s="102"/>
      <c r="R625" s="102"/>
      <c r="AA625" s="102"/>
      <c r="AB625" s="102"/>
      <c r="AC625" s="102"/>
      <c r="AD625" s="102"/>
      <c r="AE625" s="102"/>
      <c r="AF625" s="102"/>
      <c r="AG625" s="151"/>
      <c r="AH625" s="102"/>
      <c r="AK625" s="151"/>
      <c r="AL625" s="102"/>
      <c r="AM625" s="102"/>
      <c r="AN625" s="102"/>
    </row>
    <row r="626" spans="1:40" x14ac:dyDescent="0.3">
      <c r="L626" s="102"/>
      <c r="M626" s="102"/>
      <c r="N626" s="102"/>
      <c r="O626" s="102"/>
      <c r="R626" s="102"/>
      <c r="Z626" s="102"/>
      <c r="AA626" s="102"/>
      <c r="AB626" s="102"/>
      <c r="AC626" s="102"/>
      <c r="AD626" s="102"/>
      <c r="AE626" s="102"/>
      <c r="AF626" s="102"/>
      <c r="AG626" s="151"/>
      <c r="AH626" s="102"/>
      <c r="AK626" s="151"/>
      <c r="AL626" s="102"/>
      <c r="AM626" s="102"/>
      <c r="AN626" s="102"/>
    </row>
    <row r="627" spans="1:40" x14ac:dyDescent="0.3">
      <c r="A627" s="102"/>
      <c r="C627" s="102"/>
      <c r="D627" s="102"/>
      <c r="E627" s="102"/>
      <c r="F627" s="102"/>
      <c r="J627" s="102"/>
      <c r="K627" s="102"/>
      <c r="L627" s="102"/>
      <c r="M627" s="102"/>
      <c r="N627" s="102"/>
      <c r="O627" s="102"/>
      <c r="P627" s="102"/>
      <c r="Q627" s="102"/>
      <c r="R627" s="102"/>
      <c r="T627" s="102"/>
      <c r="U627" s="102"/>
      <c r="V627" s="102"/>
      <c r="Z627" s="102"/>
      <c r="AA627" s="102"/>
      <c r="AB627" s="102"/>
      <c r="AC627" s="102"/>
      <c r="AD627" s="102"/>
      <c r="AE627" s="102"/>
      <c r="AF627" s="102"/>
      <c r="AG627" s="151"/>
      <c r="AH627" s="102"/>
      <c r="AI627" s="102"/>
      <c r="AJ627" s="102"/>
      <c r="AK627" s="151"/>
      <c r="AL627" s="102"/>
      <c r="AM627" s="102"/>
      <c r="AN627" s="102"/>
    </row>
    <row r="628" spans="1:40" x14ac:dyDescent="0.3">
      <c r="A628" s="102"/>
      <c r="C628" s="102"/>
      <c r="D628" s="102"/>
      <c r="E628" s="102"/>
      <c r="F628" s="102"/>
      <c r="H628" s="102"/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T628" s="102"/>
      <c r="U628" s="102"/>
      <c r="V628" s="102"/>
      <c r="Y628" s="102"/>
      <c r="Z628" s="102"/>
      <c r="AA628" s="102"/>
      <c r="AB628" s="102"/>
      <c r="AC628" s="102"/>
      <c r="AD628" s="102"/>
      <c r="AE628" s="102"/>
      <c r="AF628" s="102"/>
      <c r="AG628" s="151"/>
      <c r="AH628" s="102"/>
      <c r="AI628" s="102"/>
      <c r="AJ628" s="102"/>
      <c r="AK628" s="151"/>
      <c r="AL628" s="102"/>
      <c r="AM628" s="102"/>
      <c r="AN628" s="102"/>
    </row>
    <row r="629" spans="1:40" x14ac:dyDescent="0.3">
      <c r="C629" s="102"/>
      <c r="D629" s="102"/>
      <c r="E629" s="102"/>
      <c r="F629" s="102"/>
      <c r="H629" s="102"/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T629" s="102"/>
      <c r="U629" s="102"/>
      <c r="V629" s="102"/>
      <c r="Y629" s="102"/>
      <c r="Z629" s="102"/>
      <c r="AA629" s="102"/>
      <c r="AB629" s="102"/>
      <c r="AC629" s="102"/>
      <c r="AD629" s="102"/>
      <c r="AE629" s="102"/>
      <c r="AF629" s="102"/>
      <c r="AG629" s="151"/>
      <c r="AH629" s="102"/>
      <c r="AI629" s="102"/>
      <c r="AJ629" s="102"/>
      <c r="AK629" s="151"/>
      <c r="AL629" s="102"/>
      <c r="AM629" s="102"/>
      <c r="AN629" s="102"/>
    </row>
    <row r="630" spans="1:40" x14ac:dyDescent="0.3">
      <c r="A630" s="101"/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T630" s="101"/>
      <c r="U630" s="101"/>
      <c r="V630" s="101"/>
      <c r="W630" s="101"/>
      <c r="X630" s="101"/>
      <c r="Y630" s="101"/>
      <c r="Z630" s="101"/>
      <c r="AA630" s="101"/>
      <c r="AB630" s="101"/>
      <c r="AC630" s="101"/>
      <c r="AD630" s="101"/>
      <c r="AE630" s="101"/>
      <c r="AF630" s="101"/>
      <c r="AG630" s="191"/>
      <c r="AH630" s="101"/>
      <c r="AI630" s="101"/>
      <c r="AJ630" s="101"/>
      <c r="AK630" s="191"/>
      <c r="AL630" s="101"/>
      <c r="AM630" s="101"/>
      <c r="AN630" s="101"/>
    </row>
    <row r="631" spans="1:40" x14ac:dyDescent="0.3">
      <c r="H631" s="102"/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Y631" s="102"/>
      <c r="Z631" s="102"/>
      <c r="AA631" s="102"/>
      <c r="AB631" s="102"/>
      <c r="AC631" s="102"/>
      <c r="AD631" s="102"/>
      <c r="AE631" s="102"/>
      <c r="AF631" s="102"/>
      <c r="AG631" s="151"/>
      <c r="AH631" s="102"/>
      <c r="AI631" s="102"/>
      <c r="AJ631" s="102"/>
      <c r="AK631" s="151"/>
      <c r="AL631" s="102"/>
      <c r="AM631" s="102"/>
      <c r="AN631" s="102"/>
    </row>
    <row r="632" spans="1:40" x14ac:dyDescent="0.3">
      <c r="C632" s="99"/>
      <c r="D632" s="99"/>
      <c r="E632" s="99"/>
      <c r="T632" s="99"/>
      <c r="U632" s="99"/>
    </row>
    <row r="634" spans="1:40" x14ac:dyDescent="0.3">
      <c r="C634" s="99"/>
      <c r="D634" s="99"/>
      <c r="E634" s="99"/>
      <c r="T634" s="99"/>
      <c r="U634" s="99"/>
    </row>
    <row r="635" spans="1:40" x14ac:dyDescent="0.3">
      <c r="C635" s="99"/>
      <c r="T635" s="99"/>
    </row>
    <row r="636" spans="1:40" x14ac:dyDescent="0.3">
      <c r="C636" s="99"/>
      <c r="T636" s="99"/>
    </row>
    <row r="637" spans="1:40" x14ac:dyDescent="0.3">
      <c r="C637" s="99"/>
      <c r="F637" s="172"/>
      <c r="H637" s="172"/>
      <c r="I637" s="172"/>
      <c r="J637" s="228"/>
      <c r="K637" s="228"/>
      <c r="L637" s="110"/>
      <c r="M637" s="110"/>
      <c r="N637" s="141"/>
      <c r="O637" s="141"/>
      <c r="P637" s="110"/>
      <c r="Q637" s="110"/>
      <c r="R637" s="110"/>
      <c r="T637" s="99"/>
      <c r="V637" s="110"/>
      <c r="W637" s="110"/>
      <c r="X637" s="110"/>
      <c r="Y637" s="110"/>
      <c r="Z637" s="228"/>
      <c r="AA637" s="110"/>
      <c r="AB637" s="110"/>
      <c r="AC637" s="141"/>
      <c r="AD637" s="141"/>
      <c r="AE637" s="110"/>
      <c r="AF637" s="110"/>
      <c r="AH637" s="207"/>
      <c r="AI637" s="110"/>
      <c r="AJ637" s="110"/>
      <c r="AL637" s="110"/>
      <c r="AM637" s="141"/>
      <c r="AN637" s="141"/>
    </row>
    <row r="638" spans="1:40" x14ac:dyDescent="0.3">
      <c r="C638" s="99"/>
      <c r="J638" s="163"/>
      <c r="K638" s="163"/>
      <c r="T638" s="99"/>
      <c r="V638" s="110"/>
      <c r="W638" s="110"/>
      <c r="X638" s="110"/>
      <c r="Y638" s="110"/>
      <c r="Z638" s="228"/>
    </row>
    <row r="639" spans="1:40" x14ac:dyDescent="0.3">
      <c r="C639" s="99"/>
      <c r="F639" s="172"/>
      <c r="H639" s="172"/>
      <c r="I639" s="172"/>
      <c r="J639" s="228"/>
      <c r="K639" s="228"/>
      <c r="L639" s="110"/>
      <c r="M639" s="110"/>
      <c r="N639" s="141"/>
      <c r="O639" s="141"/>
      <c r="P639" s="110"/>
      <c r="Q639" s="110"/>
      <c r="R639" s="110"/>
      <c r="T639" s="99"/>
      <c r="V639" s="110"/>
      <c r="W639" s="110"/>
      <c r="X639" s="110"/>
      <c r="Y639" s="110"/>
      <c r="Z639" s="228"/>
      <c r="AA639" s="110"/>
      <c r="AB639" s="110"/>
      <c r="AC639" s="141"/>
      <c r="AD639" s="141"/>
      <c r="AE639" s="110"/>
      <c r="AF639" s="110"/>
      <c r="AH639" s="207"/>
      <c r="AI639" s="110"/>
      <c r="AJ639" s="110"/>
      <c r="AL639" s="110"/>
      <c r="AM639" s="141"/>
      <c r="AN639" s="141"/>
    </row>
    <row r="640" spans="1:40" x14ac:dyDescent="0.3">
      <c r="C640" s="99"/>
      <c r="J640" s="163"/>
      <c r="K640" s="163"/>
      <c r="T640" s="99"/>
      <c r="V640" s="110"/>
      <c r="W640" s="110"/>
      <c r="X640" s="110"/>
      <c r="Y640" s="110"/>
      <c r="Z640" s="228"/>
    </row>
    <row r="641" spans="3:40" x14ac:dyDescent="0.3">
      <c r="C641" s="99"/>
      <c r="F641" s="172"/>
      <c r="H641" s="172"/>
      <c r="I641" s="172"/>
      <c r="J641" s="228"/>
      <c r="K641" s="228"/>
      <c r="L641" s="110"/>
      <c r="M641" s="110"/>
      <c r="N641" s="141"/>
      <c r="O641" s="141"/>
      <c r="P641" s="110"/>
      <c r="Q641" s="110"/>
      <c r="R641" s="110"/>
      <c r="T641" s="99"/>
      <c r="V641" s="110"/>
      <c r="W641" s="110"/>
      <c r="X641" s="110"/>
      <c r="Y641" s="110"/>
      <c r="Z641" s="228"/>
      <c r="AA641" s="110"/>
      <c r="AB641" s="110"/>
      <c r="AC641" s="141"/>
      <c r="AD641" s="141"/>
      <c r="AE641" s="110"/>
      <c r="AF641" s="110"/>
      <c r="AH641" s="207"/>
      <c r="AI641" s="110"/>
      <c r="AJ641" s="110"/>
      <c r="AL641" s="110"/>
      <c r="AM641" s="141"/>
      <c r="AN641" s="141"/>
    </row>
    <row r="642" spans="3:40" x14ac:dyDescent="0.3">
      <c r="C642" s="99"/>
      <c r="J642" s="163"/>
      <c r="K642" s="163"/>
      <c r="T642" s="99"/>
      <c r="V642" s="110"/>
      <c r="W642" s="110"/>
      <c r="X642" s="110"/>
      <c r="Y642" s="110"/>
      <c r="Z642" s="228"/>
    </row>
    <row r="643" spans="3:40" x14ac:dyDescent="0.3">
      <c r="C643" s="99"/>
      <c r="F643" s="172"/>
      <c r="H643" s="172"/>
      <c r="I643" s="172"/>
      <c r="J643" s="228"/>
      <c r="K643" s="228"/>
      <c r="L643" s="110"/>
      <c r="M643" s="110"/>
      <c r="N643" s="141"/>
      <c r="O643" s="141"/>
      <c r="P643" s="110"/>
      <c r="Q643" s="110"/>
      <c r="R643" s="110"/>
      <c r="T643" s="99"/>
      <c r="V643" s="110"/>
      <c r="W643" s="110"/>
      <c r="X643" s="110"/>
      <c r="Y643" s="110"/>
      <c r="Z643" s="228"/>
      <c r="AA643" s="110"/>
      <c r="AB643" s="110"/>
      <c r="AC643" s="141"/>
      <c r="AD643" s="141"/>
      <c r="AE643" s="110"/>
      <c r="AF643" s="110"/>
      <c r="AH643" s="207"/>
      <c r="AI643" s="110"/>
      <c r="AJ643" s="110"/>
      <c r="AL643" s="110"/>
      <c r="AM643" s="141"/>
      <c r="AN643" s="141"/>
    </row>
    <row r="644" spans="3:40" x14ac:dyDescent="0.3">
      <c r="C644" s="99"/>
      <c r="J644" s="163"/>
      <c r="K644" s="163"/>
      <c r="T644" s="99"/>
      <c r="V644" s="110"/>
      <c r="W644" s="110"/>
      <c r="X644" s="110"/>
      <c r="Y644" s="110"/>
      <c r="Z644" s="228"/>
    </row>
    <row r="645" spans="3:40" x14ac:dyDescent="0.3">
      <c r="C645" s="99"/>
      <c r="F645" s="172"/>
      <c r="H645" s="172"/>
      <c r="I645" s="172"/>
      <c r="J645" s="228"/>
      <c r="K645" s="228"/>
      <c r="L645" s="110"/>
      <c r="M645" s="110"/>
      <c r="N645" s="141"/>
      <c r="O645" s="141"/>
      <c r="P645" s="110"/>
      <c r="Q645" s="110"/>
      <c r="R645" s="110"/>
      <c r="T645" s="99"/>
      <c r="V645" s="110"/>
      <c r="W645" s="110"/>
      <c r="X645" s="110"/>
      <c r="Y645" s="110"/>
      <c r="Z645" s="228"/>
      <c r="AA645" s="110"/>
      <c r="AB645" s="110"/>
      <c r="AC645" s="141"/>
      <c r="AD645" s="141"/>
      <c r="AE645" s="110"/>
      <c r="AF645" s="110"/>
      <c r="AH645" s="207"/>
      <c r="AI645" s="110"/>
      <c r="AJ645" s="110"/>
      <c r="AL645" s="110"/>
      <c r="AM645" s="141"/>
      <c r="AN645" s="141"/>
    </row>
    <row r="646" spans="3:40" x14ac:dyDescent="0.3">
      <c r="C646" s="99"/>
      <c r="J646" s="163"/>
      <c r="K646" s="163"/>
      <c r="T646" s="99"/>
      <c r="V646" s="110"/>
      <c r="W646" s="110"/>
      <c r="X646" s="110"/>
      <c r="Y646" s="110"/>
      <c r="Z646" s="228"/>
    </row>
    <row r="647" spans="3:40" x14ac:dyDescent="0.3">
      <c r="C647" s="99"/>
      <c r="F647" s="172"/>
      <c r="H647" s="172"/>
      <c r="I647" s="172"/>
      <c r="J647" s="228"/>
      <c r="K647" s="228"/>
      <c r="L647" s="110"/>
      <c r="M647" s="110"/>
      <c r="N647" s="141"/>
      <c r="O647" s="141"/>
      <c r="P647" s="110"/>
      <c r="Q647" s="110"/>
      <c r="R647" s="110"/>
      <c r="T647" s="99"/>
      <c r="V647" s="110"/>
      <c r="W647" s="110"/>
      <c r="X647" s="110"/>
      <c r="Y647" s="110"/>
      <c r="Z647" s="228"/>
      <c r="AA647" s="110"/>
      <c r="AB647" s="110"/>
      <c r="AC647" s="141"/>
      <c r="AD647" s="141"/>
      <c r="AE647" s="110"/>
      <c r="AF647" s="110"/>
      <c r="AH647" s="207"/>
      <c r="AI647" s="110"/>
      <c r="AJ647" s="110"/>
      <c r="AL647" s="110"/>
      <c r="AM647" s="141"/>
      <c r="AN647" s="141"/>
    </row>
    <row r="648" spans="3:40" x14ac:dyDescent="0.3">
      <c r="F648" s="192"/>
      <c r="H648" s="192"/>
      <c r="I648" s="192"/>
      <c r="J648" s="228"/>
      <c r="K648" s="228"/>
      <c r="L648" s="192"/>
      <c r="M648" s="192"/>
      <c r="N648" s="192"/>
      <c r="O648" s="192"/>
      <c r="P648" s="192"/>
      <c r="Q648" s="192"/>
      <c r="R648" s="192"/>
      <c r="V648" s="192"/>
      <c r="Y648" s="192"/>
      <c r="Z648" s="228"/>
      <c r="AA648" s="192"/>
      <c r="AB648" s="192"/>
      <c r="AC648" s="192"/>
      <c r="AD648" s="192"/>
      <c r="AE648" s="192"/>
      <c r="AF648" s="192"/>
      <c r="AI648" s="192"/>
      <c r="AJ648" s="192"/>
      <c r="AK648" s="194"/>
      <c r="AL648" s="192"/>
      <c r="AM648" s="141"/>
      <c r="AN648" s="141"/>
    </row>
    <row r="649" spans="3:40" x14ac:dyDescent="0.3">
      <c r="C649" s="99"/>
      <c r="F649" s="110"/>
      <c r="H649" s="110"/>
      <c r="I649" s="110"/>
      <c r="J649" s="163"/>
      <c r="K649" s="163"/>
      <c r="L649" s="110"/>
      <c r="M649" s="110"/>
      <c r="N649" s="141"/>
      <c r="O649" s="141"/>
      <c r="P649" s="172"/>
      <c r="Q649" s="172"/>
      <c r="R649" s="110"/>
      <c r="T649" s="99"/>
      <c r="V649" s="110"/>
      <c r="W649" s="110"/>
      <c r="X649" s="110"/>
      <c r="Y649" s="110"/>
      <c r="Z649" s="228"/>
      <c r="AA649" s="110"/>
      <c r="AB649" s="110"/>
      <c r="AC649" s="141"/>
      <c r="AD649" s="141"/>
      <c r="AE649" s="110"/>
      <c r="AF649" s="110"/>
      <c r="AH649" s="207"/>
      <c r="AI649" s="172"/>
      <c r="AJ649" s="172"/>
      <c r="AL649" s="110"/>
      <c r="AM649" s="141"/>
      <c r="AN649" s="141"/>
    </row>
    <row r="650" spans="3:40" x14ac:dyDescent="0.3">
      <c r="F650" s="192"/>
      <c r="H650" s="192"/>
      <c r="I650" s="192"/>
      <c r="J650" s="228"/>
      <c r="K650" s="228"/>
      <c r="L650" s="192"/>
      <c r="M650" s="192"/>
      <c r="N650" s="192"/>
      <c r="O650" s="192"/>
      <c r="P650" s="192"/>
      <c r="Q650" s="192"/>
      <c r="R650" s="192"/>
      <c r="V650" s="192"/>
      <c r="Y650" s="192"/>
      <c r="Z650" s="228"/>
      <c r="AA650" s="192"/>
      <c r="AB650" s="192"/>
      <c r="AC650" s="192"/>
      <c r="AD650" s="192"/>
      <c r="AE650" s="192"/>
      <c r="AF650" s="192"/>
      <c r="AI650" s="192"/>
      <c r="AJ650" s="192"/>
      <c r="AK650" s="194"/>
      <c r="AL650" s="192"/>
    </row>
    <row r="651" spans="3:40" x14ac:dyDescent="0.3">
      <c r="C651" s="99"/>
      <c r="D651" s="99"/>
      <c r="E651" s="99"/>
      <c r="J651" s="163"/>
      <c r="K651" s="163"/>
      <c r="T651" s="99"/>
      <c r="U651" s="99"/>
      <c r="V651" s="110"/>
      <c r="W651" s="110"/>
      <c r="X651" s="110"/>
      <c r="Y651" s="110"/>
      <c r="Z651" s="228"/>
    </row>
    <row r="652" spans="3:40" x14ac:dyDescent="0.3">
      <c r="C652" s="99"/>
      <c r="J652" s="163"/>
      <c r="K652" s="163"/>
      <c r="T652" s="99"/>
      <c r="V652" s="110"/>
      <c r="W652" s="110"/>
      <c r="X652" s="110"/>
      <c r="Y652" s="110"/>
      <c r="Z652" s="228"/>
    </row>
    <row r="653" spans="3:40" x14ac:dyDescent="0.3">
      <c r="C653" s="99"/>
      <c r="J653" s="163"/>
      <c r="K653" s="163"/>
      <c r="T653" s="99"/>
      <c r="V653" s="110"/>
      <c r="W653" s="110"/>
      <c r="X653" s="110"/>
      <c r="Y653" s="110"/>
      <c r="Z653" s="228"/>
    </row>
    <row r="654" spans="3:40" x14ac:dyDescent="0.3">
      <c r="C654" s="99"/>
      <c r="F654" s="172"/>
      <c r="H654" s="172"/>
      <c r="I654" s="172"/>
      <c r="J654" s="228"/>
      <c r="K654" s="228"/>
      <c r="L654" s="110"/>
      <c r="M654" s="110"/>
      <c r="N654" s="141"/>
      <c r="O654" s="141"/>
      <c r="P654" s="110"/>
      <c r="Q654" s="110"/>
      <c r="R654" s="110"/>
      <c r="T654" s="99"/>
      <c r="V654" s="110"/>
      <c r="W654" s="110"/>
      <c r="X654" s="110"/>
      <c r="Y654" s="110"/>
      <c r="Z654" s="228"/>
      <c r="AA654" s="110"/>
      <c r="AB654" s="110"/>
      <c r="AC654" s="141"/>
      <c r="AD654" s="141"/>
      <c r="AE654" s="110"/>
      <c r="AF654" s="110"/>
      <c r="AH654" s="207"/>
      <c r="AI654" s="110"/>
      <c r="AJ654" s="110"/>
      <c r="AL654" s="110"/>
      <c r="AM654" s="141"/>
      <c r="AN654" s="141"/>
    </row>
    <row r="655" spans="3:40" x14ac:dyDescent="0.3">
      <c r="C655" s="99"/>
      <c r="J655" s="163"/>
      <c r="K655" s="163"/>
      <c r="T655" s="99"/>
      <c r="V655" s="110"/>
      <c r="W655" s="110"/>
      <c r="X655" s="110"/>
      <c r="Y655" s="110"/>
      <c r="Z655" s="228"/>
    </row>
    <row r="656" spans="3:40" x14ac:dyDescent="0.3">
      <c r="C656" s="99"/>
      <c r="F656" s="172"/>
      <c r="H656" s="172"/>
      <c r="I656" s="172"/>
      <c r="J656" s="228"/>
      <c r="K656" s="228"/>
      <c r="L656" s="110"/>
      <c r="M656" s="110"/>
      <c r="N656" s="141"/>
      <c r="O656" s="141"/>
      <c r="P656" s="110"/>
      <c r="Q656" s="110"/>
      <c r="R656" s="110"/>
      <c r="T656" s="99"/>
      <c r="V656" s="110"/>
      <c r="W656" s="110"/>
      <c r="X656" s="110"/>
      <c r="Y656" s="110"/>
      <c r="Z656" s="228"/>
      <c r="AA656" s="110"/>
      <c r="AB656" s="110"/>
      <c r="AC656" s="141"/>
      <c r="AD656" s="141"/>
      <c r="AE656" s="110"/>
      <c r="AF656" s="110"/>
      <c r="AH656" s="207"/>
      <c r="AI656" s="110"/>
      <c r="AJ656" s="110"/>
      <c r="AL656" s="110"/>
      <c r="AM656" s="141"/>
      <c r="AN656" s="141"/>
    </row>
    <row r="657" spans="3:40" x14ac:dyDescent="0.3">
      <c r="F657" s="192"/>
      <c r="H657" s="192"/>
      <c r="I657" s="192"/>
      <c r="J657" s="228"/>
      <c r="K657" s="228"/>
      <c r="L657" s="192"/>
      <c r="M657" s="192"/>
      <c r="N657" s="192"/>
      <c r="O657" s="192"/>
      <c r="P657" s="192"/>
      <c r="Q657" s="192"/>
      <c r="R657" s="192"/>
      <c r="V657" s="192"/>
      <c r="Y657" s="192"/>
      <c r="Z657" s="217"/>
      <c r="AA657" s="192"/>
      <c r="AB657" s="192"/>
      <c r="AC657" s="192"/>
      <c r="AD657" s="192"/>
      <c r="AE657" s="192"/>
      <c r="AF657" s="192"/>
      <c r="AI657" s="192"/>
      <c r="AJ657" s="192"/>
      <c r="AK657" s="194"/>
      <c r="AL657" s="192"/>
    </row>
    <row r="658" spans="3:40" x14ac:dyDescent="0.3">
      <c r="C658" s="99"/>
      <c r="F658" s="110"/>
      <c r="H658" s="110"/>
      <c r="I658" s="110"/>
      <c r="L658" s="110"/>
      <c r="M658" s="110"/>
      <c r="N658" s="141"/>
      <c r="O658" s="141"/>
      <c r="P658" s="172"/>
      <c r="Q658" s="172"/>
      <c r="R658" s="110"/>
      <c r="T658" s="99"/>
      <c r="V658" s="110"/>
      <c r="W658" s="110"/>
      <c r="X658" s="110"/>
      <c r="Y658" s="110"/>
      <c r="Z658" s="227"/>
      <c r="AA658" s="110"/>
      <c r="AB658" s="110"/>
      <c r="AC658" s="141"/>
      <c r="AD658" s="141"/>
      <c r="AE658" s="110"/>
      <c r="AF658" s="110"/>
      <c r="AH658" s="207"/>
      <c r="AI658" s="172"/>
      <c r="AJ658" s="172"/>
      <c r="AL658" s="110"/>
      <c r="AM658" s="141"/>
      <c r="AN658" s="141"/>
    </row>
    <row r="659" spans="3:40" x14ac:dyDescent="0.3">
      <c r="F659" s="192"/>
      <c r="H659" s="192"/>
      <c r="I659" s="192"/>
      <c r="J659" s="217"/>
      <c r="K659" s="217"/>
      <c r="L659" s="192"/>
      <c r="M659" s="192"/>
      <c r="N659" s="192"/>
      <c r="O659" s="192"/>
      <c r="P659" s="192"/>
      <c r="Q659" s="192"/>
      <c r="R659" s="192"/>
      <c r="V659" s="192"/>
      <c r="Y659" s="192"/>
      <c r="Z659" s="217"/>
      <c r="AA659" s="192"/>
      <c r="AB659" s="192"/>
      <c r="AC659" s="192"/>
      <c r="AD659" s="192"/>
      <c r="AE659" s="192"/>
      <c r="AF659" s="192"/>
      <c r="AI659" s="192"/>
      <c r="AJ659" s="192"/>
      <c r="AK659" s="194"/>
      <c r="AL659" s="192"/>
    </row>
    <row r="660" spans="3:40" x14ac:dyDescent="0.3">
      <c r="C660" s="99"/>
      <c r="D660" s="99"/>
      <c r="E660" s="99"/>
      <c r="T660" s="99"/>
      <c r="U660" s="99"/>
      <c r="V660" s="110"/>
      <c r="W660" s="110"/>
      <c r="X660" s="110"/>
      <c r="Y660" s="110"/>
      <c r="Z660" s="227"/>
    </row>
    <row r="661" spans="3:40" x14ac:dyDescent="0.3">
      <c r="C661" s="99"/>
      <c r="T661" s="99"/>
      <c r="V661" s="110"/>
      <c r="W661" s="110"/>
      <c r="X661" s="110"/>
      <c r="Y661" s="110"/>
      <c r="Z661" s="227"/>
    </row>
    <row r="662" spans="3:40" x14ac:dyDescent="0.3">
      <c r="C662" s="99"/>
      <c r="F662" s="172"/>
      <c r="H662" s="172"/>
      <c r="I662" s="172"/>
      <c r="J662" s="227"/>
      <c r="K662" s="227"/>
      <c r="L662" s="110"/>
      <c r="M662" s="110"/>
      <c r="N662" s="141"/>
      <c r="O662" s="141"/>
      <c r="P662" s="110"/>
      <c r="Q662" s="110"/>
      <c r="R662" s="110"/>
      <c r="T662" s="99"/>
      <c r="V662" s="110"/>
      <c r="W662" s="110"/>
      <c r="X662" s="110"/>
      <c r="Y662" s="110"/>
      <c r="Z662" s="227"/>
      <c r="AA662" s="110"/>
      <c r="AB662" s="110"/>
      <c r="AC662" s="141"/>
      <c r="AD662" s="141"/>
      <c r="AE662" s="110"/>
      <c r="AF662" s="110"/>
      <c r="AH662" s="207"/>
      <c r="AI662" s="110"/>
      <c r="AJ662" s="110"/>
      <c r="AL662" s="110"/>
      <c r="AM662" s="141"/>
      <c r="AN662" s="141"/>
    </row>
    <row r="663" spans="3:40" x14ac:dyDescent="0.3">
      <c r="C663" s="99"/>
      <c r="T663" s="99"/>
      <c r="V663" s="110"/>
      <c r="W663" s="110"/>
      <c r="X663" s="110"/>
      <c r="Y663" s="110"/>
      <c r="Z663" s="227"/>
    </row>
    <row r="664" spans="3:40" x14ac:dyDescent="0.3">
      <c r="C664" s="99"/>
      <c r="F664" s="172"/>
      <c r="H664" s="172"/>
      <c r="I664" s="172"/>
      <c r="J664" s="227"/>
      <c r="K664" s="227"/>
      <c r="L664" s="110"/>
      <c r="M664" s="110"/>
      <c r="N664" s="141"/>
      <c r="O664" s="141"/>
      <c r="P664" s="110"/>
      <c r="Q664" s="110"/>
      <c r="R664" s="110"/>
      <c r="T664" s="99"/>
      <c r="V664" s="110"/>
      <c r="W664" s="110"/>
      <c r="X664" s="110"/>
      <c r="Y664" s="110"/>
      <c r="Z664" s="227"/>
      <c r="AA664" s="110"/>
      <c r="AB664" s="110"/>
      <c r="AC664" s="141"/>
      <c r="AD664" s="141"/>
      <c r="AE664" s="110"/>
      <c r="AF664" s="110"/>
      <c r="AH664" s="207"/>
      <c r="AI664" s="110"/>
      <c r="AJ664" s="110"/>
      <c r="AL664" s="110"/>
      <c r="AM664" s="141"/>
      <c r="AN664" s="141"/>
    </row>
    <row r="665" spans="3:40" x14ac:dyDescent="0.3">
      <c r="C665" s="99"/>
      <c r="T665" s="99"/>
      <c r="V665" s="110"/>
      <c r="W665" s="110"/>
      <c r="X665" s="110"/>
      <c r="Y665" s="110"/>
      <c r="Z665" s="227"/>
    </row>
    <row r="666" spans="3:40" x14ac:dyDescent="0.3">
      <c r="C666" s="99"/>
      <c r="F666" s="172"/>
      <c r="H666" s="172"/>
      <c r="I666" s="172"/>
      <c r="J666" s="227"/>
      <c r="K666" s="227"/>
      <c r="L666" s="110"/>
      <c r="M666" s="110"/>
      <c r="N666" s="141"/>
      <c r="O666" s="141"/>
      <c r="P666" s="110"/>
      <c r="Q666" s="110"/>
      <c r="R666" s="110"/>
      <c r="T666" s="99"/>
      <c r="V666" s="110"/>
      <c r="W666" s="110"/>
      <c r="X666" s="110"/>
      <c r="Y666" s="110"/>
      <c r="Z666" s="227"/>
      <c r="AA666" s="110"/>
      <c r="AB666" s="110"/>
      <c r="AC666" s="141"/>
      <c r="AD666" s="141"/>
      <c r="AE666" s="110"/>
      <c r="AF666" s="110"/>
      <c r="AH666" s="207"/>
      <c r="AI666" s="110"/>
      <c r="AJ666" s="110"/>
      <c r="AL666" s="110"/>
      <c r="AM666" s="141"/>
      <c r="AN666" s="141"/>
    </row>
    <row r="667" spans="3:40" x14ac:dyDescent="0.3">
      <c r="C667" s="99"/>
      <c r="T667" s="99"/>
      <c r="V667" s="110"/>
      <c r="W667" s="110"/>
      <c r="X667" s="110"/>
      <c r="Y667" s="110"/>
      <c r="Z667" s="227"/>
    </row>
    <row r="668" spans="3:40" x14ac:dyDescent="0.3">
      <c r="C668" s="99"/>
      <c r="F668" s="172"/>
      <c r="H668" s="172"/>
      <c r="I668" s="172"/>
      <c r="J668" s="227"/>
      <c r="K668" s="227"/>
      <c r="L668" s="110"/>
      <c r="M668" s="110"/>
      <c r="N668" s="141"/>
      <c r="O668" s="141"/>
      <c r="P668" s="110"/>
      <c r="Q668" s="110"/>
      <c r="R668" s="110"/>
      <c r="T668" s="99"/>
      <c r="V668" s="110"/>
      <c r="W668" s="110"/>
      <c r="X668" s="110"/>
      <c r="Y668" s="110"/>
      <c r="Z668" s="227"/>
      <c r="AA668" s="110"/>
      <c r="AB668" s="110"/>
      <c r="AC668" s="141"/>
      <c r="AD668" s="141"/>
      <c r="AE668" s="110"/>
      <c r="AF668" s="110"/>
      <c r="AH668" s="207"/>
      <c r="AI668" s="110"/>
      <c r="AJ668" s="110"/>
      <c r="AL668" s="110"/>
      <c r="AM668" s="141"/>
      <c r="AN668" s="141"/>
    </row>
    <row r="669" spans="3:40" x14ac:dyDescent="0.3">
      <c r="F669" s="192"/>
      <c r="H669" s="192"/>
      <c r="I669" s="192"/>
      <c r="J669" s="217"/>
      <c r="K669" s="217"/>
      <c r="L669" s="192"/>
      <c r="M669" s="192"/>
      <c r="N669" s="192"/>
      <c r="O669" s="192"/>
      <c r="P669" s="192"/>
      <c r="Q669" s="192"/>
      <c r="R669" s="192"/>
      <c r="V669" s="192"/>
      <c r="Y669" s="192"/>
      <c r="Z669" s="217"/>
      <c r="AA669" s="192"/>
      <c r="AB669" s="192"/>
      <c r="AC669" s="192"/>
      <c r="AD669" s="192"/>
      <c r="AE669" s="192"/>
      <c r="AF669" s="192"/>
      <c r="AI669" s="192"/>
      <c r="AJ669" s="192"/>
      <c r="AK669" s="194"/>
      <c r="AL669" s="192"/>
    </row>
    <row r="670" spans="3:40" x14ac:dyDescent="0.3">
      <c r="C670" s="99"/>
      <c r="F670" s="110"/>
      <c r="H670" s="110"/>
      <c r="I670" s="110"/>
      <c r="L670" s="110"/>
      <c r="M670" s="110"/>
      <c r="N670" s="141"/>
      <c r="O670" s="141"/>
      <c r="P670" s="172"/>
      <c r="Q670" s="172"/>
      <c r="R670" s="110"/>
      <c r="T670" s="99"/>
      <c r="V670" s="110"/>
      <c r="W670" s="110"/>
      <c r="X670" s="110"/>
      <c r="Y670" s="110"/>
      <c r="Z670" s="227"/>
      <c r="AA670" s="110"/>
      <c r="AB670" s="110"/>
      <c r="AC670" s="141"/>
      <c r="AD670" s="141"/>
      <c r="AE670" s="110"/>
      <c r="AF670" s="110"/>
      <c r="AH670" s="207"/>
      <c r="AI670" s="172"/>
      <c r="AJ670" s="172"/>
      <c r="AL670" s="110"/>
      <c r="AM670" s="141"/>
      <c r="AN670" s="141"/>
    </row>
    <row r="671" spans="3:40" x14ac:dyDescent="0.3">
      <c r="F671" s="192"/>
      <c r="H671" s="192"/>
      <c r="I671" s="192"/>
      <c r="J671" s="217"/>
      <c r="K671" s="217"/>
      <c r="L671" s="192"/>
      <c r="M671" s="192"/>
      <c r="N671" s="192"/>
      <c r="O671" s="192"/>
      <c r="P671" s="192"/>
      <c r="Q671" s="192"/>
      <c r="R671" s="192"/>
      <c r="V671" s="192"/>
      <c r="Y671" s="192"/>
      <c r="Z671" s="217"/>
      <c r="AA671" s="192"/>
      <c r="AB671" s="192"/>
      <c r="AC671" s="192"/>
      <c r="AD671" s="192"/>
      <c r="AE671" s="192"/>
      <c r="AF671" s="192"/>
      <c r="AI671" s="192"/>
      <c r="AJ671" s="192"/>
      <c r="AK671" s="194"/>
      <c r="AL671" s="192"/>
    </row>
    <row r="672" spans="3:40" x14ac:dyDescent="0.3">
      <c r="C672" s="99"/>
      <c r="F672" s="110"/>
      <c r="H672" s="110"/>
      <c r="I672" s="110"/>
      <c r="L672" s="110"/>
      <c r="M672" s="110"/>
      <c r="N672" s="141"/>
      <c r="O672" s="141"/>
      <c r="P672" s="110"/>
      <c r="Q672" s="110"/>
      <c r="R672" s="110"/>
      <c r="T672" s="99"/>
      <c r="V672" s="110"/>
      <c r="W672" s="110"/>
      <c r="X672" s="110"/>
      <c r="Y672" s="110"/>
      <c r="AA672" s="110"/>
      <c r="AB672" s="110"/>
      <c r="AC672" s="141"/>
      <c r="AD672" s="141"/>
      <c r="AE672" s="110"/>
      <c r="AF672" s="110"/>
      <c r="AH672" s="207"/>
      <c r="AI672" s="110"/>
      <c r="AJ672" s="110"/>
      <c r="AL672" s="110"/>
      <c r="AM672" s="207"/>
      <c r="AN672" s="207"/>
    </row>
    <row r="673" spans="1:40" x14ac:dyDescent="0.3">
      <c r="F673" s="192"/>
      <c r="H673" s="192"/>
      <c r="I673" s="192"/>
      <c r="J673" s="217"/>
      <c r="K673" s="217"/>
      <c r="L673" s="192"/>
      <c r="M673" s="192"/>
      <c r="N673" s="192"/>
      <c r="O673" s="192"/>
      <c r="P673" s="192"/>
      <c r="Q673" s="192"/>
      <c r="R673" s="192"/>
      <c r="V673" s="192"/>
      <c r="Y673" s="192"/>
      <c r="Z673" s="217"/>
      <c r="AA673" s="192"/>
      <c r="AB673" s="192"/>
      <c r="AC673" s="192"/>
      <c r="AD673" s="192"/>
      <c r="AE673" s="192"/>
      <c r="AF673" s="192"/>
      <c r="AI673" s="192"/>
      <c r="AJ673" s="192"/>
      <c r="AK673" s="194"/>
      <c r="AL673" s="192"/>
    </row>
    <row r="676" spans="1:40" x14ac:dyDescent="0.3">
      <c r="A676" s="99"/>
    </row>
    <row r="678" spans="1:40" x14ac:dyDescent="0.3">
      <c r="H678" s="99"/>
      <c r="I678" s="99"/>
      <c r="Y678" s="99"/>
    </row>
    <row r="680" spans="1:40" x14ac:dyDescent="0.3">
      <c r="L680" s="99"/>
      <c r="M680" s="99"/>
      <c r="AA680" s="99"/>
      <c r="AB680" s="99"/>
    </row>
    <row r="681" spans="1:40" x14ac:dyDescent="0.3">
      <c r="R681" s="99"/>
      <c r="AK681" s="190"/>
      <c r="AL681" s="99"/>
    </row>
    <row r="682" spans="1:40" x14ac:dyDescent="0.3">
      <c r="R682" s="99"/>
      <c r="AK682" s="190"/>
      <c r="AL682" s="99"/>
    </row>
    <row r="683" spans="1:40" x14ac:dyDescent="0.3">
      <c r="A683" s="99"/>
      <c r="R683" s="99"/>
      <c r="AK683" s="190"/>
      <c r="AL683" s="99"/>
    </row>
    <row r="684" spans="1:40" x14ac:dyDescent="0.3">
      <c r="L684" s="99"/>
      <c r="M684" s="99"/>
      <c r="AA684" s="99"/>
      <c r="AB684" s="99"/>
    </row>
    <row r="685" spans="1:40" x14ac:dyDescent="0.3">
      <c r="A685" s="101"/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T685" s="101"/>
      <c r="U685" s="101"/>
      <c r="V685" s="101"/>
      <c r="W685" s="101"/>
      <c r="X685" s="101"/>
      <c r="Y685" s="101"/>
      <c r="Z685" s="101"/>
      <c r="AA685" s="101"/>
      <c r="AB685" s="101"/>
      <c r="AC685" s="101"/>
      <c r="AD685" s="101"/>
      <c r="AE685" s="101"/>
      <c r="AF685" s="101"/>
      <c r="AG685" s="191"/>
      <c r="AH685" s="101"/>
      <c r="AI685" s="101"/>
      <c r="AJ685" s="101"/>
      <c r="AK685" s="191"/>
      <c r="AL685" s="101"/>
      <c r="AM685" s="101"/>
      <c r="AN685" s="101"/>
    </row>
    <row r="686" spans="1:40" x14ac:dyDescent="0.3">
      <c r="L686" s="102"/>
      <c r="M686" s="102"/>
      <c r="N686" s="102"/>
      <c r="O686" s="102"/>
      <c r="R686" s="102"/>
      <c r="AA686" s="102"/>
      <c r="AB686" s="102"/>
      <c r="AC686" s="102"/>
      <c r="AD686" s="102"/>
      <c r="AE686" s="102"/>
      <c r="AF686" s="102"/>
      <c r="AG686" s="151"/>
      <c r="AH686" s="102"/>
      <c r="AK686" s="151"/>
      <c r="AL686" s="102"/>
      <c r="AM686" s="102"/>
      <c r="AN686" s="102"/>
    </row>
    <row r="687" spans="1:40" x14ac:dyDescent="0.3">
      <c r="L687" s="102"/>
      <c r="M687" s="102"/>
      <c r="N687" s="102"/>
      <c r="O687" s="102"/>
      <c r="R687" s="102"/>
      <c r="Z687" s="102"/>
      <c r="AA687" s="102"/>
      <c r="AB687" s="102"/>
      <c r="AC687" s="102"/>
      <c r="AD687" s="102"/>
      <c r="AE687" s="102"/>
      <c r="AF687" s="102"/>
      <c r="AG687" s="151"/>
      <c r="AH687" s="102"/>
      <c r="AK687" s="151"/>
      <c r="AL687" s="102"/>
      <c r="AM687" s="102"/>
      <c r="AN687" s="102"/>
    </row>
    <row r="688" spans="1:40" x14ac:dyDescent="0.3">
      <c r="A688" s="102"/>
      <c r="C688" s="102"/>
      <c r="D688" s="102"/>
      <c r="E688" s="102"/>
      <c r="F688" s="102"/>
      <c r="J688" s="102"/>
      <c r="K688" s="102"/>
      <c r="L688" s="102"/>
      <c r="M688" s="102"/>
      <c r="N688" s="102"/>
      <c r="O688" s="102"/>
      <c r="P688" s="102"/>
      <c r="Q688" s="102"/>
      <c r="R688" s="102"/>
      <c r="T688" s="102"/>
      <c r="U688" s="102"/>
      <c r="V688" s="102"/>
      <c r="Z688" s="102"/>
      <c r="AA688" s="102"/>
      <c r="AB688" s="102"/>
      <c r="AC688" s="102"/>
      <c r="AD688" s="102"/>
      <c r="AE688" s="102"/>
      <c r="AF688" s="102"/>
      <c r="AG688" s="151"/>
      <c r="AH688" s="102"/>
      <c r="AI688" s="102"/>
      <c r="AJ688" s="102"/>
      <c r="AK688" s="151"/>
      <c r="AL688" s="102"/>
      <c r="AM688" s="102"/>
      <c r="AN688" s="102"/>
    </row>
    <row r="689" spans="1:40" x14ac:dyDescent="0.3">
      <c r="A689" s="102"/>
      <c r="C689" s="102"/>
      <c r="D689" s="102"/>
      <c r="E689" s="102"/>
      <c r="F689" s="102"/>
      <c r="H689" s="102"/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T689" s="102"/>
      <c r="U689" s="102"/>
      <c r="V689" s="102"/>
      <c r="Y689" s="102"/>
      <c r="Z689" s="102"/>
      <c r="AA689" s="102"/>
      <c r="AB689" s="102"/>
      <c r="AC689" s="102"/>
      <c r="AD689" s="102"/>
      <c r="AE689" s="102"/>
      <c r="AF689" s="102"/>
      <c r="AG689" s="151"/>
      <c r="AH689" s="102"/>
      <c r="AI689" s="102"/>
      <c r="AJ689" s="102"/>
      <c r="AK689" s="151"/>
      <c r="AL689" s="102"/>
      <c r="AM689" s="102"/>
      <c r="AN689" s="102"/>
    </row>
    <row r="690" spans="1:40" x14ac:dyDescent="0.3">
      <c r="C690" s="102"/>
      <c r="D690" s="102"/>
      <c r="E690" s="102"/>
      <c r="F690" s="102"/>
      <c r="H690" s="102"/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T690" s="102"/>
      <c r="U690" s="102"/>
      <c r="V690" s="102"/>
      <c r="Y690" s="102"/>
      <c r="Z690" s="102"/>
      <c r="AA690" s="102"/>
      <c r="AB690" s="102"/>
      <c r="AC690" s="102"/>
      <c r="AD690" s="102"/>
      <c r="AE690" s="102"/>
      <c r="AF690" s="102"/>
      <c r="AG690" s="151"/>
      <c r="AH690" s="102"/>
      <c r="AI690" s="102"/>
      <c r="AJ690" s="102"/>
      <c r="AK690" s="151"/>
      <c r="AL690" s="102"/>
      <c r="AM690" s="102"/>
      <c r="AN690" s="102"/>
    </row>
    <row r="691" spans="1:40" x14ac:dyDescent="0.3">
      <c r="A691" s="101"/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T691" s="101"/>
      <c r="U691" s="101"/>
      <c r="V691" s="101"/>
      <c r="W691" s="101"/>
      <c r="X691" s="101"/>
      <c r="Y691" s="101"/>
      <c r="Z691" s="101"/>
      <c r="AA691" s="101"/>
      <c r="AB691" s="101"/>
      <c r="AC691" s="101"/>
      <c r="AD691" s="101"/>
      <c r="AE691" s="101"/>
      <c r="AF691" s="101"/>
      <c r="AG691" s="191"/>
      <c r="AH691" s="101"/>
      <c r="AI691" s="101"/>
      <c r="AJ691" s="101"/>
      <c r="AK691" s="191"/>
      <c r="AL691" s="101"/>
      <c r="AM691" s="101"/>
      <c r="AN691" s="101"/>
    </row>
    <row r="692" spans="1:40" x14ac:dyDescent="0.3">
      <c r="H692" s="102"/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Y692" s="102"/>
      <c r="Z692" s="102"/>
      <c r="AA692" s="102"/>
      <c r="AB692" s="102"/>
      <c r="AC692" s="102"/>
      <c r="AD692" s="102"/>
      <c r="AE692" s="102"/>
      <c r="AF692" s="102"/>
      <c r="AG692" s="151"/>
      <c r="AH692" s="102"/>
      <c r="AI692" s="102"/>
      <c r="AJ692" s="102"/>
      <c r="AK692" s="151"/>
      <c r="AL692" s="102"/>
      <c r="AM692" s="102"/>
      <c r="AN692" s="102"/>
    </row>
    <row r="693" spans="1:40" x14ac:dyDescent="0.3">
      <c r="C693" s="99"/>
      <c r="D693" s="99"/>
      <c r="E693" s="99"/>
      <c r="F693" s="110"/>
      <c r="H693" s="110"/>
      <c r="I693" s="110"/>
      <c r="J693" s="198"/>
      <c r="K693" s="198"/>
      <c r="L693" s="110"/>
      <c r="M693" s="110"/>
      <c r="N693" s="198"/>
      <c r="O693" s="198"/>
      <c r="P693" s="110"/>
      <c r="Q693" s="110"/>
      <c r="R693" s="110"/>
      <c r="T693" s="99"/>
      <c r="U693" s="99"/>
      <c r="V693" s="110"/>
      <c r="Y693" s="110"/>
      <c r="Z693" s="198"/>
      <c r="AA693" s="110"/>
      <c r="AB693" s="110"/>
      <c r="AC693" s="198"/>
      <c r="AD693" s="198"/>
      <c r="AE693" s="110"/>
      <c r="AF693" s="110"/>
      <c r="AH693" s="207"/>
      <c r="AI693" s="110"/>
      <c r="AJ693" s="110"/>
      <c r="AL693" s="110"/>
      <c r="AM693" s="141"/>
      <c r="AN693" s="141"/>
    </row>
    <row r="694" spans="1:40" x14ac:dyDescent="0.3">
      <c r="F694" s="192"/>
      <c r="H694" s="192"/>
      <c r="I694" s="192"/>
      <c r="J694" s="217"/>
      <c r="K694" s="217"/>
      <c r="L694" s="192"/>
      <c r="M694" s="192"/>
      <c r="N694" s="192"/>
      <c r="O694" s="192"/>
      <c r="P694" s="192"/>
      <c r="Q694" s="192"/>
      <c r="R694" s="192"/>
      <c r="V694" s="192"/>
      <c r="Y694" s="192"/>
      <c r="Z694" s="217"/>
      <c r="AA694" s="192"/>
      <c r="AB694" s="192"/>
      <c r="AC694" s="192"/>
      <c r="AD694" s="192"/>
      <c r="AE694" s="192"/>
      <c r="AF694" s="192"/>
      <c r="AI694" s="192"/>
      <c r="AJ694" s="192"/>
      <c r="AK694" s="194"/>
      <c r="AL694" s="192"/>
      <c r="AM694" s="141"/>
      <c r="AN694" s="141"/>
    </row>
    <row r="695" spans="1:40" x14ac:dyDescent="0.3">
      <c r="C695" s="99"/>
      <c r="F695" s="110"/>
      <c r="H695" s="110"/>
      <c r="I695" s="110"/>
      <c r="J695" s="198"/>
      <c r="K695" s="198"/>
      <c r="L695" s="110"/>
      <c r="M695" s="110"/>
      <c r="N695" s="198"/>
      <c r="O695" s="198"/>
      <c r="P695" s="110"/>
      <c r="Q695" s="110"/>
      <c r="R695" s="110"/>
      <c r="T695" s="99"/>
      <c r="V695" s="110"/>
      <c r="Y695" s="110"/>
      <c r="Z695" s="198"/>
      <c r="AA695" s="110"/>
      <c r="AB695" s="110"/>
      <c r="AC695" s="198"/>
      <c r="AD695" s="198"/>
      <c r="AE695" s="110"/>
      <c r="AF695" s="110"/>
      <c r="AH695" s="207"/>
      <c r="AI695" s="110"/>
      <c r="AJ695" s="110"/>
      <c r="AL695" s="110"/>
      <c r="AM695" s="141"/>
      <c r="AN695" s="141"/>
    </row>
    <row r="696" spans="1:40" x14ac:dyDescent="0.3">
      <c r="F696" s="110"/>
      <c r="H696" s="110"/>
      <c r="I696" s="110"/>
      <c r="J696" s="198"/>
      <c r="K696" s="198"/>
      <c r="L696" s="110"/>
      <c r="M696" s="110"/>
      <c r="N696" s="198"/>
      <c r="O696" s="198"/>
      <c r="P696" s="110"/>
      <c r="Q696" s="110"/>
      <c r="R696" s="110"/>
      <c r="V696" s="110"/>
      <c r="Y696" s="110"/>
      <c r="Z696" s="198"/>
      <c r="AA696" s="110"/>
      <c r="AB696" s="110"/>
      <c r="AC696" s="198"/>
      <c r="AD696" s="198"/>
      <c r="AH696" s="207"/>
      <c r="AI696" s="110"/>
      <c r="AJ696" s="110"/>
      <c r="AL696" s="110"/>
      <c r="AM696" s="141"/>
      <c r="AN696" s="141"/>
    </row>
    <row r="697" spans="1:40" x14ac:dyDescent="0.3">
      <c r="C697" s="99"/>
      <c r="D697" s="99"/>
      <c r="E697" s="99"/>
      <c r="F697" s="110"/>
      <c r="H697" s="110"/>
      <c r="I697" s="110"/>
      <c r="J697" s="198"/>
      <c r="K697" s="198"/>
      <c r="L697" s="110"/>
      <c r="M697" s="110"/>
      <c r="N697" s="198"/>
      <c r="O697" s="198"/>
      <c r="P697" s="110"/>
      <c r="Q697" s="110"/>
      <c r="R697" s="110"/>
      <c r="T697" s="99"/>
      <c r="U697" s="99"/>
      <c r="V697" s="110"/>
      <c r="Y697" s="110"/>
      <c r="Z697" s="198"/>
      <c r="AA697" s="110"/>
      <c r="AB697" s="110"/>
      <c r="AC697" s="198"/>
      <c r="AD697" s="198"/>
      <c r="AE697" s="110"/>
      <c r="AF697" s="110"/>
      <c r="AH697" s="207"/>
      <c r="AI697" s="110"/>
      <c r="AJ697" s="110"/>
      <c r="AL697" s="110"/>
      <c r="AM697" s="141"/>
      <c r="AN697" s="141"/>
    </row>
    <row r="698" spans="1:40" x14ac:dyDescent="0.3">
      <c r="C698" s="99"/>
      <c r="D698" s="99"/>
      <c r="E698" s="99"/>
      <c r="F698" s="110"/>
      <c r="H698" s="110"/>
      <c r="I698" s="110"/>
      <c r="J698" s="198"/>
      <c r="K698" s="198"/>
      <c r="L698" s="110"/>
      <c r="M698" s="110"/>
      <c r="N698" s="198"/>
      <c r="O698" s="198"/>
      <c r="P698" s="110"/>
      <c r="Q698" s="110"/>
      <c r="R698" s="110"/>
      <c r="T698" s="99"/>
      <c r="U698" s="99"/>
      <c r="V698" s="110"/>
      <c r="Y698" s="110"/>
      <c r="Z698" s="198"/>
      <c r="AA698" s="110"/>
      <c r="AB698" s="110"/>
      <c r="AC698" s="198"/>
      <c r="AD698" s="198"/>
      <c r="AE698" s="110"/>
      <c r="AF698" s="110"/>
      <c r="AH698" s="207"/>
      <c r="AI698" s="110"/>
      <c r="AJ698" s="110"/>
      <c r="AL698" s="110"/>
      <c r="AM698" s="141"/>
      <c r="AN698" s="141"/>
    </row>
    <row r="699" spans="1:40" x14ac:dyDescent="0.3">
      <c r="C699" s="99"/>
      <c r="D699" s="99"/>
      <c r="E699" s="99"/>
      <c r="F699" s="110"/>
      <c r="H699" s="110"/>
      <c r="I699" s="110"/>
      <c r="J699" s="198"/>
      <c r="K699" s="198"/>
      <c r="L699" s="110"/>
      <c r="M699" s="110"/>
      <c r="N699" s="198"/>
      <c r="O699" s="198"/>
      <c r="P699" s="110"/>
      <c r="Q699" s="110"/>
      <c r="R699" s="110"/>
      <c r="T699" s="99"/>
      <c r="U699" s="99"/>
      <c r="V699" s="110"/>
      <c r="Y699" s="110"/>
      <c r="Z699" s="198"/>
      <c r="AA699" s="110"/>
      <c r="AB699" s="110"/>
      <c r="AC699" s="198"/>
      <c r="AD699" s="198"/>
      <c r="AE699" s="110"/>
      <c r="AF699" s="110"/>
      <c r="AH699" s="207"/>
      <c r="AI699" s="110"/>
      <c r="AJ699" s="110"/>
      <c r="AL699" s="110"/>
      <c r="AM699" s="141"/>
      <c r="AN699" s="141"/>
    </row>
    <row r="700" spans="1:40" x14ac:dyDescent="0.3">
      <c r="C700" s="99"/>
      <c r="D700" s="99"/>
      <c r="E700" s="99"/>
      <c r="F700" s="110"/>
      <c r="H700" s="110"/>
      <c r="I700" s="110"/>
      <c r="J700" s="198"/>
      <c r="K700" s="198"/>
      <c r="L700" s="110"/>
      <c r="M700" s="110"/>
      <c r="N700" s="198"/>
      <c r="O700" s="198"/>
      <c r="P700" s="110"/>
      <c r="Q700" s="110"/>
      <c r="R700" s="110"/>
      <c r="T700" s="99"/>
      <c r="U700" s="99"/>
      <c r="V700" s="110"/>
      <c r="Y700" s="110"/>
      <c r="Z700" s="198"/>
      <c r="AA700" s="110"/>
      <c r="AB700" s="110"/>
      <c r="AC700" s="198"/>
      <c r="AD700" s="198"/>
      <c r="AE700" s="110"/>
      <c r="AF700" s="110"/>
      <c r="AH700" s="207"/>
      <c r="AI700" s="110"/>
      <c r="AJ700" s="110"/>
      <c r="AL700" s="110"/>
      <c r="AM700" s="141"/>
      <c r="AN700" s="141"/>
    </row>
    <row r="701" spans="1:40" x14ac:dyDescent="0.3">
      <c r="C701" s="99"/>
      <c r="D701" s="99"/>
      <c r="E701" s="99"/>
      <c r="F701" s="110"/>
      <c r="H701" s="110"/>
      <c r="I701" s="110"/>
      <c r="J701" s="198"/>
      <c r="K701" s="198"/>
      <c r="L701" s="110"/>
      <c r="M701" s="110"/>
      <c r="N701" s="198"/>
      <c r="O701" s="198"/>
      <c r="P701" s="110"/>
      <c r="Q701" s="110"/>
      <c r="R701" s="110"/>
      <c r="T701" s="99"/>
      <c r="U701" s="99"/>
      <c r="V701" s="110"/>
      <c r="Y701" s="110"/>
      <c r="Z701" s="198"/>
      <c r="AA701" s="110"/>
      <c r="AB701" s="110"/>
      <c r="AC701" s="198"/>
      <c r="AD701" s="198"/>
      <c r="AE701" s="110"/>
      <c r="AF701" s="110"/>
      <c r="AH701" s="207"/>
      <c r="AI701" s="110"/>
      <c r="AJ701" s="110"/>
      <c r="AL701" s="110"/>
      <c r="AM701" s="141"/>
      <c r="AN701" s="141"/>
    </row>
    <row r="702" spans="1:40" x14ac:dyDescent="0.3">
      <c r="C702" s="99"/>
      <c r="D702" s="99"/>
      <c r="E702" s="99"/>
      <c r="F702" s="110"/>
      <c r="H702" s="110"/>
      <c r="I702" s="110"/>
      <c r="J702" s="198"/>
      <c r="K702" s="198"/>
      <c r="L702" s="110"/>
      <c r="M702" s="110"/>
      <c r="N702" s="198"/>
      <c r="O702" s="198"/>
      <c r="P702" s="110"/>
      <c r="Q702" s="110"/>
      <c r="R702" s="110"/>
      <c r="T702" s="99"/>
      <c r="U702" s="99"/>
      <c r="V702" s="110"/>
      <c r="Y702" s="110"/>
      <c r="Z702" s="198"/>
      <c r="AA702" s="110"/>
      <c r="AB702" s="110"/>
      <c r="AC702" s="198"/>
      <c r="AD702" s="198"/>
      <c r="AE702" s="110"/>
      <c r="AF702" s="110"/>
      <c r="AH702" s="207"/>
      <c r="AI702" s="110"/>
      <c r="AJ702" s="110"/>
      <c r="AL702" s="110"/>
      <c r="AM702" s="141"/>
      <c r="AN702" s="141"/>
    </row>
    <row r="703" spans="1:40" x14ac:dyDescent="0.3">
      <c r="F703" s="192"/>
      <c r="H703" s="192"/>
      <c r="I703" s="192"/>
      <c r="J703" s="217"/>
      <c r="K703" s="217"/>
      <c r="L703" s="192"/>
      <c r="M703" s="192"/>
      <c r="N703" s="192"/>
      <c r="O703" s="192"/>
      <c r="P703" s="192"/>
      <c r="Q703" s="192"/>
      <c r="R703" s="192"/>
      <c r="V703" s="192"/>
      <c r="Y703" s="192"/>
      <c r="Z703" s="217"/>
      <c r="AA703" s="192"/>
      <c r="AB703" s="192"/>
      <c r="AC703" s="192"/>
      <c r="AD703" s="192"/>
      <c r="AE703" s="192"/>
      <c r="AF703" s="192"/>
      <c r="AI703" s="192"/>
      <c r="AJ703" s="192"/>
      <c r="AK703" s="194"/>
      <c r="AL703" s="192"/>
      <c r="AM703" s="141"/>
      <c r="AN703" s="141"/>
    </row>
    <row r="704" spans="1:40" x14ac:dyDescent="0.3">
      <c r="C704" s="99"/>
      <c r="F704" s="110"/>
      <c r="H704" s="110"/>
      <c r="I704" s="110"/>
      <c r="J704" s="198"/>
      <c r="K704" s="198"/>
      <c r="L704" s="110"/>
      <c r="M704" s="110"/>
      <c r="N704" s="198"/>
      <c r="O704" s="198"/>
      <c r="P704" s="110"/>
      <c r="Q704" s="110"/>
      <c r="R704" s="110"/>
      <c r="T704" s="99"/>
      <c r="V704" s="110"/>
      <c r="Y704" s="110"/>
      <c r="Z704" s="198"/>
      <c r="AA704" s="110"/>
      <c r="AB704" s="110"/>
      <c r="AC704" s="198"/>
      <c r="AD704" s="198"/>
      <c r="AE704" s="110"/>
      <c r="AF704" s="110"/>
      <c r="AH704" s="207"/>
      <c r="AI704" s="110"/>
      <c r="AJ704" s="110"/>
      <c r="AL704" s="110"/>
      <c r="AM704" s="141"/>
      <c r="AN704" s="141"/>
    </row>
    <row r="705" spans="3:40" x14ac:dyDescent="0.3">
      <c r="F705" s="110"/>
      <c r="H705" s="110"/>
      <c r="I705" s="110"/>
      <c r="J705" s="198"/>
      <c r="K705" s="198"/>
      <c r="L705" s="110"/>
      <c r="M705" s="110"/>
      <c r="N705" s="198"/>
      <c r="O705" s="198"/>
      <c r="P705" s="110"/>
      <c r="Q705" s="110"/>
      <c r="R705" s="110"/>
      <c r="V705" s="110"/>
      <c r="Y705" s="110"/>
      <c r="Z705" s="198"/>
      <c r="AA705" s="110"/>
      <c r="AB705" s="110"/>
      <c r="AC705" s="198"/>
      <c r="AD705" s="198"/>
      <c r="AH705" s="207"/>
      <c r="AI705" s="110"/>
      <c r="AJ705" s="110"/>
      <c r="AL705" s="110"/>
      <c r="AM705" s="141"/>
      <c r="AN705" s="141"/>
    </row>
    <row r="706" spans="3:40" x14ac:dyDescent="0.3">
      <c r="C706" s="99"/>
      <c r="D706" s="99"/>
      <c r="E706" s="99"/>
      <c r="F706" s="110"/>
      <c r="H706" s="110"/>
      <c r="I706" s="110"/>
      <c r="J706" s="198"/>
      <c r="K706" s="198"/>
      <c r="L706" s="110"/>
      <c r="M706" s="110"/>
      <c r="N706" s="198"/>
      <c r="O706" s="198"/>
      <c r="P706" s="110"/>
      <c r="Q706" s="110"/>
      <c r="R706" s="110"/>
      <c r="T706" s="99"/>
      <c r="U706" s="99"/>
      <c r="V706" s="110"/>
      <c r="Y706" s="110"/>
      <c r="Z706" s="198"/>
      <c r="AA706" s="110"/>
      <c r="AB706" s="110"/>
      <c r="AC706" s="198"/>
      <c r="AD706" s="198"/>
      <c r="AE706" s="110"/>
      <c r="AF706" s="110"/>
      <c r="AH706" s="207"/>
      <c r="AI706" s="110"/>
      <c r="AJ706" s="110"/>
      <c r="AL706" s="110"/>
      <c r="AM706" s="141"/>
      <c r="AN706" s="141"/>
    </row>
    <row r="707" spans="3:40" x14ac:dyDescent="0.3">
      <c r="F707" s="192"/>
      <c r="H707" s="192"/>
      <c r="I707" s="192"/>
      <c r="J707" s="217"/>
      <c r="K707" s="217"/>
      <c r="L707" s="192"/>
      <c r="M707" s="192"/>
      <c r="N707" s="192"/>
      <c r="O707" s="192"/>
      <c r="P707" s="192"/>
      <c r="Q707" s="192"/>
      <c r="R707" s="192"/>
      <c r="V707" s="192"/>
      <c r="Y707" s="192"/>
      <c r="Z707" s="217"/>
      <c r="AA707" s="192"/>
      <c r="AB707" s="192"/>
      <c r="AC707" s="192"/>
      <c r="AD707" s="192"/>
      <c r="AE707" s="192"/>
      <c r="AF707" s="192"/>
      <c r="AI707" s="192"/>
      <c r="AJ707" s="192"/>
      <c r="AK707" s="194"/>
      <c r="AL707" s="192"/>
      <c r="AM707" s="141"/>
      <c r="AN707" s="141"/>
    </row>
    <row r="708" spans="3:40" x14ac:dyDescent="0.3">
      <c r="C708" s="99"/>
      <c r="F708" s="110"/>
      <c r="H708" s="110"/>
      <c r="I708" s="110"/>
      <c r="J708" s="198"/>
      <c r="K708" s="198"/>
      <c r="L708" s="110"/>
      <c r="M708" s="110"/>
      <c r="N708" s="198"/>
      <c r="O708" s="198"/>
      <c r="P708" s="110"/>
      <c r="Q708" s="110"/>
      <c r="R708" s="110"/>
      <c r="T708" s="99"/>
      <c r="V708" s="110"/>
      <c r="Y708" s="110"/>
      <c r="Z708" s="198"/>
      <c r="AA708" s="110"/>
      <c r="AB708" s="110"/>
      <c r="AC708" s="198"/>
      <c r="AD708" s="198"/>
      <c r="AE708" s="110"/>
      <c r="AF708" s="110"/>
      <c r="AH708" s="207"/>
      <c r="AI708" s="110"/>
      <c r="AJ708" s="110"/>
      <c r="AL708" s="110"/>
      <c r="AM708" s="141"/>
      <c r="AN708" s="141"/>
    </row>
    <row r="709" spans="3:40" x14ac:dyDescent="0.3">
      <c r="F709" s="110"/>
      <c r="H709" s="110"/>
      <c r="I709" s="110"/>
      <c r="J709" s="198"/>
      <c r="K709" s="198"/>
      <c r="L709" s="110"/>
      <c r="M709" s="110"/>
      <c r="N709" s="198"/>
      <c r="O709" s="198"/>
      <c r="P709" s="110"/>
      <c r="Q709" s="110"/>
      <c r="R709" s="110"/>
      <c r="V709" s="110"/>
      <c r="Y709" s="110"/>
      <c r="Z709" s="198"/>
      <c r="AA709" s="110"/>
      <c r="AB709" s="110"/>
      <c r="AC709" s="198"/>
      <c r="AD709" s="198"/>
      <c r="AH709" s="207"/>
      <c r="AI709" s="110"/>
      <c r="AJ709" s="110"/>
      <c r="AL709" s="110"/>
      <c r="AM709" s="141"/>
      <c r="AN709" s="141"/>
    </row>
    <row r="710" spans="3:40" x14ac:dyDescent="0.3">
      <c r="C710" s="99"/>
      <c r="D710" s="99"/>
      <c r="E710" s="99"/>
      <c r="F710" s="110"/>
      <c r="H710" s="110"/>
      <c r="I710" s="110"/>
      <c r="J710" s="198"/>
      <c r="K710" s="198"/>
      <c r="L710" s="110"/>
      <c r="M710" s="110"/>
      <c r="N710" s="198"/>
      <c r="O710" s="198"/>
      <c r="P710" s="110"/>
      <c r="Q710" s="110"/>
      <c r="R710" s="110"/>
      <c r="T710" s="99"/>
      <c r="U710" s="99"/>
      <c r="V710" s="110"/>
      <c r="Y710" s="110"/>
      <c r="Z710" s="198"/>
      <c r="AA710" s="110"/>
      <c r="AB710" s="110"/>
      <c r="AC710" s="198"/>
      <c r="AD710" s="198"/>
      <c r="AE710" s="110"/>
      <c r="AF710" s="110"/>
      <c r="AH710" s="207"/>
      <c r="AI710" s="110"/>
      <c r="AJ710" s="110"/>
      <c r="AL710" s="110"/>
      <c r="AM710" s="141"/>
      <c r="AN710" s="141"/>
    </row>
    <row r="711" spans="3:40" x14ac:dyDescent="0.3">
      <c r="C711" s="99"/>
      <c r="D711" s="99"/>
      <c r="E711" s="99"/>
      <c r="F711" s="110"/>
      <c r="G711" s="110"/>
      <c r="H711" s="110"/>
      <c r="I711" s="110"/>
      <c r="J711" s="198"/>
      <c r="K711" s="198"/>
      <c r="L711" s="110"/>
      <c r="M711" s="110"/>
      <c r="N711" s="198"/>
      <c r="O711" s="198"/>
      <c r="P711" s="110"/>
      <c r="Q711" s="110"/>
      <c r="R711" s="110"/>
      <c r="T711" s="99"/>
      <c r="U711" s="99"/>
      <c r="V711" s="110"/>
      <c r="W711" s="110"/>
      <c r="X711" s="110"/>
      <c r="Y711" s="110"/>
      <c r="Z711" s="198"/>
      <c r="AA711" s="110"/>
      <c r="AB711" s="110"/>
      <c r="AC711" s="198"/>
      <c r="AD711" s="198"/>
      <c r="AE711" s="110"/>
      <c r="AF711" s="110"/>
      <c r="AH711" s="207"/>
      <c r="AI711" s="110"/>
      <c r="AJ711" s="110"/>
      <c r="AL711" s="110"/>
      <c r="AM711" s="141"/>
      <c r="AN711" s="141"/>
    </row>
    <row r="712" spans="3:40" x14ac:dyDescent="0.3">
      <c r="C712" s="99"/>
      <c r="D712" s="99"/>
      <c r="E712" s="99"/>
      <c r="F712" s="110"/>
      <c r="G712" s="110"/>
      <c r="H712" s="110"/>
      <c r="I712" s="110"/>
      <c r="J712" s="198"/>
      <c r="K712" s="198"/>
      <c r="L712" s="110"/>
      <c r="M712" s="110"/>
      <c r="N712" s="198"/>
      <c r="O712" s="198"/>
      <c r="P712" s="110"/>
      <c r="Q712" s="110"/>
      <c r="R712" s="110"/>
      <c r="T712" s="99"/>
      <c r="U712" s="99"/>
      <c r="V712" s="110"/>
      <c r="W712" s="110"/>
      <c r="X712" s="110"/>
      <c r="Y712" s="110"/>
      <c r="Z712" s="198"/>
      <c r="AA712" s="110"/>
      <c r="AB712" s="110"/>
      <c r="AC712" s="198"/>
      <c r="AD712" s="198"/>
      <c r="AE712" s="110"/>
      <c r="AF712" s="110"/>
      <c r="AH712" s="207"/>
      <c r="AI712" s="110"/>
      <c r="AJ712" s="110"/>
      <c r="AL712" s="110"/>
      <c r="AM712" s="141"/>
      <c r="AN712" s="141"/>
    </row>
    <row r="713" spans="3:40" x14ac:dyDescent="0.3">
      <c r="C713" s="99"/>
      <c r="D713" s="99"/>
      <c r="E713" s="99"/>
      <c r="F713" s="110"/>
      <c r="H713" s="110"/>
      <c r="I713" s="110"/>
      <c r="J713" s="198"/>
      <c r="K713" s="198"/>
      <c r="L713" s="110"/>
      <c r="M713" s="110"/>
      <c r="N713" s="198"/>
      <c r="O713" s="198"/>
      <c r="P713" s="110"/>
      <c r="Q713" s="110"/>
      <c r="R713" s="110"/>
      <c r="T713" s="99"/>
      <c r="U713" s="99"/>
      <c r="V713" s="110"/>
      <c r="Y713" s="110"/>
      <c r="Z713" s="198"/>
      <c r="AA713" s="110"/>
      <c r="AB713" s="110"/>
      <c r="AC713" s="198"/>
      <c r="AD713" s="198"/>
      <c r="AE713" s="110"/>
      <c r="AF713" s="110"/>
      <c r="AH713" s="207"/>
      <c r="AI713" s="110"/>
      <c r="AJ713" s="110"/>
      <c r="AL713" s="110"/>
      <c r="AM713" s="141"/>
      <c r="AN713" s="141"/>
    </row>
    <row r="714" spans="3:40" x14ac:dyDescent="0.3">
      <c r="C714" s="99"/>
      <c r="D714" s="99"/>
      <c r="E714" s="99"/>
      <c r="F714" s="110"/>
      <c r="H714" s="110"/>
      <c r="I714" s="110"/>
      <c r="J714" s="198"/>
      <c r="K714" s="198"/>
      <c r="L714" s="110"/>
      <c r="M714" s="110"/>
      <c r="N714" s="198"/>
      <c r="O714" s="198"/>
      <c r="P714" s="110"/>
      <c r="Q714" s="110"/>
      <c r="R714" s="110"/>
      <c r="T714" s="99"/>
      <c r="U714" s="99"/>
      <c r="V714" s="110"/>
      <c r="Y714" s="110"/>
      <c r="Z714" s="198"/>
      <c r="AA714" s="110"/>
      <c r="AB714" s="110"/>
      <c r="AC714" s="198"/>
      <c r="AD714" s="198"/>
      <c r="AE714" s="110"/>
      <c r="AF714" s="110"/>
      <c r="AH714" s="207"/>
      <c r="AI714" s="110"/>
      <c r="AJ714" s="110"/>
      <c r="AL714" s="110"/>
      <c r="AM714" s="141"/>
      <c r="AN714" s="141"/>
    </row>
    <row r="715" spans="3:40" x14ac:dyDescent="0.3">
      <c r="C715" s="99"/>
      <c r="D715" s="99"/>
      <c r="E715" s="99"/>
      <c r="F715" s="110"/>
      <c r="H715" s="110"/>
      <c r="I715" s="110"/>
      <c r="J715" s="198"/>
      <c r="K715" s="198"/>
      <c r="L715" s="110"/>
      <c r="M715" s="110"/>
      <c r="N715" s="198"/>
      <c r="O715" s="198"/>
      <c r="P715" s="110"/>
      <c r="Q715" s="110"/>
      <c r="R715" s="110"/>
      <c r="T715" s="99"/>
      <c r="U715" s="99"/>
      <c r="V715" s="110"/>
      <c r="Y715" s="110"/>
      <c r="Z715" s="198"/>
      <c r="AA715" s="110"/>
      <c r="AB715" s="110"/>
      <c r="AC715" s="198"/>
      <c r="AD715" s="198"/>
      <c r="AE715" s="110"/>
      <c r="AF715" s="110"/>
      <c r="AH715" s="207"/>
      <c r="AI715" s="110"/>
      <c r="AJ715" s="110"/>
      <c r="AL715" s="110"/>
      <c r="AM715" s="141"/>
      <c r="AN715" s="141"/>
    </row>
    <row r="716" spans="3:40" x14ac:dyDescent="0.3">
      <c r="C716" s="99"/>
      <c r="D716" s="99"/>
      <c r="E716" s="99"/>
      <c r="F716" s="110"/>
      <c r="H716" s="110"/>
      <c r="I716" s="110"/>
      <c r="J716" s="198"/>
      <c r="K716" s="198"/>
      <c r="L716" s="110"/>
      <c r="M716" s="110"/>
      <c r="N716" s="198"/>
      <c r="O716" s="198"/>
      <c r="P716" s="110"/>
      <c r="Q716" s="110"/>
      <c r="R716" s="110"/>
      <c r="T716" s="99"/>
      <c r="U716" s="99"/>
      <c r="V716" s="110"/>
      <c r="Y716" s="110"/>
      <c r="Z716" s="198"/>
      <c r="AA716" s="110"/>
      <c r="AB716" s="110"/>
      <c r="AC716" s="198"/>
      <c r="AD716" s="198"/>
      <c r="AE716" s="110"/>
      <c r="AF716" s="110"/>
      <c r="AH716" s="207"/>
      <c r="AI716" s="110"/>
      <c r="AJ716" s="110"/>
      <c r="AL716" s="110"/>
      <c r="AM716" s="141"/>
      <c r="AN716" s="141"/>
    </row>
    <row r="717" spans="3:40" x14ac:dyDescent="0.3">
      <c r="F717" s="192"/>
      <c r="H717" s="192"/>
      <c r="I717" s="192"/>
      <c r="J717" s="217"/>
      <c r="K717" s="217"/>
      <c r="L717" s="192"/>
      <c r="M717" s="192"/>
      <c r="N717" s="192"/>
      <c r="O717" s="192"/>
      <c r="P717" s="192"/>
      <c r="Q717" s="192"/>
      <c r="R717" s="192"/>
      <c r="V717" s="192"/>
      <c r="Y717" s="192"/>
      <c r="Z717" s="217"/>
      <c r="AA717" s="192"/>
      <c r="AB717" s="192"/>
      <c r="AC717" s="192"/>
      <c r="AD717" s="192"/>
      <c r="AE717" s="192"/>
      <c r="AF717" s="192"/>
      <c r="AI717" s="192"/>
      <c r="AJ717" s="192"/>
      <c r="AK717" s="194"/>
      <c r="AL717" s="192"/>
      <c r="AM717" s="141"/>
      <c r="AN717" s="141"/>
    </row>
    <row r="718" spans="3:40" x14ac:dyDescent="0.3">
      <c r="C718" s="99"/>
      <c r="F718" s="110"/>
      <c r="H718" s="110"/>
      <c r="I718" s="110"/>
      <c r="J718" s="198"/>
      <c r="K718" s="198"/>
      <c r="L718" s="110"/>
      <c r="M718" s="110"/>
      <c r="N718" s="198"/>
      <c r="O718" s="198"/>
      <c r="P718" s="110"/>
      <c r="Q718" s="110"/>
      <c r="R718" s="110"/>
      <c r="T718" s="99"/>
      <c r="V718" s="110"/>
      <c r="Y718" s="110"/>
      <c r="Z718" s="198"/>
      <c r="AA718" s="110"/>
      <c r="AB718" s="110"/>
      <c r="AC718" s="198"/>
      <c r="AD718" s="198"/>
      <c r="AE718" s="110"/>
      <c r="AF718" s="110"/>
      <c r="AH718" s="207"/>
      <c r="AI718" s="110"/>
      <c r="AJ718" s="110"/>
      <c r="AL718" s="110"/>
      <c r="AM718" s="141"/>
      <c r="AN718" s="141"/>
    </row>
    <row r="719" spans="3:40" x14ac:dyDescent="0.3">
      <c r="V719" s="110"/>
      <c r="Y719" s="110"/>
      <c r="Z719" s="217"/>
      <c r="AA719" s="110"/>
      <c r="AB719" s="110"/>
      <c r="AC719" s="110"/>
      <c r="AD719" s="110"/>
      <c r="AE719" s="110"/>
      <c r="AF719" s="110"/>
      <c r="AI719" s="110"/>
      <c r="AJ719" s="110"/>
      <c r="AL719" s="110"/>
      <c r="AM719" s="141"/>
      <c r="AN719" s="141"/>
    </row>
    <row r="720" spans="3:40" x14ac:dyDescent="0.3">
      <c r="C720" s="99"/>
      <c r="D720" s="99"/>
      <c r="E720" s="99"/>
      <c r="L720" s="110"/>
      <c r="M720" s="110"/>
      <c r="N720" s="198"/>
      <c r="O720" s="198"/>
      <c r="R720" s="110"/>
      <c r="T720" s="99"/>
      <c r="U720" s="99"/>
      <c r="AA720" s="110"/>
      <c r="AB720" s="110"/>
      <c r="AC720" s="198"/>
      <c r="AD720" s="198"/>
      <c r="AE720" s="110"/>
      <c r="AF720" s="110"/>
      <c r="AH720" s="207"/>
      <c r="AL720" s="110"/>
      <c r="AM720" s="141"/>
      <c r="AN720" s="141"/>
    </row>
    <row r="721" spans="1:40" x14ac:dyDescent="0.3">
      <c r="D721" s="99"/>
      <c r="E721" s="99"/>
      <c r="F721" s="172"/>
      <c r="H721" s="172"/>
      <c r="I721" s="172"/>
      <c r="J721" s="198"/>
      <c r="K721" s="198"/>
      <c r="L721" s="110"/>
      <c r="M721" s="110"/>
      <c r="N721" s="198"/>
      <c r="O721" s="198"/>
      <c r="P721" s="172"/>
      <c r="Q721" s="172"/>
      <c r="R721" s="110"/>
      <c r="U721" s="99"/>
      <c r="V721" s="110"/>
      <c r="Y721" s="110"/>
      <c r="Z721" s="198"/>
      <c r="AA721" s="110"/>
      <c r="AB721" s="110"/>
      <c r="AC721" s="198"/>
      <c r="AD721" s="198"/>
      <c r="AE721" s="110"/>
      <c r="AF721" s="110"/>
      <c r="AH721" s="207"/>
      <c r="AI721" s="110"/>
      <c r="AJ721" s="110"/>
      <c r="AL721" s="110"/>
      <c r="AM721" s="141"/>
      <c r="AN721" s="141"/>
    </row>
    <row r="722" spans="1:40" x14ac:dyDescent="0.3">
      <c r="F722" s="192"/>
      <c r="H722" s="192"/>
      <c r="I722" s="192"/>
      <c r="J722" s="217"/>
      <c r="K722" s="217"/>
      <c r="L722" s="192"/>
      <c r="M722" s="192"/>
      <c r="N722" s="192"/>
      <c r="O722" s="192"/>
      <c r="P722" s="192"/>
      <c r="Q722" s="192"/>
      <c r="R722" s="192"/>
      <c r="V722" s="192"/>
      <c r="Y722" s="192"/>
      <c r="Z722" s="217"/>
      <c r="AA722" s="192"/>
      <c r="AB722" s="192"/>
      <c r="AC722" s="192"/>
      <c r="AD722" s="192"/>
      <c r="AE722" s="192"/>
      <c r="AF722" s="192"/>
      <c r="AI722" s="192"/>
      <c r="AJ722" s="192"/>
      <c r="AK722" s="194"/>
      <c r="AL722" s="192"/>
      <c r="AM722" s="141"/>
      <c r="AN722" s="141"/>
    </row>
    <row r="723" spans="1:40" x14ac:dyDescent="0.3">
      <c r="C723" s="99"/>
      <c r="F723" s="110"/>
      <c r="H723" s="110"/>
      <c r="I723" s="110"/>
      <c r="J723" s="198"/>
      <c r="K723" s="198"/>
      <c r="L723" s="110"/>
      <c r="M723" s="110"/>
      <c r="N723" s="198"/>
      <c r="O723" s="198"/>
      <c r="P723" s="110"/>
      <c r="Q723" s="110"/>
      <c r="R723" s="110"/>
      <c r="T723" s="99"/>
      <c r="V723" s="110"/>
      <c r="Y723" s="110"/>
      <c r="Z723" s="198"/>
      <c r="AA723" s="110"/>
      <c r="AB723" s="110"/>
      <c r="AC723" s="198"/>
      <c r="AD723" s="198"/>
      <c r="AE723" s="110"/>
      <c r="AF723" s="110"/>
      <c r="AH723" s="207"/>
      <c r="AI723" s="110"/>
      <c r="AJ723" s="110"/>
      <c r="AL723" s="110"/>
      <c r="AM723" s="141"/>
      <c r="AN723" s="141"/>
    </row>
    <row r="724" spans="1:40" x14ac:dyDescent="0.3">
      <c r="F724" s="110"/>
      <c r="H724" s="110"/>
      <c r="I724" s="110"/>
      <c r="J724" s="198"/>
      <c r="K724" s="198"/>
      <c r="L724" s="110"/>
      <c r="M724" s="110"/>
      <c r="N724" s="198"/>
      <c r="O724" s="198"/>
      <c r="P724" s="110"/>
      <c r="Q724" s="110"/>
      <c r="R724" s="110"/>
      <c r="V724" s="110"/>
      <c r="Y724" s="110"/>
      <c r="Z724" s="198"/>
      <c r="AA724" s="110"/>
      <c r="AB724" s="110"/>
      <c r="AC724" s="198"/>
      <c r="AD724" s="198"/>
      <c r="AH724" s="207"/>
      <c r="AI724" s="110"/>
      <c r="AJ724" s="110"/>
      <c r="AL724" s="110"/>
      <c r="AM724" s="141"/>
      <c r="AN724" s="141"/>
    </row>
    <row r="725" spans="1:40" x14ac:dyDescent="0.3">
      <c r="D725" s="99"/>
      <c r="E725" s="99"/>
      <c r="F725" s="110"/>
      <c r="H725" s="110"/>
      <c r="I725" s="110"/>
      <c r="J725" s="198"/>
      <c r="K725" s="198"/>
      <c r="L725" s="172"/>
      <c r="M725" s="172"/>
      <c r="N725" s="198"/>
      <c r="O725" s="198"/>
      <c r="P725" s="110"/>
      <c r="Q725" s="110"/>
      <c r="R725" s="110"/>
      <c r="U725" s="99"/>
      <c r="V725" s="110"/>
      <c r="Y725" s="110"/>
      <c r="Z725" s="198"/>
      <c r="AA725" s="172"/>
      <c r="AB725" s="172"/>
      <c r="AC725" s="198"/>
      <c r="AD725" s="198"/>
      <c r="AE725" s="110"/>
      <c r="AF725" s="110"/>
      <c r="AH725" s="207"/>
      <c r="AI725" s="110"/>
      <c r="AJ725" s="110"/>
      <c r="AL725" s="110"/>
      <c r="AM725" s="141"/>
      <c r="AN725" s="141"/>
    </row>
    <row r="726" spans="1:40" x14ac:dyDescent="0.3">
      <c r="D726" s="99"/>
      <c r="E726" s="99"/>
      <c r="F726" s="110"/>
      <c r="H726" s="110"/>
      <c r="I726" s="110"/>
      <c r="J726" s="198"/>
      <c r="K726" s="198"/>
      <c r="L726" s="172"/>
      <c r="M726" s="172"/>
      <c r="N726" s="198"/>
      <c r="O726" s="198"/>
      <c r="P726" s="110"/>
      <c r="Q726" s="110"/>
      <c r="R726" s="110"/>
      <c r="U726" s="99"/>
      <c r="V726" s="110"/>
      <c r="Y726" s="110"/>
      <c r="Z726" s="198"/>
      <c r="AA726" s="172"/>
      <c r="AB726" s="172"/>
      <c r="AC726" s="198"/>
      <c r="AD726" s="198"/>
      <c r="AE726" s="110"/>
      <c r="AF726" s="110"/>
      <c r="AH726" s="207"/>
      <c r="AI726" s="110"/>
      <c r="AJ726" s="110"/>
      <c r="AL726" s="110"/>
      <c r="AM726" s="141"/>
      <c r="AN726" s="141"/>
    </row>
    <row r="727" spans="1:40" x14ac:dyDescent="0.3">
      <c r="D727" s="99"/>
      <c r="E727" s="99"/>
      <c r="F727" s="110"/>
      <c r="H727" s="110"/>
      <c r="I727" s="110"/>
      <c r="J727" s="198"/>
      <c r="K727" s="198"/>
      <c r="L727" s="172"/>
      <c r="M727" s="172"/>
      <c r="N727" s="198"/>
      <c r="O727" s="198"/>
      <c r="P727" s="110"/>
      <c r="Q727" s="110"/>
      <c r="R727" s="110"/>
      <c r="U727" s="99"/>
      <c r="V727" s="110"/>
      <c r="Y727" s="110"/>
      <c r="Z727" s="198"/>
      <c r="AA727" s="172"/>
      <c r="AB727" s="172"/>
      <c r="AC727" s="198"/>
      <c r="AD727" s="198"/>
      <c r="AE727" s="110"/>
      <c r="AF727" s="110"/>
      <c r="AH727" s="207"/>
      <c r="AI727" s="110"/>
      <c r="AJ727" s="110"/>
      <c r="AL727" s="110"/>
      <c r="AM727" s="141"/>
      <c r="AN727" s="141"/>
    </row>
    <row r="728" spans="1:40" x14ac:dyDescent="0.3">
      <c r="F728" s="192"/>
      <c r="H728" s="192"/>
      <c r="I728" s="192"/>
      <c r="J728" s="217"/>
      <c r="K728" s="217"/>
      <c r="L728" s="192"/>
      <c r="M728" s="192"/>
      <c r="N728" s="192"/>
      <c r="O728" s="192"/>
      <c r="P728" s="192"/>
      <c r="Q728" s="192"/>
      <c r="R728" s="192"/>
      <c r="V728" s="192"/>
      <c r="Y728" s="192"/>
      <c r="Z728" s="217"/>
      <c r="AA728" s="192"/>
      <c r="AB728" s="192"/>
      <c r="AC728" s="192"/>
      <c r="AD728" s="192"/>
      <c r="AE728" s="192"/>
      <c r="AF728" s="192"/>
      <c r="AI728" s="192"/>
      <c r="AJ728" s="192"/>
      <c r="AK728" s="194"/>
      <c r="AL728" s="192"/>
      <c r="AM728" s="141"/>
      <c r="AN728" s="141"/>
    </row>
    <row r="729" spans="1:40" x14ac:dyDescent="0.3">
      <c r="C729" s="99"/>
      <c r="F729" s="110"/>
      <c r="H729" s="110"/>
      <c r="I729" s="110"/>
      <c r="J729" s="198"/>
      <c r="K729" s="198"/>
      <c r="L729" s="110"/>
      <c r="M729" s="110"/>
      <c r="N729" s="198"/>
      <c r="O729" s="198"/>
      <c r="P729" s="110"/>
      <c r="Q729" s="110"/>
      <c r="R729" s="110"/>
      <c r="T729" s="99"/>
      <c r="V729" s="110"/>
      <c r="Y729" s="110"/>
      <c r="Z729" s="198"/>
      <c r="AA729" s="110"/>
      <c r="AB729" s="110"/>
      <c r="AC729" s="198"/>
      <c r="AD729" s="198"/>
      <c r="AE729" s="110"/>
      <c r="AF729" s="110"/>
      <c r="AH729" s="207"/>
      <c r="AI729" s="110"/>
      <c r="AJ729" s="110"/>
      <c r="AL729" s="110"/>
      <c r="AM729" s="141"/>
      <c r="AN729" s="141"/>
    </row>
    <row r="730" spans="1:40" x14ac:dyDescent="0.3">
      <c r="F730" s="110"/>
      <c r="H730" s="110"/>
      <c r="I730" s="110"/>
      <c r="J730" s="198"/>
      <c r="K730" s="198"/>
      <c r="L730" s="110"/>
      <c r="M730" s="110"/>
      <c r="N730" s="198"/>
      <c r="O730" s="198"/>
      <c r="P730" s="110"/>
      <c r="Q730" s="110"/>
      <c r="R730" s="110"/>
      <c r="V730" s="110"/>
      <c r="Y730" s="110"/>
      <c r="Z730" s="198"/>
      <c r="AA730" s="110"/>
      <c r="AB730" s="110"/>
      <c r="AC730" s="198"/>
      <c r="AD730" s="198"/>
      <c r="AH730" s="207"/>
      <c r="AI730" s="110"/>
      <c r="AJ730" s="110"/>
      <c r="AL730" s="110"/>
      <c r="AM730" s="141"/>
      <c r="AN730" s="141"/>
    </row>
    <row r="731" spans="1:40" x14ac:dyDescent="0.3">
      <c r="C731" s="99"/>
      <c r="F731" s="110"/>
      <c r="H731" s="110"/>
      <c r="I731" s="110"/>
      <c r="J731" s="198"/>
      <c r="K731" s="198"/>
      <c r="L731" s="110"/>
      <c r="M731" s="110"/>
      <c r="N731" s="198"/>
      <c r="O731" s="198"/>
      <c r="P731" s="110"/>
      <c r="Q731" s="110"/>
      <c r="R731" s="110"/>
      <c r="T731" s="99"/>
      <c r="V731" s="110"/>
      <c r="Y731" s="110"/>
      <c r="Z731" s="198"/>
      <c r="AA731" s="110"/>
      <c r="AB731" s="110"/>
      <c r="AC731" s="198"/>
      <c r="AD731" s="198"/>
      <c r="AE731" s="110"/>
      <c r="AF731" s="110"/>
      <c r="AH731" s="207"/>
      <c r="AI731" s="110"/>
      <c r="AJ731" s="110"/>
      <c r="AL731" s="110"/>
      <c r="AM731" s="141"/>
      <c r="AN731" s="141"/>
    </row>
    <row r="732" spans="1:40" x14ac:dyDescent="0.3">
      <c r="F732" s="192"/>
      <c r="H732" s="192"/>
      <c r="I732" s="192"/>
      <c r="J732" s="217"/>
      <c r="K732" s="217"/>
      <c r="L732" s="192"/>
      <c r="M732" s="192"/>
      <c r="N732" s="192"/>
      <c r="O732" s="192"/>
      <c r="P732" s="192"/>
      <c r="Q732" s="192"/>
      <c r="R732" s="192"/>
      <c r="V732" s="192"/>
      <c r="Y732" s="192"/>
      <c r="Z732" s="217"/>
      <c r="AA732" s="192"/>
      <c r="AB732" s="192"/>
      <c r="AC732" s="192"/>
      <c r="AD732" s="192"/>
      <c r="AE732" s="192"/>
      <c r="AF732" s="192"/>
      <c r="AI732" s="192"/>
      <c r="AJ732" s="192"/>
      <c r="AK732" s="194"/>
      <c r="AL732" s="192"/>
    </row>
    <row r="734" spans="1:40" x14ac:dyDescent="0.3">
      <c r="C734" s="99"/>
      <c r="L734" s="110"/>
      <c r="M734" s="110"/>
      <c r="P734" s="110"/>
      <c r="Q734" s="110"/>
      <c r="R734" s="110"/>
      <c r="T734" s="99"/>
    </row>
    <row r="735" spans="1:40" x14ac:dyDescent="0.3">
      <c r="A735" s="99"/>
      <c r="L735" s="110"/>
      <c r="M735" s="110"/>
      <c r="P735" s="110"/>
      <c r="Q735" s="110"/>
      <c r="R735" s="110"/>
    </row>
    <row r="736" spans="1:40" x14ac:dyDescent="0.3">
      <c r="L736" s="110"/>
      <c r="M736" s="110"/>
      <c r="P736" s="110"/>
      <c r="Q736" s="110"/>
      <c r="R736" s="110"/>
    </row>
    <row r="737" spans="12:18" x14ac:dyDescent="0.3">
      <c r="L737" s="110"/>
      <c r="M737" s="110"/>
      <c r="P737" s="110"/>
      <c r="Q737" s="110"/>
      <c r="R737" s="110"/>
    </row>
    <row r="738" spans="12:18" x14ac:dyDescent="0.3">
      <c r="L738" s="110"/>
      <c r="M738" s="110"/>
      <c r="P738" s="110"/>
      <c r="Q738" s="110"/>
      <c r="R738" s="110"/>
    </row>
    <row r="739" spans="12:18" x14ac:dyDescent="0.3">
      <c r="L739" s="110"/>
      <c r="M739" s="110"/>
      <c r="P739" s="110"/>
      <c r="Q739" s="110"/>
      <c r="R739" s="110"/>
    </row>
    <row r="740" spans="12:18" x14ac:dyDescent="0.3">
      <c r="L740" s="110"/>
      <c r="M740" s="110"/>
      <c r="P740" s="110"/>
      <c r="Q740" s="110"/>
      <c r="R740" s="110"/>
    </row>
    <row r="773" spans="49:49" x14ac:dyDescent="0.3">
      <c r="AW773" s="110"/>
    </row>
    <row r="774" spans="49:49" x14ac:dyDescent="0.3">
      <c r="AW774" s="110"/>
    </row>
    <row r="775" spans="49:49" x14ac:dyDescent="0.3">
      <c r="AW775" s="110"/>
    </row>
    <row r="776" spans="49:49" x14ac:dyDescent="0.3">
      <c r="AW776" s="110"/>
    </row>
    <row r="777" spans="49:49" x14ac:dyDescent="0.3">
      <c r="AW777" s="110"/>
    </row>
    <row r="778" spans="49:49" x14ac:dyDescent="0.3">
      <c r="AW778" s="110"/>
    </row>
    <row r="781" spans="49:49" x14ac:dyDescent="0.3">
      <c r="AW781" s="110"/>
    </row>
    <row r="782" spans="49:49" x14ac:dyDescent="0.3">
      <c r="AW782" s="110"/>
    </row>
    <row r="783" spans="49:49" x14ac:dyDescent="0.3">
      <c r="AW783" s="110"/>
    </row>
    <row r="784" spans="49:49" x14ac:dyDescent="0.3">
      <c r="AW784" s="110"/>
    </row>
    <row r="785" spans="49:49" x14ac:dyDescent="0.3">
      <c r="AW785" s="110"/>
    </row>
    <row r="786" spans="49:49" x14ac:dyDescent="0.3">
      <c r="AW786" s="110"/>
    </row>
    <row r="787" spans="49:49" x14ac:dyDescent="0.3">
      <c r="AW787" s="110"/>
    </row>
    <row r="788" spans="49:49" x14ac:dyDescent="0.3">
      <c r="AW788" s="110"/>
    </row>
    <row r="791" spans="49:49" x14ac:dyDescent="0.3">
      <c r="AW791" s="110"/>
    </row>
    <row r="792" spans="49:49" x14ac:dyDescent="0.3">
      <c r="AW792" s="110"/>
    </row>
    <row r="795" spans="49:49" x14ac:dyDescent="0.3">
      <c r="AW795" s="110"/>
    </row>
    <row r="796" spans="49:49" x14ac:dyDescent="0.3">
      <c r="AW796" s="110"/>
    </row>
    <row r="797" spans="49:49" x14ac:dyDescent="0.3">
      <c r="AW797" s="110"/>
    </row>
    <row r="798" spans="49:49" x14ac:dyDescent="0.3">
      <c r="AW798" s="110"/>
    </row>
    <row r="806" spans="45:69" x14ac:dyDescent="0.3">
      <c r="AY806" s="99"/>
    </row>
    <row r="807" spans="45:69" x14ac:dyDescent="0.3">
      <c r="AY807" s="99"/>
    </row>
    <row r="808" spans="45:69" x14ac:dyDescent="0.3">
      <c r="BD808" s="99"/>
    </row>
    <row r="809" spans="45:69" x14ac:dyDescent="0.3">
      <c r="BD809" s="99"/>
    </row>
    <row r="810" spans="45:69" x14ac:dyDescent="0.3">
      <c r="AS810" s="99"/>
      <c r="BD810" s="99"/>
    </row>
    <row r="812" spans="45:69" x14ac:dyDescent="0.3">
      <c r="AS812" s="101"/>
      <c r="AT812" s="101"/>
      <c r="AU812" s="101"/>
      <c r="AV812" s="101"/>
      <c r="AW812" s="101"/>
      <c r="AX812" s="101"/>
      <c r="AY812" s="101"/>
      <c r="AZ812" s="101"/>
      <c r="BA812" s="101"/>
      <c r="BB812" s="101"/>
      <c r="BC812" s="101"/>
      <c r="BD812" s="101"/>
      <c r="BE812" s="101"/>
    </row>
    <row r="813" spans="45:69" x14ac:dyDescent="0.3">
      <c r="AX813" s="99"/>
    </row>
    <row r="814" spans="45:69" x14ac:dyDescent="0.3">
      <c r="AX814" s="101"/>
      <c r="AY814" s="101"/>
      <c r="AZ814" s="101"/>
      <c r="BA814" s="101"/>
      <c r="BC814" s="102"/>
      <c r="BD814" s="102"/>
    </row>
    <row r="815" spans="45:69" x14ac:dyDescent="0.3">
      <c r="AV815" s="102"/>
      <c r="AW815" s="102"/>
      <c r="AZ815" s="102"/>
      <c r="BA815" s="102"/>
      <c r="BC815" s="102"/>
      <c r="BD815" s="102"/>
      <c r="BE815" s="102"/>
      <c r="BG815" s="101"/>
      <c r="BH815" s="99"/>
      <c r="BK815" s="101"/>
      <c r="BM815" s="101"/>
      <c r="BN815" s="99"/>
      <c r="BQ815" s="101"/>
    </row>
    <row r="816" spans="45:69" x14ac:dyDescent="0.3"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H816" s="102"/>
      <c r="BI816" s="102"/>
      <c r="BJ816" s="102"/>
      <c r="BN816" s="102"/>
      <c r="BO816" s="102"/>
      <c r="BP816" s="102"/>
    </row>
    <row r="817" spans="45:69" x14ac:dyDescent="0.3">
      <c r="AS817" s="102"/>
      <c r="AU817" s="99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G817" s="102"/>
      <c r="BH817" s="102"/>
      <c r="BI817" s="102"/>
      <c r="BJ817" s="102"/>
      <c r="BK817" s="102"/>
      <c r="BM817" s="102"/>
      <c r="BN817" s="102"/>
      <c r="BO817" s="102"/>
      <c r="BP817" s="102"/>
      <c r="BQ817" s="102"/>
    </row>
    <row r="818" spans="45:69" x14ac:dyDescent="0.3">
      <c r="AS818" s="102"/>
      <c r="AU818" s="99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G818" s="102"/>
      <c r="BH818" s="102"/>
      <c r="BI818" s="102"/>
      <c r="BJ818" s="102"/>
      <c r="BK818" s="102"/>
      <c r="BM818" s="102"/>
      <c r="BN818" s="102"/>
      <c r="BO818" s="102"/>
      <c r="BP818" s="102"/>
      <c r="BQ818" s="102"/>
    </row>
    <row r="819" spans="45:69" x14ac:dyDescent="0.3">
      <c r="AS819" s="101"/>
      <c r="AT819" s="101"/>
      <c r="AU819" s="101"/>
      <c r="AV819" s="101"/>
      <c r="AW819" s="101"/>
      <c r="AX819" s="101"/>
      <c r="AY819" s="101"/>
      <c r="AZ819" s="101"/>
      <c r="BA819" s="101"/>
      <c r="BB819" s="101"/>
      <c r="BC819" s="101"/>
      <c r="BD819" s="101"/>
      <c r="BE819" s="101"/>
      <c r="BG819" s="101"/>
      <c r="BH819" s="101"/>
      <c r="BI819" s="101"/>
      <c r="BJ819" s="101"/>
      <c r="BK819" s="101"/>
      <c r="BM819" s="101"/>
      <c r="BN819" s="101"/>
      <c r="BO819" s="101"/>
      <c r="BP819" s="101"/>
      <c r="BQ819" s="101"/>
    </row>
    <row r="820" spans="45:69" x14ac:dyDescent="0.3"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</row>
    <row r="821" spans="45:69" x14ac:dyDescent="0.3">
      <c r="AU821" s="99"/>
      <c r="AV821" s="102"/>
      <c r="AY821" s="198"/>
    </row>
    <row r="822" spans="45:69" x14ac:dyDescent="0.3">
      <c r="AV822" s="102"/>
      <c r="AW822" s="110"/>
      <c r="AX822" s="163"/>
      <c r="AY822" s="163"/>
      <c r="AZ822" s="163"/>
      <c r="BA822" s="141"/>
      <c r="BB822" s="163"/>
      <c r="BC822" s="198"/>
      <c r="BD822" s="198"/>
      <c r="BE822" s="141"/>
      <c r="BG822" s="163"/>
      <c r="BH822" s="163"/>
      <c r="BI822" s="163"/>
      <c r="BJ822" s="163"/>
      <c r="BK822" s="163"/>
      <c r="BM822" s="163"/>
      <c r="BN822" s="163"/>
      <c r="BO822" s="163"/>
      <c r="BP822" s="163"/>
      <c r="BQ822" s="163"/>
    </row>
    <row r="823" spans="45:69" x14ac:dyDescent="0.3">
      <c r="AV823" s="102"/>
      <c r="AW823" s="110"/>
      <c r="AX823" s="163"/>
      <c r="AY823" s="163"/>
      <c r="AZ823" s="163"/>
      <c r="BA823" s="141"/>
      <c r="BB823" s="163"/>
      <c r="BC823" s="198"/>
      <c r="BD823" s="198"/>
      <c r="BE823" s="141"/>
      <c r="BG823" s="163"/>
      <c r="BH823" s="163"/>
      <c r="BI823" s="163"/>
      <c r="BJ823" s="163"/>
      <c r="BK823" s="163"/>
      <c r="BM823" s="163"/>
      <c r="BN823" s="163"/>
      <c r="BO823" s="163"/>
      <c r="BP823" s="163"/>
      <c r="BQ823" s="163"/>
    </row>
    <row r="824" spans="45:69" x14ac:dyDescent="0.3">
      <c r="AV824" s="102"/>
      <c r="AW824" s="110"/>
      <c r="AX824" s="163"/>
      <c r="AY824" s="163"/>
      <c r="AZ824" s="163"/>
      <c r="BA824" s="141"/>
      <c r="BB824" s="163"/>
      <c r="BC824" s="198"/>
      <c r="BD824" s="198"/>
      <c r="BE824" s="141"/>
      <c r="BG824" s="163"/>
      <c r="BH824" s="163"/>
      <c r="BI824" s="163"/>
      <c r="BJ824" s="163"/>
      <c r="BK824" s="163"/>
      <c r="BM824" s="163"/>
      <c r="BN824" s="163"/>
      <c r="BO824" s="163"/>
      <c r="BP824" s="163"/>
      <c r="BQ824" s="163"/>
    </row>
    <row r="825" spans="45:69" x14ac:dyDescent="0.3">
      <c r="AV825" s="102"/>
      <c r="AW825" s="110"/>
      <c r="AX825" s="163"/>
      <c r="AY825" s="163"/>
      <c r="AZ825" s="163"/>
      <c r="BA825" s="141"/>
      <c r="BB825" s="163"/>
      <c r="BC825" s="198"/>
      <c r="BD825" s="198"/>
      <c r="BE825" s="141"/>
      <c r="BG825" s="163"/>
      <c r="BH825" s="163"/>
      <c r="BI825" s="163"/>
      <c r="BJ825" s="163"/>
      <c r="BK825" s="163"/>
      <c r="BM825" s="163"/>
      <c r="BN825" s="163"/>
      <c r="BO825" s="163"/>
      <c r="BP825" s="163"/>
      <c r="BQ825" s="163"/>
    </row>
    <row r="826" spans="45:69" x14ac:dyDescent="0.3">
      <c r="AV826" s="102"/>
      <c r="AW826" s="110"/>
      <c r="AX826" s="163"/>
      <c r="AY826" s="163"/>
      <c r="AZ826" s="163"/>
      <c r="BA826" s="141"/>
      <c r="BB826" s="163"/>
      <c r="BC826" s="198"/>
      <c r="BD826" s="198"/>
      <c r="BE826" s="141"/>
      <c r="BG826" s="163"/>
      <c r="BH826" s="163"/>
      <c r="BI826" s="163"/>
      <c r="BJ826" s="163"/>
      <c r="BK826" s="163"/>
      <c r="BM826" s="163"/>
      <c r="BN826" s="163"/>
      <c r="BO826" s="163"/>
      <c r="BP826" s="163"/>
      <c r="BQ826" s="163"/>
    </row>
    <row r="827" spans="45:69" x14ac:dyDescent="0.3">
      <c r="AV827" s="102"/>
      <c r="AW827" s="110"/>
      <c r="AX827" s="163"/>
      <c r="AY827" s="163"/>
      <c r="AZ827" s="163"/>
      <c r="BA827" s="141"/>
      <c r="BB827" s="163"/>
      <c r="BC827" s="198"/>
      <c r="BD827" s="198"/>
      <c r="BE827" s="141"/>
      <c r="BG827" s="163"/>
      <c r="BH827" s="163"/>
      <c r="BI827" s="163"/>
      <c r="BJ827" s="163"/>
      <c r="BK827" s="163"/>
      <c r="BM827" s="163"/>
      <c r="BN827" s="163"/>
      <c r="BO827" s="163"/>
      <c r="BP827" s="163"/>
      <c r="BQ827" s="163"/>
    </row>
    <row r="828" spans="45:69" x14ac:dyDescent="0.3">
      <c r="AV828" s="102"/>
      <c r="AW828" s="110"/>
      <c r="AX828" s="163"/>
      <c r="AY828" s="163"/>
      <c r="AZ828" s="163"/>
      <c r="BA828" s="141"/>
      <c r="BB828" s="163"/>
      <c r="BC828" s="198"/>
      <c r="BD828" s="198"/>
      <c r="BE828" s="141"/>
      <c r="BG828" s="163"/>
      <c r="BH828" s="163"/>
      <c r="BI828" s="163"/>
      <c r="BJ828" s="163"/>
      <c r="BK828" s="163"/>
      <c r="BM828" s="163"/>
      <c r="BN828" s="163"/>
      <c r="BO828" s="163"/>
      <c r="BP828" s="163"/>
      <c r="BQ828" s="163"/>
    </row>
    <row r="829" spans="45:69" x14ac:dyDescent="0.3">
      <c r="AY829" s="198"/>
      <c r="AZ829" s="163"/>
      <c r="BA829" s="141"/>
      <c r="BB829" s="163"/>
      <c r="BC829" s="198"/>
      <c r="BD829" s="198"/>
      <c r="BE829" s="141"/>
      <c r="BK829" s="163"/>
      <c r="BQ829" s="163"/>
    </row>
    <row r="830" spans="45:69" x14ac:dyDescent="0.3">
      <c r="AV830" s="102"/>
      <c r="AY830" s="198"/>
      <c r="AZ830" s="163"/>
      <c r="BA830" s="141"/>
      <c r="BB830" s="163"/>
      <c r="BC830" s="198"/>
      <c r="BD830" s="198"/>
      <c r="BE830" s="141"/>
      <c r="BK830" s="163"/>
      <c r="BQ830" s="163"/>
    </row>
    <row r="831" spans="45:69" x14ac:dyDescent="0.3">
      <c r="AV831" s="102"/>
      <c r="AW831" s="110"/>
      <c r="AX831" s="163"/>
      <c r="AY831" s="163"/>
      <c r="AZ831" s="163"/>
      <c r="BA831" s="141"/>
      <c r="BB831" s="163"/>
      <c r="BC831" s="198"/>
      <c r="BD831" s="198"/>
      <c r="BE831" s="141"/>
      <c r="BG831" s="163"/>
      <c r="BH831" s="163"/>
      <c r="BI831" s="163"/>
      <c r="BJ831" s="163"/>
      <c r="BK831" s="163"/>
      <c r="BM831" s="163"/>
      <c r="BN831" s="163"/>
      <c r="BO831" s="163"/>
      <c r="BP831" s="163"/>
      <c r="BQ831" s="163"/>
    </row>
    <row r="832" spans="45:69" x14ac:dyDescent="0.3">
      <c r="AV832" s="102"/>
      <c r="AW832" s="110"/>
      <c r="AX832" s="163"/>
      <c r="AY832" s="163"/>
      <c r="AZ832" s="163"/>
      <c r="BA832" s="141"/>
      <c r="BB832" s="163"/>
      <c r="BC832" s="198"/>
      <c r="BD832" s="198"/>
      <c r="BE832" s="141"/>
      <c r="BG832" s="163"/>
      <c r="BH832" s="163"/>
      <c r="BI832" s="163"/>
      <c r="BJ832" s="163"/>
      <c r="BK832" s="163"/>
      <c r="BM832" s="163"/>
      <c r="BN832" s="163"/>
      <c r="BO832" s="163"/>
      <c r="BP832" s="163"/>
      <c r="BQ832" s="163"/>
    </row>
    <row r="833" spans="45:69" x14ac:dyDescent="0.3">
      <c r="AV833" s="102"/>
      <c r="AW833" s="110"/>
      <c r="AX833" s="163"/>
      <c r="AY833" s="163"/>
      <c r="AZ833" s="163"/>
      <c r="BA833" s="141"/>
      <c r="BB833" s="163"/>
      <c r="BC833" s="198"/>
      <c r="BD833" s="198"/>
      <c r="BE833" s="141"/>
      <c r="BG833" s="163"/>
      <c r="BH833" s="163"/>
      <c r="BI833" s="163"/>
      <c r="BJ833" s="163"/>
      <c r="BK833" s="163"/>
      <c r="BM833" s="163"/>
      <c r="BN833" s="163"/>
      <c r="BO833" s="163"/>
      <c r="BP833" s="163"/>
      <c r="BQ833" s="163"/>
    </row>
    <row r="834" spans="45:69" x14ac:dyDescent="0.3">
      <c r="AV834" s="102"/>
      <c r="AW834" s="110"/>
      <c r="AX834" s="163"/>
      <c r="AY834" s="163"/>
      <c r="AZ834" s="163"/>
      <c r="BA834" s="141"/>
      <c r="BB834" s="163"/>
      <c r="BC834" s="198"/>
      <c r="BD834" s="198"/>
      <c r="BE834" s="141"/>
      <c r="BG834" s="163"/>
      <c r="BH834" s="163"/>
      <c r="BI834" s="163"/>
      <c r="BJ834" s="163"/>
      <c r="BK834" s="163"/>
      <c r="BM834" s="163"/>
      <c r="BN834" s="163"/>
      <c r="BO834" s="163"/>
      <c r="BP834" s="163"/>
      <c r="BQ834" s="163"/>
    </row>
    <row r="835" spans="45:69" x14ac:dyDescent="0.3">
      <c r="AV835" s="102"/>
      <c r="AW835" s="110"/>
      <c r="AX835" s="163"/>
      <c r="AY835" s="163"/>
      <c r="AZ835" s="163"/>
      <c r="BA835" s="141"/>
      <c r="BB835" s="163"/>
      <c r="BC835" s="198"/>
      <c r="BD835" s="198"/>
      <c r="BE835" s="141"/>
      <c r="BG835" s="163"/>
      <c r="BH835" s="163"/>
      <c r="BI835" s="163"/>
      <c r="BJ835" s="163"/>
      <c r="BK835" s="163"/>
      <c r="BM835" s="163"/>
      <c r="BN835" s="163"/>
      <c r="BO835" s="163"/>
      <c r="BP835" s="163"/>
      <c r="BQ835" s="163"/>
    </row>
    <row r="836" spans="45:69" x14ac:dyDescent="0.3">
      <c r="AV836" s="102"/>
      <c r="AW836" s="110"/>
      <c r="AX836" s="163"/>
      <c r="AY836" s="163"/>
      <c r="AZ836" s="163"/>
      <c r="BA836" s="141"/>
      <c r="BB836" s="163"/>
      <c r="BC836" s="198"/>
      <c r="BD836" s="198"/>
      <c r="BE836" s="141"/>
      <c r="BG836" s="163"/>
      <c r="BH836" s="163"/>
      <c r="BI836" s="163"/>
      <c r="BJ836" s="163"/>
      <c r="BK836" s="163"/>
      <c r="BM836" s="163"/>
      <c r="BN836" s="163"/>
      <c r="BO836" s="163"/>
      <c r="BP836" s="163"/>
      <c r="BQ836" s="163"/>
    </row>
    <row r="837" spans="45:69" x14ac:dyDescent="0.3">
      <c r="AV837" s="102"/>
      <c r="AW837" s="110"/>
      <c r="AX837" s="163"/>
      <c r="AY837" s="163"/>
      <c r="AZ837" s="163"/>
      <c r="BA837" s="141"/>
      <c r="BB837" s="163"/>
      <c r="BC837" s="198"/>
      <c r="BD837" s="198"/>
      <c r="BE837" s="141"/>
      <c r="BG837" s="163"/>
      <c r="BH837" s="163"/>
      <c r="BI837" s="163"/>
      <c r="BJ837" s="163"/>
      <c r="BK837" s="163"/>
      <c r="BM837" s="163"/>
      <c r="BN837" s="163"/>
      <c r="BO837" s="163"/>
      <c r="BP837" s="163"/>
      <c r="BQ837" s="163"/>
    </row>
    <row r="838" spans="45:69" x14ac:dyDescent="0.3">
      <c r="AV838" s="102"/>
      <c r="AW838" s="110"/>
      <c r="AX838" s="163"/>
      <c r="AY838" s="163"/>
      <c r="AZ838" s="163"/>
      <c r="BA838" s="141"/>
      <c r="BB838" s="163"/>
      <c r="BC838" s="198"/>
      <c r="BD838" s="198"/>
      <c r="BE838" s="141"/>
      <c r="BG838" s="163"/>
      <c r="BH838" s="163"/>
      <c r="BI838" s="163"/>
      <c r="BJ838" s="163"/>
      <c r="BK838" s="163"/>
      <c r="BM838" s="163"/>
      <c r="BN838" s="163"/>
      <c r="BO838" s="163"/>
      <c r="BP838" s="163"/>
      <c r="BQ838" s="163"/>
    </row>
    <row r="839" spans="45:69" x14ac:dyDescent="0.3">
      <c r="AY839" s="198"/>
      <c r="AZ839" s="163"/>
      <c r="BA839" s="141"/>
      <c r="BB839" s="163"/>
      <c r="BC839" s="198"/>
      <c r="BD839" s="198"/>
      <c r="BE839" s="141"/>
      <c r="BK839" s="163"/>
      <c r="BQ839" s="163"/>
    </row>
    <row r="840" spans="45:69" x14ac:dyDescent="0.3">
      <c r="AU840" s="99"/>
      <c r="AZ840" s="163"/>
      <c r="BB840" s="163"/>
      <c r="BG840" s="163"/>
      <c r="BH840" s="163"/>
      <c r="BJ840" s="163"/>
      <c r="BK840" s="163"/>
    </row>
    <row r="841" spans="45:69" x14ac:dyDescent="0.3">
      <c r="AZ841" s="163"/>
      <c r="BB841" s="163"/>
    </row>
    <row r="842" spans="45:69" x14ac:dyDescent="0.3">
      <c r="AS842" s="99"/>
      <c r="AZ842" s="163"/>
      <c r="BB842" s="163"/>
      <c r="BI842" s="163"/>
    </row>
    <row r="843" spans="45:69" x14ac:dyDescent="0.3">
      <c r="AZ843" s="163"/>
      <c r="BB843" s="163"/>
    </row>
    <row r="844" spans="45:69" x14ac:dyDescent="0.3">
      <c r="AY844" s="163"/>
      <c r="BB844" s="163"/>
    </row>
    <row r="845" spans="45:69" x14ac:dyDescent="0.3">
      <c r="AY845" s="99"/>
      <c r="AZ845" s="163"/>
      <c r="BB845" s="163"/>
    </row>
    <row r="846" spans="45:69" x14ac:dyDescent="0.3">
      <c r="AY846" s="99"/>
      <c r="AZ846" s="163"/>
      <c r="BB846" s="163"/>
    </row>
    <row r="847" spans="45:69" x14ac:dyDescent="0.3">
      <c r="AZ847" s="163"/>
      <c r="BB847" s="163"/>
      <c r="BD847" s="99"/>
    </row>
    <row r="848" spans="45:69" x14ac:dyDescent="0.3">
      <c r="AZ848" s="163"/>
      <c r="BB848" s="163"/>
      <c r="BD848" s="99"/>
    </row>
    <row r="849" spans="45:75" x14ac:dyDescent="0.3">
      <c r="AS849" s="99"/>
      <c r="AZ849" s="163"/>
      <c r="BB849" s="163"/>
      <c r="BD849" s="99"/>
    </row>
    <row r="850" spans="45:75" x14ac:dyDescent="0.3">
      <c r="AZ850" s="163"/>
      <c r="BB850" s="163"/>
    </row>
    <row r="851" spans="45:75" x14ac:dyDescent="0.3">
      <c r="AS851" s="101"/>
      <c r="AT851" s="101"/>
      <c r="AU851" s="101"/>
      <c r="AV851" s="101"/>
      <c r="AW851" s="101"/>
      <c r="AX851" s="101"/>
      <c r="AY851" s="101"/>
      <c r="AZ851" s="212"/>
      <c r="BA851" s="101"/>
      <c r="BB851" s="212"/>
      <c r="BC851" s="101"/>
      <c r="BD851" s="101"/>
      <c r="BE851" s="101"/>
    </row>
    <row r="852" spans="45:75" x14ac:dyDescent="0.3">
      <c r="AX852" s="99"/>
      <c r="AZ852" s="163"/>
      <c r="BB852" s="163"/>
    </row>
    <row r="853" spans="45:75" x14ac:dyDescent="0.3">
      <c r="AX853" s="101"/>
      <c r="AY853" s="101"/>
      <c r="AZ853" s="212"/>
      <c r="BA853" s="101"/>
      <c r="BB853" s="163"/>
      <c r="BC853" s="102"/>
      <c r="BD853" s="102"/>
    </row>
    <row r="854" spans="45:75" x14ac:dyDescent="0.3">
      <c r="AV854" s="102"/>
      <c r="AW854" s="102"/>
      <c r="AZ854" s="213"/>
      <c r="BA854" s="102"/>
      <c r="BB854" s="163"/>
      <c r="BC854" s="102"/>
      <c r="BD854" s="102"/>
      <c r="BE854" s="102"/>
      <c r="BG854" s="101"/>
      <c r="BH854" s="101"/>
      <c r="BI854" s="99"/>
      <c r="BM854" s="101"/>
      <c r="BN854" s="101"/>
      <c r="BP854" s="101"/>
      <c r="BQ854" s="101"/>
      <c r="BR854" s="99"/>
      <c r="BV854" s="101"/>
      <c r="BW854" s="101"/>
    </row>
    <row r="855" spans="45:75" x14ac:dyDescent="0.3">
      <c r="AV855" s="102"/>
      <c r="AW855" s="102"/>
      <c r="AX855" s="102"/>
      <c r="AY855" s="102"/>
      <c r="AZ855" s="213"/>
      <c r="BA855" s="102"/>
      <c r="BB855" s="213"/>
      <c r="BC855" s="102"/>
      <c r="BD855" s="102"/>
      <c r="BE855" s="102"/>
      <c r="BH855" s="102"/>
      <c r="BI855" s="102"/>
      <c r="BJ855" s="102"/>
      <c r="BK855" s="102"/>
      <c r="BL855" s="102"/>
      <c r="BM855" s="102"/>
      <c r="BQ855" s="102"/>
      <c r="BR855" s="102"/>
      <c r="BS855" s="102"/>
      <c r="BT855" s="102"/>
      <c r="BU855" s="102"/>
      <c r="BV855" s="102"/>
    </row>
    <row r="856" spans="45:75" x14ac:dyDescent="0.3">
      <c r="AS856" s="102"/>
      <c r="AU856" s="99"/>
      <c r="AV856" s="102"/>
      <c r="AW856" s="102"/>
      <c r="AX856" s="102"/>
      <c r="AY856" s="102"/>
      <c r="AZ856" s="213"/>
      <c r="BA856" s="102"/>
      <c r="BB856" s="213"/>
      <c r="BC856" s="102"/>
      <c r="BD856" s="102"/>
      <c r="BE856" s="102"/>
      <c r="BG856" s="102"/>
      <c r="BH856" s="102"/>
      <c r="BI856" s="102"/>
      <c r="BJ856" s="102"/>
      <c r="BK856" s="102"/>
      <c r="BL856" s="102"/>
      <c r="BM856" s="102"/>
      <c r="BN856" s="102"/>
      <c r="BP856" s="102"/>
      <c r="BQ856" s="102"/>
      <c r="BR856" s="102"/>
      <c r="BS856" s="102"/>
      <c r="BT856" s="102"/>
      <c r="BU856" s="102"/>
      <c r="BV856" s="102"/>
      <c r="BW856" s="102"/>
    </row>
    <row r="857" spans="45:75" x14ac:dyDescent="0.3">
      <c r="AS857" s="102"/>
      <c r="AU857" s="99"/>
      <c r="AV857" s="102"/>
      <c r="AW857" s="102"/>
      <c r="AX857" s="102"/>
      <c r="AY857" s="102"/>
      <c r="AZ857" s="213"/>
      <c r="BA857" s="102"/>
      <c r="BB857" s="213"/>
      <c r="BC857" s="102"/>
      <c r="BD857" s="102"/>
      <c r="BE857" s="102"/>
      <c r="BG857" s="102"/>
      <c r="BH857" s="102"/>
      <c r="BI857" s="102"/>
      <c r="BJ857" s="102"/>
      <c r="BK857" s="102"/>
      <c r="BL857" s="102"/>
      <c r="BM857" s="102"/>
      <c r="BN857" s="102"/>
      <c r="BP857" s="102"/>
      <c r="BQ857" s="102"/>
      <c r="BR857" s="102"/>
      <c r="BS857" s="102"/>
      <c r="BT857" s="102"/>
      <c r="BU857" s="102"/>
      <c r="BV857" s="102"/>
      <c r="BW857" s="102"/>
    </row>
    <row r="858" spans="45:75" x14ac:dyDescent="0.3">
      <c r="AS858" s="101"/>
      <c r="AT858" s="101"/>
      <c r="AU858" s="101"/>
      <c r="AV858" s="101"/>
      <c r="AW858" s="101"/>
      <c r="AX858" s="101"/>
      <c r="AY858" s="101"/>
      <c r="AZ858" s="212"/>
      <c r="BA858" s="101"/>
      <c r="BB858" s="212"/>
      <c r="BC858" s="101"/>
      <c r="BD858" s="101"/>
      <c r="BE858" s="101"/>
      <c r="BG858" s="101"/>
      <c r="BH858" s="101"/>
      <c r="BI858" s="101"/>
      <c r="BJ858" s="101"/>
      <c r="BK858" s="101"/>
      <c r="BL858" s="101"/>
      <c r="BM858" s="101"/>
      <c r="BN858" s="101"/>
      <c r="BP858" s="101"/>
      <c r="BQ858" s="101"/>
      <c r="BR858" s="101"/>
      <c r="BS858" s="101"/>
      <c r="BT858" s="101"/>
      <c r="BU858" s="101"/>
      <c r="BV858" s="101"/>
      <c r="BW858" s="101"/>
    </row>
    <row r="859" spans="45:75" x14ac:dyDescent="0.3">
      <c r="AV859" s="102"/>
      <c r="AW859" s="102"/>
      <c r="AX859" s="102"/>
      <c r="AY859" s="102"/>
      <c r="AZ859" s="213"/>
      <c r="BA859" s="102"/>
      <c r="BB859" s="213"/>
      <c r="BC859" s="102"/>
      <c r="BD859" s="102"/>
      <c r="BE859" s="102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</row>
    <row r="860" spans="45:75" x14ac:dyDescent="0.3">
      <c r="AU860" s="99"/>
      <c r="AW860" s="110"/>
      <c r="AX860" s="163"/>
      <c r="AY860" s="163"/>
      <c r="AZ860" s="163"/>
      <c r="BA860" s="207"/>
      <c r="BB860" s="163"/>
      <c r="BC860" s="163"/>
      <c r="BD860" s="163"/>
      <c r="BE860" s="207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</row>
    <row r="861" spans="45:75" x14ac:dyDescent="0.3">
      <c r="AW861" s="110"/>
      <c r="AX861" s="163"/>
      <c r="AY861" s="163"/>
      <c r="AZ861" s="163"/>
      <c r="BA861" s="207"/>
      <c r="BB861" s="163"/>
      <c r="BC861" s="163"/>
      <c r="BD861" s="163"/>
      <c r="BE861" s="207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</row>
    <row r="862" spans="45:75" x14ac:dyDescent="0.3">
      <c r="AW862" s="110"/>
      <c r="AX862" s="163"/>
      <c r="AY862" s="163"/>
      <c r="AZ862" s="163"/>
      <c r="BA862" s="207"/>
      <c r="BB862" s="163"/>
      <c r="BC862" s="163"/>
      <c r="BD862" s="163"/>
      <c r="BE862" s="207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</row>
    <row r="863" spans="45:75" x14ac:dyDescent="0.3">
      <c r="AW863" s="110"/>
      <c r="AX863" s="163"/>
      <c r="AY863" s="163"/>
      <c r="AZ863" s="163"/>
      <c r="BA863" s="207"/>
      <c r="BB863" s="163"/>
      <c r="BC863" s="163"/>
      <c r="BD863" s="163"/>
      <c r="BE863" s="207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</row>
    <row r="864" spans="45:75" x14ac:dyDescent="0.3">
      <c r="AW864" s="110"/>
      <c r="AX864" s="163"/>
      <c r="AY864" s="163"/>
      <c r="AZ864" s="163"/>
      <c r="BA864" s="207"/>
      <c r="BB864" s="163"/>
      <c r="BC864" s="163"/>
      <c r="BD864" s="163"/>
      <c r="BE864" s="207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</row>
    <row r="865" spans="49:75" x14ac:dyDescent="0.3">
      <c r="AW865" s="110"/>
      <c r="AX865" s="163"/>
      <c r="AY865" s="163"/>
      <c r="AZ865" s="163"/>
      <c r="BA865" s="207"/>
      <c r="BB865" s="163"/>
      <c r="BC865" s="163"/>
      <c r="BD865" s="163"/>
      <c r="BE865" s="207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</row>
    <row r="866" spans="49:75" x14ac:dyDescent="0.3">
      <c r="AW866" s="110"/>
      <c r="AX866" s="163"/>
      <c r="AY866" s="163"/>
      <c r="AZ866" s="163"/>
      <c r="BA866" s="207"/>
      <c r="BB866" s="163"/>
      <c r="BC866" s="163"/>
      <c r="BD866" s="163"/>
      <c r="BE866" s="207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</row>
    <row r="867" spans="49:75" x14ac:dyDescent="0.3">
      <c r="AW867" s="110"/>
      <c r="AX867" s="163"/>
      <c r="AY867" s="163"/>
      <c r="AZ867" s="163"/>
      <c r="BA867" s="207"/>
      <c r="BB867" s="163"/>
      <c r="BC867" s="163"/>
      <c r="BD867" s="163"/>
      <c r="BE867" s="207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</row>
    <row r="868" spans="49:75" x14ac:dyDescent="0.3">
      <c r="AW868" s="110"/>
      <c r="AX868" s="163"/>
      <c r="AY868" s="163"/>
      <c r="AZ868" s="163"/>
      <c r="BA868" s="207"/>
      <c r="BB868" s="163"/>
      <c r="BC868" s="163"/>
      <c r="BD868" s="163"/>
      <c r="BE868" s="207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</row>
    <row r="869" spans="49:75" x14ac:dyDescent="0.3">
      <c r="AW869" s="110"/>
      <c r="AX869" s="163"/>
      <c r="AY869" s="163"/>
      <c r="AZ869" s="163"/>
      <c r="BA869" s="207"/>
      <c r="BB869" s="163"/>
      <c r="BC869" s="163"/>
      <c r="BD869" s="163"/>
      <c r="BE869" s="207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</row>
    <row r="870" spans="49:75" x14ac:dyDescent="0.3">
      <c r="AW870" s="110"/>
      <c r="AX870" s="163"/>
      <c r="AY870" s="163"/>
      <c r="AZ870" s="163"/>
      <c r="BA870" s="207"/>
      <c r="BB870" s="163"/>
      <c r="BC870" s="163"/>
      <c r="BD870" s="163"/>
      <c r="BE870" s="207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</row>
    <row r="871" spans="49:75" x14ac:dyDescent="0.3">
      <c r="AW871" s="110"/>
      <c r="AX871" s="163"/>
      <c r="AY871" s="163"/>
      <c r="AZ871" s="163"/>
      <c r="BA871" s="207"/>
      <c r="BB871" s="163"/>
      <c r="BC871" s="163"/>
      <c r="BD871" s="163"/>
      <c r="BE871" s="207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</row>
    <row r="872" spans="49:75" x14ac:dyDescent="0.3">
      <c r="AW872" s="110"/>
      <c r="AX872" s="163"/>
      <c r="AY872" s="163"/>
      <c r="AZ872" s="163"/>
      <c r="BA872" s="207"/>
      <c r="BB872" s="163"/>
      <c r="BC872" s="163"/>
      <c r="BD872" s="163"/>
      <c r="BE872" s="207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</row>
    <row r="873" spans="49:75" x14ac:dyDescent="0.3">
      <c r="AW873" s="110"/>
      <c r="AX873" s="163"/>
      <c r="AY873" s="163"/>
      <c r="AZ873" s="163"/>
      <c r="BA873" s="207"/>
      <c r="BB873" s="163"/>
      <c r="BC873" s="163"/>
      <c r="BD873" s="163"/>
      <c r="BE873" s="207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</row>
    <row r="874" spans="49:75" x14ac:dyDescent="0.3">
      <c r="AW874" s="110"/>
      <c r="AX874" s="163"/>
      <c r="AY874" s="163"/>
      <c r="AZ874" s="163"/>
      <c r="BA874" s="207"/>
      <c r="BB874" s="163"/>
      <c r="BC874" s="163"/>
      <c r="BD874" s="163"/>
      <c r="BE874" s="207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</row>
    <row r="875" spans="49:75" x14ac:dyDescent="0.3">
      <c r="AW875" s="110"/>
      <c r="AX875" s="163"/>
      <c r="AY875" s="163"/>
      <c r="AZ875" s="163"/>
      <c r="BA875" s="207"/>
      <c r="BB875" s="163"/>
      <c r="BC875" s="163"/>
      <c r="BD875" s="163"/>
      <c r="BE875" s="207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</row>
    <row r="876" spans="49:75" x14ac:dyDescent="0.3">
      <c r="AW876" s="110"/>
      <c r="AX876" s="163"/>
      <c r="AY876" s="163"/>
      <c r="AZ876" s="163"/>
      <c r="BA876" s="207"/>
      <c r="BB876" s="163"/>
      <c r="BC876" s="163"/>
      <c r="BD876" s="163"/>
      <c r="BE876" s="207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</row>
    <row r="877" spans="49:75" x14ac:dyDescent="0.3">
      <c r="AW877" s="110"/>
      <c r="AX877" s="163"/>
      <c r="AY877" s="163"/>
      <c r="AZ877" s="163"/>
      <c r="BA877" s="207"/>
      <c r="BB877" s="163"/>
      <c r="BC877" s="163"/>
      <c r="BD877" s="163"/>
      <c r="BE877" s="207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</row>
    <row r="878" spans="49:75" x14ac:dyDescent="0.3">
      <c r="AW878" s="110"/>
      <c r="AX878" s="163"/>
      <c r="AY878" s="163"/>
      <c r="AZ878" s="163"/>
      <c r="BA878" s="207"/>
      <c r="BB878" s="163"/>
      <c r="BC878" s="163"/>
      <c r="BD878" s="163"/>
      <c r="BE878" s="207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</row>
    <row r="879" spans="49:75" x14ac:dyDescent="0.3">
      <c r="AW879" s="110"/>
      <c r="AX879" s="163"/>
      <c r="AY879" s="163"/>
      <c r="AZ879" s="163"/>
      <c r="BA879" s="207"/>
      <c r="BB879" s="163"/>
      <c r="BC879" s="163"/>
      <c r="BD879" s="163"/>
      <c r="BE879" s="207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</row>
    <row r="880" spans="49:75" x14ac:dyDescent="0.3">
      <c r="AW880" s="110"/>
      <c r="AX880" s="163"/>
      <c r="AY880" s="163"/>
      <c r="AZ880" s="163"/>
      <c r="BA880" s="207"/>
      <c r="BB880" s="163"/>
      <c r="BC880" s="163"/>
      <c r="BD880" s="163"/>
      <c r="BE880" s="207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</row>
    <row r="881" spans="45:75" x14ac:dyDescent="0.3">
      <c r="AW881" s="110"/>
      <c r="AX881" s="163"/>
      <c r="AY881" s="163"/>
      <c r="AZ881" s="163"/>
      <c r="BA881" s="207"/>
      <c r="BB881" s="163"/>
      <c r="BC881" s="163"/>
      <c r="BD881" s="163"/>
      <c r="BE881" s="207"/>
      <c r="BG881" s="101"/>
      <c r="BH881" s="101"/>
      <c r="BI881" s="99"/>
      <c r="BM881" s="101"/>
      <c r="BN881" s="101"/>
      <c r="BO881" s="163"/>
      <c r="BP881" s="101"/>
      <c r="BQ881" s="101"/>
      <c r="BR881" s="99"/>
      <c r="BV881" s="101"/>
      <c r="BW881" s="101"/>
    </row>
    <row r="882" spans="45:75" x14ac:dyDescent="0.3">
      <c r="AU882" s="99"/>
      <c r="AV882" s="102"/>
      <c r="AW882" s="110"/>
      <c r="AX882" s="163"/>
      <c r="AY882" s="163"/>
      <c r="AZ882" s="163"/>
      <c r="BA882" s="207"/>
      <c r="BB882" s="163"/>
      <c r="BC882" s="163"/>
      <c r="BD882" s="163"/>
      <c r="BE882" s="207"/>
      <c r="BG882" s="213"/>
      <c r="BH882" s="163"/>
      <c r="BI882" s="163"/>
      <c r="BJ882" s="163"/>
      <c r="BK882" s="213"/>
      <c r="BL882" s="214"/>
      <c r="BM882" s="163"/>
      <c r="BN882" s="213"/>
      <c r="BO882" s="163"/>
      <c r="BP882" s="213"/>
      <c r="BQ882" s="163"/>
      <c r="BR882" s="163"/>
      <c r="BS882" s="163"/>
      <c r="BT882" s="213"/>
      <c r="BU882" s="214"/>
      <c r="BV882" s="163"/>
      <c r="BW882" s="213"/>
    </row>
    <row r="883" spans="45:75" x14ac:dyDescent="0.3">
      <c r="AV883" s="102"/>
      <c r="AW883" s="110"/>
      <c r="AX883" s="163"/>
      <c r="AY883" s="163"/>
      <c r="AZ883" s="163"/>
      <c r="BA883" s="207"/>
      <c r="BB883" s="163"/>
      <c r="BC883" s="163"/>
      <c r="BD883" s="163"/>
      <c r="BE883" s="207"/>
      <c r="BG883" s="163"/>
      <c r="BH883" s="163"/>
      <c r="BI883" s="163"/>
      <c r="BJ883" s="163"/>
      <c r="BK883" s="163"/>
      <c r="BL883" s="214"/>
      <c r="BM883" s="163"/>
      <c r="BN883" s="163"/>
      <c r="BO883" s="163"/>
      <c r="BP883" s="163"/>
      <c r="BQ883" s="163"/>
      <c r="BR883" s="163"/>
      <c r="BS883" s="163"/>
      <c r="BT883" s="163"/>
      <c r="BU883" s="214"/>
      <c r="BV883" s="163"/>
      <c r="BW883" s="163"/>
    </row>
    <row r="884" spans="45:75" x14ac:dyDescent="0.3">
      <c r="AV884" s="102"/>
      <c r="AW884" s="110"/>
      <c r="AX884" s="163"/>
      <c r="AY884" s="163"/>
      <c r="AZ884" s="163"/>
      <c r="BA884" s="207"/>
      <c r="BB884" s="163"/>
      <c r="BC884" s="163"/>
      <c r="BD884" s="163"/>
      <c r="BE884" s="207"/>
      <c r="BG884" s="163"/>
      <c r="BH884" s="163"/>
      <c r="BI884" s="163"/>
      <c r="BJ884" s="163"/>
      <c r="BK884" s="163"/>
      <c r="BL884" s="214"/>
      <c r="BM884" s="163"/>
      <c r="BN884" s="163"/>
      <c r="BO884" s="163"/>
      <c r="BP884" s="163"/>
      <c r="BQ884" s="163"/>
      <c r="BR884" s="163"/>
      <c r="BS884" s="163"/>
      <c r="BT884" s="163"/>
      <c r="BU884" s="214"/>
      <c r="BV884" s="163"/>
      <c r="BW884" s="163"/>
    </row>
    <row r="885" spans="45:75" x14ac:dyDescent="0.3">
      <c r="AV885" s="102"/>
      <c r="AW885" s="110"/>
      <c r="AX885" s="163"/>
      <c r="AY885" s="163"/>
      <c r="AZ885" s="163"/>
      <c r="BA885" s="207"/>
      <c r="BB885" s="163"/>
      <c r="BC885" s="163"/>
      <c r="BD885" s="163"/>
      <c r="BE885" s="207"/>
      <c r="BG885" s="163"/>
      <c r="BH885" s="163"/>
      <c r="BI885" s="163"/>
      <c r="BJ885" s="163"/>
      <c r="BK885" s="163"/>
      <c r="BL885" s="214"/>
      <c r="BM885" s="163"/>
      <c r="BN885" s="163"/>
      <c r="BO885" s="163"/>
      <c r="BP885" s="163"/>
      <c r="BQ885" s="163"/>
      <c r="BR885" s="163"/>
      <c r="BS885" s="163"/>
      <c r="BT885" s="163"/>
      <c r="BU885" s="214"/>
      <c r="BV885" s="163"/>
      <c r="BW885" s="163"/>
    </row>
    <row r="886" spans="45:75" x14ac:dyDescent="0.3">
      <c r="AX886" s="163"/>
      <c r="AY886" s="163"/>
      <c r="AZ886" s="163"/>
      <c r="BA886" s="207"/>
      <c r="BB886" s="163"/>
      <c r="BC886" s="163"/>
      <c r="BD886" s="163"/>
      <c r="BE886" s="207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</row>
    <row r="887" spans="45:75" x14ac:dyDescent="0.3">
      <c r="AU887" s="99"/>
    </row>
    <row r="888" spans="45:75" x14ac:dyDescent="0.3">
      <c r="AU888" s="99"/>
      <c r="AZ888" s="163"/>
      <c r="BA888" s="207"/>
      <c r="BB888" s="163"/>
      <c r="BC888" s="163"/>
      <c r="BD888" s="163"/>
      <c r="BE888" s="207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</row>
    <row r="889" spans="45:75" x14ac:dyDescent="0.3">
      <c r="AS889" s="99"/>
      <c r="AZ889" s="163"/>
      <c r="BB889" s="163"/>
    </row>
    <row r="890" spans="45:75" x14ac:dyDescent="0.3">
      <c r="AZ890" s="163"/>
      <c r="BB890" s="163"/>
      <c r="BO890" s="163"/>
      <c r="BP890" s="163"/>
      <c r="BQ890" s="163"/>
      <c r="BR890" s="163"/>
      <c r="BS890" s="163"/>
      <c r="BT890" s="163"/>
      <c r="BU890" s="163"/>
      <c r="BV890" s="163"/>
    </row>
    <row r="891" spans="45:75" x14ac:dyDescent="0.3">
      <c r="AY891" s="163"/>
      <c r="AZ891" s="163"/>
      <c r="BB891" s="163"/>
      <c r="BO891" s="163"/>
      <c r="BP891" s="163"/>
      <c r="BQ891" s="163"/>
      <c r="BR891" s="163"/>
      <c r="BS891" s="163"/>
      <c r="BT891" s="163"/>
      <c r="BU891" s="163"/>
      <c r="BV891" s="163"/>
    </row>
    <row r="892" spans="45:75" x14ac:dyDescent="0.3">
      <c r="AY892" s="99"/>
      <c r="AZ892" s="163"/>
      <c r="BB892" s="163"/>
      <c r="BO892" s="163"/>
      <c r="BP892" s="163"/>
      <c r="BQ892" s="163"/>
      <c r="BR892" s="163"/>
      <c r="BS892" s="163"/>
      <c r="BT892" s="163"/>
      <c r="BU892" s="163"/>
      <c r="BV892" s="163"/>
    </row>
    <row r="893" spans="45:75" x14ac:dyDescent="0.3">
      <c r="AY893" s="99"/>
      <c r="AZ893" s="163"/>
      <c r="BB893" s="163"/>
      <c r="BO893" s="163"/>
      <c r="BP893" s="163"/>
      <c r="BQ893" s="163"/>
      <c r="BR893" s="163"/>
      <c r="BS893" s="163"/>
      <c r="BT893" s="163"/>
      <c r="BU893" s="163"/>
      <c r="BV893" s="163"/>
    </row>
    <row r="894" spans="45:75" x14ac:dyDescent="0.3">
      <c r="AZ894" s="163"/>
      <c r="BB894" s="163"/>
      <c r="BD894" s="99"/>
      <c r="BO894" s="163"/>
      <c r="BP894" s="163"/>
      <c r="BQ894" s="163"/>
      <c r="BR894" s="163"/>
      <c r="BS894" s="163"/>
      <c r="BT894" s="163"/>
      <c r="BU894" s="163"/>
      <c r="BV894" s="163"/>
    </row>
    <row r="895" spans="45:75" x14ac:dyDescent="0.3">
      <c r="AZ895" s="163"/>
      <c r="BB895" s="163"/>
      <c r="BD895" s="99"/>
      <c r="BO895" s="163"/>
      <c r="BP895" s="163"/>
      <c r="BQ895" s="163"/>
      <c r="BR895" s="163"/>
      <c r="BS895" s="163"/>
      <c r="BT895" s="163"/>
      <c r="BU895" s="163"/>
      <c r="BV895" s="163"/>
    </row>
    <row r="896" spans="45:75" x14ac:dyDescent="0.3">
      <c r="AS896" s="99"/>
      <c r="AZ896" s="163"/>
      <c r="BB896" s="163"/>
      <c r="BD896" s="99"/>
      <c r="BO896" s="163"/>
      <c r="BP896" s="163"/>
      <c r="BQ896" s="163"/>
      <c r="BR896" s="163"/>
      <c r="BS896" s="163"/>
      <c r="BT896" s="163"/>
      <c r="BU896" s="163"/>
      <c r="BV896" s="163"/>
    </row>
    <row r="897" spans="45:74" x14ac:dyDescent="0.3">
      <c r="AZ897" s="163"/>
      <c r="BB897" s="163"/>
      <c r="BO897" s="163"/>
      <c r="BP897" s="163"/>
      <c r="BQ897" s="163"/>
      <c r="BR897" s="163"/>
      <c r="BS897" s="163"/>
      <c r="BT897" s="163"/>
      <c r="BU897" s="163"/>
      <c r="BV897" s="163"/>
    </row>
    <row r="898" spans="45:74" x14ac:dyDescent="0.3">
      <c r="AS898" s="101"/>
      <c r="AT898" s="101"/>
      <c r="AU898" s="101"/>
      <c r="AV898" s="101"/>
      <c r="AW898" s="101"/>
      <c r="AX898" s="101"/>
      <c r="AY898" s="101"/>
      <c r="AZ898" s="212"/>
      <c r="BA898" s="101"/>
      <c r="BB898" s="212"/>
      <c r="BC898" s="101"/>
      <c r="BD898" s="101"/>
      <c r="BE898" s="101"/>
      <c r="BO898" s="163"/>
      <c r="BP898" s="163"/>
      <c r="BQ898" s="163"/>
      <c r="BR898" s="163"/>
      <c r="BS898" s="163"/>
      <c r="BT898" s="163"/>
      <c r="BU898" s="163"/>
      <c r="BV898" s="163"/>
    </row>
    <row r="899" spans="45:74" x14ac:dyDescent="0.3">
      <c r="AX899" s="99"/>
      <c r="AZ899" s="163"/>
      <c r="BB899" s="163"/>
      <c r="BO899" s="163"/>
      <c r="BP899" s="163"/>
      <c r="BQ899" s="163"/>
      <c r="BR899" s="163"/>
      <c r="BS899" s="163"/>
      <c r="BT899" s="163"/>
      <c r="BU899" s="163"/>
      <c r="BV899" s="163"/>
    </row>
    <row r="900" spans="45:74" x14ac:dyDescent="0.3">
      <c r="AX900" s="101"/>
      <c r="AY900" s="101"/>
      <c r="AZ900" s="212"/>
      <c r="BA900" s="101"/>
      <c r="BB900" s="163"/>
      <c r="BC900" s="102"/>
      <c r="BD900" s="102"/>
      <c r="BO900" s="163"/>
      <c r="BP900" s="163"/>
      <c r="BQ900" s="163"/>
      <c r="BR900" s="163"/>
      <c r="BS900" s="163"/>
      <c r="BT900" s="163"/>
      <c r="BU900" s="163"/>
      <c r="BV900" s="163"/>
    </row>
    <row r="901" spans="45:74" x14ac:dyDescent="0.3">
      <c r="AV901" s="102"/>
      <c r="AW901" s="102"/>
      <c r="AZ901" s="213"/>
      <c r="BA901" s="102"/>
      <c r="BB901" s="163"/>
      <c r="BC901" s="102"/>
      <c r="BD901" s="102"/>
      <c r="BE901" s="102"/>
      <c r="BG901" s="101"/>
      <c r="BH901" s="99"/>
      <c r="BK901" s="101"/>
      <c r="BM901" s="101"/>
      <c r="BN901" s="99"/>
      <c r="BQ901" s="101"/>
    </row>
    <row r="902" spans="45:74" x14ac:dyDescent="0.3">
      <c r="AV902" s="102"/>
      <c r="AW902" s="102"/>
      <c r="AX902" s="102"/>
      <c r="AY902" s="102"/>
      <c r="AZ902" s="213"/>
      <c r="BA902" s="102"/>
      <c r="BB902" s="213"/>
      <c r="BC902" s="102"/>
      <c r="BD902" s="102"/>
      <c r="BE902" s="102"/>
      <c r="BH902" s="102"/>
      <c r="BI902" s="102"/>
      <c r="BN902" s="102"/>
      <c r="BO902" s="102"/>
    </row>
    <row r="903" spans="45:74" x14ac:dyDescent="0.3">
      <c r="AS903" s="102"/>
      <c r="AU903" s="99"/>
      <c r="AV903" s="102"/>
      <c r="AW903" s="102"/>
      <c r="AX903" s="102"/>
      <c r="AY903" s="102"/>
      <c r="AZ903" s="213"/>
      <c r="BA903" s="102"/>
      <c r="BB903" s="213"/>
      <c r="BC903" s="102"/>
      <c r="BD903" s="102"/>
      <c r="BE903" s="102"/>
      <c r="BG903" s="102"/>
      <c r="BH903" s="102"/>
      <c r="BI903" s="102"/>
      <c r="BJ903" s="102"/>
      <c r="BK903" s="102"/>
      <c r="BM903" s="102"/>
      <c r="BN903" s="102"/>
      <c r="BO903" s="102"/>
      <c r="BP903" s="102"/>
      <c r="BQ903" s="102"/>
    </row>
    <row r="904" spans="45:74" x14ac:dyDescent="0.3">
      <c r="AS904" s="102"/>
      <c r="AU904" s="99"/>
      <c r="AV904" s="102"/>
      <c r="AW904" s="102"/>
      <c r="AX904" s="102"/>
      <c r="AY904" s="102"/>
      <c r="AZ904" s="213"/>
      <c r="BA904" s="102"/>
      <c r="BB904" s="213"/>
      <c r="BC904" s="102"/>
      <c r="BD904" s="102"/>
      <c r="BE904" s="102"/>
      <c r="BG904" s="102"/>
      <c r="BH904" s="102"/>
      <c r="BI904" s="102"/>
      <c r="BJ904" s="102"/>
      <c r="BK904" s="102"/>
      <c r="BM904" s="102"/>
      <c r="BN904" s="102"/>
      <c r="BO904" s="102"/>
      <c r="BP904" s="102"/>
      <c r="BQ904" s="102"/>
    </row>
    <row r="905" spans="45:74" x14ac:dyDescent="0.3">
      <c r="AS905" s="101"/>
      <c r="AT905" s="101"/>
      <c r="AU905" s="101"/>
      <c r="AV905" s="101"/>
      <c r="AW905" s="101"/>
      <c r="AX905" s="101"/>
      <c r="AY905" s="101"/>
      <c r="AZ905" s="212"/>
      <c r="BA905" s="101"/>
      <c r="BB905" s="212"/>
      <c r="BC905" s="101"/>
      <c r="BD905" s="101"/>
      <c r="BE905" s="101"/>
      <c r="BG905" s="101"/>
      <c r="BH905" s="101"/>
      <c r="BI905" s="101"/>
      <c r="BJ905" s="101"/>
      <c r="BK905" s="101"/>
      <c r="BM905" s="101"/>
      <c r="BN905" s="101"/>
      <c r="BO905" s="101"/>
      <c r="BP905" s="101"/>
      <c r="BQ905" s="101"/>
    </row>
    <row r="906" spans="45:74" x14ac:dyDescent="0.3">
      <c r="AV906" s="102"/>
      <c r="AW906" s="102"/>
      <c r="AX906" s="102"/>
      <c r="AY906" s="102"/>
      <c r="AZ906" s="213"/>
      <c r="BA906" s="102"/>
      <c r="BB906" s="213"/>
      <c r="BC906" s="102"/>
      <c r="BD906" s="102"/>
      <c r="BE906" s="102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</row>
    <row r="907" spans="45:74" x14ac:dyDescent="0.3">
      <c r="AT907" s="99"/>
      <c r="AV907" s="110"/>
      <c r="AW907" s="110"/>
      <c r="AX907" s="163"/>
      <c r="AY907" s="163"/>
      <c r="AZ907" s="163"/>
      <c r="BA907" s="207"/>
      <c r="BB907" s="163"/>
      <c r="BC907" s="163"/>
      <c r="BD907" s="163"/>
      <c r="BE907" s="207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</row>
    <row r="908" spans="45:74" x14ac:dyDescent="0.3">
      <c r="AV908" s="110"/>
      <c r="AW908" s="110"/>
      <c r="AX908" s="163"/>
      <c r="AY908" s="163"/>
      <c r="AZ908" s="163"/>
      <c r="BA908" s="207"/>
      <c r="BB908" s="163"/>
      <c r="BC908" s="163"/>
      <c r="BD908" s="163"/>
      <c r="BE908" s="207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</row>
    <row r="909" spans="45:74" x14ac:dyDescent="0.3">
      <c r="AV909" s="110"/>
      <c r="AW909" s="110"/>
      <c r="AX909" s="163"/>
      <c r="AY909" s="163"/>
      <c r="AZ909" s="163"/>
      <c r="BA909" s="207"/>
      <c r="BB909" s="163"/>
      <c r="BC909" s="163"/>
      <c r="BD909" s="163"/>
      <c r="BE909" s="207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</row>
    <row r="910" spans="45:74" x14ac:dyDescent="0.3">
      <c r="AV910" s="110"/>
      <c r="AW910" s="110"/>
      <c r="AX910" s="163"/>
      <c r="AY910" s="163"/>
      <c r="AZ910" s="163"/>
      <c r="BA910" s="207"/>
      <c r="BB910" s="163"/>
      <c r="BC910" s="163"/>
      <c r="BD910" s="163"/>
      <c r="BE910" s="207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</row>
    <row r="911" spans="45:74" x14ac:dyDescent="0.3">
      <c r="AV911" s="110"/>
      <c r="AW911" s="110"/>
      <c r="AX911" s="163"/>
      <c r="AY911" s="163"/>
      <c r="AZ911" s="163"/>
      <c r="BA911" s="207"/>
      <c r="BB911" s="163"/>
      <c r="BC911" s="163"/>
      <c r="BD911" s="163"/>
      <c r="BE911" s="207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</row>
    <row r="912" spans="45:74" x14ac:dyDescent="0.3">
      <c r="AV912" s="110"/>
      <c r="AW912" s="110"/>
      <c r="AX912" s="163"/>
      <c r="AY912" s="163"/>
      <c r="AZ912" s="163"/>
      <c r="BA912" s="207"/>
      <c r="BB912" s="163"/>
      <c r="BC912" s="163"/>
      <c r="BD912" s="163"/>
      <c r="BE912" s="207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</row>
    <row r="913" spans="46:71" x14ac:dyDescent="0.3">
      <c r="AV913" s="110"/>
      <c r="AW913" s="110"/>
      <c r="AX913" s="163"/>
      <c r="AY913" s="163"/>
      <c r="AZ913" s="163"/>
      <c r="BA913" s="207"/>
      <c r="BB913" s="163"/>
      <c r="BC913" s="163"/>
      <c r="BD913" s="163"/>
      <c r="BE913" s="207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</row>
    <row r="914" spans="46:71" x14ac:dyDescent="0.3">
      <c r="AV914" s="110"/>
      <c r="AW914" s="110"/>
      <c r="AX914" s="163"/>
      <c r="AY914" s="163"/>
      <c r="AZ914" s="163"/>
      <c r="BA914" s="207"/>
      <c r="BB914" s="163"/>
      <c r="BC914" s="163"/>
      <c r="BD914" s="163"/>
      <c r="BE914" s="207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</row>
    <row r="915" spans="46:71" x14ac:dyDescent="0.3">
      <c r="AV915" s="110"/>
      <c r="AW915" s="110"/>
      <c r="AX915" s="163"/>
      <c r="AY915" s="163"/>
      <c r="AZ915" s="163"/>
      <c r="BA915" s="207"/>
      <c r="BB915" s="163"/>
      <c r="BC915" s="163"/>
      <c r="BD915" s="163"/>
      <c r="BE915" s="207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</row>
    <row r="916" spans="46:71" x14ac:dyDescent="0.3">
      <c r="AV916" s="110"/>
      <c r="AW916" s="110"/>
      <c r="AX916" s="163"/>
      <c r="AY916" s="163"/>
      <c r="AZ916" s="163"/>
      <c r="BA916" s="207"/>
      <c r="BB916" s="163"/>
      <c r="BC916" s="163"/>
      <c r="BD916" s="163"/>
      <c r="BE916" s="207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</row>
    <row r="917" spans="46:71" x14ac:dyDescent="0.3">
      <c r="AV917" s="110"/>
      <c r="AW917" s="110"/>
      <c r="AX917" s="163"/>
      <c r="AY917" s="163"/>
      <c r="AZ917" s="163"/>
      <c r="BA917" s="207"/>
      <c r="BB917" s="163"/>
      <c r="BC917" s="163"/>
      <c r="BD917" s="163"/>
      <c r="BE917" s="207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</row>
    <row r="918" spans="46:71" x14ac:dyDescent="0.3">
      <c r="AV918" s="110"/>
      <c r="AW918" s="110"/>
      <c r="AX918" s="163"/>
      <c r="AY918" s="163"/>
      <c r="AZ918" s="163"/>
      <c r="BA918" s="207"/>
      <c r="BB918" s="163"/>
      <c r="BC918" s="163"/>
      <c r="BD918" s="163"/>
      <c r="BE918" s="207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</row>
    <row r="919" spans="46:71" x14ac:dyDescent="0.3">
      <c r="AV919" s="110"/>
      <c r="AW919" s="110"/>
      <c r="AX919" s="163"/>
      <c r="AY919" s="163"/>
      <c r="AZ919" s="163"/>
      <c r="BA919" s="207"/>
      <c r="BB919" s="163"/>
      <c r="BC919" s="163"/>
      <c r="BD919" s="163"/>
      <c r="BE919" s="207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</row>
    <row r="920" spans="46:71" x14ac:dyDescent="0.3">
      <c r="AV920" s="110"/>
      <c r="AW920" s="110"/>
      <c r="AX920" s="163"/>
      <c r="AY920" s="163"/>
      <c r="AZ920" s="163"/>
      <c r="BA920" s="207"/>
      <c r="BB920" s="163"/>
      <c r="BC920" s="163"/>
      <c r="BD920" s="163"/>
      <c r="BE920" s="207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</row>
    <row r="921" spans="46:71" x14ac:dyDescent="0.3">
      <c r="AV921" s="110"/>
      <c r="AW921" s="110"/>
      <c r="AX921" s="163"/>
      <c r="AY921" s="163"/>
      <c r="AZ921" s="163"/>
      <c r="BA921" s="207"/>
      <c r="BB921" s="163"/>
      <c r="BC921" s="163"/>
      <c r="BD921" s="163"/>
      <c r="BE921" s="207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</row>
    <row r="922" spans="46:71" x14ac:dyDescent="0.3">
      <c r="AV922" s="110"/>
      <c r="AW922" s="110"/>
      <c r="AX922" s="163"/>
      <c r="AY922" s="163"/>
      <c r="AZ922" s="163"/>
      <c r="BA922" s="207"/>
      <c r="BB922" s="163"/>
      <c r="BC922" s="163"/>
      <c r="BD922" s="163"/>
      <c r="BE922" s="207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</row>
    <row r="923" spans="46:71" x14ac:dyDescent="0.3">
      <c r="AV923" s="110"/>
      <c r="AW923" s="110"/>
      <c r="AX923" s="163"/>
      <c r="AY923" s="163"/>
      <c r="AZ923" s="163"/>
      <c r="BA923" s="207"/>
      <c r="BB923" s="163"/>
      <c r="BC923" s="163"/>
      <c r="BD923" s="163"/>
      <c r="BE923" s="207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</row>
    <row r="924" spans="46:71" x14ac:dyDescent="0.3">
      <c r="AV924" s="110"/>
      <c r="AW924" s="110"/>
      <c r="AX924" s="163"/>
      <c r="AY924" s="163"/>
      <c r="AZ924" s="163"/>
      <c r="BA924" s="207"/>
      <c r="BB924" s="163"/>
      <c r="BC924" s="163"/>
      <c r="BD924" s="163"/>
      <c r="BE924" s="207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</row>
    <row r="925" spans="46:71" x14ac:dyDescent="0.3">
      <c r="AZ925" s="163"/>
      <c r="BB925" s="163"/>
      <c r="BC925" s="163"/>
      <c r="BD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</row>
    <row r="926" spans="46:71" x14ac:dyDescent="0.3">
      <c r="AT926" s="99"/>
      <c r="AV926" s="110"/>
      <c r="AW926" s="110"/>
      <c r="AX926" s="163"/>
      <c r="AY926" s="163"/>
      <c r="AZ926" s="163"/>
      <c r="BA926" s="207"/>
      <c r="BB926" s="163"/>
      <c r="BC926" s="163"/>
      <c r="BD926" s="163"/>
      <c r="BE926" s="207"/>
    </row>
    <row r="927" spans="46:71" x14ac:dyDescent="0.3">
      <c r="AV927" s="110"/>
      <c r="AW927" s="110"/>
      <c r="AX927" s="163"/>
      <c r="AY927" s="163"/>
      <c r="AZ927" s="163"/>
      <c r="BA927" s="207"/>
      <c r="BB927" s="163"/>
      <c r="BC927" s="163"/>
      <c r="BD927" s="163"/>
      <c r="BE927" s="207"/>
    </row>
    <row r="928" spans="46:71" x14ac:dyDescent="0.3">
      <c r="AV928" s="110"/>
      <c r="AW928" s="110"/>
      <c r="AX928" s="163"/>
      <c r="AY928" s="163"/>
      <c r="AZ928" s="163"/>
      <c r="BA928" s="207"/>
      <c r="BB928" s="163"/>
      <c r="BC928" s="163"/>
      <c r="BD928" s="163"/>
      <c r="BE928" s="207"/>
    </row>
    <row r="929" spans="48:57" x14ac:dyDescent="0.3">
      <c r="AV929" s="110"/>
      <c r="AW929" s="110"/>
      <c r="AX929" s="163"/>
      <c r="AY929" s="163"/>
      <c r="AZ929" s="163"/>
      <c r="BA929" s="207"/>
      <c r="BB929" s="163"/>
      <c r="BC929" s="163"/>
      <c r="BD929" s="163"/>
      <c r="BE929" s="207"/>
    </row>
    <row r="930" spans="48:57" x14ac:dyDescent="0.3">
      <c r="AV930" s="110"/>
      <c r="AW930" s="110"/>
      <c r="AX930" s="163"/>
      <c r="AY930" s="163"/>
      <c r="AZ930" s="163"/>
      <c r="BA930" s="207"/>
      <c r="BB930" s="163"/>
      <c r="BC930" s="163"/>
      <c r="BD930" s="163"/>
      <c r="BE930" s="207"/>
    </row>
    <row r="931" spans="48:57" x14ac:dyDescent="0.3">
      <c r="AV931" s="110"/>
      <c r="AW931" s="110"/>
      <c r="AX931" s="163"/>
      <c r="AY931" s="163"/>
      <c r="AZ931" s="163"/>
      <c r="BA931" s="207"/>
      <c r="BB931" s="163"/>
      <c r="BC931" s="163"/>
      <c r="BD931" s="163"/>
      <c r="BE931" s="207"/>
    </row>
    <row r="932" spans="48:57" x14ac:dyDescent="0.3">
      <c r="AV932" s="110"/>
      <c r="AW932" s="110"/>
      <c r="AX932" s="163"/>
      <c r="AY932" s="163"/>
      <c r="AZ932" s="163"/>
      <c r="BA932" s="207"/>
      <c r="BB932" s="163"/>
      <c r="BC932" s="163"/>
      <c r="BD932" s="163"/>
      <c r="BE932" s="207"/>
    </row>
    <row r="933" spans="48:57" x14ac:dyDescent="0.3">
      <c r="AV933" s="110"/>
      <c r="AW933" s="110"/>
      <c r="AX933" s="163"/>
      <c r="AY933" s="163"/>
      <c r="AZ933" s="163"/>
      <c r="BA933" s="207"/>
      <c r="BB933" s="163"/>
      <c r="BC933" s="163"/>
      <c r="BD933" s="163"/>
      <c r="BE933" s="207"/>
    </row>
    <row r="934" spans="48:57" x14ac:dyDescent="0.3">
      <c r="AV934" s="110"/>
      <c r="AW934" s="110"/>
      <c r="AX934" s="163"/>
      <c r="AY934" s="163"/>
      <c r="AZ934" s="163"/>
      <c r="BA934" s="207"/>
      <c r="BB934" s="163"/>
      <c r="BC934" s="163"/>
      <c r="BD934" s="163"/>
      <c r="BE934" s="207"/>
    </row>
    <row r="935" spans="48:57" x14ac:dyDescent="0.3">
      <c r="AV935" s="110"/>
      <c r="AW935" s="110"/>
      <c r="AX935" s="163"/>
      <c r="AY935" s="163"/>
      <c r="AZ935" s="163"/>
      <c r="BA935" s="207"/>
      <c r="BB935" s="163"/>
      <c r="BC935" s="163"/>
      <c r="BD935" s="163"/>
      <c r="BE935" s="207"/>
    </row>
    <row r="936" spans="48:57" x14ac:dyDescent="0.3">
      <c r="AV936" s="110"/>
      <c r="AW936" s="110"/>
      <c r="AX936" s="163"/>
      <c r="AY936" s="163"/>
      <c r="AZ936" s="163"/>
      <c r="BA936" s="207"/>
      <c r="BB936" s="163"/>
      <c r="BC936" s="163"/>
      <c r="BD936" s="163"/>
      <c r="BE936" s="207"/>
    </row>
    <row r="937" spans="48:57" x14ac:dyDescent="0.3">
      <c r="AV937" s="110"/>
      <c r="AW937" s="110"/>
      <c r="AX937" s="163"/>
      <c r="AY937" s="163"/>
      <c r="AZ937" s="163"/>
      <c r="BA937" s="207"/>
      <c r="BB937" s="163"/>
      <c r="BC937" s="163"/>
      <c r="BD937" s="163"/>
      <c r="BE937" s="207"/>
    </row>
    <row r="938" spans="48:57" x14ac:dyDescent="0.3">
      <c r="AV938" s="110"/>
      <c r="AW938" s="110"/>
      <c r="AX938" s="163"/>
      <c r="AY938" s="163"/>
      <c r="AZ938" s="163"/>
      <c r="BA938" s="207"/>
      <c r="BB938" s="163"/>
      <c r="BC938" s="163"/>
      <c r="BD938" s="163"/>
      <c r="BE938" s="207"/>
    </row>
    <row r="939" spans="48:57" x14ac:dyDescent="0.3">
      <c r="AV939" s="110"/>
      <c r="AW939" s="110"/>
      <c r="AX939" s="163"/>
      <c r="AY939" s="163"/>
      <c r="AZ939" s="163"/>
      <c r="BA939" s="207"/>
      <c r="BB939" s="163"/>
      <c r="BC939" s="163"/>
      <c r="BD939" s="163"/>
      <c r="BE939" s="207"/>
    </row>
    <row r="940" spans="48:57" x14ac:dyDescent="0.3">
      <c r="AV940" s="110"/>
      <c r="AW940" s="110"/>
      <c r="AX940" s="163"/>
      <c r="AY940" s="163"/>
      <c r="AZ940" s="163"/>
      <c r="BA940" s="207"/>
      <c r="BB940" s="163"/>
      <c r="BC940" s="163"/>
      <c r="BD940" s="163"/>
      <c r="BE940" s="207"/>
    </row>
    <row r="941" spans="48:57" x14ac:dyDescent="0.3">
      <c r="AV941" s="110"/>
      <c r="AW941" s="110"/>
      <c r="AX941" s="163"/>
      <c r="AY941" s="163"/>
      <c r="AZ941" s="163"/>
      <c r="BA941" s="207"/>
      <c r="BB941" s="163"/>
      <c r="BC941" s="163"/>
      <c r="BD941" s="163"/>
      <c r="BE941" s="207"/>
    </row>
    <row r="942" spans="48:57" x14ac:dyDescent="0.3">
      <c r="AV942" s="110"/>
      <c r="AW942" s="110"/>
      <c r="AX942" s="163"/>
      <c r="AY942" s="163"/>
      <c r="AZ942" s="163"/>
      <c r="BA942" s="207"/>
      <c r="BB942" s="163"/>
      <c r="BC942" s="163"/>
      <c r="BD942" s="163"/>
      <c r="BE942" s="207"/>
    </row>
    <row r="943" spans="48:57" x14ac:dyDescent="0.3">
      <c r="AV943" s="110"/>
      <c r="AW943" s="110"/>
      <c r="AX943" s="163"/>
      <c r="AY943" s="163"/>
      <c r="AZ943" s="163"/>
      <c r="BA943" s="207"/>
      <c r="BB943" s="163"/>
      <c r="BC943" s="163"/>
      <c r="BD943" s="163"/>
      <c r="BE943" s="207"/>
    </row>
    <row r="944" spans="48:57" x14ac:dyDescent="0.3">
      <c r="BB944" s="163"/>
    </row>
    <row r="945" spans="45:57" x14ac:dyDescent="0.3">
      <c r="AU945" s="99"/>
      <c r="BB945" s="163"/>
    </row>
    <row r="946" spans="45:57" x14ac:dyDescent="0.3">
      <c r="AU946" s="99"/>
    </row>
    <row r="947" spans="45:57" x14ac:dyDescent="0.3">
      <c r="AU947" s="99"/>
      <c r="BB947" s="163"/>
    </row>
    <row r="948" spans="45:57" x14ac:dyDescent="0.3">
      <c r="AS948" s="99"/>
      <c r="AZ948" s="163"/>
      <c r="BB948" s="163"/>
    </row>
    <row r="949" spans="45:57" x14ac:dyDescent="0.3">
      <c r="AZ949" s="163"/>
      <c r="BB949" s="163"/>
    </row>
    <row r="950" spans="45:57" x14ac:dyDescent="0.3">
      <c r="AY950" s="163"/>
      <c r="AZ950" s="163"/>
      <c r="BB950" s="163"/>
    </row>
    <row r="951" spans="45:57" x14ac:dyDescent="0.3">
      <c r="AY951" s="99"/>
      <c r="AZ951" s="163"/>
      <c r="BB951" s="163"/>
    </row>
    <row r="952" spans="45:57" x14ac:dyDescent="0.3">
      <c r="AY952" s="99"/>
      <c r="AZ952" s="163"/>
      <c r="BB952" s="163"/>
    </row>
    <row r="953" spans="45:57" x14ac:dyDescent="0.3">
      <c r="AZ953" s="163"/>
      <c r="BB953" s="163"/>
      <c r="BD953" s="99"/>
    </row>
    <row r="954" spans="45:57" x14ac:dyDescent="0.3">
      <c r="AZ954" s="163"/>
      <c r="BB954" s="163"/>
      <c r="BD954" s="99"/>
    </row>
    <row r="955" spans="45:57" x14ac:dyDescent="0.3">
      <c r="AS955" s="99"/>
      <c r="AZ955" s="163"/>
      <c r="BB955" s="163"/>
      <c r="BD955" s="99"/>
    </row>
    <row r="956" spans="45:57" x14ac:dyDescent="0.3">
      <c r="AZ956" s="163"/>
      <c r="BB956" s="163"/>
    </row>
    <row r="957" spans="45:57" x14ac:dyDescent="0.3">
      <c r="AS957" s="101"/>
      <c r="AT957" s="101"/>
      <c r="AU957" s="101"/>
      <c r="AV957" s="101"/>
      <c r="AW957" s="101"/>
      <c r="AX957" s="101"/>
      <c r="AY957" s="101"/>
      <c r="AZ957" s="212"/>
      <c r="BA957" s="101"/>
      <c r="BB957" s="212"/>
      <c r="BC957" s="101"/>
      <c r="BD957" s="101"/>
      <c r="BE957" s="101"/>
    </row>
    <row r="958" spans="45:57" x14ac:dyDescent="0.3">
      <c r="AX958" s="99"/>
      <c r="AZ958" s="163"/>
      <c r="BB958" s="163"/>
    </row>
    <row r="959" spans="45:57" x14ac:dyDescent="0.3">
      <c r="AX959" s="101"/>
      <c r="AY959" s="101"/>
      <c r="AZ959" s="212"/>
      <c r="BA959" s="101"/>
      <c r="BB959" s="163"/>
      <c r="BC959" s="102"/>
      <c r="BD959" s="102"/>
    </row>
    <row r="960" spans="45:57" x14ac:dyDescent="0.3">
      <c r="AV960" s="102"/>
      <c r="AW960" s="102"/>
      <c r="AZ960" s="213"/>
      <c r="BA960" s="102"/>
      <c r="BB960" s="163"/>
      <c r="BC960" s="102"/>
      <c r="BD960" s="102"/>
      <c r="BE960" s="102"/>
    </row>
    <row r="961" spans="45:57" x14ac:dyDescent="0.3">
      <c r="AV961" s="102"/>
      <c r="AW961" s="102"/>
      <c r="AX961" s="102"/>
      <c r="AY961" s="102"/>
      <c r="AZ961" s="213"/>
      <c r="BA961" s="102"/>
      <c r="BB961" s="213"/>
      <c r="BC961" s="102"/>
      <c r="BD961" s="102"/>
      <c r="BE961" s="102"/>
    </row>
    <row r="962" spans="45:57" x14ac:dyDescent="0.3">
      <c r="AS962" s="102"/>
      <c r="AU962" s="99"/>
      <c r="AV962" s="102"/>
      <c r="AW962" s="102"/>
      <c r="AX962" s="102"/>
      <c r="AY962" s="102"/>
      <c r="AZ962" s="213"/>
      <c r="BA962" s="102"/>
      <c r="BB962" s="213"/>
      <c r="BC962" s="102"/>
      <c r="BD962" s="102"/>
      <c r="BE962" s="102"/>
    </row>
    <row r="963" spans="45:57" x14ac:dyDescent="0.3">
      <c r="AS963" s="102"/>
      <c r="AU963" s="99"/>
      <c r="AV963" s="102"/>
      <c r="AW963" s="102"/>
      <c r="AX963" s="102"/>
      <c r="AY963" s="102"/>
      <c r="AZ963" s="213"/>
      <c r="BA963" s="102"/>
      <c r="BB963" s="213"/>
      <c r="BC963" s="102"/>
      <c r="BD963" s="102"/>
      <c r="BE963" s="102"/>
    </row>
    <row r="964" spans="45:57" x14ac:dyDescent="0.3">
      <c r="AS964" s="101"/>
      <c r="AT964" s="101"/>
      <c r="AU964" s="101"/>
      <c r="AV964" s="101"/>
      <c r="AW964" s="101"/>
      <c r="AX964" s="101"/>
      <c r="AY964" s="101"/>
      <c r="AZ964" s="212"/>
      <c r="BA964" s="101"/>
      <c r="BB964" s="212"/>
      <c r="BC964" s="101"/>
      <c r="BD964" s="101"/>
      <c r="BE964" s="101"/>
    </row>
    <row r="965" spans="45:57" x14ac:dyDescent="0.3">
      <c r="AV965" s="102"/>
      <c r="AW965" s="102"/>
      <c r="AX965" s="102"/>
      <c r="AY965" s="102"/>
      <c r="AZ965" s="213"/>
      <c r="BA965" s="102"/>
      <c r="BB965" s="213"/>
      <c r="BC965" s="102"/>
      <c r="BD965" s="102"/>
      <c r="BE965" s="102"/>
    </row>
    <row r="966" spans="45:57" x14ac:dyDescent="0.3">
      <c r="AT966" s="99"/>
      <c r="AV966" s="110"/>
      <c r="AW966" s="110"/>
      <c r="AX966" s="163"/>
      <c r="AY966" s="163"/>
      <c r="AZ966" s="163"/>
      <c r="BA966" s="207"/>
      <c r="BB966" s="163"/>
      <c r="BC966" s="163"/>
      <c r="BD966" s="163"/>
      <c r="BE966" s="207"/>
    </row>
    <row r="967" spans="45:57" x14ac:dyDescent="0.3">
      <c r="AV967" s="110"/>
      <c r="AW967" s="110"/>
      <c r="AX967" s="163"/>
      <c r="AY967" s="163"/>
      <c r="AZ967" s="163"/>
      <c r="BA967" s="207"/>
      <c r="BB967" s="163"/>
      <c r="BC967" s="163"/>
      <c r="BD967" s="163"/>
      <c r="BE967" s="207"/>
    </row>
    <row r="968" spans="45:57" x14ac:dyDescent="0.3">
      <c r="AV968" s="110"/>
      <c r="AW968" s="110"/>
      <c r="AX968" s="163"/>
      <c r="AY968" s="163"/>
      <c r="AZ968" s="163"/>
      <c r="BA968" s="207"/>
      <c r="BB968" s="163"/>
      <c r="BC968" s="163"/>
      <c r="BD968" s="163"/>
      <c r="BE968" s="207"/>
    </row>
    <row r="969" spans="45:57" x14ac:dyDescent="0.3">
      <c r="AV969" s="110"/>
      <c r="AW969" s="110"/>
      <c r="AX969" s="163"/>
      <c r="AY969" s="163"/>
      <c r="AZ969" s="163"/>
      <c r="BA969" s="207"/>
      <c r="BB969" s="163"/>
      <c r="BC969" s="163"/>
      <c r="BD969" s="163"/>
      <c r="BE969" s="207"/>
    </row>
    <row r="970" spans="45:57" x14ac:dyDescent="0.3">
      <c r="AV970" s="110"/>
      <c r="AW970" s="110"/>
      <c r="AX970" s="163"/>
      <c r="AY970" s="163"/>
      <c r="AZ970" s="163"/>
      <c r="BA970" s="207"/>
      <c r="BB970" s="163"/>
      <c r="BC970" s="163"/>
      <c r="BD970" s="163"/>
      <c r="BE970" s="207"/>
    </row>
    <row r="971" spans="45:57" x14ac:dyDescent="0.3">
      <c r="AV971" s="110"/>
      <c r="AW971" s="110"/>
      <c r="AX971" s="163"/>
      <c r="AY971" s="163"/>
      <c r="AZ971" s="163"/>
      <c r="BA971" s="207"/>
      <c r="BB971" s="163"/>
      <c r="BC971" s="163"/>
      <c r="BD971" s="163"/>
      <c r="BE971" s="207"/>
    </row>
    <row r="972" spans="45:57" x14ac:dyDescent="0.3">
      <c r="AV972" s="110"/>
      <c r="AW972" s="110"/>
      <c r="AX972" s="163"/>
      <c r="AY972" s="163"/>
      <c r="AZ972" s="163"/>
      <c r="BA972" s="207"/>
      <c r="BB972" s="163"/>
      <c r="BC972" s="163"/>
      <c r="BD972" s="163"/>
      <c r="BE972" s="207"/>
    </row>
    <row r="973" spans="45:57" x14ac:dyDescent="0.3">
      <c r="AV973" s="110"/>
      <c r="AW973" s="110"/>
      <c r="AX973" s="163"/>
      <c r="AY973" s="163"/>
      <c r="AZ973" s="163"/>
      <c r="BA973" s="207"/>
      <c r="BB973" s="163"/>
      <c r="BC973" s="163"/>
      <c r="BD973" s="163"/>
      <c r="BE973" s="207"/>
    </row>
    <row r="974" spans="45:57" x14ac:dyDescent="0.3">
      <c r="AV974" s="110"/>
      <c r="AW974" s="110"/>
      <c r="AX974" s="163"/>
      <c r="AY974" s="163"/>
      <c r="AZ974" s="163"/>
      <c r="BA974" s="207"/>
      <c r="BB974" s="163"/>
      <c r="BC974" s="163"/>
      <c r="BD974" s="163"/>
      <c r="BE974" s="207"/>
    </row>
    <row r="975" spans="45:57" x14ac:dyDescent="0.3">
      <c r="AV975" s="110"/>
      <c r="AW975" s="110"/>
      <c r="AX975" s="163"/>
      <c r="AY975" s="163"/>
      <c r="AZ975" s="163"/>
      <c r="BA975" s="207"/>
      <c r="BB975" s="163"/>
      <c r="BC975" s="163"/>
      <c r="BD975" s="163"/>
      <c r="BE975" s="207"/>
    </row>
    <row r="976" spans="45:57" x14ac:dyDescent="0.3">
      <c r="AV976" s="110"/>
      <c r="AW976" s="110"/>
      <c r="BB976" s="163"/>
    </row>
    <row r="977" spans="45:57" x14ac:dyDescent="0.3">
      <c r="AT977" s="99"/>
      <c r="AV977" s="110"/>
      <c r="AW977" s="110"/>
      <c r="AX977" s="163"/>
      <c r="AY977" s="163"/>
      <c r="AZ977" s="163"/>
      <c r="BA977" s="207"/>
      <c r="BB977" s="163"/>
      <c r="BC977" s="163"/>
      <c r="BD977" s="163"/>
      <c r="BE977" s="207"/>
    </row>
    <row r="978" spans="45:57" x14ac:dyDescent="0.3">
      <c r="AV978" s="110"/>
      <c r="AW978" s="110"/>
      <c r="AX978" s="163"/>
      <c r="AY978" s="163"/>
      <c r="AZ978" s="163"/>
      <c r="BA978" s="207"/>
      <c r="BB978" s="163"/>
      <c r="BC978" s="163"/>
      <c r="BD978" s="163"/>
      <c r="BE978" s="207"/>
    </row>
    <row r="979" spans="45:57" x14ac:dyDescent="0.3">
      <c r="AV979" s="110"/>
      <c r="AW979" s="110"/>
      <c r="AX979" s="163"/>
      <c r="AY979" s="163"/>
      <c r="AZ979" s="163"/>
      <c r="BA979" s="207"/>
      <c r="BB979" s="163"/>
      <c r="BC979" s="163"/>
      <c r="BD979" s="163"/>
      <c r="BE979" s="207"/>
    </row>
    <row r="980" spans="45:57" x14ac:dyDescent="0.3">
      <c r="AV980" s="110"/>
      <c r="AW980" s="110"/>
      <c r="AX980" s="163"/>
      <c r="AY980" s="163"/>
      <c r="AZ980" s="163"/>
      <c r="BA980" s="207"/>
      <c r="BB980" s="163"/>
      <c r="BC980" s="163"/>
      <c r="BD980" s="163"/>
      <c r="BE980" s="207"/>
    </row>
    <row r="981" spans="45:57" x14ac:dyDescent="0.3">
      <c r="AV981" s="110"/>
      <c r="AW981" s="110"/>
      <c r="AX981" s="163"/>
      <c r="AY981" s="163"/>
      <c r="AZ981" s="163"/>
      <c r="BA981" s="207"/>
      <c r="BB981" s="163"/>
      <c r="BC981" s="163"/>
      <c r="BD981" s="163"/>
      <c r="BE981" s="207"/>
    </row>
    <row r="982" spans="45:57" x14ac:dyDescent="0.3">
      <c r="AV982" s="110"/>
      <c r="AW982" s="110"/>
      <c r="AX982" s="163"/>
      <c r="AY982" s="163"/>
      <c r="AZ982" s="163"/>
      <c r="BA982" s="207"/>
      <c r="BB982" s="163"/>
      <c r="BC982" s="163"/>
      <c r="BD982" s="163"/>
      <c r="BE982" s="207"/>
    </row>
    <row r="983" spans="45:57" x14ac:dyDescent="0.3">
      <c r="AV983" s="110"/>
      <c r="AW983" s="110"/>
      <c r="AX983" s="163"/>
      <c r="AY983" s="163"/>
      <c r="AZ983" s="163"/>
      <c r="BA983" s="207"/>
      <c r="BB983" s="163"/>
      <c r="BC983" s="163"/>
      <c r="BD983" s="163"/>
      <c r="BE983" s="207"/>
    </row>
    <row r="984" spans="45:57" x14ac:dyDescent="0.3">
      <c r="AV984" s="110"/>
      <c r="AW984" s="110"/>
      <c r="AX984" s="163"/>
      <c r="AY984" s="163"/>
      <c r="AZ984" s="163"/>
      <c r="BA984" s="207"/>
      <c r="BB984" s="163"/>
      <c r="BC984" s="163"/>
      <c r="BD984" s="163"/>
      <c r="BE984" s="207"/>
    </row>
    <row r="985" spans="45:57" x14ac:dyDescent="0.3">
      <c r="AV985" s="110"/>
      <c r="AW985" s="110"/>
      <c r="AX985" s="163"/>
      <c r="AY985" s="163"/>
      <c r="AZ985" s="163"/>
      <c r="BA985" s="207"/>
      <c r="BB985" s="163"/>
      <c r="BC985" s="163"/>
      <c r="BD985" s="163"/>
      <c r="BE985" s="207"/>
    </row>
    <row r="986" spans="45:57" x14ac:dyDescent="0.3">
      <c r="AV986" s="110"/>
      <c r="AW986" s="110"/>
      <c r="AX986" s="163"/>
      <c r="AY986" s="163"/>
      <c r="AZ986" s="163"/>
      <c r="BA986" s="207"/>
      <c r="BB986" s="163"/>
      <c r="BC986" s="163"/>
      <c r="BD986" s="163"/>
      <c r="BE986" s="207"/>
    </row>
    <row r="988" spans="45:57" x14ac:dyDescent="0.3">
      <c r="AU988" s="99"/>
    </row>
    <row r="989" spans="45:57" x14ac:dyDescent="0.3">
      <c r="AU989" s="99"/>
    </row>
    <row r="990" spans="45:57" x14ac:dyDescent="0.3">
      <c r="AU990" s="99"/>
    </row>
    <row r="991" spans="45:57" x14ac:dyDescent="0.3">
      <c r="AS991" s="99"/>
    </row>
    <row r="1012" spans="52:71" x14ac:dyDescent="0.3">
      <c r="AZ1012" s="163"/>
      <c r="BB1012" s="163"/>
      <c r="BC1012" s="163"/>
      <c r="BD1012" s="163"/>
      <c r="BG1012" s="163"/>
      <c r="BH1012" s="163"/>
      <c r="BI1012" s="163"/>
      <c r="BJ1012" s="163"/>
      <c r="BK1012" s="163"/>
      <c r="BL1012" s="163"/>
      <c r="BM1012" s="163"/>
      <c r="BN1012" s="163"/>
      <c r="BO1012" s="163"/>
      <c r="BP1012" s="163"/>
      <c r="BQ1012" s="163"/>
      <c r="BR1012" s="163"/>
      <c r="BS1012" s="163"/>
    </row>
    <row r="1013" spans="52:71" x14ac:dyDescent="0.3">
      <c r="AZ1013" s="163"/>
      <c r="BB1013" s="163"/>
      <c r="BC1013" s="163"/>
      <c r="BD1013" s="163"/>
      <c r="BG1013" s="163"/>
      <c r="BH1013" s="163"/>
      <c r="BI1013" s="163"/>
      <c r="BJ1013" s="163"/>
      <c r="BK1013" s="163"/>
      <c r="BL1013" s="163"/>
      <c r="BM1013" s="163"/>
      <c r="BN1013" s="163"/>
      <c r="BO1013" s="163"/>
      <c r="BP1013" s="163"/>
      <c r="BQ1013" s="163"/>
      <c r="BR1013" s="163"/>
      <c r="BS1013" s="163"/>
    </row>
    <row r="1014" spans="52:71" x14ac:dyDescent="0.3">
      <c r="AZ1014" s="163"/>
      <c r="BB1014" s="163"/>
      <c r="BC1014" s="163"/>
      <c r="BD1014" s="163"/>
      <c r="BG1014" s="163"/>
      <c r="BH1014" s="163"/>
      <c r="BI1014" s="163"/>
      <c r="BJ1014" s="163"/>
      <c r="BK1014" s="163"/>
      <c r="BL1014" s="163"/>
      <c r="BM1014" s="163"/>
      <c r="BN1014" s="163"/>
      <c r="BO1014" s="163"/>
      <c r="BP1014" s="163"/>
      <c r="BQ1014" s="163"/>
      <c r="BR1014" s="163"/>
      <c r="BS1014" s="163"/>
    </row>
    <row r="1015" spans="52:71" x14ac:dyDescent="0.3">
      <c r="AZ1015" s="163"/>
      <c r="BB1015" s="163"/>
      <c r="BC1015" s="163"/>
      <c r="BD1015" s="163"/>
      <c r="BG1015" s="163"/>
      <c r="BH1015" s="163"/>
      <c r="BI1015" s="163"/>
      <c r="BJ1015" s="163"/>
      <c r="BK1015" s="163"/>
      <c r="BL1015" s="163"/>
      <c r="BM1015" s="163"/>
      <c r="BN1015" s="163"/>
      <c r="BO1015" s="163"/>
      <c r="BP1015" s="163"/>
      <c r="BQ1015" s="163"/>
      <c r="BR1015" s="163"/>
      <c r="BS1015" s="163"/>
    </row>
    <row r="1016" spans="52:71" x14ac:dyDescent="0.3">
      <c r="AZ1016" s="163"/>
      <c r="BB1016" s="163"/>
      <c r="BC1016" s="163"/>
      <c r="BD1016" s="163"/>
      <c r="BG1016" s="163"/>
      <c r="BH1016" s="163"/>
      <c r="BI1016" s="163"/>
      <c r="BJ1016" s="163"/>
      <c r="BK1016" s="163"/>
      <c r="BL1016" s="163"/>
      <c r="BM1016" s="163"/>
      <c r="BN1016" s="163"/>
      <c r="BO1016" s="163"/>
      <c r="BP1016" s="163"/>
      <c r="BQ1016" s="163"/>
      <c r="BR1016" s="163"/>
      <c r="BS1016" s="163"/>
    </row>
    <row r="1017" spans="52:71" x14ac:dyDescent="0.3">
      <c r="AZ1017" s="163"/>
      <c r="BB1017" s="163"/>
      <c r="BC1017" s="163"/>
      <c r="BD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</row>
    <row r="1018" spans="52:71" x14ac:dyDescent="0.3">
      <c r="AZ1018" s="163"/>
      <c r="BB1018" s="163"/>
      <c r="BC1018" s="163"/>
      <c r="BD1018" s="163"/>
      <c r="BG1018" s="163"/>
      <c r="BH1018" s="163"/>
      <c r="BI1018" s="163"/>
      <c r="BJ1018" s="163"/>
      <c r="BK1018" s="163"/>
      <c r="BL1018" s="163"/>
      <c r="BM1018" s="163"/>
      <c r="BN1018" s="163"/>
      <c r="BO1018" s="163"/>
      <c r="BP1018" s="163"/>
      <c r="BQ1018" s="163"/>
      <c r="BR1018" s="163"/>
      <c r="BS1018" s="163"/>
    </row>
    <row r="1019" spans="52:71" x14ac:dyDescent="0.3">
      <c r="AZ1019" s="163"/>
      <c r="BB1019" s="163"/>
      <c r="BC1019" s="163"/>
      <c r="BD1019" s="163"/>
      <c r="BG1019" s="163"/>
      <c r="BH1019" s="163"/>
      <c r="BI1019" s="163"/>
      <c r="BJ1019" s="163"/>
      <c r="BK1019" s="163"/>
      <c r="BL1019" s="163"/>
      <c r="BM1019" s="163"/>
      <c r="BN1019" s="163"/>
      <c r="BO1019" s="163"/>
      <c r="BP1019" s="163"/>
      <c r="BQ1019" s="163"/>
      <c r="BR1019" s="163"/>
      <c r="BS1019" s="163"/>
    </row>
    <row r="1020" spans="52:71" x14ac:dyDescent="0.3">
      <c r="AZ1020" s="163"/>
      <c r="BB1020" s="163"/>
      <c r="BC1020" s="163"/>
      <c r="BD1020" s="163"/>
      <c r="BG1020" s="163"/>
      <c r="BH1020" s="163"/>
      <c r="BI1020" s="163"/>
      <c r="BJ1020" s="163"/>
      <c r="BK1020" s="163"/>
      <c r="BL1020" s="163"/>
      <c r="BM1020" s="163"/>
      <c r="BN1020" s="163"/>
      <c r="BO1020" s="163"/>
      <c r="BP1020" s="163"/>
      <c r="BQ1020" s="163"/>
      <c r="BR1020" s="163"/>
      <c r="BS1020" s="163"/>
    </row>
    <row r="1021" spans="52:71" x14ac:dyDescent="0.3">
      <c r="AZ1021" s="163"/>
      <c r="BB1021" s="163"/>
      <c r="BC1021" s="163"/>
      <c r="BD1021" s="163"/>
      <c r="BG1021" s="163"/>
      <c r="BH1021" s="163"/>
      <c r="BI1021" s="163"/>
      <c r="BJ1021" s="163"/>
      <c r="BK1021" s="163"/>
      <c r="BL1021" s="163"/>
      <c r="BM1021" s="163"/>
      <c r="BN1021" s="163"/>
      <c r="BO1021" s="163"/>
      <c r="BP1021" s="163"/>
      <c r="BQ1021" s="163"/>
      <c r="BR1021" s="163"/>
      <c r="BS1021" s="163"/>
    </row>
    <row r="1022" spans="52:71" x14ac:dyDescent="0.3">
      <c r="AZ1022" s="163"/>
      <c r="BB1022" s="163"/>
      <c r="BC1022" s="163"/>
      <c r="BD1022" s="163"/>
      <c r="BG1022" s="163"/>
      <c r="BH1022" s="163"/>
      <c r="BI1022" s="163"/>
      <c r="BJ1022" s="163"/>
      <c r="BK1022" s="163"/>
      <c r="BL1022" s="163"/>
      <c r="BM1022" s="163"/>
      <c r="BN1022" s="163"/>
      <c r="BO1022" s="163"/>
      <c r="BP1022" s="163"/>
      <c r="BQ1022" s="163"/>
      <c r="BR1022" s="163"/>
      <c r="BS1022" s="163"/>
    </row>
    <row r="1023" spans="52:71" x14ac:dyDescent="0.3">
      <c r="AZ1023" s="163"/>
      <c r="BB1023" s="163"/>
      <c r="BC1023" s="163"/>
      <c r="BD1023" s="163"/>
      <c r="BG1023" s="163"/>
      <c r="BH1023" s="163"/>
      <c r="BI1023" s="163"/>
      <c r="BJ1023" s="163"/>
      <c r="BK1023" s="163"/>
      <c r="BL1023" s="163"/>
      <c r="BM1023" s="163"/>
      <c r="BN1023" s="163"/>
      <c r="BO1023" s="163"/>
      <c r="BP1023" s="163"/>
      <c r="BQ1023" s="163"/>
      <c r="BR1023" s="163"/>
      <c r="BS1023" s="163"/>
    </row>
    <row r="1024" spans="52:71" x14ac:dyDescent="0.3">
      <c r="AZ1024" s="163"/>
      <c r="BG1024" s="163"/>
      <c r="BH1024" s="163"/>
      <c r="BI1024" s="163"/>
      <c r="BJ1024" s="163"/>
      <c r="BK1024" s="163"/>
      <c r="BL1024" s="163"/>
      <c r="BM1024" s="163"/>
      <c r="BN1024" s="163"/>
      <c r="BO1024" s="163"/>
      <c r="BP1024" s="163"/>
      <c r="BQ1024" s="163"/>
      <c r="BR1024" s="163"/>
      <c r="BS1024" s="163"/>
    </row>
    <row r="1025" spans="52:71" x14ac:dyDescent="0.3">
      <c r="AZ1025" s="163"/>
      <c r="BG1025" s="163"/>
      <c r="BH1025" s="163"/>
      <c r="BI1025" s="163"/>
      <c r="BJ1025" s="163"/>
      <c r="BK1025" s="163"/>
      <c r="BL1025" s="163"/>
      <c r="BM1025" s="163"/>
      <c r="BN1025" s="163"/>
      <c r="BO1025" s="163"/>
      <c r="BP1025" s="163"/>
      <c r="BQ1025" s="163"/>
      <c r="BR1025" s="163"/>
      <c r="BS1025" s="163"/>
    </row>
    <row r="1026" spans="52:71" x14ac:dyDescent="0.3">
      <c r="AZ1026" s="163"/>
      <c r="BG1026" s="163"/>
      <c r="BH1026" s="163"/>
      <c r="BI1026" s="163"/>
      <c r="BJ1026" s="163"/>
      <c r="BK1026" s="163"/>
      <c r="BL1026" s="163"/>
      <c r="BM1026" s="163"/>
      <c r="BN1026" s="163"/>
      <c r="BO1026" s="163"/>
      <c r="BP1026" s="163"/>
      <c r="BQ1026" s="163"/>
      <c r="BR1026" s="163"/>
      <c r="BS1026" s="163"/>
    </row>
    <row r="1027" spans="52:71" x14ac:dyDescent="0.3">
      <c r="AZ1027" s="163"/>
      <c r="BG1027" s="163"/>
      <c r="BH1027" s="163"/>
      <c r="BI1027" s="163"/>
      <c r="BJ1027" s="163"/>
      <c r="BK1027" s="163"/>
      <c r="BL1027" s="163"/>
      <c r="BM1027" s="163"/>
      <c r="BN1027" s="163"/>
      <c r="BO1027" s="163"/>
      <c r="BP1027" s="163"/>
      <c r="BQ1027" s="163"/>
      <c r="BR1027" s="163"/>
      <c r="BS1027" s="163"/>
    </row>
    <row r="1028" spans="52:71" x14ac:dyDescent="0.3">
      <c r="AZ1028" s="163"/>
      <c r="BG1028" s="163"/>
      <c r="BH1028" s="163"/>
      <c r="BI1028" s="163"/>
      <c r="BJ1028" s="163"/>
      <c r="BK1028" s="163"/>
      <c r="BL1028" s="163"/>
      <c r="BM1028" s="163"/>
      <c r="BN1028" s="163"/>
      <c r="BO1028" s="163"/>
      <c r="BP1028" s="163"/>
      <c r="BQ1028" s="163"/>
      <c r="BR1028" s="163"/>
      <c r="BS1028" s="163"/>
    </row>
    <row r="1029" spans="52:71" x14ac:dyDescent="0.3">
      <c r="AZ1029" s="163"/>
      <c r="BG1029" s="163"/>
      <c r="BH1029" s="163"/>
      <c r="BI1029" s="163"/>
      <c r="BJ1029" s="163"/>
      <c r="BK1029" s="163"/>
      <c r="BL1029" s="163"/>
      <c r="BM1029" s="163"/>
      <c r="BN1029" s="163"/>
      <c r="BO1029" s="163"/>
      <c r="BP1029" s="163"/>
      <c r="BQ1029" s="163"/>
      <c r="BR1029" s="163"/>
      <c r="BS1029" s="163"/>
    </row>
    <row r="1030" spans="52:71" x14ac:dyDescent="0.3">
      <c r="AZ1030" s="163"/>
      <c r="BG1030" s="163"/>
      <c r="BH1030" s="163"/>
      <c r="BI1030" s="163"/>
      <c r="BJ1030" s="163"/>
      <c r="BK1030" s="163"/>
      <c r="BL1030" s="163"/>
      <c r="BM1030" s="163"/>
      <c r="BN1030" s="163"/>
      <c r="BO1030" s="163"/>
      <c r="BP1030" s="163"/>
      <c r="BQ1030" s="163"/>
      <c r="BR1030" s="163"/>
      <c r="BS1030" s="163"/>
    </row>
    <row r="1031" spans="52:71" x14ac:dyDescent="0.3">
      <c r="AZ1031" s="163"/>
    </row>
    <row r="1032" spans="52:71" x14ac:dyDescent="0.3">
      <c r="AZ1032" s="163"/>
    </row>
    <row r="1046" spans="1:28" x14ac:dyDescent="0.3">
      <c r="A1046" s="99"/>
    </row>
    <row r="1049" spans="1:28" x14ac:dyDescent="0.3">
      <c r="Y1049" s="99"/>
    </row>
    <row r="1050" spans="1:28" x14ac:dyDescent="0.3">
      <c r="A1050" s="99"/>
      <c r="H1050" s="99"/>
      <c r="I1050" s="99"/>
    </row>
    <row r="1051" spans="1:28" x14ac:dyDescent="0.3">
      <c r="A1051" s="99"/>
      <c r="V1051" s="102"/>
      <c r="AA1051" s="102"/>
      <c r="AB1051" s="102"/>
    </row>
    <row r="1052" spans="1:28" x14ac:dyDescent="0.3">
      <c r="A1052" s="99"/>
      <c r="V1052" s="101"/>
      <c r="AA1052" s="101"/>
      <c r="AB1052" s="101"/>
    </row>
    <row r="1053" spans="1:28" x14ac:dyDescent="0.3">
      <c r="A1053" s="99"/>
      <c r="U1053" s="99"/>
      <c r="AA1053" s="102"/>
      <c r="AB1053" s="102"/>
    </row>
    <row r="1054" spans="1:28" x14ac:dyDescent="0.3">
      <c r="A1054" s="99"/>
    </row>
    <row r="1055" spans="1:28" x14ac:dyDescent="0.3">
      <c r="A1055" s="99"/>
      <c r="U1055" s="99"/>
      <c r="AA1055" s="102"/>
      <c r="AB1055" s="102"/>
    </row>
    <row r="1056" spans="1:28" x14ac:dyDescent="0.3">
      <c r="A1056" s="99"/>
    </row>
    <row r="1057" spans="1:28" x14ac:dyDescent="0.3">
      <c r="A1057" s="99"/>
      <c r="U1057" s="99"/>
      <c r="V1057" s="231"/>
      <c r="AA1057" s="102"/>
      <c r="AB1057" s="102"/>
    </row>
    <row r="1058" spans="1:28" x14ac:dyDescent="0.3">
      <c r="A1058" s="99"/>
    </row>
    <row r="1059" spans="1:28" x14ac:dyDescent="0.3">
      <c r="A1059" s="99"/>
      <c r="U1059" s="99"/>
      <c r="AA1059" s="102"/>
      <c r="AB1059" s="102"/>
    </row>
    <row r="1060" spans="1:28" x14ac:dyDescent="0.3">
      <c r="A1060" s="99"/>
    </row>
    <row r="1061" spans="1:28" x14ac:dyDescent="0.3">
      <c r="A1061" s="99"/>
      <c r="U1061" s="99"/>
      <c r="AA1061" s="102"/>
      <c r="AB1061" s="102"/>
    </row>
    <row r="1062" spans="1:28" x14ac:dyDescent="0.3">
      <c r="A1062" s="99"/>
    </row>
    <row r="1063" spans="1:28" x14ac:dyDescent="0.3">
      <c r="A1063" s="99"/>
    </row>
    <row r="1064" spans="1:28" x14ac:dyDescent="0.3">
      <c r="A1064" s="99"/>
    </row>
    <row r="1065" spans="1:28" x14ac:dyDescent="0.3">
      <c r="A1065" s="99"/>
    </row>
    <row r="1066" spans="1:28" x14ac:dyDescent="0.3">
      <c r="A1066" s="99"/>
    </row>
    <row r="1067" spans="1:28" x14ac:dyDescent="0.3">
      <c r="A1067" s="99"/>
    </row>
    <row r="1068" spans="1:28" x14ac:dyDescent="0.3">
      <c r="A1068" s="99"/>
    </row>
    <row r="1069" spans="1:28" x14ac:dyDescent="0.3">
      <c r="A1069" s="99"/>
    </row>
    <row r="1070" spans="1:28" x14ac:dyDescent="0.3">
      <c r="A1070" s="99"/>
    </row>
    <row r="1071" spans="1:28" x14ac:dyDescent="0.3">
      <c r="A1071" s="99"/>
    </row>
    <row r="1072" spans="1:28" x14ac:dyDescent="0.3">
      <c r="A1072" s="99"/>
      <c r="H1072" s="99"/>
      <c r="I1072" s="99"/>
    </row>
    <row r="1075" spans="1:1" x14ac:dyDescent="0.3">
      <c r="A1075" s="99"/>
    </row>
    <row r="1078" spans="1:1" x14ac:dyDescent="0.3">
      <c r="A1078" s="99"/>
    </row>
    <row r="1081" spans="1:1" x14ac:dyDescent="0.3">
      <c r="A1081" s="99"/>
    </row>
    <row r="1082" spans="1:1" x14ac:dyDescent="0.3">
      <c r="A1082" s="99"/>
    </row>
    <row r="1083" spans="1:1" x14ac:dyDescent="0.3">
      <c r="A1083" s="99"/>
    </row>
    <row r="1084" spans="1:1" x14ac:dyDescent="0.3">
      <c r="A1084" s="99"/>
    </row>
    <row r="1085" spans="1:1" x14ac:dyDescent="0.3">
      <c r="A1085" s="99"/>
    </row>
    <row r="1086" spans="1:1" x14ac:dyDescent="0.3">
      <c r="A1086" s="99"/>
    </row>
    <row r="1087" spans="1:1" x14ac:dyDescent="0.3">
      <c r="A1087" s="99"/>
    </row>
    <row r="1088" spans="1:1" x14ac:dyDescent="0.3">
      <c r="A1088" s="99"/>
    </row>
    <row r="1089" spans="1:1" x14ac:dyDescent="0.3">
      <c r="A1089" s="99"/>
    </row>
    <row r="1090" spans="1:1" x14ac:dyDescent="0.3">
      <c r="A1090" s="99"/>
    </row>
    <row r="1091" spans="1:1" x14ac:dyDescent="0.3">
      <c r="A1091" s="99"/>
    </row>
    <row r="1092" spans="1:1" x14ac:dyDescent="0.3">
      <c r="A1092" s="99"/>
    </row>
    <row r="1093" spans="1:1" x14ac:dyDescent="0.3">
      <c r="A1093" s="99"/>
    </row>
    <row r="1094" spans="1:1" x14ac:dyDescent="0.3">
      <c r="A1094" s="99"/>
    </row>
    <row r="1095" spans="1:1" x14ac:dyDescent="0.3">
      <c r="A1095" s="99"/>
    </row>
    <row r="1096" spans="1:1" x14ac:dyDescent="0.3">
      <c r="A1096" s="99"/>
    </row>
    <row r="1097" spans="1:1" x14ac:dyDescent="0.3">
      <c r="A1097" s="99"/>
    </row>
    <row r="1098" spans="1:1" x14ac:dyDescent="0.3">
      <c r="A1098" s="99"/>
    </row>
    <row r="1099" spans="1:1" x14ac:dyDescent="0.3">
      <c r="A1099" s="99"/>
    </row>
    <row r="1100" spans="1:1" x14ac:dyDescent="0.3">
      <c r="A1100" s="99"/>
    </row>
    <row r="1101" spans="1:1" x14ac:dyDescent="0.3">
      <c r="A1101" s="99"/>
    </row>
    <row r="1102" spans="1:1" x14ac:dyDescent="0.3">
      <c r="A1102" s="99"/>
    </row>
    <row r="1103" spans="1:1" x14ac:dyDescent="0.3">
      <c r="A1103" s="99"/>
    </row>
    <row r="1104" spans="1:1" x14ac:dyDescent="0.3">
      <c r="A1104" s="99"/>
    </row>
    <row r="1105" spans="1:1" x14ac:dyDescent="0.3">
      <c r="A1105" s="99"/>
    </row>
    <row r="1106" spans="1:1" x14ac:dyDescent="0.3">
      <c r="A1106" s="99"/>
    </row>
    <row r="1107" spans="1:1" x14ac:dyDescent="0.3">
      <c r="A1107" s="99"/>
    </row>
    <row r="1108" spans="1:1" x14ac:dyDescent="0.3">
      <c r="A1108" s="99"/>
    </row>
    <row r="1109" spans="1:1" x14ac:dyDescent="0.3">
      <c r="A1109" s="99"/>
    </row>
    <row r="1110" spans="1:1" x14ac:dyDescent="0.3">
      <c r="A1110" s="99"/>
    </row>
    <row r="1111" spans="1:1" x14ac:dyDescent="0.3">
      <c r="A1111" s="99"/>
    </row>
    <row r="1112" spans="1:1" x14ac:dyDescent="0.3">
      <c r="A1112" s="99"/>
    </row>
    <row r="1113" spans="1:1" x14ac:dyDescent="0.3">
      <c r="A1113" s="99"/>
    </row>
    <row r="1114" spans="1:1" x14ac:dyDescent="0.3">
      <c r="A1114" s="99"/>
    </row>
    <row r="1115" spans="1:1" x14ac:dyDescent="0.3">
      <c r="A1115" s="99"/>
    </row>
    <row r="1120" spans="1:1" x14ac:dyDescent="0.3">
      <c r="A1120" s="99"/>
    </row>
    <row r="1121" spans="1:1" x14ac:dyDescent="0.3">
      <c r="A1121" s="99"/>
    </row>
    <row r="1124" spans="1:1" x14ac:dyDescent="0.3">
      <c r="A1124" s="99"/>
    </row>
    <row r="1126" spans="1:1" x14ac:dyDescent="0.3">
      <c r="A1126" s="99"/>
    </row>
    <row r="1128" spans="1:1" x14ac:dyDescent="0.3">
      <c r="A1128" s="99"/>
    </row>
    <row r="1130" spans="1:1" x14ac:dyDescent="0.3">
      <c r="A1130" s="99"/>
    </row>
    <row r="1133" spans="1:1" x14ac:dyDescent="0.3">
      <c r="A1133" s="99"/>
    </row>
    <row r="1134" spans="1:1" x14ac:dyDescent="0.3">
      <c r="A1134" s="99"/>
    </row>
    <row r="1135" spans="1:1" x14ac:dyDescent="0.3">
      <c r="A1135" s="99"/>
    </row>
    <row r="1136" spans="1:1" x14ac:dyDescent="0.3">
      <c r="A1136" s="99"/>
    </row>
    <row r="1137" spans="1:1" x14ac:dyDescent="0.3">
      <c r="A1137" s="99"/>
    </row>
    <row r="1138" spans="1:1" x14ac:dyDescent="0.3">
      <c r="A1138" s="99"/>
    </row>
    <row r="1139" spans="1:1" x14ac:dyDescent="0.3">
      <c r="A1139" s="99"/>
    </row>
    <row r="1140" spans="1:1" x14ac:dyDescent="0.3">
      <c r="A1140" s="99"/>
    </row>
  </sheetData>
  <customSheetViews>
    <customSheetView guid="{F562D92E-120C-4AE9-9663-89E64D41DC53}" scale="75" fitToPage="1" topLeftCell="T71">
      <selection activeCell="P42" sqref="P4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"/>
      <headerFooter alignWithMargins="0"/>
    </customSheetView>
    <customSheetView guid="{35F19056-2E6F-4935-B863-78836FE990BF}" scale="75" fitToPage="1" showRuler="0" topLeftCell="A15">
      <selection activeCell="P22" sqref="P22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2"/>
      <headerFooter alignWithMargins="0"/>
    </customSheetView>
    <customSheetView guid="{18BDED73-BFA0-442E-87EC-CED86EE4CF94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3"/>
      <headerFooter alignWithMargins="0"/>
    </customSheetView>
    <customSheetView guid="{0BC1F393-8A13-47D5-BC6C-0C99615B5AB9}" scale="75" fitToPage="1" showRuler="0" topLeftCell="A17">
      <selection activeCell="P48" sqref="P48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4"/>
      <headerFooter alignWithMargins="0"/>
    </customSheetView>
    <customSheetView guid="{6B3D5C27-2FDE-4561-9575-1E98BFB869D0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5"/>
      <headerFooter alignWithMargins="0"/>
    </customSheetView>
    <customSheetView guid="{8FB94551-8874-4095-B8FB-5316E0D2FD2C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6"/>
      <headerFooter alignWithMargins="0"/>
    </customSheetView>
    <customSheetView guid="{8FC77C99-DBF7-40B8-99B8-01B75826CDCB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7"/>
      <headerFooter alignWithMargins="0"/>
    </customSheetView>
    <customSheetView guid="{2EA35095-1ADC-4CC7-8C3C-B487D65FA247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8"/>
      <headerFooter alignWithMargins="0"/>
    </customSheetView>
    <customSheetView guid="{2431C9E5-7CC2-4B8D-99C3-962247B1DBF5}" scale="75" fitToPage="1" showRuler="0">
      <selection activeCell="L44" sqref="L4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9"/>
      <headerFooter alignWithMargins="0"/>
    </customSheetView>
    <customSheetView guid="{4BC93440-BA85-4935-A8C9-66DC6AE5DE5E}" scale="75" fitToPage="1" showRuler="0" topLeftCell="W65">
      <selection activeCell="AE84" sqref="AE84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2" orientation="landscape" r:id="rId10"/>
      <headerFooter alignWithMargins="0"/>
    </customSheetView>
    <customSheetView guid="{0C49E549-011E-46F4-A82E-2CC8951A9C1E}" scale="75" fitToPage="1" showRuler="0">
      <selection sqref="A1:R47"/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1"/>
      <headerFooter alignWithMargins="0"/>
    </customSheetView>
    <customSheetView guid="{195DF303-1BBD-4236-94B5-47432850B006}" scale="75" fitToPage="1" showRuler="0">
      <rowBreaks count="16" manualBreakCount="16">
        <brk id="158" max="65535" man="1"/>
        <brk id="201" max="65535" man="1"/>
        <brk id="243" max="65535" man="1"/>
        <brk id="282" max="65535" man="1"/>
        <brk id="338" max="65535" man="1"/>
        <brk id="384" max="65535" man="1"/>
        <brk id="466" max="65535" man="1"/>
        <brk id="504" max="65535" man="1"/>
        <brk id="541" max="65535" man="1"/>
        <brk id="589" max="65535" man="1"/>
        <brk id="650" max="65535" man="1"/>
        <brk id="709" max="65535" man="1"/>
        <brk id="816" max="65535" man="1"/>
        <brk id="863" max="65535" man="1"/>
        <brk id="922" max="65535" man="1"/>
        <brk id="965" max="65535" man="1"/>
      </rowBreaks>
      <colBreaks count="1" manualBreakCount="1">
        <brk id="44" max="1048575" man="1"/>
      </colBreaks>
      <pageMargins left="0.5" right="0.5" top="1" bottom="0" header="0" footer="0"/>
      <pageSetup scale="75" orientation="landscape" r:id="rId12"/>
      <headerFooter alignWithMargins="0"/>
    </customSheetView>
  </customSheetViews>
  <phoneticPr fontId="11" type="noConversion"/>
  <pageMargins left="0.5" right="0.5" top="1" bottom="0" header="0" footer="0"/>
  <pageSetup scale="55" orientation="landscape" r:id="rId13"/>
  <headerFooter alignWithMargins="0"/>
  <rowBreaks count="16" manualBreakCount="16">
    <brk id="158" max="65535" man="1"/>
    <brk id="201" max="65535" man="1"/>
    <brk id="243" max="65535" man="1"/>
    <brk id="282" max="65535" man="1"/>
    <brk id="338" max="65535" man="1"/>
    <brk id="384" max="65535" man="1"/>
    <brk id="466" max="65535" man="1"/>
    <brk id="504" max="65535" man="1"/>
    <brk id="541" max="65535" man="1"/>
    <brk id="589" max="65535" man="1"/>
    <brk id="650" max="65535" man="1"/>
    <brk id="709" max="65535" man="1"/>
    <brk id="816" max="65535" man="1"/>
    <brk id="863" max="65535" man="1"/>
    <brk id="922" max="65535" man="1"/>
    <brk id="965" max="65535" man="1"/>
  </rowBreaks>
  <colBreaks count="1" manualBreakCount="1">
    <brk id="4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A58AB4E1B78F4EAC56940670E852C9" ma:contentTypeVersion="7" ma:contentTypeDescription="Create a new document." ma:contentTypeScope="" ma:versionID="600b251c5eb6d0272f50c7e058eb6a26">
  <xsd:schema xmlns:xsd="http://www.w3.org/2001/XMLSchema" xmlns:xs="http://www.w3.org/2001/XMLSchema" xmlns:p="http://schemas.microsoft.com/office/2006/metadata/properties" xmlns:ns2="9d26d66c-7442-4f2f-84b5-fd9d62aa5613" targetNamespace="http://schemas.microsoft.com/office/2006/metadata/properties" ma:root="true" ma:fieldsID="872a615ce27d402cbaaabd509cbed71f" ns2:_="">
    <xsd:import namespace="9d26d66c-7442-4f2f-84b5-fd9d62aa56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Witness" minOccurs="0"/>
                <xsd:element ref="ns2:Comme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26d66c-7442-4f2f-84b5-fd9d62aa5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Witness" ma:index="13" nillable="true" ma:displayName="Witness" ma:list="UserInfo" ma:SharePointGroup="0" ma:internalName="Witness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mments" ma:index="14" nillable="true" ma:displayName="Comments" ma:format="Dropdown" ma:internalName="Comments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1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mments xmlns="9d26d66c-7442-4f2f-84b5-fd9d62aa5613" xsi:nil="true"/>
    <Witness xmlns="9d26d66c-7442-4f2f-84b5-fd9d62aa5613">
      <UserInfo>
        <DisplayName/>
        <AccountId xsi:nil="true"/>
        <AccountType/>
      </UserInfo>
    </Witness>
  </documentManagement>
</p:properties>
</file>

<file path=customXml/itemProps1.xml><?xml version="1.0" encoding="utf-8"?>
<ds:datastoreItem xmlns:ds="http://schemas.openxmlformats.org/officeDocument/2006/customXml" ds:itemID="{63729447-F717-4784-9A7C-B7C7E31A538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FC24EC-3412-46D9-9B73-E92F4BAD00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d26d66c-7442-4f2f-84b5-fd9d62aa5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8681BD-8C11-41E4-83F0-96FBAE09A790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infopath/2007/PartnerControls"/>
    <ds:schemaRef ds:uri="9d26d66c-7442-4f2f-84b5-fd9d62aa5613"/>
    <ds:schemaRef ds:uri="http://www.w3.org/XML/1998/namespace"/>
    <ds:schemaRef ds:uri="http://purl.org/dc/terms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283</vt:i4>
      </vt:variant>
    </vt:vector>
  </HeadingPairs>
  <TitlesOfParts>
    <vt:vector size="311" baseType="lpstr">
      <vt:lpstr>INPUT</vt:lpstr>
      <vt:lpstr>PRINT</vt:lpstr>
      <vt:lpstr>Revenue Check</vt:lpstr>
      <vt:lpstr>SCH M</vt:lpstr>
      <vt:lpstr>SCH M-2.1</vt:lpstr>
      <vt:lpstr>SCH M-2.2</vt:lpstr>
      <vt:lpstr>SCH M-2.3</vt:lpstr>
      <vt:lpstr>Rate RS</vt:lpstr>
      <vt:lpstr>Rate DS</vt:lpstr>
      <vt:lpstr>Rate DT-Pri</vt:lpstr>
      <vt:lpstr>Rate DT-Sec</vt:lpstr>
      <vt:lpstr>Rate EH</vt:lpstr>
      <vt:lpstr>Rate SP GSFL</vt:lpstr>
      <vt:lpstr>Rate DP</vt:lpstr>
      <vt:lpstr>Rate TT</vt:lpstr>
      <vt:lpstr>Rate DT RTP-P</vt:lpstr>
      <vt:lpstr>Rate DT RTP-S</vt:lpstr>
      <vt:lpstr>Rate DS RTP</vt:lpstr>
      <vt:lpstr>Rate TT RTP</vt:lpstr>
      <vt:lpstr>Rate SL</vt:lpstr>
      <vt:lpstr>Rate TL</vt:lpstr>
      <vt:lpstr>Rate UOLS</vt:lpstr>
      <vt:lpstr>Rate NSU</vt:lpstr>
      <vt:lpstr>Rate SC</vt:lpstr>
      <vt:lpstr>Rate SE</vt:lpstr>
      <vt:lpstr>Rate LED</vt:lpstr>
      <vt:lpstr>SCH N</vt:lpstr>
      <vt:lpstr>BILL CALC</vt:lpstr>
      <vt:lpstr>CASE_NO</vt:lpstr>
      <vt:lpstr>CUR_BASE_FUEL</vt:lpstr>
      <vt:lpstr>CUR_DCI</vt:lpstr>
      <vt:lpstr>CUR_DCI_DIST</vt:lpstr>
      <vt:lpstr>CUR_DCI_DP</vt:lpstr>
      <vt:lpstr>CUR_DCI_DTP</vt:lpstr>
      <vt:lpstr>CUR_DCI_DTS</vt:lpstr>
      <vt:lpstr>CUR_DCI_EH</vt:lpstr>
      <vt:lpstr>CUR_DCI_GSFL</vt:lpstr>
      <vt:lpstr>CUR_DCI_SL</vt:lpstr>
      <vt:lpstr>CUR_DCI_SP</vt:lpstr>
      <vt:lpstr>CUR_DP_CST</vt:lpstr>
      <vt:lpstr>CUR_DP_DEMAND</vt:lpstr>
      <vt:lpstr>CUR_DP_KWH1</vt:lpstr>
      <vt:lpstr>CUR_DP_KWH2</vt:lpstr>
      <vt:lpstr>CUR_DP_LMR</vt:lpstr>
      <vt:lpstr>'Rate DT RTP-S'!CUR_DP_RTP_COM</vt:lpstr>
      <vt:lpstr>'Rate DT RTP-S'!CUR_DP_RTP_CUST</vt:lpstr>
      <vt:lpstr>'Rate DT RTP-S'!CUR_DP_RTP_KWH1</vt:lpstr>
      <vt:lpstr>CUR_DS_CST_1</vt:lpstr>
      <vt:lpstr>CUR_DS_CST_2</vt:lpstr>
      <vt:lpstr>CUR_DS_DEM_1</vt:lpstr>
      <vt:lpstr>CUR_DS_DEM_3</vt:lpstr>
      <vt:lpstr>CUR_DS_KWH_1</vt:lpstr>
      <vt:lpstr>CUR_DS_KWH_2</vt:lpstr>
      <vt:lpstr>CUR_DS_KWH_3</vt:lpstr>
      <vt:lpstr>'Rate DS RTP'!CUR_DS_RTP</vt:lpstr>
      <vt:lpstr>'Rate DS RTP'!CUR_DS_RTP_COM</vt:lpstr>
      <vt:lpstr>'Rate DS RTP'!CUR_DS_RTP_CUST</vt:lpstr>
      <vt:lpstr>'Rate DS RTP'!CUR_DS_RTP_KWH1</vt:lpstr>
      <vt:lpstr>CUR_DT_DISC</vt:lpstr>
      <vt:lpstr>CUR_DT_DISC1</vt:lpstr>
      <vt:lpstr>CUR_DT_PRI</vt:lpstr>
      <vt:lpstr>'Rate DT RTP-P'!CUR_DT_RTP_COM</vt:lpstr>
      <vt:lpstr>'Rate DT RTP-P'!CUR_DT_RTP_CUST</vt:lpstr>
      <vt:lpstr>'Rate DT RTP-P'!CUR_DT_RTP_KWH1</vt:lpstr>
      <vt:lpstr>'Rate DT RTP-P'!CUR_DT_RTP_P</vt:lpstr>
      <vt:lpstr>'Rate DT RTP-S'!CUR_DT_RTP_S</vt:lpstr>
      <vt:lpstr>CUR_DT_SEC</vt:lpstr>
      <vt:lpstr>CUR_DT_SEC_CST1</vt:lpstr>
      <vt:lpstr>CUR_DT_SEC_CST3</vt:lpstr>
      <vt:lpstr>CUR_DT_SEC_DEMOFF</vt:lpstr>
      <vt:lpstr>CUR_DT_SEC_DEMON</vt:lpstr>
      <vt:lpstr>CUR_DT_SEC_SUMKWH</vt:lpstr>
      <vt:lpstr>CUR_DT_SEC_WINKWH</vt:lpstr>
      <vt:lpstr>CUR_DT_SEC_WINOFF</vt:lpstr>
      <vt:lpstr>CUR_DT_SEC_WINON</vt:lpstr>
      <vt:lpstr>CUR_DT_SUM_E_OFF</vt:lpstr>
      <vt:lpstr>CUR_DT_SUM_E_ON</vt:lpstr>
      <vt:lpstr>CUR_DT_SUM_PEAK_ON</vt:lpstr>
      <vt:lpstr>CUR_DT_SUM_PK_OFF</vt:lpstr>
      <vt:lpstr>CUR_DT_WIN_E_ON</vt:lpstr>
      <vt:lpstr>CUR_DT_WIN_PEAK_ON</vt:lpstr>
      <vt:lpstr>CUR_DT_WIN_PK_OFF</vt:lpstr>
      <vt:lpstr>CUR_EH_CST_1</vt:lpstr>
      <vt:lpstr>CUR_EH_CST_2</vt:lpstr>
      <vt:lpstr>CUR_EH_CST_3</vt:lpstr>
      <vt:lpstr>CUR_EH_KWH_1</vt:lpstr>
      <vt:lpstr>CUR_ESM</vt:lpstr>
      <vt:lpstr>CUR_ESM_NonRes</vt:lpstr>
      <vt:lpstr>CUR_FAC</vt:lpstr>
      <vt:lpstr>CUR_FTR_DIST</vt:lpstr>
      <vt:lpstr>CUR_FTR_DP</vt:lpstr>
      <vt:lpstr>CUR_FTR_DTP</vt:lpstr>
      <vt:lpstr>CUR_FTR_DTS</vt:lpstr>
      <vt:lpstr>CUR_FTR_EH</vt:lpstr>
      <vt:lpstr>CUR_FTR_GSFL</vt:lpstr>
      <vt:lpstr>CUR_FTR_RES</vt:lpstr>
      <vt:lpstr>CUR_FTR_SL</vt:lpstr>
      <vt:lpstr>CUR_FTR_SP</vt:lpstr>
      <vt:lpstr>CUR_FTR_TT</vt:lpstr>
      <vt:lpstr>CUR_RS_CUST</vt:lpstr>
      <vt:lpstr>CUR_RS_ENERGY</vt:lpstr>
      <vt:lpstr>CUR_SUM_TT_ON_KWH</vt:lpstr>
      <vt:lpstr>CUR_TT_KWH</vt:lpstr>
      <vt:lpstr>CUR_TT_OFF</vt:lpstr>
      <vt:lpstr>'Rate TT RTP'!CUR_TT_RTP</vt:lpstr>
      <vt:lpstr>'Rate TT RTP'!CUR_TT_RTP_COM</vt:lpstr>
      <vt:lpstr>'Rate TT RTP'!CUR_TT_RTP_CUST</vt:lpstr>
      <vt:lpstr>'Rate TT RTP'!CUR_TT_RTP_KWH1</vt:lpstr>
      <vt:lpstr>CUR_TT_SUM_CST</vt:lpstr>
      <vt:lpstr>CUR_TT_SUM_PEAK</vt:lpstr>
      <vt:lpstr>CUR_TT_SUM_PK_OFF</vt:lpstr>
      <vt:lpstr>CUR_TT_WIN_CST</vt:lpstr>
      <vt:lpstr>CUR_TT_WIN_PEAK</vt:lpstr>
      <vt:lpstr>CUR_TT_WIN_PK_OFF</vt:lpstr>
      <vt:lpstr>CUR_WIN_TT_ON_KWH</vt:lpstr>
      <vt:lpstr>DATA_PERIOD</vt:lpstr>
      <vt:lpstr>DATE</vt:lpstr>
      <vt:lpstr>DCI_Name</vt:lpstr>
      <vt:lpstr>DS_MSRE</vt:lpstr>
      <vt:lpstr>DSM_DIST</vt:lpstr>
      <vt:lpstr>DSM_RES</vt:lpstr>
      <vt:lpstr>DSM_RS_CUST</vt:lpstr>
      <vt:lpstr>DSM_TRANS</vt:lpstr>
      <vt:lpstr>DSMR_Name</vt:lpstr>
      <vt:lpstr>ESM_Name</vt:lpstr>
      <vt:lpstr>FAC_Name</vt:lpstr>
      <vt:lpstr>FTR_Name</vt:lpstr>
      <vt:lpstr>HEA_Name</vt:lpstr>
      <vt:lpstr>'Rate LED'!LT_COS_RATE</vt:lpstr>
      <vt:lpstr>LT_COS_RATE</vt:lpstr>
      <vt:lpstr>LT_MSRE</vt:lpstr>
      <vt:lpstr>NAME</vt:lpstr>
      <vt:lpstr>Page_Num_2.2</vt:lpstr>
      <vt:lpstr>Page_Num_2.3</vt:lpstr>
      <vt:lpstr>'Rate DP'!Print_Area</vt:lpstr>
      <vt:lpstr>'Rate DS'!Print_Area</vt:lpstr>
      <vt:lpstr>'Rate DS RTP'!Print_Area</vt:lpstr>
      <vt:lpstr>'Rate DT RTP-P'!Print_Area</vt:lpstr>
      <vt:lpstr>'Rate DT RTP-S'!Print_Area</vt:lpstr>
      <vt:lpstr>'Rate DT-Pri'!Print_Area</vt:lpstr>
      <vt:lpstr>'Rate DT-Sec'!Print_Area</vt:lpstr>
      <vt:lpstr>'Rate EH'!Print_Area</vt:lpstr>
      <vt:lpstr>'Rate LED'!Print_Area</vt:lpstr>
      <vt:lpstr>'Rate NSU'!Print_Area</vt:lpstr>
      <vt:lpstr>'Rate RS'!Print_Area</vt:lpstr>
      <vt:lpstr>'Rate SC'!Print_Area</vt:lpstr>
      <vt:lpstr>'Rate SE'!Print_Area</vt:lpstr>
      <vt:lpstr>'Rate SL'!Print_Area</vt:lpstr>
      <vt:lpstr>'Rate SP GSFL'!Print_Area</vt:lpstr>
      <vt:lpstr>'Rate TL'!Print_Area</vt:lpstr>
      <vt:lpstr>'Rate TT'!Print_Area</vt:lpstr>
      <vt:lpstr>'Rate TT RTP'!Print_Area</vt:lpstr>
      <vt:lpstr>'Rate UOLS'!Print_Area</vt:lpstr>
      <vt:lpstr>'SCH M'!Print_Area</vt:lpstr>
      <vt:lpstr>'SCH M-2.1'!Print_Area</vt:lpstr>
      <vt:lpstr>'SCH M-2.2'!Print_Area</vt:lpstr>
      <vt:lpstr>'SCH M-2.3'!Print_Area</vt:lpstr>
      <vt:lpstr>'SCH N'!Print_Area</vt:lpstr>
      <vt:lpstr>PRO_BASE_FUEL</vt:lpstr>
      <vt:lpstr>PRO_DCI</vt:lpstr>
      <vt:lpstr>PRO_DCI_DIST</vt:lpstr>
      <vt:lpstr>PRO_DCI_DP</vt:lpstr>
      <vt:lpstr>PRO_DCI_DTP</vt:lpstr>
      <vt:lpstr>PRO_DCI_DTS</vt:lpstr>
      <vt:lpstr>PRO_DCI_EH</vt:lpstr>
      <vt:lpstr>PRO_DCI_GSFL</vt:lpstr>
      <vt:lpstr>PRO_DCI_SL</vt:lpstr>
      <vt:lpstr>PRO_DCI_SP</vt:lpstr>
      <vt:lpstr>PRO_DP_CST</vt:lpstr>
      <vt:lpstr>PRO_DP_DEMAND</vt:lpstr>
      <vt:lpstr>PRO_DP_KWH1</vt:lpstr>
      <vt:lpstr>PRO_DP_KWH2</vt:lpstr>
      <vt:lpstr>PRO_DP_LMR</vt:lpstr>
      <vt:lpstr>'Rate DT RTP-S'!PRO_DP_RTP_COM</vt:lpstr>
      <vt:lpstr>'Rate DT RTP-S'!PRO_DP_RTP_CUST</vt:lpstr>
      <vt:lpstr>'Rate DT RTP-S'!PRO_DP_RTP_KWH1</vt:lpstr>
      <vt:lpstr>PRO_DS_CST_1</vt:lpstr>
      <vt:lpstr>PRO_DS_CST_2</vt:lpstr>
      <vt:lpstr>PRO_DS_DEM_1</vt:lpstr>
      <vt:lpstr>PRO_DS_DEM_3</vt:lpstr>
      <vt:lpstr>PRO_DS_KWH_1</vt:lpstr>
      <vt:lpstr>PRO_DS_KWH_2</vt:lpstr>
      <vt:lpstr>PRO_DS_KWH_3</vt:lpstr>
      <vt:lpstr>PRO_DS_MSRE</vt:lpstr>
      <vt:lpstr>'Rate DS RTP'!PRO_DS_RTP_COM</vt:lpstr>
      <vt:lpstr>'Rate DS RTP'!PRO_DS_RTP_CUST</vt:lpstr>
      <vt:lpstr>'Rate DS RTP'!PRO_DS_RTP_KWH1</vt:lpstr>
      <vt:lpstr>PRO_DSM_DIST</vt:lpstr>
      <vt:lpstr>PRO_DSM_RES</vt:lpstr>
      <vt:lpstr>PRO_DSM_TRANS</vt:lpstr>
      <vt:lpstr>PRO_DT_DEMOFF</vt:lpstr>
      <vt:lpstr>PRO_DT_DEMON</vt:lpstr>
      <vt:lpstr>PRO_DT_DISC</vt:lpstr>
      <vt:lpstr>PRO_DT_DISC1</vt:lpstr>
      <vt:lpstr>PRO_DT_PRI</vt:lpstr>
      <vt:lpstr>'Rate DT RTP-P'!PRO_DT_RTP_COM</vt:lpstr>
      <vt:lpstr>'Rate DT RTP-P'!PRO_DT_RTP_CUST</vt:lpstr>
      <vt:lpstr>'Rate DT RTP-P'!PRO_DT_RTP_KWH1</vt:lpstr>
      <vt:lpstr>PRO_DT_SEC_CST</vt:lpstr>
      <vt:lpstr>PRO_DT_SEC_CST3</vt:lpstr>
      <vt:lpstr>PRO_DT_SEC_DEMWINON</vt:lpstr>
      <vt:lpstr>PRO_DT_SEC_SUMKWH</vt:lpstr>
      <vt:lpstr>PRO_DT_SEC_WINKWH</vt:lpstr>
      <vt:lpstr>PRO_DT_SEC_WINOFF</vt:lpstr>
      <vt:lpstr>PRO_DT_SUM_E_OFF</vt:lpstr>
      <vt:lpstr>PRO_DT_SUM_E_ON</vt:lpstr>
      <vt:lpstr>PRO_DT_SUM_PEAK</vt:lpstr>
      <vt:lpstr>PRO_DT_SUM_PK_OFF</vt:lpstr>
      <vt:lpstr>PRO_DT_WIN_E_OFF</vt:lpstr>
      <vt:lpstr>PRO_DT_WIN_E_ON</vt:lpstr>
      <vt:lpstr>PRO_DT_WIN_PEAK</vt:lpstr>
      <vt:lpstr>PRO_DT_WIN_PK_OFF</vt:lpstr>
      <vt:lpstr>PRO_EH_CST_1</vt:lpstr>
      <vt:lpstr>PRO_EH_CST_2</vt:lpstr>
      <vt:lpstr>PRO_EH_CST_3</vt:lpstr>
      <vt:lpstr>PRO_EH_KWH_1</vt:lpstr>
      <vt:lpstr>PRO_ESM</vt:lpstr>
      <vt:lpstr>PRO_ESM_NONRES</vt:lpstr>
      <vt:lpstr>PRO_FAC</vt:lpstr>
      <vt:lpstr>PRO_FTR_DIST</vt:lpstr>
      <vt:lpstr>PRO_FTR_DP</vt:lpstr>
      <vt:lpstr>PRO_FTR_DTP</vt:lpstr>
      <vt:lpstr>PRO_FTR_DTS</vt:lpstr>
      <vt:lpstr>PRO_FTR_EH</vt:lpstr>
      <vt:lpstr>PRO_FTR_GSFL</vt:lpstr>
      <vt:lpstr>PRO_FTR_RES</vt:lpstr>
      <vt:lpstr>PRO_FTR_SL</vt:lpstr>
      <vt:lpstr>PRO_FTR_SP</vt:lpstr>
      <vt:lpstr>PRO_FTR_TT</vt:lpstr>
      <vt:lpstr>PRO_LT_MSRE</vt:lpstr>
      <vt:lpstr>PRO_PSM</vt:lpstr>
      <vt:lpstr>PRO_RS_CUST</vt:lpstr>
      <vt:lpstr>PRO_RS_ENERGY</vt:lpstr>
      <vt:lpstr>PRO_RS_MSRE</vt:lpstr>
      <vt:lpstr>PRO_SUM_TT_ON_KWH</vt:lpstr>
      <vt:lpstr>PRO_TT_MSRE</vt:lpstr>
      <vt:lpstr>PRO_TT_OFF</vt:lpstr>
      <vt:lpstr>'Rate TT RTP'!PRO_TT_RTP_COM</vt:lpstr>
      <vt:lpstr>'Rate TT RTP'!PRO_TT_RTP_CUST</vt:lpstr>
      <vt:lpstr>'Rate TT RTP'!PRO_TT_RTP_KWH1</vt:lpstr>
      <vt:lpstr>PRO_TT_SUM_CST</vt:lpstr>
      <vt:lpstr>PRO_TT_SUM_PEAK</vt:lpstr>
      <vt:lpstr>PRO_TT_SUM_PK_OFF</vt:lpstr>
      <vt:lpstr>PRO_TT_WIN_CST</vt:lpstr>
      <vt:lpstr>PRO_TT_WIN_PEAK</vt:lpstr>
      <vt:lpstr>PRO_TT_WIN_PK_OFF</vt:lpstr>
      <vt:lpstr>PRO_WIN_TT_ON_KWH</vt:lpstr>
      <vt:lpstr>PSM_Name</vt:lpstr>
      <vt:lpstr>RS_MSRE</vt:lpstr>
      <vt:lpstr>RS_PSM</vt:lpstr>
      <vt:lpstr>SCH_M</vt:lpstr>
      <vt:lpstr>SCH_M_2.1</vt:lpstr>
      <vt:lpstr>SCH_M_2.2PG1</vt:lpstr>
      <vt:lpstr>SCH_M_2.2PG10</vt:lpstr>
      <vt:lpstr>SCH_M_2.2PG11</vt:lpstr>
      <vt:lpstr>SCH_M_2.2PG12</vt:lpstr>
      <vt:lpstr>SCH_M_2.2PG13</vt:lpstr>
      <vt:lpstr>SCH_M_2.2PG14</vt:lpstr>
      <vt:lpstr>SCH_M_2.2PG15</vt:lpstr>
      <vt:lpstr>SCH_M_2.2PG16</vt:lpstr>
      <vt:lpstr>SCH_M_2.2PG17</vt:lpstr>
      <vt:lpstr>SCH_M_2.2PG18</vt:lpstr>
      <vt:lpstr>SCH_M_2.2PG19</vt:lpstr>
      <vt:lpstr>SCH_M_2.2PG2</vt:lpstr>
      <vt:lpstr>SCH_M_2.2PG20</vt:lpstr>
      <vt:lpstr>SCH_M_2.2PG21</vt:lpstr>
      <vt:lpstr>SCH_M_2.2PG22</vt:lpstr>
      <vt:lpstr>SCH_M_2.2PG23</vt:lpstr>
      <vt:lpstr>SCH_M_2.2PG24</vt:lpstr>
      <vt:lpstr>SCH_M_2.2PG3</vt:lpstr>
      <vt:lpstr>SCH_M_2.2PG4</vt:lpstr>
      <vt:lpstr>SCH_M_2.2PG5</vt:lpstr>
      <vt:lpstr>SCH_M_2.2PG6</vt:lpstr>
      <vt:lpstr>SCH_M_2.2PG7</vt:lpstr>
      <vt:lpstr>SCH_M_2.2PG8</vt:lpstr>
      <vt:lpstr>SCH_M_2.2PG9</vt:lpstr>
      <vt:lpstr>SCH_M_2.3PG1</vt:lpstr>
      <vt:lpstr>SCH_M_2.3PG10</vt:lpstr>
      <vt:lpstr>SCH_M_2.3PG11</vt:lpstr>
      <vt:lpstr>SCH_M_2.3PG12</vt:lpstr>
      <vt:lpstr>SCH_M_2.3PG13</vt:lpstr>
      <vt:lpstr>SCH_M_2.3PG14</vt:lpstr>
      <vt:lpstr>SCH_M_2.3PG15</vt:lpstr>
      <vt:lpstr>SCH_M_2.3PG16</vt:lpstr>
      <vt:lpstr>SCH_M_2.3PG17</vt:lpstr>
      <vt:lpstr>SCH_M_2.3PG18</vt:lpstr>
      <vt:lpstr>SCH_M_2.3PG19</vt:lpstr>
      <vt:lpstr>SCH_M_2.3PG2</vt:lpstr>
      <vt:lpstr>SCH_M_2.3PG20</vt:lpstr>
      <vt:lpstr>SCH_M_2.3PG21</vt:lpstr>
      <vt:lpstr>SCH_M_2.3PG22</vt:lpstr>
      <vt:lpstr>SCH_M_2.3PG23</vt:lpstr>
      <vt:lpstr>SCH_M_2.3PG24</vt:lpstr>
      <vt:lpstr>SCH_M_2.3PG3</vt:lpstr>
      <vt:lpstr>SCH_M_2.3PG4</vt:lpstr>
      <vt:lpstr>SCH_M_2.3PG5</vt:lpstr>
      <vt:lpstr>SCH_M_2.3PG6</vt:lpstr>
      <vt:lpstr>SCH_M_2.3PG7</vt:lpstr>
      <vt:lpstr>SCH_M_2.3PG8</vt:lpstr>
      <vt:lpstr>SCH_M_2.3PG9</vt:lpstr>
      <vt:lpstr>SCH_N_1</vt:lpstr>
      <vt:lpstr>SCH_N_2</vt:lpstr>
      <vt:lpstr>SCH_N_3</vt:lpstr>
      <vt:lpstr>SCH_N_4</vt:lpstr>
      <vt:lpstr>SCH_N_5</vt:lpstr>
      <vt:lpstr>SERVICE</vt:lpstr>
      <vt:lpstr>TIME</vt:lpstr>
      <vt:lpstr>TITLE</vt:lpstr>
      <vt:lpstr>TT_MSRE</vt:lpstr>
      <vt:lpstr>TYPE</vt:lpstr>
      <vt:lpstr>WIT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Sch M Base Period</dc:subject>
  <dc:creator>RAA</dc:creator>
  <cp:lastModifiedBy>Sunderman, Minna</cp:lastModifiedBy>
  <cp:lastPrinted>2024-10-24T17:22:38Z</cp:lastPrinted>
  <dcterms:created xsi:type="dcterms:W3CDTF">1998-01-02T15:10:02Z</dcterms:created>
  <dcterms:modified xsi:type="dcterms:W3CDTF">2024-12-17T03:19:15Z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0x0101005BA58AB4E1B78F4EAC56940670E852C9</vt:lpwstr>
  </property>
</Properties>
</file>